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drawings/drawing1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17.xml" ContentType="application/vnd.openxmlformats-officedocument.drawing+xml"/>
  <Override PartName="/xl/charts/chart8.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ml.chartshapes+xml"/>
  <Override PartName="/xl/charts/chart10.xml" ContentType="application/vnd.openxmlformats-officedocument.drawingml.chart+xml"/>
  <Override PartName="/xl/drawings/drawing21.xml" ContentType="application/vnd.openxmlformats-officedocument.drawing+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charts/chart12.xml" ContentType="application/vnd.openxmlformats-officedocument.drawingml.chart+xml"/>
  <Override PartName="/xl/drawings/drawing22.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23.xml" ContentType="application/vnd.openxmlformats-officedocument.drawing+xml"/>
  <Override PartName="/xl/charts/chart1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0.xml" ContentType="application/vnd.openxmlformats-officedocument.drawingml.chart+xml"/>
  <Override PartName="/xl/drawings/drawing26.xml" ContentType="application/vnd.openxmlformats-officedocument.drawingml.chartshapes+xml"/>
  <Override PartName="/xl/charts/chart21.xml" ContentType="application/vnd.openxmlformats-officedocument.drawingml.chart+xml"/>
  <Override PartName="/xl/drawings/drawing27.xml" ContentType="application/vnd.openxmlformats-officedocument.drawingml.chartshapes+xml"/>
  <Override PartName="/xl/charts/chart22.xml" ContentType="application/vnd.openxmlformats-officedocument.drawingml.chart+xml"/>
  <Override PartName="/xl/drawings/drawing28.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29.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3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31.xml" ContentType="application/vnd.openxmlformats-officedocument.drawing+xml"/>
  <Override PartName="/xl/charts/chart30.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31.xml" ContentType="application/vnd.openxmlformats-officedocument.drawingml.chart+xml"/>
  <Override PartName="/xl/drawings/drawing34.xml" ContentType="application/vnd.openxmlformats-officedocument.drawingml.chartshapes+xml"/>
  <Override PartName="/xl/charts/chart32.xml" ContentType="application/vnd.openxmlformats-officedocument.drawingml.chart+xml"/>
  <Override PartName="/xl/drawings/drawing35.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6.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7.xml" ContentType="application/vnd.openxmlformats-officedocument.drawing+xml"/>
  <Override PartName="/xl/charts/chart37.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42.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43.xml" ContentType="application/vnd.openxmlformats-officedocument.drawing+xml"/>
  <Override PartName="/xl/charts/chart4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47.xml" ContentType="application/vnd.openxmlformats-officedocument.drawing+xml"/>
  <Override PartName="/xl/charts/chart49.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50.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51.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52.xml" ContentType="application/vnd.openxmlformats-officedocument.drawing+xml"/>
  <Override PartName="/xl/charts/chart56.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57.xml" ContentType="application/vnd.openxmlformats-officedocument.drawingml.chart+xml"/>
  <Override PartName="/xl/drawings/drawing55.xml" ContentType="application/vnd.openxmlformats-officedocument.drawingml.chartshapes+xml"/>
  <Override PartName="/xl/charts/chart58.xml" ContentType="application/vnd.openxmlformats-officedocument.drawingml.chart+xml"/>
  <Override PartName="/xl/drawings/drawing56.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57.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58.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59.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60.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61.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62.xml" ContentType="application/vnd.openxmlformats-officedocument.drawing+xml"/>
  <Override PartName="/xl/charts/chart7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76.xml" ContentType="application/vnd.openxmlformats-officedocument.drawingml.chart+xml"/>
  <Override PartName="/xl/drawings/drawing65.xml" ContentType="application/vnd.openxmlformats-officedocument.drawingml.chartshapes+xml"/>
  <Override PartName="/xl/charts/chart77.xml" ContentType="application/vnd.openxmlformats-officedocument.drawingml.chart+xml"/>
  <Override PartName="/xl/drawings/drawing66.xml" ContentType="application/vnd.openxmlformats-officedocument.drawing+xml"/>
  <Override PartName="/xl/charts/chart78.xml" ContentType="application/vnd.openxmlformats-officedocument.drawingml.chart+xml"/>
  <Override PartName="/xl/drawings/drawing67.xml" ContentType="application/vnd.openxmlformats-officedocument.drawingml.chartshapes+xml"/>
  <Override PartName="/xl/charts/chart7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mijharm\Desktop\2025 Stats Web Update\"/>
    </mc:Choice>
  </mc:AlternateContent>
  <xr:revisionPtr revIDLastSave="0" documentId="8_{F2723208-DE3A-466E-B811-392693F23B45}" xr6:coauthVersionLast="47" xr6:coauthVersionMax="47" xr10:uidLastSave="{00000000-0000-0000-0000-000000000000}"/>
  <bookViews>
    <workbookView xWindow="-120" yWindow="-120" windowWidth="29040" windowHeight="15720" tabRatio="919" xr2:uid="{EB253EF8-72FB-40D7-988A-FD97D378C645}"/>
  </bookViews>
  <sheets>
    <sheet name="Index" sheetId="1" r:id="rId1"/>
    <sheet name="Sources" sheetId="2" r:id="rId2"/>
    <sheet name="How To Use" sheetId="3" r:id="rId3"/>
    <sheet name="Commodity Prices Comparison" sheetId="4" r:id="rId4"/>
    <sheet name="Q&amp;V 2-years" sheetId="5" r:id="rId5"/>
    <sheet name="Commodity Prices" sheetId="6" r:id="rId6"/>
    <sheet name="Q&amp;V CY 1886 to 2003" sheetId="7" r:id="rId7"/>
    <sheet name="Q&amp;V CY 2004 to Now" sheetId="8" r:id="rId8"/>
    <sheet name="Q&amp;V FY 1984-85 to 2002-03" sheetId="9" r:id="rId9"/>
    <sheet name="Q&amp;V FY 2003-04 to Now" sheetId="10" r:id="rId10"/>
    <sheet name="WA vs Australia vs the World" sheetId="11" r:id="rId11"/>
    <sheet name="Alumina and Bauxite - Prices" sheetId="12" r:id="rId12"/>
    <sheet name="Alumina and Bauxite - Q&amp;V" sheetId="13" r:id="rId13"/>
    <sheet name="Alumina and Bauxite - Exports" sheetId="14" r:id="rId14"/>
    <sheet name="Alumina and Bauxite - WA vs Aus" sheetId="15" r:id="rId15"/>
    <sheet name="Copper-Lead-Zinc - Prices" sheetId="16" r:id="rId16"/>
    <sheet name="Copper-Lead-Zinc - Q&amp;V" sheetId="17" r:id="rId17"/>
    <sheet name="Copper-Lead-Zinc - Exports" sheetId="18" r:id="rId18"/>
    <sheet name="Copper-Lead-Zinc - WA vs Aus" sheetId="19" r:id="rId19"/>
    <sheet name="Gold - Prices" sheetId="20" r:id="rId20"/>
    <sheet name="Gold - Q&amp;V" sheetId="21" r:id="rId21"/>
    <sheet name="Gold - Exports" sheetId="22" r:id="rId22"/>
    <sheet name="Gold - WA vs Aus" sheetId="23" r:id="rId23"/>
    <sheet name="Iron Ore - Prices" sheetId="24" r:id="rId24"/>
    <sheet name="Iron Ore - Q&amp;V" sheetId="25" r:id="rId25"/>
    <sheet name="Iron Ore - Exports" sheetId="26" r:id="rId26"/>
    <sheet name="Iron Ore - WA vs Aus" sheetId="27" r:id="rId27"/>
    <sheet name="Lithium - Prices" sheetId="28" r:id="rId28"/>
    <sheet name="Lithium - Q&amp;V" sheetId="29" r:id="rId29"/>
    <sheet name="Lithium - Exports" sheetId="30" r:id="rId30"/>
    <sheet name="Mineral Sands - Prices" sheetId="31" r:id="rId31"/>
    <sheet name="Mineral Sands - Q&amp;V" sheetId="32" r:id="rId32"/>
    <sheet name="Mineral Sands - Exports" sheetId="33" r:id="rId33"/>
    <sheet name="Mineral Sands - WA vs Aus" sheetId="34" r:id="rId34"/>
    <sheet name="Nickel - Prices" sheetId="35" r:id="rId35"/>
    <sheet name="Nickel - Q&amp;V" sheetId="36" r:id="rId36"/>
    <sheet name="Nickel - Exports" sheetId="37" r:id="rId37"/>
    <sheet name="Nickel - WA vs Aus" sheetId="38" r:id="rId38"/>
    <sheet name="Other Minerals - Q&amp;V" sheetId="39" r:id="rId39"/>
    <sheet name="Petroleum - Oil - Prices" sheetId="40" r:id="rId40"/>
    <sheet name="Petroleum - LNG - Prices" sheetId="41" r:id="rId41"/>
    <sheet name="Petroleum - Dom. Gas - Prices" sheetId="42" r:id="rId42"/>
    <sheet name="Petroleum - Q&amp;V 1" sheetId="43" r:id="rId43"/>
    <sheet name="Petroleum - Q&amp;V 2" sheetId="44" r:id="rId44"/>
    <sheet name="Petroleum - Exports" sheetId="45" r:id="rId45"/>
    <sheet name="Petroleum - WA vs Aus 1" sheetId="46" r:id="rId46"/>
    <sheet name="Petroleum - WA vs Aus 2" sheetId="47" r:id="rId47"/>
  </sheets>
  <definedNames>
    <definedName name="_xlnm._FilterDatabase" localSheetId="5" hidden="1">'Commodity Prices'!$BH$10:$BN$1554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91" i="10" l="1"/>
  <c r="AQ91" i="10"/>
  <c r="AP91" i="10"/>
  <c r="AO91" i="10"/>
  <c r="AN91" i="10"/>
  <c r="AM91" i="10"/>
  <c r="AL91" i="10"/>
  <c r="AK91" i="10"/>
  <c r="AJ91" i="10"/>
  <c r="AI91" i="10"/>
  <c r="AH91" i="10"/>
  <c r="AG91" i="10"/>
  <c r="AF91" i="10"/>
  <c r="AE91" i="10"/>
  <c r="AD91" i="10"/>
  <c r="AC91" i="10"/>
  <c r="AB91" i="10"/>
  <c r="AA91" i="10"/>
  <c r="Z91" i="10"/>
  <c r="Y91" i="10"/>
  <c r="X91" i="10"/>
  <c r="W91" i="10"/>
  <c r="V91" i="10"/>
  <c r="U91" i="10"/>
  <c r="T91" i="10"/>
  <c r="S91" i="10"/>
  <c r="R91" i="10"/>
  <c r="Q91" i="10"/>
  <c r="P91" i="10"/>
  <c r="O91" i="10"/>
  <c r="N91" i="10"/>
  <c r="M91" i="10"/>
  <c r="L91" i="10"/>
  <c r="K91" i="10"/>
  <c r="J91" i="10"/>
  <c r="I91" i="10"/>
  <c r="H91" i="10"/>
  <c r="G91" i="10"/>
  <c r="F91" i="10"/>
  <c r="E91" i="10"/>
  <c r="D91" i="10"/>
  <c r="C91" i="10"/>
  <c r="AS91" i="10"/>
  <c r="AR91" i="8"/>
  <c r="AQ91" i="8"/>
  <c r="AP91" i="8"/>
  <c r="AO91" i="8"/>
  <c r="AN91" i="8"/>
  <c r="AM91" i="8"/>
  <c r="AL91" i="8"/>
  <c r="AK91" i="8"/>
  <c r="AJ91" i="8"/>
  <c r="AI91" i="8"/>
  <c r="AH91" i="8"/>
  <c r="AG91" i="8"/>
  <c r="AF91" i="8"/>
  <c r="AE91" i="8"/>
  <c r="AD91" i="8"/>
  <c r="AC91" i="8"/>
  <c r="AB91" i="8"/>
  <c r="AA91" i="8"/>
  <c r="Z91" i="8"/>
  <c r="Y91" i="8"/>
  <c r="X91" i="8"/>
  <c r="W91" i="8"/>
  <c r="V91" i="8"/>
  <c r="U91" i="8"/>
  <c r="T91" i="8"/>
  <c r="S91" i="8"/>
  <c r="R91" i="8"/>
  <c r="Q91" i="8"/>
  <c r="P91" i="8"/>
  <c r="O91" i="8"/>
  <c r="N91" i="8"/>
  <c r="M91" i="8"/>
  <c r="L91" i="8"/>
  <c r="K91" i="8"/>
  <c r="J91" i="8"/>
  <c r="I91" i="8"/>
  <c r="H91" i="8"/>
  <c r="G91" i="8"/>
  <c r="F91" i="8"/>
  <c r="E91" i="8"/>
  <c r="D91" i="8"/>
  <c r="C91" i="8"/>
  <c r="AS91" i="8"/>
  <c r="D44" i="42"/>
  <c r="D45" i="42" s="1"/>
  <c r="AT91" i="10"/>
  <c r="AT87" i="10"/>
  <c r="AS87" i="10"/>
  <c r="AR87" i="10"/>
  <c r="AQ87" i="10"/>
  <c r="AP87" i="10"/>
  <c r="AO87" i="10"/>
  <c r="AN87" i="10"/>
  <c r="AM87" i="10"/>
  <c r="AL87" i="10"/>
  <c r="AK87" i="10"/>
  <c r="AJ87" i="10"/>
  <c r="AI87" i="10"/>
  <c r="AH87" i="10"/>
  <c r="AG87" i="10"/>
  <c r="AF87" i="10"/>
  <c r="AE87" i="10"/>
  <c r="AD87" i="10"/>
  <c r="AC87" i="10"/>
  <c r="AB87" i="10"/>
  <c r="AA87" i="10"/>
  <c r="Z87" i="10"/>
  <c r="Y87" i="10"/>
  <c r="X87" i="10"/>
  <c r="W87" i="10"/>
  <c r="V87" i="10"/>
  <c r="U87" i="10"/>
  <c r="T87" i="10"/>
  <c r="S87" i="10"/>
  <c r="R87" i="10"/>
  <c r="Q87" i="10"/>
  <c r="P87" i="10"/>
  <c r="O87" i="10"/>
  <c r="N87" i="10"/>
  <c r="M87" i="10"/>
  <c r="L87" i="10"/>
  <c r="K87" i="10"/>
  <c r="J87" i="10"/>
  <c r="I87" i="10"/>
  <c r="H87" i="10"/>
  <c r="G87" i="10"/>
  <c r="F87" i="10"/>
  <c r="E87" i="10"/>
  <c r="AT81" i="10"/>
  <c r="AS81" i="10"/>
  <c r="AR81" i="10"/>
  <c r="AQ81" i="10"/>
  <c r="AP81" i="10"/>
  <c r="AO81" i="10"/>
  <c r="AN81" i="10"/>
  <c r="AM81" i="10"/>
  <c r="AL81" i="10"/>
  <c r="AK81" i="10"/>
  <c r="AJ81" i="10"/>
  <c r="AI81" i="10"/>
  <c r="AH81" i="10"/>
  <c r="AG81" i="10"/>
  <c r="AF81" i="10"/>
  <c r="AE81" i="10"/>
  <c r="AD81" i="10"/>
  <c r="AC81" i="10"/>
  <c r="AB81" i="10"/>
  <c r="AA81" i="10"/>
  <c r="Z81" i="10"/>
  <c r="Y81" i="10"/>
  <c r="X81" i="10"/>
  <c r="W81" i="10"/>
  <c r="V81" i="10"/>
  <c r="U81" i="10"/>
  <c r="T81" i="10"/>
  <c r="S81" i="10"/>
  <c r="R81" i="10"/>
  <c r="Q81" i="10"/>
  <c r="P81" i="10"/>
  <c r="O81" i="10"/>
  <c r="N81" i="10"/>
  <c r="M81" i="10"/>
  <c r="L81" i="10"/>
  <c r="K81" i="10"/>
  <c r="J81" i="10"/>
  <c r="I81" i="10"/>
  <c r="H81" i="10"/>
  <c r="G81" i="10"/>
  <c r="F81" i="10"/>
  <c r="E81" i="10"/>
  <c r="D87" i="10"/>
  <c r="C87" i="10"/>
  <c r="C81" i="10"/>
  <c r="D81" i="10"/>
  <c r="AT30" i="10"/>
  <c r="AS30" i="10"/>
  <c r="AR30" i="10"/>
  <c r="AQ30" i="10"/>
  <c r="AP30" i="10"/>
  <c r="AO30" i="10"/>
  <c r="AN30" i="10"/>
  <c r="AM30" i="10"/>
  <c r="AL30" i="10"/>
  <c r="AK30" i="10"/>
  <c r="AJ30" i="10"/>
  <c r="AI30" i="10"/>
  <c r="AH30" i="10"/>
  <c r="AG30" i="10"/>
  <c r="AF30" i="10"/>
  <c r="AE30" i="10"/>
  <c r="AD30" i="10"/>
  <c r="AC30" i="10"/>
  <c r="AB30" i="10"/>
  <c r="AA30" i="10"/>
  <c r="Z30" i="10"/>
  <c r="Y30" i="10"/>
  <c r="X30" i="10"/>
  <c r="W30" i="10"/>
  <c r="V30" i="10"/>
  <c r="U30" i="10"/>
  <c r="T30" i="10"/>
  <c r="S30" i="10"/>
  <c r="R30" i="10"/>
  <c r="Q30" i="10"/>
  <c r="P30" i="10"/>
  <c r="O30" i="10"/>
  <c r="N30" i="10"/>
  <c r="M30" i="10"/>
  <c r="L30" i="10"/>
  <c r="K30" i="10"/>
  <c r="J30" i="10"/>
  <c r="I30" i="10"/>
  <c r="H30" i="10"/>
  <c r="G30" i="10"/>
  <c r="F30" i="10"/>
  <c r="E30" i="10"/>
  <c r="C30" i="10"/>
  <c r="AT30" i="8"/>
  <c r="AS30" i="8"/>
  <c r="AR30" i="8"/>
  <c r="AQ30" i="8"/>
  <c r="AP30" i="8"/>
  <c r="AO30" i="8"/>
  <c r="AN30" i="8"/>
  <c r="AM30" i="8"/>
  <c r="AL30" i="8"/>
  <c r="AK30" i="8"/>
  <c r="AJ30" i="8"/>
  <c r="AI30" i="8"/>
  <c r="AH30" i="8"/>
  <c r="AG30" i="8"/>
  <c r="AF30" i="8"/>
  <c r="AE30" i="8"/>
  <c r="AD30" i="8"/>
  <c r="AC30" i="8"/>
  <c r="AB30" i="8"/>
  <c r="AA30" i="8"/>
  <c r="Z30" i="8"/>
  <c r="Y30" i="8"/>
  <c r="X30" i="8"/>
  <c r="W30" i="8"/>
  <c r="V30" i="8"/>
  <c r="U30" i="8"/>
  <c r="T30" i="8"/>
  <c r="S30" i="8"/>
  <c r="R30" i="8"/>
  <c r="Q30" i="8"/>
  <c r="P30" i="8"/>
  <c r="O30" i="8"/>
  <c r="N30" i="8"/>
  <c r="M30" i="8"/>
  <c r="L30" i="8"/>
  <c r="K30" i="8"/>
  <c r="J30" i="8"/>
  <c r="I30" i="8"/>
  <c r="H30" i="8"/>
  <c r="G30" i="8"/>
  <c r="F30" i="8"/>
  <c r="E30" i="8"/>
  <c r="C30" i="8"/>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D40" i="10"/>
  <c r="C40" i="10"/>
  <c r="D30" i="10"/>
  <c r="D28" i="10"/>
  <c r="E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W28" i="10"/>
  <c r="V28" i="10"/>
  <c r="U28" i="10"/>
  <c r="T28" i="10"/>
  <c r="S28" i="10"/>
  <c r="R28" i="10"/>
  <c r="Q28" i="10"/>
  <c r="P28" i="10"/>
  <c r="O28" i="10"/>
  <c r="N28" i="10"/>
  <c r="M28" i="10"/>
  <c r="L28" i="10"/>
  <c r="K28" i="10"/>
  <c r="J28" i="10"/>
  <c r="I28" i="10"/>
  <c r="H28" i="10"/>
  <c r="G28" i="10"/>
  <c r="F28" i="10"/>
  <c r="C28" i="10"/>
  <c r="AT91" i="8"/>
  <c r="AT87" i="8"/>
  <c r="AS87" i="8"/>
  <c r="AR87" i="8"/>
  <c r="AQ87" i="8"/>
  <c r="AP87" i="8"/>
  <c r="AO87" i="8"/>
  <c r="AN87" i="8"/>
  <c r="AM87" i="8"/>
  <c r="AL87" i="8"/>
  <c r="AK87" i="8"/>
  <c r="AJ87" i="8"/>
  <c r="AI87" i="8"/>
  <c r="AH87" i="8"/>
  <c r="AG87" i="8"/>
  <c r="AF87" i="8"/>
  <c r="AE87" i="8"/>
  <c r="AD87" i="8"/>
  <c r="AC87" i="8"/>
  <c r="AB87" i="8"/>
  <c r="AA87" i="8"/>
  <c r="Z87" i="8"/>
  <c r="Y87" i="8"/>
  <c r="X87" i="8"/>
  <c r="W87" i="8"/>
  <c r="V87" i="8"/>
  <c r="U87" i="8"/>
  <c r="T87" i="8"/>
  <c r="S87" i="8"/>
  <c r="R87" i="8"/>
  <c r="Q87" i="8"/>
  <c r="P87" i="8"/>
  <c r="O87" i="8"/>
  <c r="N87" i="8"/>
  <c r="M87" i="8"/>
  <c r="L87" i="8"/>
  <c r="K87" i="8"/>
  <c r="J87" i="8"/>
  <c r="I87" i="8"/>
  <c r="H87" i="8"/>
  <c r="G87" i="8"/>
  <c r="F87" i="8"/>
  <c r="E87" i="8"/>
  <c r="C87" i="8"/>
  <c r="D87" i="8"/>
  <c r="AT81" i="8"/>
  <c r="AS81" i="8"/>
  <c r="AR81" i="8"/>
  <c r="AQ81" i="8"/>
  <c r="AP81" i="8"/>
  <c r="AO81" i="8"/>
  <c r="AN81" i="8"/>
  <c r="AM81" i="8"/>
  <c r="AL81" i="8"/>
  <c r="AK81" i="8"/>
  <c r="AJ81" i="8"/>
  <c r="AI81" i="8"/>
  <c r="AH81" i="8"/>
  <c r="AG81" i="8"/>
  <c r="AF81" i="8"/>
  <c r="AE81" i="8"/>
  <c r="AD81" i="8"/>
  <c r="AC81" i="8"/>
  <c r="AB81" i="8"/>
  <c r="AA81" i="8"/>
  <c r="Z81" i="8"/>
  <c r="Y81" i="8"/>
  <c r="X81" i="8"/>
  <c r="W81" i="8"/>
  <c r="V81" i="8"/>
  <c r="U81" i="8"/>
  <c r="T81" i="8"/>
  <c r="S81" i="8"/>
  <c r="R81" i="8"/>
  <c r="Q81" i="8"/>
  <c r="P81" i="8"/>
  <c r="O81" i="8"/>
  <c r="N81" i="8"/>
  <c r="M81" i="8"/>
  <c r="L81" i="8"/>
  <c r="K81" i="8"/>
  <c r="J81" i="8"/>
  <c r="I81" i="8"/>
  <c r="H81" i="8"/>
  <c r="G81" i="8"/>
  <c r="F81" i="8"/>
  <c r="E81" i="8"/>
  <c r="D81" i="8"/>
  <c r="C81" i="8"/>
  <c r="AT40" i="8"/>
  <c r="AS40" i="8"/>
  <c r="AR40" i="8"/>
  <c r="AQ40" i="8"/>
  <c r="AP40" i="8"/>
  <c r="AO40" i="8"/>
  <c r="AN40" i="8"/>
  <c r="AM40" i="8"/>
  <c r="AL40" i="8"/>
  <c r="AK40" i="8"/>
  <c r="AJ40" i="8"/>
  <c r="AI40" i="8"/>
  <c r="AH40" i="8"/>
  <c r="AG40" i="8"/>
  <c r="AF40" i="8"/>
  <c r="AE40" i="8"/>
  <c r="AD40" i="8"/>
  <c r="AC40" i="8"/>
  <c r="AB40" i="8"/>
  <c r="AA40" i="8"/>
  <c r="Z40" i="8"/>
  <c r="Y40" i="8"/>
  <c r="X40" i="8"/>
  <c r="W40" i="8"/>
  <c r="V40" i="8"/>
  <c r="U40" i="8"/>
  <c r="T40" i="8"/>
  <c r="S40" i="8"/>
  <c r="R40" i="8"/>
  <c r="Q40" i="8"/>
  <c r="P40" i="8"/>
  <c r="O40" i="8"/>
  <c r="N40" i="8"/>
  <c r="M40" i="8"/>
  <c r="L40" i="8"/>
  <c r="K40" i="8"/>
  <c r="J40" i="8"/>
  <c r="I40" i="8"/>
  <c r="H40" i="8"/>
  <c r="G40" i="8"/>
  <c r="F40" i="8"/>
  <c r="E40" i="8"/>
  <c r="C40" i="8"/>
  <c r="D40" i="8"/>
  <c r="D30" i="8"/>
  <c r="AT28" i="8"/>
  <c r="AS28" i="8"/>
  <c r="AR28" i="8"/>
  <c r="AQ28" i="8"/>
  <c r="AP28" i="8"/>
  <c r="AO28" i="8"/>
  <c r="AN28" i="8"/>
  <c r="AM28" i="8"/>
  <c r="AL28" i="8"/>
  <c r="AK28" i="8"/>
  <c r="AJ28" i="8"/>
  <c r="AI28" i="8"/>
  <c r="AH28" i="8"/>
  <c r="AG28" i="8"/>
  <c r="AF28" i="8"/>
  <c r="AE28" i="8"/>
  <c r="AD28" i="8"/>
  <c r="AC28" i="8"/>
  <c r="AB28" i="8"/>
  <c r="AA28" i="8"/>
  <c r="Z28" i="8"/>
  <c r="Y28" i="8"/>
  <c r="X28" i="8"/>
  <c r="W28" i="8"/>
  <c r="V28" i="8"/>
  <c r="U28" i="8"/>
  <c r="T28" i="8"/>
  <c r="S28" i="8"/>
  <c r="R28" i="8"/>
  <c r="Q28" i="8"/>
  <c r="P28" i="8"/>
  <c r="O28" i="8"/>
  <c r="N28" i="8"/>
  <c r="M28" i="8"/>
  <c r="L28" i="8"/>
  <c r="K28" i="8"/>
  <c r="J28" i="8"/>
  <c r="I28" i="8"/>
  <c r="H28" i="8"/>
  <c r="G28" i="8"/>
  <c r="F28" i="8"/>
  <c r="E28" i="8"/>
  <c r="C28" i="8"/>
  <c r="D28" i="8"/>
  <c r="P13" i="39"/>
  <c r="AQ55" i="8"/>
  <c r="AR55" i="8"/>
  <c r="AS55" i="8"/>
  <c r="AT55" i="8"/>
  <c r="E45" i="42" l="1"/>
  <c r="D46" i="42"/>
  <c r="F45" i="42"/>
  <c r="G45" i="42" s="1"/>
  <c r="E44" i="42"/>
  <c r="F44" i="42"/>
  <c r="G44" i="42" s="1"/>
  <c r="AR78" i="8"/>
  <c r="AQ78" i="8"/>
  <c r="AR77" i="8"/>
  <c r="AQ77" i="8"/>
  <c r="AR76" i="8"/>
  <c r="AQ76" i="8"/>
  <c r="AR75" i="8"/>
  <c r="AR79" i="8" s="1"/>
  <c r="AR103" i="8" s="1"/>
  <c r="AQ75" i="8"/>
  <c r="AR74" i="8"/>
  <c r="AQ74" i="8"/>
  <c r="AR71" i="8"/>
  <c r="AQ71" i="8"/>
  <c r="AR57" i="8"/>
  <c r="AR50" i="8"/>
  <c r="AQ50" i="8"/>
  <c r="AR38" i="8"/>
  <c r="AR21" i="8"/>
  <c r="AQ21" i="8"/>
  <c r="AR20" i="8"/>
  <c r="AQ20" i="8"/>
  <c r="AR19" i="8"/>
  <c r="AR22" i="8" s="1"/>
  <c r="AQ19" i="8"/>
  <c r="AR15" i="8"/>
  <c r="AQ15" i="8"/>
  <c r="AR14" i="8"/>
  <c r="AR16" i="8" s="1"/>
  <c r="AQ14" i="8"/>
  <c r="AR10" i="8"/>
  <c r="AQ10" i="8"/>
  <c r="G118" i="43"/>
  <c r="F118" i="43"/>
  <c r="G117" i="43"/>
  <c r="F117" i="43"/>
  <c r="G121" i="13"/>
  <c r="F121" i="13"/>
  <c r="G120" i="13"/>
  <c r="F120" i="13"/>
  <c r="E46" i="42" l="1"/>
  <c r="F46" i="42"/>
  <c r="G46" i="42" s="1"/>
  <c r="O37" i="39"/>
  <c r="Z1" i="39"/>
  <c r="Z2" i="39" s="1"/>
  <c r="Q38" i="39"/>
  <c r="P38" i="39"/>
  <c r="G17" i="29"/>
  <c r="Y1" i="45" a="1"/>
  <c r="Y1" i="45" s="1"/>
  <c r="Y1" i="37" a="1"/>
  <c r="Y1" i="37" s="1"/>
  <c r="Y1" i="33" a="1"/>
  <c r="Y1" i="33" s="1"/>
  <c r="Y1" i="30" a="1"/>
  <c r="Y1" i="30" s="1"/>
  <c r="Y1" i="26" a="1"/>
  <c r="Y1" i="26" s="1"/>
  <c r="Y1" i="14" a="1"/>
  <c r="Y1" i="14" s="1"/>
  <c r="Y1" i="22" a="1"/>
  <c r="Y1" i="22" s="1"/>
  <c r="Y1" i="18" l="1" a="1"/>
  <c r="Y1" i="18" s="1"/>
  <c r="W2" i="14"/>
  <c r="AV83" i="10"/>
  <c r="AU42" i="8"/>
  <c r="AV42" i="8"/>
  <c r="G116" i="43"/>
  <c r="F116" i="43"/>
  <c r="G115" i="43"/>
  <c r="F115" i="43"/>
  <c r="G114" i="43"/>
  <c r="F114" i="43"/>
  <c r="G113" i="43"/>
  <c r="F113" i="43"/>
  <c r="G112" i="43"/>
  <c r="F112" i="43"/>
  <c r="G111" i="43"/>
  <c r="F111" i="43"/>
  <c r="G110" i="43"/>
  <c r="F110" i="43"/>
  <c r="G109" i="43"/>
  <c r="F109" i="43"/>
  <c r="G108" i="43"/>
  <c r="F108" i="43"/>
  <c r="G107" i="43"/>
  <c r="F107" i="43"/>
  <c r="G106" i="43"/>
  <c r="F106" i="43"/>
  <c r="G105" i="43"/>
  <c r="F105" i="43"/>
  <c r="G104" i="43"/>
  <c r="F104" i="43"/>
  <c r="G103" i="43"/>
  <c r="F103" i="43"/>
  <c r="G102" i="43"/>
  <c r="F102" i="43"/>
  <c r="G101" i="43"/>
  <c r="F101" i="43"/>
  <c r="G100" i="43"/>
  <c r="F100" i="43"/>
  <c r="G99" i="43"/>
  <c r="F99" i="43"/>
  <c r="G98" i="43"/>
  <c r="F98" i="43"/>
  <c r="G97" i="43"/>
  <c r="F97" i="43"/>
  <c r="G96" i="43"/>
  <c r="F96" i="43"/>
  <c r="G95" i="43"/>
  <c r="F95" i="43"/>
  <c r="G94" i="43"/>
  <c r="F94" i="43"/>
  <c r="G93" i="43"/>
  <c r="F93" i="43"/>
  <c r="G92" i="43"/>
  <c r="F92" i="43"/>
  <c r="G91" i="43"/>
  <c r="F91" i="43"/>
  <c r="G90" i="43"/>
  <c r="F90" i="43"/>
  <c r="G89" i="43"/>
  <c r="F89" i="43"/>
  <c r="G88" i="43"/>
  <c r="F88" i="43"/>
  <c r="G87" i="43"/>
  <c r="F87" i="43"/>
  <c r="G86" i="43"/>
  <c r="F86" i="43"/>
  <c r="G85" i="43"/>
  <c r="F85" i="43"/>
  <c r="G84" i="43"/>
  <c r="F84" i="43"/>
  <c r="G83" i="43"/>
  <c r="F83" i="43"/>
  <c r="G82" i="43"/>
  <c r="F82" i="43"/>
  <c r="G81" i="43"/>
  <c r="F81" i="43"/>
  <c r="G80" i="43"/>
  <c r="F80" i="43"/>
  <c r="G79" i="43"/>
  <c r="F79" i="43"/>
  <c r="G78" i="43"/>
  <c r="F78" i="43"/>
  <c r="G77" i="43"/>
  <c r="F77" i="43"/>
  <c r="G76" i="43"/>
  <c r="F76" i="43"/>
  <c r="G75" i="43"/>
  <c r="F75" i="43"/>
  <c r="G74" i="43"/>
  <c r="F74" i="43"/>
  <c r="G73" i="43"/>
  <c r="F73" i="43"/>
  <c r="G72" i="43"/>
  <c r="F72" i="43"/>
  <c r="G71" i="43"/>
  <c r="F71" i="43"/>
  <c r="G70" i="43"/>
  <c r="F70" i="43"/>
  <c r="G69" i="43"/>
  <c r="F69" i="43"/>
  <c r="G68" i="43"/>
  <c r="F68" i="43"/>
  <c r="G67" i="43"/>
  <c r="F67" i="43"/>
  <c r="G66" i="43"/>
  <c r="F66" i="43"/>
  <c r="G65" i="43"/>
  <c r="F65" i="43"/>
  <c r="G64" i="43"/>
  <c r="F64" i="43"/>
  <c r="G63" i="43"/>
  <c r="F63" i="43"/>
  <c r="G62" i="43"/>
  <c r="F62" i="43"/>
  <c r="G61" i="43"/>
  <c r="F61" i="43"/>
  <c r="G60" i="43"/>
  <c r="F60" i="43"/>
  <c r="G59" i="43"/>
  <c r="F59" i="43"/>
  <c r="G58" i="43"/>
  <c r="F58" i="43"/>
  <c r="G57" i="43"/>
  <c r="F57" i="43"/>
  <c r="G56" i="43"/>
  <c r="F56" i="43"/>
  <c r="G55" i="43"/>
  <c r="F55" i="43"/>
  <c r="G54" i="43"/>
  <c r="F54" i="43"/>
  <c r="G53" i="43"/>
  <c r="F53" i="43"/>
  <c r="G52" i="43"/>
  <c r="F52" i="43"/>
  <c r="G51" i="43"/>
  <c r="F51" i="43"/>
  <c r="G50" i="43"/>
  <c r="F50" i="43"/>
  <c r="G49" i="43"/>
  <c r="F49" i="43"/>
  <c r="G48" i="43"/>
  <c r="F48" i="43"/>
  <c r="G47" i="43"/>
  <c r="F47" i="43"/>
  <c r="G46" i="43"/>
  <c r="F46" i="43"/>
  <c r="G45" i="43"/>
  <c r="F45" i="43"/>
  <c r="G44" i="43"/>
  <c r="F44" i="43"/>
  <c r="G43" i="43"/>
  <c r="F43" i="43"/>
  <c r="G42" i="43"/>
  <c r="F42" i="43"/>
  <c r="G41" i="43"/>
  <c r="F41" i="43"/>
  <c r="A20" i="14" l="1" a="1"/>
  <c r="A20" i="14" s="1"/>
  <c r="C17" i="14" a="1"/>
  <c r="C17" i="14" s="1"/>
  <c r="D14" i="14" a="1"/>
  <c r="D14" i="14" s="1"/>
  <c r="A12" i="14" a="1"/>
  <c r="A12" i="14" s="1"/>
  <c r="D20" i="14" a="1"/>
  <c r="D20" i="14" s="1"/>
  <c r="A15" i="14" a="1"/>
  <c r="A15" i="14" s="1"/>
  <c r="D22" i="14" a="1"/>
  <c r="D22" i="14" s="1"/>
  <c r="D19" i="14" a="1"/>
  <c r="D19" i="14" s="1"/>
  <c r="A17" i="14" a="1"/>
  <c r="A17" i="14" s="1"/>
  <c r="C14" i="14" a="1"/>
  <c r="C14" i="14" s="1"/>
  <c r="C22" i="14" a="1"/>
  <c r="C22" i="14" s="1"/>
  <c r="C19" i="14" a="1"/>
  <c r="C19" i="14" s="1"/>
  <c r="D16" i="14" a="1"/>
  <c r="D16" i="14" s="1"/>
  <c r="A14" i="14" a="1"/>
  <c r="A14" i="14" s="1"/>
  <c r="C20" i="14" a="1"/>
  <c r="C20" i="14" s="1"/>
  <c r="D21" i="14" a="1"/>
  <c r="D21" i="14" s="1"/>
  <c r="A19" i="14" a="1"/>
  <c r="A19" i="14" s="1"/>
  <c r="C16" i="14" a="1"/>
  <c r="C16" i="14" s="1"/>
  <c r="D13" i="14" a="1"/>
  <c r="D13" i="14" s="1"/>
  <c r="C15" i="14" a="1"/>
  <c r="C15" i="14" s="1"/>
  <c r="C12" i="14" a="1"/>
  <c r="C12" i="14" s="1"/>
  <c r="C21" i="14" a="1"/>
  <c r="C21" i="14" s="1"/>
  <c r="D18" i="14" a="1"/>
  <c r="D18" i="14" s="1"/>
  <c r="A16" i="14" a="1"/>
  <c r="A16" i="14" s="1"/>
  <c r="C13" i="14" a="1"/>
  <c r="C13" i="14" s="1"/>
  <c r="A18" i="14" a="1"/>
  <c r="A18" i="14" s="1"/>
  <c r="A21" i="14" a="1"/>
  <c r="A21" i="14" s="1"/>
  <c r="C18" i="14" a="1"/>
  <c r="C18" i="14" s="1"/>
  <c r="D15" i="14" a="1"/>
  <c r="D15" i="14" s="1"/>
  <c r="A13" i="14" a="1"/>
  <c r="A13" i="14" s="1"/>
  <c r="D12" i="14" a="1"/>
  <c r="D12" i="14" s="1"/>
  <c r="D17" i="14" a="1"/>
  <c r="D17" i="14" s="1"/>
  <c r="A22" i="14"/>
  <c r="G119" i="13"/>
  <c r="F119" i="13"/>
  <c r="G118" i="13"/>
  <c r="F118" i="13"/>
  <c r="AV24" i="10"/>
  <c r="AV95" i="10"/>
  <c r="AV94" i="10"/>
  <c r="AV85" i="10"/>
  <c r="AV62" i="10"/>
  <c r="AV59" i="10"/>
  <c r="AT38" i="10"/>
  <c r="AT10" i="10"/>
  <c r="AT11" i="10" s="1"/>
  <c r="AS10" i="10"/>
  <c r="AS11" i="10" s="1"/>
  <c r="A659" i="6"/>
  <c r="B659" i="6" s="1"/>
  <c r="A660" i="6"/>
  <c r="B660" i="6" s="1"/>
  <c r="A661" i="6"/>
  <c r="B661" i="6" s="1"/>
  <c r="A662" i="6"/>
  <c r="B662" i="6" s="1"/>
  <c r="A663" i="6"/>
  <c r="B663" i="6" s="1"/>
  <c r="A664" i="6"/>
  <c r="B664" i="6" s="1"/>
  <c r="C23" i="14" l="1"/>
  <c r="AV26" i="10"/>
  <c r="AU35" i="8" l="1"/>
  <c r="AV35" i="8"/>
  <c r="AD38" i="8" l="1"/>
  <c r="AF38" i="8"/>
  <c r="AH38" i="8"/>
  <c r="AJ38" i="8"/>
  <c r="AL38" i="8"/>
  <c r="AN38" i="8"/>
  <c r="AP38" i="8"/>
  <c r="AT38" i="8"/>
  <c r="D73" i="21"/>
  <c r="E73" i="21"/>
  <c r="D74" i="21"/>
  <c r="E74" i="21"/>
  <c r="G117" i="13"/>
  <c r="F117" i="13"/>
  <c r="G116" i="13"/>
  <c r="F116" i="13"/>
  <c r="AP10" i="8"/>
  <c r="AO10" i="8"/>
  <c r="AD58" i="44" l="1"/>
  <c r="AD57" i="44" s="1"/>
  <c r="T58" i="43" l="1"/>
  <c r="T63" i="43"/>
  <c r="AP38" i="10" l="1"/>
  <c r="AP10" i="10"/>
  <c r="AP11" i="10" s="1"/>
  <c r="AO10" i="10"/>
  <c r="AO11" i="10" s="1"/>
  <c r="O58" i="39" l="1"/>
  <c r="R49" i="36"/>
  <c r="R56" i="32"/>
  <c r="P48" i="29"/>
  <c r="Q56" i="25"/>
  <c r="O56" i="21"/>
  <c r="T56" i="13"/>
  <c r="K48" i="17"/>
  <c r="K47" i="17" s="1"/>
  <c r="Q58" i="39" l="1"/>
  <c r="P58" i="39"/>
  <c r="AV96" i="8"/>
  <c r="AV89" i="8"/>
  <c r="AV66" i="8"/>
  <c r="AV65" i="8"/>
  <c r="AV64" i="8"/>
  <c r="AV63" i="8"/>
  <c r="AV56" i="8"/>
  <c r="AV52" i="8"/>
  <c r="AV48" i="8"/>
  <c r="AV44" i="8"/>
  <c r="AV37" i="8"/>
  <c r="AV36" i="8"/>
  <c r="AV34" i="8"/>
  <c r="AV33" i="8"/>
  <c r="AV24" i="8"/>
  <c r="AU95" i="8"/>
  <c r="AU89" i="8"/>
  <c r="AU85" i="8"/>
  <c r="AU83" i="8"/>
  <c r="AU67" i="8"/>
  <c r="AU66" i="8"/>
  <c r="AU65" i="8"/>
  <c r="AU64" i="8"/>
  <c r="AU63" i="8"/>
  <c r="AU62" i="8"/>
  <c r="AU59" i="8"/>
  <c r="AU56" i="8"/>
  <c r="AU52" i="8"/>
  <c r="AU48" i="8"/>
  <c r="AU44" i="8"/>
  <c r="AU36" i="8"/>
  <c r="AU34" i="8"/>
  <c r="AU33" i="8"/>
  <c r="AU26" i="8"/>
  <c r="AU24" i="8"/>
  <c r="Z70" i="44"/>
  <c r="Z69" i="44"/>
  <c r="Z68" i="44"/>
  <c r="Z67" i="44"/>
  <c r="Z66" i="44"/>
  <c r="Z65" i="44"/>
  <c r="Z64" i="44"/>
  <c r="Z63" i="44"/>
  <c r="Z62" i="44"/>
  <c r="Z46" i="44"/>
  <c r="Z45" i="44"/>
  <c r="Z44" i="44"/>
  <c r="Z43" i="44"/>
  <c r="Z42" i="44"/>
  <c r="Z41" i="44"/>
  <c r="Z40" i="44"/>
  <c r="Z39" i="44"/>
  <c r="Z38" i="44"/>
  <c r="Z22" i="44"/>
  <c r="Z21" i="44"/>
  <c r="Z20" i="44"/>
  <c r="Z19" i="44"/>
  <c r="Z18" i="44"/>
  <c r="Z17" i="44"/>
  <c r="Z16" i="44"/>
  <c r="Z15" i="44"/>
  <c r="Z14" i="44"/>
  <c r="T22" i="43"/>
  <c r="T21" i="43"/>
  <c r="T20" i="43"/>
  <c r="T19" i="43"/>
  <c r="T18" i="43"/>
  <c r="T17" i="43"/>
  <c r="T16" i="43"/>
  <c r="T15" i="43"/>
  <c r="T14" i="43"/>
  <c r="O22" i="39"/>
  <c r="O21" i="39"/>
  <c r="O20" i="39"/>
  <c r="O19" i="39"/>
  <c r="O18" i="39"/>
  <c r="O17" i="39"/>
  <c r="O16" i="39"/>
  <c r="O15" i="39"/>
  <c r="O14" i="39"/>
  <c r="R20" i="36"/>
  <c r="R19" i="36"/>
  <c r="R18" i="36"/>
  <c r="R17" i="36"/>
  <c r="R16" i="36"/>
  <c r="R15" i="36"/>
  <c r="R14" i="36"/>
  <c r="R13" i="36"/>
  <c r="R12" i="36"/>
  <c r="R20" i="32"/>
  <c r="R19" i="32"/>
  <c r="R18" i="32"/>
  <c r="R17" i="32"/>
  <c r="R16" i="32"/>
  <c r="R15" i="32"/>
  <c r="R14" i="32"/>
  <c r="R13" i="32"/>
  <c r="R12" i="32"/>
  <c r="P21" i="29"/>
  <c r="P20" i="29"/>
  <c r="P19" i="29"/>
  <c r="P18" i="29"/>
  <c r="P17" i="29"/>
  <c r="P16" i="29"/>
  <c r="P15" i="29"/>
  <c r="P14" i="29"/>
  <c r="P13" i="29"/>
  <c r="Q20" i="25"/>
  <c r="Q19" i="25"/>
  <c r="Q18" i="25"/>
  <c r="Q17" i="25"/>
  <c r="Q16" i="25"/>
  <c r="Q15" i="25"/>
  <c r="Q14" i="25"/>
  <c r="Q13" i="25"/>
  <c r="Q12" i="25"/>
  <c r="O20" i="21"/>
  <c r="O19" i="21"/>
  <c r="O18" i="21"/>
  <c r="O17" i="21"/>
  <c r="O16" i="21"/>
  <c r="O15" i="21"/>
  <c r="O14" i="21"/>
  <c r="O13" i="21"/>
  <c r="O12" i="21"/>
  <c r="K22" i="17"/>
  <c r="K21" i="17"/>
  <c r="K20" i="17"/>
  <c r="K19" i="17"/>
  <c r="K18" i="17"/>
  <c r="K17" i="17"/>
  <c r="K16" i="17"/>
  <c r="K15" i="17"/>
  <c r="K14" i="17"/>
  <c r="T14" i="13"/>
  <c r="T15" i="13"/>
  <c r="T16" i="13"/>
  <c r="T17" i="13"/>
  <c r="T18" i="13"/>
  <c r="T21" i="13"/>
  <c r="T19" i="13"/>
  <c r="T13" i="13"/>
  <c r="T20" i="13"/>
  <c r="G115" i="13"/>
  <c r="F115" i="13"/>
  <c r="G114" i="13"/>
  <c r="F114" i="13"/>
  <c r="P16" i="39" l="1"/>
  <c r="Q16" i="39"/>
  <c r="Q20" i="39"/>
  <c r="P20" i="39"/>
  <c r="Q17" i="39"/>
  <c r="P17" i="39"/>
  <c r="Q18" i="39"/>
  <c r="P18" i="39"/>
  <c r="P19" i="39"/>
  <c r="Q19" i="39"/>
  <c r="Q22" i="39"/>
  <c r="P22" i="39"/>
  <c r="Q21" i="39"/>
  <c r="P21" i="39"/>
  <c r="P14" i="39"/>
  <c r="Q14" i="39"/>
  <c r="P15" i="39"/>
  <c r="Q15" i="39"/>
  <c r="A55" i="42"/>
  <c r="A54" i="42" l="1"/>
  <c r="C10" i="4"/>
  <c r="D10" i="4"/>
  <c r="A53" i="42" l="1"/>
  <c r="A52" i="42" l="1"/>
  <c r="A51" i="42" l="1"/>
  <c r="A50" i="42" s="1"/>
  <c r="P21" i="47" l="1"/>
  <c r="R21" i="47" s="1"/>
  <c r="P20" i="47"/>
  <c r="R20" i="47" s="1"/>
  <c r="P19" i="47"/>
  <c r="R19" i="47" s="1"/>
  <c r="P18" i="47"/>
  <c r="R18" i="47" s="1"/>
  <c r="P17" i="47"/>
  <c r="R17" i="47" s="1"/>
  <c r="P16" i="47"/>
  <c r="R16" i="47" s="1"/>
  <c r="P15" i="47"/>
  <c r="R15" i="47" s="1"/>
  <c r="P14" i="47"/>
  <c r="R14" i="47" s="1"/>
  <c r="P13" i="47"/>
  <c r="R13" i="47" s="1"/>
  <c r="P12" i="47"/>
  <c r="R12" i="47" s="1"/>
  <c r="R11" i="47"/>
  <c r="Q11" i="47"/>
  <c r="O21" i="46"/>
  <c r="Q21" i="46" s="1"/>
  <c r="O20" i="46"/>
  <c r="O19" i="46"/>
  <c r="O18" i="46"/>
  <c r="Q18" i="46" s="1"/>
  <c r="O17" i="46"/>
  <c r="Q17" i="46" s="1"/>
  <c r="O16" i="46"/>
  <c r="Q16" i="46" s="1"/>
  <c r="O15" i="46"/>
  <c r="Q15" i="46" s="1"/>
  <c r="O14" i="46"/>
  <c r="O13" i="46"/>
  <c r="O12" i="46"/>
  <c r="Q11" i="46"/>
  <c r="P11" i="46"/>
  <c r="A10" i="45"/>
  <c r="W2" i="45"/>
  <c r="N252" i="44"/>
  <c r="M252" i="44"/>
  <c r="L252" i="44"/>
  <c r="N251" i="44"/>
  <c r="M251" i="44"/>
  <c r="L251" i="44"/>
  <c r="N250" i="44"/>
  <c r="M250" i="44"/>
  <c r="L250" i="44"/>
  <c r="N249" i="44"/>
  <c r="M249" i="44"/>
  <c r="L249" i="44"/>
  <c r="N248" i="44"/>
  <c r="M248" i="44"/>
  <c r="L248" i="44"/>
  <c r="N247" i="44"/>
  <c r="M247" i="44"/>
  <c r="L247" i="44"/>
  <c r="N246" i="44"/>
  <c r="M246" i="44"/>
  <c r="L246" i="44"/>
  <c r="N245" i="44"/>
  <c r="M245" i="44"/>
  <c r="L245" i="44"/>
  <c r="N244" i="44"/>
  <c r="M244" i="44"/>
  <c r="L244" i="44"/>
  <c r="N243" i="44"/>
  <c r="M243" i="44"/>
  <c r="L243" i="44"/>
  <c r="N242" i="44"/>
  <c r="M242" i="44"/>
  <c r="L242" i="44"/>
  <c r="N241" i="44"/>
  <c r="M241" i="44"/>
  <c r="L241" i="44"/>
  <c r="N240" i="44"/>
  <c r="M240" i="44"/>
  <c r="L240" i="44"/>
  <c r="N239" i="44"/>
  <c r="M239" i="44"/>
  <c r="L239" i="44"/>
  <c r="N238" i="44"/>
  <c r="M238" i="44"/>
  <c r="L238" i="44"/>
  <c r="N237" i="44"/>
  <c r="M237" i="44"/>
  <c r="L237" i="44"/>
  <c r="N236" i="44"/>
  <c r="M236" i="44"/>
  <c r="L236" i="44"/>
  <c r="N235" i="44"/>
  <c r="M235" i="44"/>
  <c r="L235" i="44"/>
  <c r="N234" i="44"/>
  <c r="M234" i="44"/>
  <c r="L234" i="44"/>
  <c r="N233" i="44"/>
  <c r="M233" i="44"/>
  <c r="L233" i="44"/>
  <c r="N232" i="44"/>
  <c r="M232" i="44"/>
  <c r="L232" i="44"/>
  <c r="N231" i="44"/>
  <c r="M231" i="44"/>
  <c r="L231" i="44"/>
  <c r="N230" i="44"/>
  <c r="M230" i="44"/>
  <c r="L230" i="44"/>
  <c r="N229" i="44"/>
  <c r="M229" i="44"/>
  <c r="L229" i="44"/>
  <c r="N228" i="44"/>
  <c r="M228" i="44"/>
  <c r="L228" i="44"/>
  <c r="N227" i="44"/>
  <c r="M227" i="44"/>
  <c r="L227" i="44"/>
  <c r="N226" i="44"/>
  <c r="M226" i="44"/>
  <c r="L226" i="44"/>
  <c r="N225" i="44"/>
  <c r="M225" i="44"/>
  <c r="L225" i="44"/>
  <c r="N224" i="44"/>
  <c r="M224" i="44"/>
  <c r="L224" i="44"/>
  <c r="N223" i="44"/>
  <c r="M223" i="44"/>
  <c r="L223" i="44"/>
  <c r="N222" i="44"/>
  <c r="M222" i="44"/>
  <c r="L222" i="44"/>
  <c r="N221" i="44"/>
  <c r="M221" i="44"/>
  <c r="L221" i="44"/>
  <c r="N220" i="44"/>
  <c r="M220" i="44"/>
  <c r="L220" i="44"/>
  <c r="N219" i="44"/>
  <c r="M219" i="44"/>
  <c r="L219" i="44"/>
  <c r="N218" i="44"/>
  <c r="M218" i="44"/>
  <c r="L218" i="44"/>
  <c r="N217" i="44"/>
  <c r="M217" i="44"/>
  <c r="L217" i="44"/>
  <c r="N216" i="44"/>
  <c r="M216" i="44"/>
  <c r="L216" i="44"/>
  <c r="N215" i="44"/>
  <c r="M215" i="44"/>
  <c r="L215" i="44"/>
  <c r="N214" i="44"/>
  <c r="M214" i="44"/>
  <c r="L214" i="44"/>
  <c r="N213" i="44"/>
  <c r="M213" i="44"/>
  <c r="L213" i="44"/>
  <c r="N212" i="44"/>
  <c r="M212" i="44"/>
  <c r="L212" i="44"/>
  <c r="N211" i="44"/>
  <c r="M211" i="44"/>
  <c r="L211" i="44"/>
  <c r="N210" i="44"/>
  <c r="M210" i="44"/>
  <c r="A210" i="44" s="1"/>
  <c r="L210" i="44"/>
  <c r="N209" i="44"/>
  <c r="M209" i="44"/>
  <c r="L209" i="44"/>
  <c r="N208" i="44"/>
  <c r="M208" i="44"/>
  <c r="L208" i="44"/>
  <c r="A208" i="44"/>
  <c r="N207" i="44"/>
  <c r="M207" i="44"/>
  <c r="L207" i="44"/>
  <c r="N206" i="44"/>
  <c r="M206" i="44"/>
  <c r="A206" i="44" s="1"/>
  <c r="L206" i="44"/>
  <c r="N205" i="44"/>
  <c r="M205" i="44"/>
  <c r="L205" i="44"/>
  <c r="N204" i="44"/>
  <c r="M204" i="44"/>
  <c r="L204" i="44"/>
  <c r="N203" i="44"/>
  <c r="M203" i="44"/>
  <c r="L203" i="44"/>
  <c r="N202" i="44"/>
  <c r="M202" i="44"/>
  <c r="L202" i="44"/>
  <c r="A202" i="44" s="1"/>
  <c r="N201" i="44"/>
  <c r="M201" i="44"/>
  <c r="L201" i="44"/>
  <c r="N200" i="44"/>
  <c r="M200" i="44"/>
  <c r="L200" i="44"/>
  <c r="N199" i="44"/>
  <c r="M199" i="44"/>
  <c r="L199" i="44"/>
  <c r="N198" i="44"/>
  <c r="M198" i="44"/>
  <c r="L198" i="44"/>
  <c r="N197" i="44"/>
  <c r="M197" i="44"/>
  <c r="L197" i="44"/>
  <c r="N196" i="44"/>
  <c r="M196" i="44"/>
  <c r="L196" i="44"/>
  <c r="N195" i="44"/>
  <c r="M195" i="44"/>
  <c r="L195" i="44"/>
  <c r="N194" i="44"/>
  <c r="M194" i="44"/>
  <c r="L194" i="44"/>
  <c r="N193" i="44"/>
  <c r="M193" i="44"/>
  <c r="L193" i="44"/>
  <c r="N192" i="44"/>
  <c r="M192" i="44"/>
  <c r="L192" i="44"/>
  <c r="N191" i="44"/>
  <c r="M191" i="44"/>
  <c r="L191" i="44"/>
  <c r="N190" i="44"/>
  <c r="M190" i="44"/>
  <c r="L190" i="44"/>
  <c r="N189" i="44"/>
  <c r="M189" i="44"/>
  <c r="L189" i="44"/>
  <c r="N188" i="44"/>
  <c r="M188" i="44"/>
  <c r="L188" i="44"/>
  <c r="N187" i="44"/>
  <c r="M187" i="44"/>
  <c r="L187" i="44"/>
  <c r="N186" i="44"/>
  <c r="M186" i="44"/>
  <c r="L186" i="44"/>
  <c r="A186" i="44" s="1"/>
  <c r="N185" i="44"/>
  <c r="M185" i="44"/>
  <c r="L185" i="44"/>
  <c r="N184" i="44"/>
  <c r="M184" i="44"/>
  <c r="L184" i="44"/>
  <c r="N183" i="44"/>
  <c r="M183" i="44"/>
  <c r="L183" i="44"/>
  <c r="N182" i="44"/>
  <c r="M182" i="44"/>
  <c r="L182" i="44"/>
  <c r="N181" i="44"/>
  <c r="M181" i="44"/>
  <c r="L181" i="44"/>
  <c r="N180" i="44"/>
  <c r="M180" i="44"/>
  <c r="L180" i="44"/>
  <c r="N179" i="44"/>
  <c r="M179" i="44"/>
  <c r="L179" i="44"/>
  <c r="N178" i="44"/>
  <c r="M178" i="44"/>
  <c r="L178" i="44"/>
  <c r="N177" i="44"/>
  <c r="M177" i="44"/>
  <c r="L177" i="44"/>
  <c r="N176" i="44"/>
  <c r="M176" i="44"/>
  <c r="L176" i="44"/>
  <c r="N175" i="44"/>
  <c r="M175" i="44"/>
  <c r="L175" i="44"/>
  <c r="N174" i="44"/>
  <c r="M174" i="44"/>
  <c r="L174" i="44"/>
  <c r="N173" i="44"/>
  <c r="M173" i="44"/>
  <c r="L173" i="44"/>
  <c r="N172" i="44"/>
  <c r="M172" i="44"/>
  <c r="L172" i="44"/>
  <c r="N171" i="44"/>
  <c r="M171" i="44"/>
  <c r="L171" i="44"/>
  <c r="N170" i="44"/>
  <c r="M170" i="44"/>
  <c r="L170" i="44"/>
  <c r="N169" i="44"/>
  <c r="M169" i="44"/>
  <c r="L169" i="44"/>
  <c r="N168" i="44"/>
  <c r="M168" i="44"/>
  <c r="L168" i="44"/>
  <c r="N167" i="44"/>
  <c r="M167" i="44"/>
  <c r="L167" i="44"/>
  <c r="N166" i="44"/>
  <c r="M166" i="44"/>
  <c r="L166" i="44"/>
  <c r="N165" i="44"/>
  <c r="M165" i="44"/>
  <c r="L165" i="44"/>
  <c r="N164" i="44"/>
  <c r="M164" i="44"/>
  <c r="L164" i="44"/>
  <c r="N163" i="44"/>
  <c r="M163" i="44"/>
  <c r="L163" i="44"/>
  <c r="N162" i="44"/>
  <c r="M162" i="44"/>
  <c r="L162" i="44"/>
  <c r="N161" i="44"/>
  <c r="M161" i="44"/>
  <c r="L161" i="44"/>
  <c r="N160" i="44"/>
  <c r="M160" i="44"/>
  <c r="L160" i="44"/>
  <c r="N159" i="44"/>
  <c r="M159" i="44"/>
  <c r="L159" i="44"/>
  <c r="N158" i="44"/>
  <c r="M158" i="44"/>
  <c r="L158" i="44"/>
  <c r="N157" i="44"/>
  <c r="M157" i="44"/>
  <c r="L157" i="44"/>
  <c r="N156" i="44"/>
  <c r="M156" i="44"/>
  <c r="L156" i="44"/>
  <c r="N155" i="44"/>
  <c r="M155" i="44"/>
  <c r="L155" i="44"/>
  <c r="N154" i="44"/>
  <c r="M154" i="44"/>
  <c r="L154" i="44"/>
  <c r="N153" i="44"/>
  <c r="M153" i="44"/>
  <c r="L153" i="44"/>
  <c r="N152" i="44"/>
  <c r="M152" i="44"/>
  <c r="L152" i="44"/>
  <c r="N151" i="44"/>
  <c r="M151" i="44"/>
  <c r="L151" i="44"/>
  <c r="N150" i="44"/>
  <c r="M150" i="44"/>
  <c r="L150" i="44"/>
  <c r="N149" i="44"/>
  <c r="M149" i="44"/>
  <c r="L149" i="44"/>
  <c r="N148" i="44"/>
  <c r="M148" i="44"/>
  <c r="L148" i="44"/>
  <c r="N147" i="44"/>
  <c r="M147" i="44"/>
  <c r="L147" i="44"/>
  <c r="N146" i="44"/>
  <c r="M146" i="44"/>
  <c r="L146" i="44"/>
  <c r="N145" i="44"/>
  <c r="M145" i="44"/>
  <c r="L145" i="44"/>
  <c r="N144" i="44"/>
  <c r="M144" i="44"/>
  <c r="L144" i="44"/>
  <c r="N143" i="44"/>
  <c r="M143" i="44"/>
  <c r="L143" i="44"/>
  <c r="N142" i="44"/>
  <c r="M142" i="44"/>
  <c r="L142" i="44"/>
  <c r="N141" i="44"/>
  <c r="M141" i="44"/>
  <c r="L141" i="44"/>
  <c r="N140" i="44"/>
  <c r="M140" i="44"/>
  <c r="L140" i="44"/>
  <c r="N139" i="44"/>
  <c r="M139" i="44"/>
  <c r="L139" i="44"/>
  <c r="N138" i="44"/>
  <c r="M138" i="44"/>
  <c r="L138" i="44"/>
  <c r="N137" i="44"/>
  <c r="M137" i="44"/>
  <c r="L137" i="44"/>
  <c r="N136" i="44"/>
  <c r="M136" i="44"/>
  <c r="L136" i="44"/>
  <c r="N135" i="44"/>
  <c r="M135" i="44"/>
  <c r="L135" i="44"/>
  <c r="N134" i="44"/>
  <c r="M134" i="44"/>
  <c r="L134" i="44"/>
  <c r="N133" i="44"/>
  <c r="M133" i="44"/>
  <c r="L133" i="44"/>
  <c r="N132" i="44"/>
  <c r="M132" i="44"/>
  <c r="L132" i="44"/>
  <c r="N131" i="44"/>
  <c r="M131" i="44"/>
  <c r="L131" i="44"/>
  <c r="N130" i="44"/>
  <c r="M130" i="44"/>
  <c r="L130" i="44"/>
  <c r="N129" i="44"/>
  <c r="M129" i="44"/>
  <c r="L129" i="44"/>
  <c r="N128" i="44"/>
  <c r="M128" i="44"/>
  <c r="L128" i="44"/>
  <c r="N127" i="44"/>
  <c r="M127" i="44"/>
  <c r="L127" i="44"/>
  <c r="N126" i="44"/>
  <c r="M126" i="44"/>
  <c r="L126" i="44"/>
  <c r="N125" i="44"/>
  <c r="M125" i="44"/>
  <c r="L125" i="44"/>
  <c r="N124" i="44"/>
  <c r="M124" i="44"/>
  <c r="L124" i="44"/>
  <c r="N123" i="44"/>
  <c r="M123" i="44"/>
  <c r="L123" i="44"/>
  <c r="N122" i="44"/>
  <c r="M122" i="44"/>
  <c r="L122" i="44"/>
  <c r="N121" i="44"/>
  <c r="M121" i="44"/>
  <c r="L121" i="44"/>
  <c r="N120" i="44"/>
  <c r="M120" i="44"/>
  <c r="L120" i="44"/>
  <c r="N119" i="44"/>
  <c r="M119" i="44"/>
  <c r="L119" i="44"/>
  <c r="N118" i="44"/>
  <c r="M118" i="44"/>
  <c r="L118" i="44"/>
  <c r="N117" i="44"/>
  <c r="M117" i="44"/>
  <c r="L117" i="44"/>
  <c r="N116" i="44"/>
  <c r="M116" i="44"/>
  <c r="L116" i="44"/>
  <c r="N115" i="44"/>
  <c r="M115" i="44"/>
  <c r="L115" i="44"/>
  <c r="N114" i="44"/>
  <c r="M114" i="44"/>
  <c r="L114" i="44"/>
  <c r="N113" i="44"/>
  <c r="M113" i="44"/>
  <c r="L113" i="44"/>
  <c r="N112" i="44"/>
  <c r="B55" i="42" s="1"/>
  <c r="M112" i="44"/>
  <c r="L112" i="44"/>
  <c r="N111" i="44"/>
  <c r="M111" i="44"/>
  <c r="L111" i="44"/>
  <c r="N110" i="44"/>
  <c r="B53" i="42" s="1"/>
  <c r="M110" i="44"/>
  <c r="L110" i="44"/>
  <c r="N109" i="44"/>
  <c r="M109" i="44"/>
  <c r="L109" i="44"/>
  <c r="N108" i="44"/>
  <c r="M108" i="44"/>
  <c r="L108" i="44"/>
  <c r="N107" i="44"/>
  <c r="B50" i="42" s="1"/>
  <c r="M107" i="44"/>
  <c r="L107" i="44"/>
  <c r="N106" i="44"/>
  <c r="M106" i="44"/>
  <c r="L106" i="44"/>
  <c r="N105" i="44"/>
  <c r="M105" i="44"/>
  <c r="L105" i="44"/>
  <c r="N104" i="44"/>
  <c r="M104" i="44"/>
  <c r="L104" i="44"/>
  <c r="N103" i="44"/>
  <c r="M103" i="44"/>
  <c r="L103" i="44"/>
  <c r="N102" i="44"/>
  <c r="M102" i="44"/>
  <c r="L102" i="44"/>
  <c r="N101" i="44"/>
  <c r="M101" i="44"/>
  <c r="L101" i="44"/>
  <c r="N100" i="44"/>
  <c r="M100" i="44"/>
  <c r="L100" i="44"/>
  <c r="N99" i="44"/>
  <c r="M99" i="44"/>
  <c r="L99" i="44"/>
  <c r="N98" i="44"/>
  <c r="M98" i="44"/>
  <c r="L98" i="44"/>
  <c r="N97" i="44"/>
  <c r="M97" i="44"/>
  <c r="L97" i="44"/>
  <c r="N96" i="44"/>
  <c r="M96" i="44"/>
  <c r="L96" i="44"/>
  <c r="N95" i="44"/>
  <c r="M95" i="44"/>
  <c r="L95" i="44"/>
  <c r="N94" i="44"/>
  <c r="M94" i="44"/>
  <c r="L94" i="44"/>
  <c r="N93" i="44"/>
  <c r="M93" i="44"/>
  <c r="L93" i="44"/>
  <c r="N92" i="44"/>
  <c r="M92" i="44"/>
  <c r="L92" i="44"/>
  <c r="N91" i="44"/>
  <c r="M91" i="44"/>
  <c r="L91" i="44"/>
  <c r="N90" i="44"/>
  <c r="M90" i="44"/>
  <c r="L90" i="44"/>
  <c r="N89" i="44"/>
  <c r="M89" i="44"/>
  <c r="L89" i="44"/>
  <c r="N88" i="44"/>
  <c r="M88" i="44"/>
  <c r="L88" i="44"/>
  <c r="N87" i="44"/>
  <c r="M87" i="44"/>
  <c r="L87" i="44"/>
  <c r="N86" i="44"/>
  <c r="M86" i="44"/>
  <c r="L86" i="44"/>
  <c r="N85" i="44"/>
  <c r="M85" i="44"/>
  <c r="L85" i="44"/>
  <c r="N84" i="44"/>
  <c r="M84" i="44"/>
  <c r="L84" i="44"/>
  <c r="N83" i="44"/>
  <c r="M83" i="44"/>
  <c r="L83" i="44"/>
  <c r="N82" i="44"/>
  <c r="M82" i="44"/>
  <c r="L82" i="44"/>
  <c r="N81" i="44"/>
  <c r="M81" i="44"/>
  <c r="L81" i="44"/>
  <c r="N80" i="44"/>
  <c r="M80" i="44"/>
  <c r="L80" i="44"/>
  <c r="N79" i="44"/>
  <c r="M79" i="44"/>
  <c r="L79" i="44"/>
  <c r="N78" i="44"/>
  <c r="M78" i="44"/>
  <c r="L78" i="44"/>
  <c r="M77" i="44"/>
  <c r="L77" i="44"/>
  <c r="N77" i="44"/>
  <c r="M76" i="44"/>
  <c r="L76" i="44"/>
  <c r="N76" i="44"/>
  <c r="M75" i="44"/>
  <c r="L75" i="44"/>
  <c r="N75" i="44"/>
  <c r="M74" i="44"/>
  <c r="L74" i="44"/>
  <c r="N74" i="44"/>
  <c r="M73" i="44"/>
  <c r="L73" i="44"/>
  <c r="N73" i="44"/>
  <c r="M72" i="44"/>
  <c r="L72" i="44"/>
  <c r="N72" i="44"/>
  <c r="M71" i="44"/>
  <c r="L71" i="44"/>
  <c r="N71" i="44"/>
  <c r="M70" i="44"/>
  <c r="L70" i="44"/>
  <c r="N70" i="44"/>
  <c r="AB70" i="44"/>
  <c r="M69" i="44"/>
  <c r="L69" i="44"/>
  <c r="N69" i="44"/>
  <c r="AA69" i="44"/>
  <c r="M68" i="44"/>
  <c r="L68" i="44"/>
  <c r="N68" i="44"/>
  <c r="AB68" i="44"/>
  <c r="M67" i="44"/>
  <c r="L67" i="44"/>
  <c r="N67" i="44"/>
  <c r="AA67" i="44"/>
  <c r="N66" i="44"/>
  <c r="M66" i="44"/>
  <c r="L66" i="44"/>
  <c r="AB66" i="44"/>
  <c r="M65" i="44"/>
  <c r="L65" i="44"/>
  <c r="N65" i="44"/>
  <c r="AB65" i="44"/>
  <c r="M64" i="44"/>
  <c r="L64" i="44"/>
  <c r="N64" i="44"/>
  <c r="AD63" i="44"/>
  <c r="AL63" i="44" s="1"/>
  <c r="AB64" i="44"/>
  <c r="M63" i="44"/>
  <c r="L63" i="44"/>
  <c r="N63" i="44"/>
  <c r="AB63" i="44"/>
  <c r="AA63" i="44"/>
  <c r="N62" i="44"/>
  <c r="M62" i="44"/>
  <c r="L62" i="44"/>
  <c r="M61" i="44"/>
  <c r="L61" i="44"/>
  <c r="N61" i="44"/>
  <c r="AB61" i="44"/>
  <c r="AA61" i="44"/>
  <c r="M60" i="44"/>
  <c r="L60" i="44"/>
  <c r="N60" i="44"/>
  <c r="M59" i="44"/>
  <c r="L59" i="44"/>
  <c r="N59" i="44"/>
  <c r="M58" i="44"/>
  <c r="L58" i="44"/>
  <c r="N58" i="44"/>
  <c r="M57" i="44"/>
  <c r="L57" i="44"/>
  <c r="N57" i="44"/>
  <c r="M56" i="44"/>
  <c r="L56" i="44"/>
  <c r="N56" i="44"/>
  <c r="M55" i="44"/>
  <c r="L55" i="44"/>
  <c r="N55" i="44"/>
  <c r="M54" i="44"/>
  <c r="L54" i="44"/>
  <c r="N54" i="44"/>
  <c r="M53" i="44"/>
  <c r="L53" i="44"/>
  <c r="N53" i="44"/>
  <c r="M52" i="44"/>
  <c r="L52" i="44"/>
  <c r="N52" i="44"/>
  <c r="M51" i="44"/>
  <c r="L51" i="44"/>
  <c r="N51" i="44"/>
  <c r="M50" i="44"/>
  <c r="L50" i="44"/>
  <c r="N50" i="44"/>
  <c r="M49" i="44"/>
  <c r="L49" i="44"/>
  <c r="N49" i="44"/>
  <c r="M48" i="44"/>
  <c r="L48" i="44"/>
  <c r="N48" i="44"/>
  <c r="M47" i="44"/>
  <c r="L47" i="44"/>
  <c r="N47" i="44"/>
  <c r="M46" i="44"/>
  <c r="L46" i="44"/>
  <c r="N46" i="44"/>
  <c r="AB46" i="44"/>
  <c r="M45" i="44"/>
  <c r="L45" i="44"/>
  <c r="N45" i="44"/>
  <c r="AB45" i="44"/>
  <c r="M44" i="44"/>
  <c r="L44" i="44"/>
  <c r="N44" i="44"/>
  <c r="M43" i="44"/>
  <c r="L43" i="44"/>
  <c r="N43" i="44"/>
  <c r="AB43" i="44"/>
  <c r="M42" i="44"/>
  <c r="L42" i="44"/>
  <c r="N42" i="44"/>
  <c r="AB42" i="44"/>
  <c r="M41" i="44"/>
  <c r="L41" i="44"/>
  <c r="N41" i="44"/>
  <c r="AA41" i="44"/>
  <c r="M40" i="44"/>
  <c r="L40" i="44"/>
  <c r="N40" i="44"/>
  <c r="AB40" i="44"/>
  <c r="M39" i="44"/>
  <c r="L39" i="44"/>
  <c r="N39" i="44"/>
  <c r="AM38" i="44"/>
  <c r="AL38" i="44"/>
  <c r="AK38" i="44"/>
  <c r="AJ38" i="44"/>
  <c r="AI38" i="44"/>
  <c r="AH38" i="44"/>
  <c r="AG38" i="44"/>
  <c r="AF38" i="44"/>
  <c r="AE38" i="44"/>
  <c r="AB39" i="44"/>
  <c r="N38" i="44"/>
  <c r="M38" i="44"/>
  <c r="L38" i="44"/>
  <c r="AK37" i="44"/>
  <c r="AH37" i="44"/>
  <c r="AE37" i="44"/>
  <c r="M37" i="44"/>
  <c r="L37" i="44"/>
  <c r="N37" i="44"/>
  <c r="AD36" i="44"/>
  <c r="AB37" i="44"/>
  <c r="AA37" i="44"/>
  <c r="M36" i="44"/>
  <c r="L36" i="44"/>
  <c r="N36" i="44"/>
  <c r="M35" i="44"/>
  <c r="L35" i="44"/>
  <c r="N35" i="44"/>
  <c r="N34" i="44"/>
  <c r="M34" i="44"/>
  <c r="L34" i="44"/>
  <c r="M33" i="44"/>
  <c r="L33" i="44"/>
  <c r="N33" i="44"/>
  <c r="M32" i="44"/>
  <c r="L32" i="44"/>
  <c r="N32" i="44"/>
  <c r="M31" i="44"/>
  <c r="L31" i="44"/>
  <c r="N31" i="44"/>
  <c r="M30" i="44"/>
  <c r="L30" i="44"/>
  <c r="N30" i="44"/>
  <c r="M29" i="44"/>
  <c r="L29" i="44"/>
  <c r="N29" i="44"/>
  <c r="M28" i="44"/>
  <c r="L28" i="44"/>
  <c r="N28" i="44"/>
  <c r="M27" i="44"/>
  <c r="L27" i="44"/>
  <c r="N27" i="44"/>
  <c r="M26" i="44"/>
  <c r="L26" i="44"/>
  <c r="N26" i="44"/>
  <c r="M25" i="44"/>
  <c r="L25" i="44"/>
  <c r="N25" i="44"/>
  <c r="M24" i="44"/>
  <c r="L24" i="44"/>
  <c r="N24" i="44"/>
  <c r="M23" i="44"/>
  <c r="L23" i="44"/>
  <c r="N23" i="44"/>
  <c r="M22" i="44"/>
  <c r="L22" i="44"/>
  <c r="N22" i="44"/>
  <c r="M21" i="44"/>
  <c r="L21" i="44"/>
  <c r="N21" i="44"/>
  <c r="AA21" i="44"/>
  <c r="M20" i="44"/>
  <c r="L20" i="44"/>
  <c r="N20" i="44"/>
  <c r="M19" i="44"/>
  <c r="L19" i="44"/>
  <c r="N19" i="44"/>
  <c r="M18" i="44"/>
  <c r="L18" i="44"/>
  <c r="N18" i="44"/>
  <c r="AA18" i="44"/>
  <c r="M17" i="44"/>
  <c r="L17" i="44"/>
  <c r="N17" i="44"/>
  <c r="AA17" i="44"/>
  <c r="M16" i="44"/>
  <c r="L16" i="44"/>
  <c r="N16" i="44"/>
  <c r="AA16" i="44"/>
  <c r="M15" i="44"/>
  <c r="L15" i="44"/>
  <c r="N15" i="44"/>
  <c r="AA15" i="44"/>
  <c r="M14" i="44"/>
  <c r="L14" i="44"/>
  <c r="N14" i="44"/>
  <c r="AA14" i="44"/>
  <c r="M13" i="44"/>
  <c r="L13" i="44"/>
  <c r="N13" i="44"/>
  <c r="AB13" i="44"/>
  <c r="AA13" i="44"/>
  <c r="M12" i="44"/>
  <c r="L12" i="44"/>
  <c r="N12" i="44"/>
  <c r="M11" i="44"/>
  <c r="L11" i="44"/>
  <c r="N11" i="44"/>
  <c r="I128" i="43"/>
  <c r="H128" i="43"/>
  <c r="I127" i="43"/>
  <c r="H127" i="43"/>
  <c r="I126" i="43"/>
  <c r="H126" i="43"/>
  <c r="I125" i="43"/>
  <c r="H125" i="43"/>
  <c r="I124" i="43"/>
  <c r="H124" i="43"/>
  <c r="I123" i="43"/>
  <c r="H123" i="43"/>
  <c r="I122" i="43"/>
  <c r="H122" i="43"/>
  <c r="I121" i="43"/>
  <c r="H121" i="43"/>
  <c r="I120" i="43"/>
  <c r="H120" i="43"/>
  <c r="I119" i="43"/>
  <c r="H119" i="43"/>
  <c r="I118" i="43"/>
  <c r="H118" i="43"/>
  <c r="I117" i="43"/>
  <c r="H117" i="43"/>
  <c r="I116" i="43"/>
  <c r="H116" i="43"/>
  <c r="I115" i="43"/>
  <c r="H115" i="43"/>
  <c r="I114" i="43"/>
  <c r="H114" i="43"/>
  <c r="I113" i="43"/>
  <c r="H113" i="43"/>
  <c r="I112" i="43"/>
  <c r="H112" i="43"/>
  <c r="I111" i="43"/>
  <c r="H111" i="43"/>
  <c r="I110" i="43"/>
  <c r="H110" i="43"/>
  <c r="I109" i="43"/>
  <c r="H109" i="43"/>
  <c r="I108" i="43"/>
  <c r="H108" i="43"/>
  <c r="I107" i="43"/>
  <c r="H107" i="43"/>
  <c r="I106" i="43"/>
  <c r="H106" i="43"/>
  <c r="I105" i="43"/>
  <c r="H105" i="43"/>
  <c r="I104" i="43"/>
  <c r="H104" i="43"/>
  <c r="I103" i="43"/>
  <c r="H103" i="43"/>
  <c r="I102" i="43"/>
  <c r="H102" i="43"/>
  <c r="I101" i="43"/>
  <c r="H101" i="43"/>
  <c r="I100" i="43"/>
  <c r="H100" i="43"/>
  <c r="I99" i="43"/>
  <c r="H99" i="43"/>
  <c r="I98" i="43"/>
  <c r="H98" i="43"/>
  <c r="I97" i="43"/>
  <c r="H97" i="43"/>
  <c r="I96" i="43"/>
  <c r="H96" i="43"/>
  <c r="I95" i="43"/>
  <c r="H95" i="43"/>
  <c r="I94" i="43"/>
  <c r="H94" i="43"/>
  <c r="I93" i="43"/>
  <c r="H93" i="43"/>
  <c r="I92" i="43"/>
  <c r="H92" i="43"/>
  <c r="I91" i="43"/>
  <c r="H91" i="43"/>
  <c r="I90" i="43"/>
  <c r="H90" i="43"/>
  <c r="I89" i="43"/>
  <c r="H89" i="43"/>
  <c r="I88" i="43"/>
  <c r="H88" i="43"/>
  <c r="I87" i="43"/>
  <c r="H87" i="43"/>
  <c r="I86" i="43"/>
  <c r="H86" i="43"/>
  <c r="I85" i="43"/>
  <c r="H85" i="43"/>
  <c r="I84" i="43"/>
  <c r="H84" i="43"/>
  <c r="I83" i="43"/>
  <c r="H83" i="43"/>
  <c r="I82" i="43"/>
  <c r="H82" i="43"/>
  <c r="I81" i="43"/>
  <c r="H81" i="43"/>
  <c r="I80" i="43"/>
  <c r="H80" i="43"/>
  <c r="I79" i="43"/>
  <c r="H79" i="43"/>
  <c r="I78" i="43"/>
  <c r="H78" i="43"/>
  <c r="I77" i="43"/>
  <c r="H77" i="43"/>
  <c r="I76" i="43"/>
  <c r="H76" i="43"/>
  <c r="I75" i="43"/>
  <c r="H75" i="43"/>
  <c r="I74" i="43"/>
  <c r="H74" i="43"/>
  <c r="I73" i="43"/>
  <c r="H73" i="43"/>
  <c r="I72" i="43"/>
  <c r="H72" i="43"/>
  <c r="I71" i="43"/>
  <c r="H71" i="43"/>
  <c r="I70" i="43"/>
  <c r="H70" i="43"/>
  <c r="I69" i="43"/>
  <c r="H69" i="43"/>
  <c r="I68" i="43"/>
  <c r="H68" i="43"/>
  <c r="I67" i="43"/>
  <c r="H67" i="43"/>
  <c r="I66" i="43"/>
  <c r="H66" i="43"/>
  <c r="I65" i="43"/>
  <c r="H65" i="43"/>
  <c r="I64" i="43"/>
  <c r="H64" i="43"/>
  <c r="I63" i="43"/>
  <c r="H63" i="43"/>
  <c r="X63" i="43"/>
  <c r="I62" i="43"/>
  <c r="H62" i="43"/>
  <c r="I61" i="43"/>
  <c r="H61" i="43"/>
  <c r="I60" i="43"/>
  <c r="H60" i="43"/>
  <c r="I59" i="43"/>
  <c r="H59" i="43"/>
  <c r="I58" i="43"/>
  <c r="H58" i="43"/>
  <c r="I57" i="43"/>
  <c r="H57" i="43"/>
  <c r="I56" i="43"/>
  <c r="H56" i="43"/>
  <c r="I55" i="43"/>
  <c r="H55" i="43"/>
  <c r="I54" i="43"/>
  <c r="H54" i="43"/>
  <c r="I53" i="43"/>
  <c r="H53" i="43"/>
  <c r="I52" i="43"/>
  <c r="H52" i="43"/>
  <c r="I51" i="43"/>
  <c r="H51" i="43"/>
  <c r="I50" i="43"/>
  <c r="H50" i="43"/>
  <c r="I49" i="43"/>
  <c r="H49" i="43"/>
  <c r="I48" i="43"/>
  <c r="H48" i="43"/>
  <c r="I47" i="43"/>
  <c r="H47" i="43"/>
  <c r="I46" i="43"/>
  <c r="H46" i="43"/>
  <c r="I45" i="43"/>
  <c r="H45" i="43"/>
  <c r="I44" i="43"/>
  <c r="H44" i="43"/>
  <c r="I43" i="43"/>
  <c r="H43" i="43"/>
  <c r="I42" i="43"/>
  <c r="H42" i="43"/>
  <c r="I41" i="43"/>
  <c r="H41" i="43"/>
  <c r="I40" i="43"/>
  <c r="H40" i="43"/>
  <c r="G40" i="43"/>
  <c r="F40" i="43"/>
  <c r="I39" i="43"/>
  <c r="H39" i="43"/>
  <c r="G39" i="43"/>
  <c r="F39" i="43"/>
  <c r="I38" i="43"/>
  <c r="H38" i="43"/>
  <c r="G38" i="43"/>
  <c r="F38" i="43"/>
  <c r="Z38" i="43"/>
  <c r="Y38" i="43"/>
  <c r="X38" i="43"/>
  <c r="W38" i="43"/>
  <c r="V38" i="43"/>
  <c r="U38" i="43"/>
  <c r="I37" i="43"/>
  <c r="H37" i="43"/>
  <c r="G37" i="43"/>
  <c r="F37" i="43"/>
  <c r="Y37" i="43"/>
  <c r="W37" i="43"/>
  <c r="U37" i="43"/>
  <c r="I36" i="43"/>
  <c r="H36" i="43"/>
  <c r="G36" i="43"/>
  <c r="F36" i="43"/>
  <c r="T36" i="43"/>
  <c r="I35" i="43"/>
  <c r="H35" i="43"/>
  <c r="G35" i="43"/>
  <c r="F35" i="43"/>
  <c r="I34" i="43"/>
  <c r="H34" i="43"/>
  <c r="G34" i="43"/>
  <c r="F34" i="43"/>
  <c r="I33" i="43"/>
  <c r="H33" i="43"/>
  <c r="G33" i="43"/>
  <c r="F33" i="43"/>
  <c r="I32" i="43"/>
  <c r="H32" i="43"/>
  <c r="G32" i="43"/>
  <c r="F32" i="43"/>
  <c r="I31" i="43"/>
  <c r="H31" i="43"/>
  <c r="G31" i="43"/>
  <c r="F31" i="43"/>
  <c r="I30" i="43"/>
  <c r="H30" i="43"/>
  <c r="G30" i="43"/>
  <c r="F30" i="43"/>
  <c r="I29" i="43"/>
  <c r="H29" i="43"/>
  <c r="G29" i="43"/>
  <c r="F29" i="43"/>
  <c r="I28" i="43"/>
  <c r="H28" i="43"/>
  <c r="G28" i="43"/>
  <c r="F28" i="43"/>
  <c r="I27" i="43"/>
  <c r="H27" i="43"/>
  <c r="G27" i="43"/>
  <c r="F27" i="43"/>
  <c r="I26" i="43"/>
  <c r="H26" i="43"/>
  <c r="G26" i="43"/>
  <c r="F26" i="43"/>
  <c r="I25" i="43"/>
  <c r="H25" i="43"/>
  <c r="G25" i="43"/>
  <c r="F25" i="43"/>
  <c r="I24" i="43"/>
  <c r="H24" i="43"/>
  <c r="G24" i="43"/>
  <c r="F24" i="43"/>
  <c r="I23" i="43"/>
  <c r="H23" i="43"/>
  <c r="G23" i="43"/>
  <c r="F23" i="43"/>
  <c r="I22" i="43"/>
  <c r="H22" i="43"/>
  <c r="G22" i="43"/>
  <c r="F22" i="43"/>
  <c r="I21" i="43"/>
  <c r="H21" i="43"/>
  <c r="G21" i="43"/>
  <c r="F21" i="43"/>
  <c r="V21" i="43"/>
  <c r="U21" i="43"/>
  <c r="I20" i="43"/>
  <c r="H20" i="43"/>
  <c r="G20" i="43"/>
  <c r="F20" i="43"/>
  <c r="U20" i="43"/>
  <c r="V20" i="43"/>
  <c r="I19" i="43"/>
  <c r="H19" i="43"/>
  <c r="G19" i="43"/>
  <c r="F19" i="43"/>
  <c r="I18" i="43"/>
  <c r="H18" i="43"/>
  <c r="G18" i="43"/>
  <c r="F18" i="43"/>
  <c r="V18" i="43"/>
  <c r="U18" i="43"/>
  <c r="I17" i="43"/>
  <c r="H17" i="43"/>
  <c r="G17" i="43"/>
  <c r="F17" i="43"/>
  <c r="V17" i="43"/>
  <c r="I16" i="43"/>
  <c r="H16" i="43"/>
  <c r="G16" i="43"/>
  <c r="F16" i="43"/>
  <c r="I15" i="43"/>
  <c r="H15" i="43"/>
  <c r="G15" i="43"/>
  <c r="F15" i="43"/>
  <c r="V15" i="43"/>
  <c r="U15" i="43"/>
  <c r="I14" i="43"/>
  <c r="H14" i="43"/>
  <c r="G14" i="43"/>
  <c r="F14" i="43"/>
  <c r="I13" i="43"/>
  <c r="H13" i="43"/>
  <c r="G13" i="43"/>
  <c r="F13" i="43"/>
  <c r="I12" i="43"/>
  <c r="H12" i="43"/>
  <c r="G12" i="43"/>
  <c r="F12" i="43"/>
  <c r="I11" i="43"/>
  <c r="H11" i="43"/>
  <c r="G11" i="43"/>
  <c r="F11" i="43"/>
  <c r="D12" i="42"/>
  <c r="E11" i="42"/>
  <c r="F11" i="42" s="1"/>
  <c r="F8" i="42"/>
  <c r="A71" i="41"/>
  <c r="C71" i="41" s="1"/>
  <c r="A70" i="41"/>
  <c r="C70" i="41" s="1"/>
  <c r="A69" i="41"/>
  <c r="C69" i="41" s="1"/>
  <c r="A68" i="41"/>
  <c r="C68" i="41" s="1"/>
  <c r="A67" i="41"/>
  <c r="B67" i="41" s="1"/>
  <c r="A66" i="41"/>
  <c r="B66" i="41" s="1"/>
  <c r="A65" i="41"/>
  <c r="A64" i="41"/>
  <c r="A63" i="41"/>
  <c r="C63" i="41" s="1"/>
  <c r="A62" i="41"/>
  <c r="C62" i="41" s="1"/>
  <c r="A61" i="41"/>
  <c r="C61" i="41" s="1"/>
  <c r="A60" i="41"/>
  <c r="C60" i="41" s="1"/>
  <c r="A59" i="41"/>
  <c r="B59" i="41" s="1"/>
  <c r="A58" i="41"/>
  <c r="B58" i="41" s="1"/>
  <c r="A57" i="41"/>
  <c r="A56" i="41"/>
  <c r="A55" i="41"/>
  <c r="C55" i="41" s="1"/>
  <c r="A54" i="41"/>
  <c r="C54" i="41" s="1"/>
  <c r="A53" i="41"/>
  <c r="B53" i="41" s="1"/>
  <c r="A52" i="41"/>
  <c r="C52" i="41" s="1"/>
  <c r="A51" i="41"/>
  <c r="B51" i="41" s="1"/>
  <c r="A50" i="41"/>
  <c r="B50" i="41" s="1"/>
  <c r="A49" i="41"/>
  <c r="A48" i="41"/>
  <c r="A47" i="41"/>
  <c r="C47" i="41" s="1"/>
  <c r="A46" i="41"/>
  <c r="C46" i="41" s="1"/>
  <c r="A45" i="41"/>
  <c r="B45" i="41" s="1"/>
  <c r="A44" i="41"/>
  <c r="C44" i="41" s="1"/>
  <c r="A43" i="41"/>
  <c r="B43" i="41" s="1"/>
  <c r="A42" i="41"/>
  <c r="B42" i="41" s="1"/>
  <c r="A41" i="41"/>
  <c r="A40" i="41"/>
  <c r="A39" i="41"/>
  <c r="C39" i="41" s="1"/>
  <c r="A38" i="41"/>
  <c r="C38" i="41" s="1"/>
  <c r="A37" i="41"/>
  <c r="C37" i="41" s="1"/>
  <c r="A36" i="41"/>
  <c r="C36" i="41" s="1"/>
  <c r="A35" i="41"/>
  <c r="B35" i="41" s="1"/>
  <c r="A34" i="41"/>
  <c r="B34" i="41" s="1"/>
  <c r="A33" i="41"/>
  <c r="B33" i="41" s="1"/>
  <c r="A32" i="41"/>
  <c r="A31" i="41"/>
  <c r="A30" i="41"/>
  <c r="C30" i="41" s="1"/>
  <c r="A29" i="41"/>
  <c r="C29" i="41" s="1"/>
  <c r="A28" i="41"/>
  <c r="C28" i="41" s="1"/>
  <c r="A27" i="41"/>
  <c r="B27" i="41" s="1"/>
  <c r="A26" i="41"/>
  <c r="B26" i="41" s="1"/>
  <c r="A25" i="41"/>
  <c r="B25" i="41" s="1"/>
  <c r="A24" i="41"/>
  <c r="A23" i="41"/>
  <c r="A22" i="41"/>
  <c r="C22" i="41" s="1"/>
  <c r="A21" i="41"/>
  <c r="B21" i="41" s="1"/>
  <c r="A20" i="41"/>
  <c r="C20" i="41" s="1"/>
  <c r="A19" i="41"/>
  <c r="B19" i="41" s="1"/>
  <c r="A18" i="41"/>
  <c r="C18" i="41" s="1"/>
  <c r="A17" i="41"/>
  <c r="B17" i="41" s="1"/>
  <c r="A16" i="41"/>
  <c r="C16" i="41" s="1"/>
  <c r="A15" i="41"/>
  <c r="A14" i="41"/>
  <c r="C14" i="41" s="1"/>
  <c r="A13" i="41"/>
  <c r="B13" i="41" s="1"/>
  <c r="A12" i="41"/>
  <c r="B12" i="41" s="1"/>
  <c r="A11" i="41"/>
  <c r="C11" i="41" s="1"/>
  <c r="E8" i="41"/>
  <c r="A71" i="40"/>
  <c r="C71" i="40" s="1"/>
  <c r="A70" i="40"/>
  <c r="A69" i="40"/>
  <c r="C69" i="40" s="1"/>
  <c r="A68" i="40"/>
  <c r="C68" i="40" s="1"/>
  <c r="A67" i="40"/>
  <c r="C67" i="40" s="1"/>
  <c r="A66" i="40"/>
  <c r="B66" i="40" s="1"/>
  <c r="A65" i="40"/>
  <c r="C65" i="40" s="1"/>
  <c r="A64" i="40"/>
  <c r="B64" i="40" s="1"/>
  <c r="A63" i="40"/>
  <c r="A62" i="40"/>
  <c r="A61" i="40"/>
  <c r="C61" i="40" s="1"/>
  <c r="A60" i="40"/>
  <c r="C60" i="40" s="1"/>
  <c r="A59" i="40"/>
  <c r="C59" i="40" s="1"/>
  <c r="A58" i="40"/>
  <c r="B58" i="40" s="1"/>
  <c r="A57" i="40"/>
  <c r="C57" i="40" s="1"/>
  <c r="A56" i="40"/>
  <c r="B56" i="40" s="1"/>
  <c r="A55" i="40"/>
  <c r="C55" i="40" s="1"/>
  <c r="A54" i="40"/>
  <c r="B54" i="40" s="1"/>
  <c r="A53" i="40"/>
  <c r="C53" i="40" s="1"/>
  <c r="A52" i="40"/>
  <c r="A51" i="40"/>
  <c r="C51" i="40" s="1"/>
  <c r="A50" i="40"/>
  <c r="B50" i="40" s="1"/>
  <c r="A49" i="40"/>
  <c r="B49" i="40" s="1"/>
  <c r="A48" i="40"/>
  <c r="B48" i="40" s="1"/>
  <c r="A47" i="40"/>
  <c r="C47" i="40" s="1"/>
  <c r="A46" i="40"/>
  <c r="B46" i="40" s="1"/>
  <c r="A45" i="40"/>
  <c r="C45" i="40" s="1"/>
  <c r="A44" i="40"/>
  <c r="C44" i="40" s="1"/>
  <c r="A43" i="40"/>
  <c r="C43" i="40" s="1"/>
  <c r="A42" i="40"/>
  <c r="C42" i="40" s="1"/>
  <c r="A41" i="40"/>
  <c r="B41" i="40" s="1"/>
  <c r="A40" i="40"/>
  <c r="C40" i="40" s="1"/>
  <c r="A39" i="40"/>
  <c r="C39" i="40" s="1"/>
  <c r="A38" i="40"/>
  <c r="C38" i="40" s="1"/>
  <c r="A37" i="40"/>
  <c r="B37" i="40" s="1"/>
  <c r="A36" i="40"/>
  <c r="A35" i="40"/>
  <c r="B35" i="40" s="1"/>
  <c r="A34" i="40"/>
  <c r="C34" i="40" s="1"/>
  <c r="A33" i="40"/>
  <c r="B33" i="40" s="1"/>
  <c r="A32" i="40"/>
  <c r="C32" i="40" s="1"/>
  <c r="A31" i="40"/>
  <c r="C31" i="40" s="1"/>
  <c r="A30" i="40"/>
  <c r="C30" i="40" s="1"/>
  <c r="A29" i="40"/>
  <c r="C29" i="40" s="1"/>
  <c r="A28" i="40"/>
  <c r="C28" i="40" s="1"/>
  <c r="A27" i="40"/>
  <c r="C27" i="40" s="1"/>
  <c r="A26" i="40"/>
  <c r="A25" i="40"/>
  <c r="C25" i="40" s="1"/>
  <c r="A24" i="40"/>
  <c r="C24" i="40" s="1"/>
  <c r="A23" i="40"/>
  <c r="A22" i="40"/>
  <c r="C22" i="40" s="1"/>
  <c r="A21" i="40"/>
  <c r="C21" i="40" s="1"/>
  <c r="A20" i="40"/>
  <c r="C20" i="40" s="1"/>
  <c r="A19" i="40"/>
  <c r="B19" i="40" s="1"/>
  <c r="A18" i="40"/>
  <c r="C18" i="40" s="1"/>
  <c r="A17" i="40"/>
  <c r="B17" i="40" s="1"/>
  <c r="A16" i="40"/>
  <c r="C16" i="40" s="1"/>
  <c r="A15" i="40"/>
  <c r="C15" i="40" s="1"/>
  <c r="A14" i="40"/>
  <c r="C14" i="40" s="1"/>
  <c r="A13" i="40"/>
  <c r="C13" i="40" s="1"/>
  <c r="A12" i="40"/>
  <c r="C12" i="40" s="1"/>
  <c r="A11" i="40"/>
  <c r="C11" i="40" s="1"/>
  <c r="E8" i="40"/>
  <c r="O63" i="39"/>
  <c r="Q63" i="39" s="1"/>
  <c r="O57" i="39"/>
  <c r="O11" i="39"/>
  <c r="P21" i="38"/>
  <c r="P20" i="38"/>
  <c r="R20" i="38" s="1"/>
  <c r="P19" i="38"/>
  <c r="R19" i="38" s="1"/>
  <c r="P18" i="38"/>
  <c r="P17" i="38"/>
  <c r="R17" i="38" s="1"/>
  <c r="P16" i="38"/>
  <c r="R16" i="38" s="1"/>
  <c r="P15" i="38"/>
  <c r="R15" i="38" s="1"/>
  <c r="P14" i="38"/>
  <c r="P13" i="38"/>
  <c r="R13" i="38" s="1"/>
  <c r="P12" i="38"/>
  <c r="R12" i="38" s="1"/>
  <c r="R11" i="38"/>
  <c r="Q11" i="38"/>
  <c r="A10" i="37"/>
  <c r="W2" i="37"/>
  <c r="E251" i="36"/>
  <c r="D251" i="36"/>
  <c r="E250" i="36"/>
  <c r="D250" i="36"/>
  <c r="E249" i="36"/>
  <c r="D249" i="36"/>
  <c r="E248" i="36"/>
  <c r="D248" i="36"/>
  <c r="E247" i="36"/>
  <c r="D247" i="36"/>
  <c r="E246" i="36"/>
  <c r="D246" i="36"/>
  <c r="E245" i="36"/>
  <c r="D245" i="36"/>
  <c r="E244" i="36"/>
  <c r="D244" i="36"/>
  <c r="E243" i="36"/>
  <c r="D243" i="36"/>
  <c r="E242" i="36"/>
  <c r="D242" i="36"/>
  <c r="E241" i="36"/>
  <c r="D241" i="36"/>
  <c r="E240" i="36"/>
  <c r="D240" i="36"/>
  <c r="E239" i="36"/>
  <c r="D239" i="36"/>
  <c r="E238" i="36"/>
  <c r="D238" i="36"/>
  <c r="E237" i="36"/>
  <c r="D237" i="36"/>
  <c r="E236" i="36"/>
  <c r="D236" i="36"/>
  <c r="E235" i="36"/>
  <c r="D235" i="36"/>
  <c r="E234" i="36"/>
  <c r="D234" i="36"/>
  <c r="E233" i="36"/>
  <c r="D233" i="36"/>
  <c r="E232" i="36"/>
  <c r="D232" i="36"/>
  <c r="E231" i="36"/>
  <c r="D231" i="36"/>
  <c r="E230" i="36"/>
  <c r="D230" i="36"/>
  <c r="E229" i="36"/>
  <c r="D229" i="36"/>
  <c r="E228" i="36"/>
  <c r="D228" i="36"/>
  <c r="E227" i="36"/>
  <c r="D227" i="36"/>
  <c r="E226" i="36"/>
  <c r="D226" i="36"/>
  <c r="E225" i="36"/>
  <c r="D225" i="36"/>
  <c r="E224" i="36"/>
  <c r="D224" i="36"/>
  <c r="E223" i="36"/>
  <c r="D223" i="36"/>
  <c r="E222" i="36"/>
  <c r="D222" i="36"/>
  <c r="E221" i="36"/>
  <c r="D221" i="36"/>
  <c r="E220" i="36"/>
  <c r="D220" i="36"/>
  <c r="E219" i="36"/>
  <c r="D219" i="36"/>
  <c r="E218" i="36"/>
  <c r="D218" i="36"/>
  <c r="E217" i="36"/>
  <c r="D217" i="36"/>
  <c r="E216" i="36"/>
  <c r="D216" i="36"/>
  <c r="E215" i="36"/>
  <c r="D215" i="36"/>
  <c r="E214" i="36"/>
  <c r="D214" i="36"/>
  <c r="E213" i="36"/>
  <c r="D213" i="36"/>
  <c r="E212" i="36"/>
  <c r="D212" i="36"/>
  <c r="E211" i="36"/>
  <c r="D211" i="36"/>
  <c r="E210" i="36"/>
  <c r="D210" i="36"/>
  <c r="E209" i="36"/>
  <c r="D209" i="36"/>
  <c r="E208" i="36"/>
  <c r="D208" i="36"/>
  <c r="E207" i="36"/>
  <c r="D207" i="36"/>
  <c r="E206" i="36"/>
  <c r="D206" i="36"/>
  <c r="E205" i="36"/>
  <c r="D205" i="36"/>
  <c r="E204" i="36"/>
  <c r="D204" i="36"/>
  <c r="E203" i="36"/>
  <c r="D203" i="36"/>
  <c r="E202" i="36"/>
  <c r="D202" i="36"/>
  <c r="E201" i="36"/>
  <c r="D201" i="36"/>
  <c r="E200" i="36"/>
  <c r="D200" i="36"/>
  <c r="E199" i="36"/>
  <c r="D199" i="36"/>
  <c r="E198" i="36"/>
  <c r="D198" i="36"/>
  <c r="E197" i="36"/>
  <c r="D197" i="36"/>
  <c r="E196" i="36"/>
  <c r="D196" i="36"/>
  <c r="E195" i="36"/>
  <c r="D195" i="36"/>
  <c r="E194" i="36"/>
  <c r="D194" i="36"/>
  <c r="E193" i="36"/>
  <c r="D193" i="36"/>
  <c r="E192" i="36"/>
  <c r="D192" i="36"/>
  <c r="E191" i="36"/>
  <c r="D191" i="36"/>
  <c r="E190" i="36"/>
  <c r="D190" i="36"/>
  <c r="E189" i="36"/>
  <c r="D189" i="36"/>
  <c r="E188" i="36"/>
  <c r="D188" i="36"/>
  <c r="E187" i="36"/>
  <c r="D187" i="36"/>
  <c r="E186" i="36"/>
  <c r="D186" i="36"/>
  <c r="E185" i="36"/>
  <c r="D185" i="36"/>
  <c r="E184" i="36"/>
  <c r="D184" i="36"/>
  <c r="E183" i="36"/>
  <c r="D183" i="36"/>
  <c r="E182" i="36"/>
  <c r="D182" i="36"/>
  <c r="E181" i="36"/>
  <c r="D181" i="36"/>
  <c r="E180" i="36"/>
  <c r="D180" i="36"/>
  <c r="E179" i="36"/>
  <c r="D179" i="36"/>
  <c r="E178" i="36"/>
  <c r="D178" i="36"/>
  <c r="E177" i="36"/>
  <c r="D177" i="36"/>
  <c r="E176" i="36"/>
  <c r="D176" i="36"/>
  <c r="E175" i="36"/>
  <c r="D175" i="36"/>
  <c r="E174" i="36"/>
  <c r="D174" i="36"/>
  <c r="E173" i="36"/>
  <c r="D173" i="36"/>
  <c r="E172" i="36"/>
  <c r="D172" i="36"/>
  <c r="E171" i="36"/>
  <c r="D171" i="36"/>
  <c r="E170" i="36"/>
  <c r="D170" i="36"/>
  <c r="E169" i="36"/>
  <c r="D169" i="36"/>
  <c r="E168" i="36"/>
  <c r="D168" i="36"/>
  <c r="E167" i="36"/>
  <c r="D167" i="36"/>
  <c r="E166" i="36"/>
  <c r="D166" i="36"/>
  <c r="E165" i="36"/>
  <c r="D165" i="36"/>
  <c r="E164" i="36"/>
  <c r="D164" i="36"/>
  <c r="E163" i="36"/>
  <c r="D163" i="36"/>
  <c r="E162" i="36"/>
  <c r="D162" i="36"/>
  <c r="E161" i="36"/>
  <c r="D161" i="36"/>
  <c r="E160" i="36"/>
  <c r="D160" i="36"/>
  <c r="E159" i="36"/>
  <c r="D159" i="36"/>
  <c r="E158" i="36"/>
  <c r="D158" i="36"/>
  <c r="E157" i="36"/>
  <c r="D157" i="36"/>
  <c r="E156" i="36"/>
  <c r="D156" i="36"/>
  <c r="E155" i="36"/>
  <c r="D155" i="36"/>
  <c r="E154" i="36"/>
  <c r="D154" i="36"/>
  <c r="E153" i="36"/>
  <c r="D153" i="36"/>
  <c r="E152" i="36"/>
  <c r="D152" i="36"/>
  <c r="E151" i="36"/>
  <c r="D151" i="36"/>
  <c r="E150" i="36"/>
  <c r="D150" i="36"/>
  <c r="E149" i="36"/>
  <c r="D149" i="36"/>
  <c r="E148" i="36"/>
  <c r="D148" i="36"/>
  <c r="E147" i="36"/>
  <c r="D147" i="36"/>
  <c r="E146" i="36"/>
  <c r="D146" i="36"/>
  <c r="E145" i="36"/>
  <c r="D145" i="36"/>
  <c r="E144" i="36"/>
  <c r="D144" i="36"/>
  <c r="E143" i="36"/>
  <c r="D143" i="36"/>
  <c r="E142" i="36"/>
  <c r="D142" i="36"/>
  <c r="E141" i="36"/>
  <c r="D141" i="36"/>
  <c r="E140" i="36"/>
  <c r="D140" i="36"/>
  <c r="E139" i="36"/>
  <c r="D139" i="36"/>
  <c r="E138" i="36"/>
  <c r="D138" i="36"/>
  <c r="E137" i="36"/>
  <c r="D137" i="36"/>
  <c r="E136" i="36"/>
  <c r="D136" i="36"/>
  <c r="E135" i="36"/>
  <c r="D135" i="36"/>
  <c r="E134" i="36"/>
  <c r="D134" i="36"/>
  <c r="E133" i="36"/>
  <c r="D133" i="36"/>
  <c r="E132" i="36"/>
  <c r="D132" i="36"/>
  <c r="E131" i="36"/>
  <c r="D131" i="36"/>
  <c r="E130" i="36"/>
  <c r="D130" i="36"/>
  <c r="E129" i="36"/>
  <c r="D129" i="36"/>
  <c r="E128" i="36"/>
  <c r="D128" i="36"/>
  <c r="E127" i="36"/>
  <c r="D127" i="36"/>
  <c r="E126" i="36"/>
  <c r="D126" i="36"/>
  <c r="E125" i="36"/>
  <c r="D125" i="36"/>
  <c r="E124" i="36"/>
  <c r="D124" i="36"/>
  <c r="E123" i="36"/>
  <c r="D123" i="36"/>
  <c r="E122" i="36"/>
  <c r="D122" i="36"/>
  <c r="E121" i="36"/>
  <c r="D121" i="36"/>
  <c r="E120" i="36"/>
  <c r="D120" i="36"/>
  <c r="E119" i="36"/>
  <c r="D119" i="36"/>
  <c r="E118" i="36"/>
  <c r="D118" i="36"/>
  <c r="E117" i="36"/>
  <c r="D117" i="36"/>
  <c r="E116" i="36"/>
  <c r="D116" i="36"/>
  <c r="E115" i="36"/>
  <c r="D115" i="36"/>
  <c r="E114" i="36"/>
  <c r="D114" i="36"/>
  <c r="E113" i="36"/>
  <c r="D113" i="36"/>
  <c r="E112" i="36"/>
  <c r="D112" i="36"/>
  <c r="E111" i="36"/>
  <c r="D111" i="36"/>
  <c r="E110" i="36"/>
  <c r="D110" i="36"/>
  <c r="E109" i="36"/>
  <c r="D109" i="36"/>
  <c r="E108" i="36"/>
  <c r="D108" i="36"/>
  <c r="E107" i="36"/>
  <c r="D107" i="36"/>
  <c r="E106" i="36"/>
  <c r="D106" i="36"/>
  <c r="E105" i="36"/>
  <c r="D105" i="36"/>
  <c r="E104" i="36"/>
  <c r="D104" i="36"/>
  <c r="E103" i="36"/>
  <c r="D103" i="36"/>
  <c r="E102" i="36"/>
  <c r="D102" i="36"/>
  <c r="E101" i="36"/>
  <c r="D101" i="36"/>
  <c r="E100" i="36"/>
  <c r="D100" i="36"/>
  <c r="E99" i="36"/>
  <c r="D99" i="36"/>
  <c r="E98" i="36"/>
  <c r="D98" i="36"/>
  <c r="E97" i="36"/>
  <c r="D97" i="36"/>
  <c r="E96" i="36"/>
  <c r="D96" i="36"/>
  <c r="E95" i="36"/>
  <c r="D95" i="36"/>
  <c r="E94" i="36"/>
  <c r="D94" i="36"/>
  <c r="E93" i="36"/>
  <c r="D93" i="36"/>
  <c r="E92" i="36"/>
  <c r="D92" i="36"/>
  <c r="E91" i="36"/>
  <c r="D91" i="36"/>
  <c r="E90" i="36"/>
  <c r="E89" i="36"/>
  <c r="D89" i="36"/>
  <c r="E88" i="36"/>
  <c r="D88" i="36"/>
  <c r="E87" i="36"/>
  <c r="D87" i="36"/>
  <c r="E86" i="36"/>
  <c r="D86" i="36"/>
  <c r="E85" i="36"/>
  <c r="D85" i="36"/>
  <c r="E84" i="36"/>
  <c r="D84" i="36"/>
  <c r="E83" i="36"/>
  <c r="D83" i="36"/>
  <c r="E82" i="36"/>
  <c r="D82" i="36"/>
  <c r="E81" i="36"/>
  <c r="D81" i="36"/>
  <c r="E80" i="36"/>
  <c r="D80" i="36"/>
  <c r="E79" i="36"/>
  <c r="D79" i="36"/>
  <c r="E78" i="36"/>
  <c r="D78" i="36"/>
  <c r="E77" i="36"/>
  <c r="D77" i="36"/>
  <c r="E76" i="36"/>
  <c r="D76" i="36"/>
  <c r="E75" i="36"/>
  <c r="D75" i="36"/>
  <c r="E74" i="36"/>
  <c r="D74" i="36"/>
  <c r="E73" i="36"/>
  <c r="D73" i="36"/>
  <c r="E72" i="36"/>
  <c r="D72" i="36"/>
  <c r="E71" i="36"/>
  <c r="D71" i="36"/>
  <c r="E70" i="36"/>
  <c r="D70" i="36"/>
  <c r="E69" i="36"/>
  <c r="D69" i="36"/>
  <c r="E68" i="36"/>
  <c r="D68" i="36"/>
  <c r="E67" i="36"/>
  <c r="D67" i="36"/>
  <c r="E66" i="36"/>
  <c r="D66" i="36"/>
  <c r="E65" i="36"/>
  <c r="D65" i="36"/>
  <c r="E64" i="36"/>
  <c r="D64" i="36"/>
  <c r="E63" i="36"/>
  <c r="D63" i="36"/>
  <c r="E62" i="36"/>
  <c r="D62" i="36"/>
  <c r="E61" i="36"/>
  <c r="D61" i="36"/>
  <c r="E60" i="36"/>
  <c r="D60" i="36"/>
  <c r="E59" i="36"/>
  <c r="D59" i="36"/>
  <c r="E58" i="36"/>
  <c r="D58" i="36"/>
  <c r="E57" i="36"/>
  <c r="D57" i="36"/>
  <c r="E56" i="36"/>
  <c r="D56" i="36"/>
  <c r="E55" i="36"/>
  <c r="D55" i="36"/>
  <c r="E54" i="36"/>
  <c r="D54" i="36"/>
  <c r="R54" i="36"/>
  <c r="E53" i="36"/>
  <c r="D53" i="36"/>
  <c r="E52" i="36"/>
  <c r="D52" i="36"/>
  <c r="E51" i="36"/>
  <c r="D51" i="36"/>
  <c r="E50" i="36"/>
  <c r="D50" i="36"/>
  <c r="E49" i="36"/>
  <c r="D49" i="36"/>
  <c r="E48" i="36"/>
  <c r="D48" i="36"/>
  <c r="E47" i="36"/>
  <c r="D47" i="36"/>
  <c r="E46" i="36"/>
  <c r="D46" i="36"/>
  <c r="E45" i="36"/>
  <c r="D45" i="36"/>
  <c r="E44" i="36"/>
  <c r="D44" i="36"/>
  <c r="E43" i="36"/>
  <c r="D43" i="36"/>
  <c r="E42" i="36"/>
  <c r="D42" i="36"/>
  <c r="E41" i="36"/>
  <c r="D41" i="36"/>
  <c r="E40" i="36"/>
  <c r="D40" i="36"/>
  <c r="E39" i="36"/>
  <c r="D39" i="36"/>
  <c r="E38" i="36"/>
  <c r="D38" i="36"/>
  <c r="E37" i="36"/>
  <c r="D37" i="36"/>
  <c r="E36" i="36"/>
  <c r="D36" i="36"/>
  <c r="E35" i="36"/>
  <c r="D35" i="36"/>
  <c r="E34" i="36"/>
  <c r="D34" i="36"/>
  <c r="E33" i="36"/>
  <c r="D33" i="36"/>
  <c r="E32" i="36"/>
  <c r="D32" i="36"/>
  <c r="E31" i="36"/>
  <c r="D31" i="36"/>
  <c r="E30" i="36"/>
  <c r="D30" i="36"/>
  <c r="E29" i="36"/>
  <c r="D29" i="36"/>
  <c r="T29" i="36"/>
  <c r="S29" i="36"/>
  <c r="E28" i="36"/>
  <c r="D28" i="36"/>
  <c r="R28" i="36"/>
  <c r="E27" i="36"/>
  <c r="D27" i="36"/>
  <c r="E26" i="36"/>
  <c r="D26" i="36"/>
  <c r="E25" i="36"/>
  <c r="D25" i="36"/>
  <c r="E24" i="36"/>
  <c r="D24" i="36"/>
  <c r="E23" i="36"/>
  <c r="D23" i="36"/>
  <c r="E22" i="36"/>
  <c r="D22" i="36"/>
  <c r="E21" i="36"/>
  <c r="D21" i="36"/>
  <c r="E20" i="36"/>
  <c r="D20" i="36"/>
  <c r="T20" i="36"/>
  <c r="S20" i="36"/>
  <c r="E19" i="36"/>
  <c r="D19" i="36"/>
  <c r="E18" i="36"/>
  <c r="D18" i="36"/>
  <c r="E17" i="36"/>
  <c r="D17" i="36"/>
  <c r="T17" i="36"/>
  <c r="S17" i="36"/>
  <c r="E16" i="36"/>
  <c r="D16" i="36"/>
  <c r="T16" i="36"/>
  <c r="S16" i="36"/>
  <c r="E15" i="36"/>
  <c r="D15" i="36"/>
  <c r="T15" i="36"/>
  <c r="S15" i="36"/>
  <c r="E14" i="36"/>
  <c r="D14" i="36"/>
  <c r="T14" i="36"/>
  <c r="S14" i="36"/>
  <c r="E13" i="36"/>
  <c r="D13" i="36"/>
  <c r="T13" i="36"/>
  <c r="S13" i="36"/>
  <c r="E12" i="36"/>
  <c r="D12" i="36"/>
  <c r="T12" i="36"/>
  <c r="S12" i="36"/>
  <c r="E11" i="36"/>
  <c r="D11" i="36"/>
  <c r="T11" i="36"/>
  <c r="S11" i="36"/>
  <c r="E10" i="36"/>
  <c r="D10" i="36"/>
  <c r="E9" i="36"/>
  <c r="D9" i="36"/>
  <c r="A70" i="35"/>
  <c r="B70" i="35" s="1"/>
  <c r="A69" i="35"/>
  <c r="C69" i="35" s="1"/>
  <c r="A68" i="35"/>
  <c r="B68" i="35" s="1"/>
  <c r="A67" i="35"/>
  <c r="B67" i="35" s="1"/>
  <c r="A66" i="35"/>
  <c r="B66" i="35" s="1"/>
  <c r="A65" i="35"/>
  <c r="A64" i="35"/>
  <c r="C64" i="35" s="1"/>
  <c r="A63" i="35"/>
  <c r="C63" i="35" s="1"/>
  <c r="A62" i="35"/>
  <c r="C62" i="35" s="1"/>
  <c r="A61" i="35"/>
  <c r="B61" i="35" s="1"/>
  <c r="A60" i="35"/>
  <c r="B60" i="35" s="1"/>
  <c r="A59" i="35"/>
  <c r="B59" i="35" s="1"/>
  <c r="A58" i="35"/>
  <c r="B58" i="35" s="1"/>
  <c r="A57" i="35"/>
  <c r="A56" i="35"/>
  <c r="C56" i="35" s="1"/>
  <c r="A55" i="35"/>
  <c r="C55" i="35" s="1"/>
  <c r="A54" i="35"/>
  <c r="C54" i="35" s="1"/>
  <c r="A53" i="35"/>
  <c r="B53" i="35" s="1"/>
  <c r="A52" i="35"/>
  <c r="B52" i="35" s="1"/>
  <c r="A51" i="35"/>
  <c r="A50" i="35"/>
  <c r="B50" i="35" s="1"/>
  <c r="A49" i="35"/>
  <c r="A48" i="35"/>
  <c r="C48" i="35" s="1"/>
  <c r="A47" i="35"/>
  <c r="B47" i="35" s="1"/>
  <c r="A46" i="35"/>
  <c r="B46" i="35" s="1"/>
  <c r="A45" i="35"/>
  <c r="B45" i="35" s="1"/>
  <c r="A44" i="35"/>
  <c r="B44" i="35" s="1"/>
  <c r="A43" i="35"/>
  <c r="B43" i="35" s="1"/>
  <c r="A42" i="35"/>
  <c r="C42" i="35" s="1"/>
  <c r="A41" i="35"/>
  <c r="B41" i="35" s="1"/>
  <c r="A40" i="35"/>
  <c r="C40" i="35" s="1"/>
  <c r="A39" i="35"/>
  <c r="B39" i="35" s="1"/>
  <c r="A38" i="35"/>
  <c r="A37" i="35"/>
  <c r="A36" i="35"/>
  <c r="B36" i="35" s="1"/>
  <c r="A35" i="35"/>
  <c r="B35" i="35" s="1"/>
  <c r="A34" i="35"/>
  <c r="C34" i="35" s="1"/>
  <c r="A33" i="35"/>
  <c r="B33" i="35" s="1"/>
  <c r="A32" i="35"/>
  <c r="B32" i="35" s="1"/>
  <c r="A31" i="35"/>
  <c r="B31" i="35" s="1"/>
  <c r="A30" i="35"/>
  <c r="A29" i="35"/>
  <c r="A28" i="35"/>
  <c r="B28" i="35" s="1"/>
  <c r="A27" i="35"/>
  <c r="B27" i="35" s="1"/>
  <c r="A26" i="35"/>
  <c r="C26" i="35" s="1"/>
  <c r="A25" i="35"/>
  <c r="B25" i="35" s="1"/>
  <c r="A24" i="35"/>
  <c r="C24" i="35" s="1"/>
  <c r="A23" i="35"/>
  <c r="B23" i="35" s="1"/>
  <c r="A22" i="35"/>
  <c r="A21" i="35"/>
  <c r="A20" i="35"/>
  <c r="B20" i="35" s="1"/>
  <c r="A19" i="35"/>
  <c r="A18" i="35"/>
  <c r="C18" i="35" s="1"/>
  <c r="A17" i="35"/>
  <c r="B17" i="35" s="1"/>
  <c r="A16" i="35"/>
  <c r="C16" i="35" s="1"/>
  <c r="A15" i="35"/>
  <c r="B15" i="35" s="1"/>
  <c r="A14" i="35"/>
  <c r="A13" i="35"/>
  <c r="A12" i="35"/>
  <c r="B12" i="35" s="1"/>
  <c r="A11" i="35"/>
  <c r="A10" i="35"/>
  <c r="C10" i="35" s="1"/>
  <c r="E8" i="35"/>
  <c r="Q21" i="34"/>
  <c r="Q20" i="34"/>
  <c r="Q19" i="34"/>
  <c r="Q18" i="34"/>
  <c r="Q17" i="34"/>
  <c r="Q16" i="34"/>
  <c r="Q15" i="34"/>
  <c r="Q14" i="34"/>
  <c r="Q13" i="34"/>
  <c r="Q12" i="34"/>
  <c r="S11" i="34"/>
  <c r="R11" i="34"/>
  <c r="A10" i="33"/>
  <c r="W2" i="33"/>
  <c r="E251" i="32"/>
  <c r="D251" i="32"/>
  <c r="E250" i="32"/>
  <c r="D250" i="32"/>
  <c r="E249" i="32"/>
  <c r="D249" i="32"/>
  <c r="E248" i="32"/>
  <c r="D248" i="32"/>
  <c r="E247" i="32"/>
  <c r="D247" i="32"/>
  <c r="E246" i="32"/>
  <c r="D246" i="32"/>
  <c r="E245" i="32"/>
  <c r="D245" i="32"/>
  <c r="E244" i="32"/>
  <c r="D244" i="32"/>
  <c r="E243" i="32"/>
  <c r="D243" i="32"/>
  <c r="E242" i="32"/>
  <c r="D242" i="32"/>
  <c r="E241" i="32"/>
  <c r="D241" i="32"/>
  <c r="E240" i="32"/>
  <c r="D240" i="32"/>
  <c r="E239" i="32"/>
  <c r="D239" i="32"/>
  <c r="E238" i="32"/>
  <c r="D238" i="32"/>
  <c r="E237" i="32"/>
  <c r="D237" i="32"/>
  <c r="E236" i="32"/>
  <c r="D236" i="32"/>
  <c r="E235" i="32"/>
  <c r="D235" i="32"/>
  <c r="E234" i="32"/>
  <c r="D234" i="32"/>
  <c r="E233" i="32"/>
  <c r="D233" i="32"/>
  <c r="E232" i="32"/>
  <c r="D232" i="32"/>
  <c r="E231" i="32"/>
  <c r="D231" i="32"/>
  <c r="E230" i="32"/>
  <c r="D230" i="32"/>
  <c r="E229" i="32"/>
  <c r="D229" i="32"/>
  <c r="E228" i="32"/>
  <c r="D228" i="32"/>
  <c r="E227" i="32"/>
  <c r="D227" i="32"/>
  <c r="E226" i="32"/>
  <c r="D226" i="32"/>
  <c r="E225" i="32"/>
  <c r="D225" i="32"/>
  <c r="E224" i="32"/>
  <c r="D224" i="32"/>
  <c r="E223" i="32"/>
  <c r="D223" i="32"/>
  <c r="E222" i="32"/>
  <c r="D222" i="32"/>
  <c r="E221" i="32"/>
  <c r="D221" i="32"/>
  <c r="E220" i="32"/>
  <c r="D220" i="32"/>
  <c r="E219" i="32"/>
  <c r="D219" i="32"/>
  <c r="E218" i="32"/>
  <c r="D218" i="32"/>
  <c r="E217" i="32"/>
  <c r="D217" i="32"/>
  <c r="E216" i="32"/>
  <c r="D216" i="32"/>
  <c r="E215" i="32"/>
  <c r="D215" i="32"/>
  <c r="E214" i="32"/>
  <c r="D214" i="32"/>
  <c r="E213" i="32"/>
  <c r="D213" i="32"/>
  <c r="E212" i="32"/>
  <c r="D212" i="32"/>
  <c r="E211" i="32"/>
  <c r="D211" i="32"/>
  <c r="E210" i="32"/>
  <c r="D210" i="32"/>
  <c r="E209" i="32"/>
  <c r="D209" i="32"/>
  <c r="E208" i="32"/>
  <c r="D208" i="32"/>
  <c r="E207" i="32"/>
  <c r="D207" i="32"/>
  <c r="E206" i="32"/>
  <c r="D206" i="32"/>
  <c r="E205" i="32"/>
  <c r="D205" i="32"/>
  <c r="E204" i="32"/>
  <c r="D204" i="32"/>
  <c r="E203" i="32"/>
  <c r="D203" i="32"/>
  <c r="E202" i="32"/>
  <c r="D202" i="32"/>
  <c r="E201" i="32"/>
  <c r="D201" i="32"/>
  <c r="E200" i="32"/>
  <c r="D200" i="32"/>
  <c r="E199" i="32"/>
  <c r="D199" i="32"/>
  <c r="E198" i="32"/>
  <c r="D198" i="32"/>
  <c r="E197" i="32"/>
  <c r="D197" i="32"/>
  <c r="E196" i="32"/>
  <c r="D196" i="32"/>
  <c r="E195" i="32"/>
  <c r="D195" i="32"/>
  <c r="E194" i="32"/>
  <c r="D194" i="32"/>
  <c r="E193" i="32"/>
  <c r="D193" i="32"/>
  <c r="E192" i="32"/>
  <c r="D192" i="32"/>
  <c r="E191" i="32"/>
  <c r="D191" i="32"/>
  <c r="E190" i="32"/>
  <c r="D190" i="32"/>
  <c r="E189" i="32"/>
  <c r="D189" i="32"/>
  <c r="E188" i="32"/>
  <c r="D188" i="32"/>
  <c r="E187" i="32"/>
  <c r="D187" i="32"/>
  <c r="E186" i="32"/>
  <c r="D186" i="32"/>
  <c r="E185" i="32"/>
  <c r="D185" i="32"/>
  <c r="E184" i="32"/>
  <c r="D184" i="32"/>
  <c r="E183" i="32"/>
  <c r="D183" i="32"/>
  <c r="E182" i="32"/>
  <c r="D182" i="32"/>
  <c r="E181" i="32"/>
  <c r="D181" i="32"/>
  <c r="E180" i="32"/>
  <c r="D180" i="32"/>
  <c r="E179" i="32"/>
  <c r="D179" i="32"/>
  <c r="E178" i="32"/>
  <c r="D178" i="32"/>
  <c r="E177" i="32"/>
  <c r="D177" i="32"/>
  <c r="E176" i="32"/>
  <c r="D176" i="32"/>
  <c r="E175" i="32"/>
  <c r="D175" i="32"/>
  <c r="E174" i="32"/>
  <c r="D174" i="32"/>
  <c r="E173" i="32"/>
  <c r="D173" i="32"/>
  <c r="E172" i="32"/>
  <c r="D172" i="32"/>
  <c r="E171" i="32"/>
  <c r="D171" i="32"/>
  <c r="E170" i="32"/>
  <c r="D170" i="32"/>
  <c r="E169" i="32"/>
  <c r="D169" i="32"/>
  <c r="E168" i="32"/>
  <c r="D168" i="32"/>
  <c r="E167" i="32"/>
  <c r="D167" i="32"/>
  <c r="E166" i="32"/>
  <c r="D166" i="32"/>
  <c r="E165" i="32"/>
  <c r="D165" i="32"/>
  <c r="E164" i="32"/>
  <c r="D164" i="32"/>
  <c r="E163" i="32"/>
  <c r="D163" i="32"/>
  <c r="E162" i="32"/>
  <c r="D162" i="32"/>
  <c r="E161" i="32"/>
  <c r="D161" i="32"/>
  <c r="E160" i="32"/>
  <c r="D160" i="32"/>
  <c r="E159" i="32"/>
  <c r="D159" i="32"/>
  <c r="E158" i="32"/>
  <c r="D158" i="32"/>
  <c r="E157" i="32"/>
  <c r="D157" i="32"/>
  <c r="E156" i="32"/>
  <c r="D156" i="32"/>
  <c r="E155" i="32"/>
  <c r="D155" i="32"/>
  <c r="E154" i="32"/>
  <c r="D154" i="32"/>
  <c r="E153" i="32"/>
  <c r="D153" i="32"/>
  <c r="E152" i="32"/>
  <c r="D152" i="32"/>
  <c r="E151" i="32"/>
  <c r="D151" i="32"/>
  <c r="E150" i="32"/>
  <c r="D150" i="32"/>
  <c r="E149" i="32"/>
  <c r="D149" i="32"/>
  <c r="E148" i="32"/>
  <c r="D148" i="32"/>
  <c r="E147" i="32"/>
  <c r="D147" i="32"/>
  <c r="E146" i="32"/>
  <c r="D146" i="32"/>
  <c r="E145" i="32"/>
  <c r="D145" i="32"/>
  <c r="E144" i="32"/>
  <c r="D144" i="32"/>
  <c r="E143" i="32"/>
  <c r="D143" i="32"/>
  <c r="E142" i="32"/>
  <c r="D142" i="32"/>
  <c r="E141" i="32"/>
  <c r="D141" i="32"/>
  <c r="E140" i="32"/>
  <c r="D140" i="32"/>
  <c r="E139" i="32"/>
  <c r="D139" i="32"/>
  <c r="E138" i="32"/>
  <c r="D138" i="32"/>
  <c r="E137" i="32"/>
  <c r="D137" i="32"/>
  <c r="E136" i="32"/>
  <c r="D136" i="32"/>
  <c r="E135" i="32"/>
  <c r="D135" i="32"/>
  <c r="E134" i="32"/>
  <c r="D134" i="32"/>
  <c r="E133" i="32"/>
  <c r="D133" i="32"/>
  <c r="E132" i="32"/>
  <c r="D132" i="32"/>
  <c r="E131" i="32"/>
  <c r="D131" i="32"/>
  <c r="E130" i="32"/>
  <c r="D130" i="32"/>
  <c r="E129" i="32"/>
  <c r="D129" i="32"/>
  <c r="E128" i="32"/>
  <c r="D128" i="32"/>
  <c r="E127" i="32"/>
  <c r="D127" i="32"/>
  <c r="E126" i="32"/>
  <c r="D126" i="32"/>
  <c r="E125" i="32"/>
  <c r="D125" i="32"/>
  <c r="E124" i="32"/>
  <c r="D124" i="32"/>
  <c r="E123" i="32"/>
  <c r="D123" i="32"/>
  <c r="E122" i="32"/>
  <c r="D122" i="32"/>
  <c r="E121" i="32"/>
  <c r="D121" i="32"/>
  <c r="E120" i="32"/>
  <c r="D120" i="32"/>
  <c r="E119" i="32"/>
  <c r="D119" i="32"/>
  <c r="E118" i="32"/>
  <c r="D118" i="32"/>
  <c r="E117" i="32"/>
  <c r="D117" i="32"/>
  <c r="E116" i="32"/>
  <c r="D116" i="32"/>
  <c r="E115" i="32"/>
  <c r="D115" i="32"/>
  <c r="E114" i="32"/>
  <c r="D114" i="32"/>
  <c r="E113" i="32"/>
  <c r="D113" i="32"/>
  <c r="E112" i="32"/>
  <c r="D112" i="32"/>
  <c r="E111" i="32"/>
  <c r="D111" i="32"/>
  <c r="E110" i="32"/>
  <c r="D110" i="32"/>
  <c r="E109" i="32"/>
  <c r="D109" i="32"/>
  <c r="E108" i="32"/>
  <c r="D108" i="32"/>
  <c r="E107" i="32"/>
  <c r="D107" i="32"/>
  <c r="E106" i="32"/>
  <c r="D106" i="32"/>
  <c r="E105" i="32"/>
  <c r="D105" i="32"/>
  <c r="E104" i="32"/>
  <c r="D104" i="32"/>
  <c r="E103" i="32"/>
  <c r="D103" i="32"/>
  <c r="E102" i="32"/>
  <c r="D102" i="32"/>
  <c r="E101" i="32"/>
  <c r="D101" i="32"/>
  <c r="E100" i="32"/>
  <c r="D100" i="32"/>
  <c r="E99" i="32"/>
  <c r="D99" i="32"/>
  <c r="E98" i="32"/>
  <c r="D98" i="32"/>
  <c r="E97" i="32"/>
  <c r="D97" i="32"/>
  <c r="E96" i="32"/>
  <c r="D96" i="32"/>
  <c r="E95" i="32"/>
  <c r="D95" i="32"/>
  <c r="E94" i="32"/>
  <c r="D94" i="32"/>
  <c r="E93" i="32"/>
  <c r="D93" i="32"/>
  <c r="E92" i="32"/>
  <c r="D92" i="32"/>
  <c r="E91" i="32"/>
  <c r="D91" i="32"/>
  <c r="E90" i="32"/>
  <c r="D90" i="32"/>
  <c r="E89" i="32"/>
  <c r="D89" i="32"/>
  <c r="E88" i="32"/>
  <c r="D88" i="32"/>
  <c r="E87" i="32"/>
  <c r="D87" i="32"/>
  <c r="E86" i="32"/>
  <c r="D86" i="32"/>
  <c r="E85" i="32"/>
  <c r="D85" i="32"/>
  <c r="E84" i="32"/>
  <c r="D84" i="32"/>
  <c r="E83" i="32"/>
  <c r="D83" i="32"/>
  <c r="E82" i="32"/>
  <c r="D82" i="32"/>
  <c r="E81" i="32"/>
  <c r="D81" i="32"/>
  <c r="E80" i="32"/>
  <c r="D80" i="32"/>
  <c r="E79" i="32"/>
  <c r="D79" i="32"/>
  <c r="E78" i="32"/>
  <c r="D78" i="32"/>
  <c r="E77" i="32"/>
  <c r="D77" i="32"/>
  <c r="E76" i="32"/>
  <c r="D76" i="32"/>
  <c r="E75" i="32"/>
  <c r="D75" i="32"/>
  <c r="E74" i="32"/>
  <c r="D74" i="32"/>
  <c r="E73" i="32"/>
  <c r="D73" i="32"/>
  <c r="E72" i="32"/>
  <c r="D72" i="32"/>
  <c r="E71" i="32"/>
  <c r="D71" i="32"/>
  <c r="E70" i="32"/>
  <c r="D70" i="32"/>
  <c r="E69" i="32"/>
  <c r="D69" i="32"/>
  <c r="E68" i="32"/>
  <c r="D68" i="32"/>
  <c r="E67" i="32"/>
  <c r="D67" i="32"/>
  <c r="E66" i="32"/>
  <c r="D66" i="32"/>
  <c r="E65" i="32"/>
  <c r="D65" i="32"/>
  <c r="E64" i="32"/>
  <c r="D64" i="32"/>
  <c r="E63" i="32"/>
  <c r="D63" i="32"/>
  <c r="E62" i="32"/>
  <c r="D62" i="32"/>
  <c r="E61" i="32"/>
  <c r="D61" i="32"/>
  <c r="R61" i="32"/>
  <c r="E60" i="32"/>
  <c r="D60" i="32"/>
  <c r="E59" i="32"/>
  <c r="D59" i="32"/>
  <c r="E58" i="32"/>
  <c r="D58" i="32"/>
  <c r="E57" i="32"/>
  <c r="D57" i="32"/>
  <c r="E56" i="32"/>
  <c r="D56" i="32"/>
  <c r="R55" i="32"/>
  <c r="E55" i="32"/>
  <c r="D55" i="32"/>
  <c r="E54" i="32"/>
  <c r="D54" i="32"/>
  <c r="E53" i="32"/>
  <c r="D53" i="32"/>
  <c r="E52" i="32"/>
  <c r="D52" i="32"/>
  <c r="E51" i="32"/>
  <c r="D51" i="32"/>
  <c r="E50" i="32"/>
  <c r="D50" i="32"/>
  <c r="E49" i="32"/>
  <c r="D49" i="32"/>
  <c r="E48" i="32"/>
  <c r="D48" i="32"/>
  <c r="E47" i="32"/>
  <c r="D47" i="32"/>
  <c r="E46" i="32"/>
  <c r="D46" i="32"/>
  <c r="E45" i="32"/>
  <c r="D45" i="32"/>
  <c r="E44" i="32"/>
  <c r="D44" i="32"/>
  <c r="E43" i="32"/>
  <c r="D43" i="32"/>
  <c r="E42" i="32"/>
  <c r="D42" i="32"/>
  <c r="E41" i="32"/>
  <c r="D41" i="32"/>
  <c r="E40" i="32"/>
  <c r="D40" i="32"/>
  <c r="E39" i="32"/>
  <c r="D39" i="32"/>
  <c r="E38" i="32"/>
  <c r="D38" i="32"/>
  <c r="E37" i="32"/>
  <c r="D37" i="32"/>
  <c r="E36" i="32"/>
  <c r="D36" i="32"/>
  <c r="T36" i="32"/>
  <c r="S36" i="32"/>
  <c r="E35" i="32"/>
  <c r="D35" i="32"/>
  <c r="R35" i="32"/>
  <c r="E34" i="32"/>
  <c r="D34" i="32"/>
  <c r="E33" i="32"/>
  <c r="D33" i="32"/>
  <c r="E32" i="32"/>
  <c r="D32" i="32"/>
  <c r="E31" i="32"/>
  <c r="D31" i="32"/>
  <c r="E30" i="32"/>
  <c r="D30" i="32"/>
  <c r="E29" i="32"/>
  <c r="D29" i="32"/>
  <c r="E28" i="32"/>
  <c r="D28" i="32"/>
  <c r="E27" i="32"/>
  <c r="D27" i="32"/>
  <c r="E26" i="32"/>
  <c r="D26" i="32"/>
  <c r="E25" i="32"/>
  <c r="D25" i="32"/>
  <c r="E24" i="32"/>
  <c r="D24" i="32"/>
  <c r="E23" i="32"/>
  <c r="D23" i="32"/>
  <c r="E22" i="32"/>
  <c r="D22" i="32"/>
  <c r="E21" i="32"/>
  <c r="D21" i="32"/>
  <c r="E20" i="32"/>
  <c r="D20" i="32"/>
  <c r="S20" i="32"/>
  <c r="T20" i="32"/>
  <c r="E19" i="32"/>
  <c r="D19" i="32"/>
  <c r="T19" i="32"/>
  <c r="S19" i="32"/>
  <c r="E18" i="32"/>
  <c r="D18" i="32"/>
  <c r="T18" i="32"/>
  <c r="S18" i="32"/>
  <c r="E17" i="32"/>
  <c r="D17" i="32"/>
  <c r="E16" i="32"/>
  <c r="D16" i="32"/>
  <c r="T16" i="32"/>
  <c r="S16" i="32"/>
  <c r="E15" i="32"/>
  <c r="D15" i="32"/>
  <c r="S15" i="32"/>
  <c r="T15" i="32"/>
  <c r="E14" i="32"/>
  <c r="D14" i="32"/>
  <c r="T14" i="32"/>
  <c r="S14" i="32"/>
  <c r="E13" i="32"/>
  <c r="D13" i="32"/>
  <c r="T13" i="32"/>
  <c r="S13" i="32"/>
  <c r="E12" i="32"/>
  <c r="D12" i="32"/>
  <c r="T12" i="32"/>
  <c r="S12" i="32"/>
  <c r="E11" i="32"/>
  <c r="D11" i="32"/>
  <c r="E10" i="32"/>
  <c r="D10" i="32"/>
  <c r="E9" i="32"/>
  <c r="D9" i="32"/>
  <c r="A71" i="31"/>
  <c r="A70" i="31"/>
  <c r="B70" i="31" s="1"/>
  <c r="A69" i="31"/>
  <c r="A68" i="31"/>
  <c r="C68" i="31" s="1"/>
  <c r="A67" i="31"/>
  <c r="C67" i="31" s="1"/>
  <c r="A66" i="31"/>
  <c r="A65" i="31"/>
  <c r="B65" i="31" s="1"/>
  <c r="A64" i="31"/>
  <c r="B64" i="31" s="1"/>
  <c r="A63" i="31"/>
  <c r="C63" i="31" s="1"/>
  <c r="A62" i="31"/>
  <c r="B62" i="31" s="1"/>
  <c r="A61" i="31"/>
  <c r="C61" i="31" s="1"/>
  <c r="A60" i="31"/>
  <c r="A59" i="31"/>
  <c r="B59" i="31" s="1"/>
  <c r="A58" i="31"/>
  <c r="C58" i="31" s="1"/>
  <c r="A57" i="31"/>
  <c r="B57" i="31" s="1"/>
  <c r="A56" i="31"/>
  <c r="B56" i="31" s="1"/>
  <c r="A55" i="31"/>
  <c r="C55" i="31" s="1"/>
  <c r="A54" i="31"/>
  <c r="A53" i="31"/>
  <c r="C53" i="31" s="1"/>
  <c r="A52" i="31"/>
  <c r="A51" i="31"/>
  <c r="C51" i="31" s="1"/>
  <c r="A50" i="31"/>
  <c r="C50" i="31" s="1"/>
  <c r="A49" i="31"/>
  <c r="B49" i="31" s="1"/>
  <c r="A48" i="31"/>
  <c r="C48" i="31" s="1"/>
  <c r="A47" i="31"/>
  <c r="C47" i="31" s="1"/>
  <c r="A46" i="31"/>
  <c r="B46" i="31" s="1"/>
  <c r="A45" i="31"/>
  <c r="C45" i="31" s="1"/>
  <c r="A44" i="31"/>
  <c r="B44" i="31" s="1"/>
  <c r="A43" i="31"/>
  <c r="C43" i="31" s="1"/>
  <c r="A42" i="31"/>
  <c r="C42" i="31" s="1"/>
  <c r="A41" i="31"/>
  <c r="A40" i="31"/>
  <c r="B40" i="31" s="1"/>
  <c r="A39" i="31"/>
  <c r="C39" i="31" s="1"/>
  <c r="A38" i="31"/>
  <c r="C38" i="31" s="1"/>
  <c r="A37" i="31"/>
  <c r="C37" i="31" s="1"/>
  <c r="A36" i="31"/>
  <c r="B36" i="31" s="1"/>
  <c r="A35" i="31"/>
  <c r="C35" i="31" s="1"/>
  <c r="A34" i="31"/>
  <c r="B34" i="31" s="1"/>
  <c r="A33" i="31"/>
  <c r="B33" i="31" s="1"/>
  <c r="A32" i="31"/>
  <c r="C32" i="31" s="1"/>
  <c r="A31" i="31"/>
  <c r="C31" i="31" s="1"/>
  <c r="A30" i="31"/>
  <c r="C30" i="31" s="1"/>
  <c r="A29" i="31"/>
  <c r="C29" i="31" s="1"/>
  <c r="A28" i="31"/>
  <c r="C28" i="31" s="1"/>
  <c r="A27" i="31"/>
  <c r="C27" i="31" s="1"/>
  <c r="A26" i="31"/>
  <c r="C26" i="31" s="1"/>
  <c r="A25" i="31"/>
  <c r="A24" i="31"/>
  <c r="C24" i="31" s="1"/>
  <c r="A23" i="31"/>
  <c r="B23" i="31" s="1"/>
  <c r="A22" i="31"/>
  <c r="C22" i="31" s="1"/>
  <c r="A21" i="31"/>
  <c r="A20" i="31"/>
  <c r="C20" i="31" s="1"/>
  <c r="A19" i="31"/>
  <c r="B19" i="31" s="1"/>
  <c r="A18" i="31"/>
  <c r="C18" i="31" s="1"/>
  <c r="A17" i="31"/>
  <c r="A16" i="31"/>
  <c r="C16" i="31" s="1"/>
  <c r="A15" i="31"/>
  <c r="C15" i="31" s="1"/>
  <c r="A14" i="31"/>
  <c r="A13" i="31"/>
  <c r="A12" i="31"/>
  <c r="C12" i="31" s="1"/>
  <c r="A11" i="31"/>
  <c r="C11" i="31" s="1"/>
  <c r="E8" i="31"/>
  <c r="A10" i="30"/>
  <c r="W2" i="30" a="1"/>
  <c r="W2" i="30" s="1"/>
  <c r="Z1" i="30" a="1"/>
  <c r="Z1" i="30" s="1"/>
  <c r="E254" i="29"/>
  <c r="D254" i="29"/>
  <c r="E253" i="29"/>
  <c r="D253" i="29"/>
  <c r="E252" i="29"/>
  <c r="D252" i="29"/>
  <c r="E251" i="29"/>
  <c r="D251" i="29"/>
  <c r="E250" i="29"/>
  <c r="D250" i="29"/>
  <c r="E249" i="29"/>
  <c r="D249" i="29"/>
  <c r="E248" i="29"/>
  <c r="D248" i="29"/>
  <c r="E247" i="29"/>
  <c r="D247" i="29"/>
  <c r="E246" i="29"/>
  <c r="D246" i="29"/>
  <c r="E245" i="29"/>
  <c r="D245" i="29"/>
  <c r="E244" i="29"/>
  <c r="D244" i="29"/>
  <c r="E243" i="29"/>
  <c r="D243" i="29"/>
  <c r="E242" i="29"/>
  <c r="D242" i="29"/>
  <c r="E241" i="29"/>
  <c r="D241" i="29"/>
  <c r="E240" i="29"/>
  <c r="D240" i="29"/>
  <c r="E239" i="29"/>
  <c r="D239" i="29"/>
  <c r="E238" i="29"/>
  <c r="D238" i="29"/>
  <c r="E237" i="29"/>
  <c r="D237" i="29"/>
  <c r="E236" i="29"/>
  <c r="D236" i="29"/>
  <c r="E235" i="29"/>
  <c r="D235" i="29"/>
  <c r="E234" i="29"/>
  <c r="D234" i="29"/>
  <c r="E233" i="29"/>
  <c r="D233" i="29"/>
  <c r="E232" i="29"/>
  <c r="D232" i="29"/>
  <c r="E231" i="29"/>
  <c r="D231" i="29"/>
  <c r="E230" i="29"/>
  <c r="D230" i="29"/>
  <c r="E229" i="29"/>
  <c r="D229" i="29"/>
  <c r="E228" i="29"/>
  <c r="D228" i="29"/>
  <c r="E227" i="29"/>
  <c r="D227" i="29"/>
  <c r="E226" i="29"/>
  <c r="D226" i="29"/>
  <c r="E225" i="29"/>
  <c r="D225" i="29"/>
  <c r="E224" i="29"/>
  <c r="D224" i="29"/>
  <c r="E223" i="29"/>
  <c r="D223" i="29"/>
  <c r="E222" i="29"/>
  <c r="D222" i="29"/>
  <c r="E221" i="29"/>
  <c r="D221" i="29"/>
  <c r="E220" i="29"/>
  <c r="D220" i="29"/>
  <c r="E219" i="29"/>
  <c r="D219" i="29"/>
  <c r="E218" i="29"/>
  <c r="D218" i="29"/>
  <c r="E217" i="29"/>
  <c r="D217" i="29"/>
  <c r="E216" i="29"/>
  <c r="D216" i="29"/>
  <c r="E215" i="29"/>
  <c r="D215" i="29"/>
  <c r="E214" i="29"/>
  <c r="D214" i="29"/>
  <c r="E213" i="29"/>
  <c r="D213" i="29"/>
  <c r="E212" i="29"/>
  <c r="D212" i="29"/>
  <c r="E211" i="29"/>
  <c r="D211" i="29"/>
  <c r="E210" i="29"/>
  <c r="D210" i="29"/>
  <c r="E209" i="29"/>
  <c r="D209" i="29"/>
  <c r="E208" i="29"/>
  <c r="D208" i="29"/>
  <c r="E207" i="29"/>
  <c r="D207" i="29"/>
  <c r="E206" i="29"/>
  <c r="D206" i="29"/>
  <c r="E205" i="29"/>
  <c r="D205" i="29"/>
  <c r="E204" i="29"/>
  <c r="D204" i="29"/>
  <c r="E203" i="29"/>
  <c r="D203" i="29"/>
  <c r="E202" i="29"/>
  <c r="D202" i="29"/>
  <c r="E201" i="29"/>
  <c r="D201" i="29"/>
  <c r="E200" i="29"/>
  <c r="D200" i="29"/>
  <c r="E199" i="29"/>
  <c r="D199" i="29"/>
  <c r="E198" i="29"/>
  <c r="D198" i="29"/>
  <c r="E197" i="29"/>
  <c r="D197" i="29"/>
  <c r="E196" i="29"/>
  <c r="D196" i="29"/>
  <c r="E195" i="29"/>
  <c r="D195" i="29"/>
  <c r="E194" i="29"/>
  <c r="D194" i="29"/>
  <c r="E193" i="29"/>
  <c r="D193" i="29"/>
  <c r="E192" i="29"/>
  <c r="D192" i="29"/>
  <c r="E191" i="29"/>
  <c r="D191" i="29"/>
  <c r="E190" i="29"/>
  <c r="D190" i="29"/>
  <c r="E189" i="29"/>
  <c r="D189" i="29"/>
  <c r="E188" i="29"/>
  <c r="D188" i="29"/>
  <c r="E187" i="29"/>
  <c r="D187" i="29"/>
  <c r="E186" i="29"/>
  <c r="D186" i="29"/>
  <c r="E185" i="29"/>
  <c r="D185" i="29"/>
  <c r="E184" i="29"/>
  <c r="D184" i="29"/>
  <c r="E183" i="29"/>
  <c r="D183" i="29"/>
  <c r="E182" i="29"/>
  <c r="D182" i="29"/>
  <c r="E181" i="29"/>
  <c r="D181" i="29"/>
  <c r="E180" i="29"/>
  <c r="D180" i="29"/>
  <c r="E179" i="29"/>
  <c r="D179" i="29"/>
  <c r="E178" i="29"/>
  <c r="D178" i="29"/>
  <c r="E177" i="29"/>
  <c r="D177" i="29"/>
  <c r="E176" i="29"/>
  <c r="D176" i="29"/>
  <c r="E175" i="29"/>
  <c r="D175" i="29"/>
  <c r="E174" i="29"/>
  <c r="D174" i="29"/>
  <c r="E173" i="29"/>
  <c r="D173" i="29"/>
  <c r="E172" i="29"/>
  <c r="D172" i="29"/>
  <c r="E171" i="29"/>
  <c r="D171" i="29"/>
  <c r="E170" i="29"/>
  <c r="D170" i="29"/>
  <c r="E169" i="29"/>
  <c r="D169" i="29"/>
  <c r="E168" i="29"/>
  <c r="D168" i="29"/>
  <c r="E167" i="29"/>
  <c r="D167" i="29"/>
  <c r="E166" i="29"/>
  <c r="D166" i="29"/>
  <c r="E165" i="29"/>
  <c r="D165" i="29"/>
  <c r="E164" i="29"/>
  <c r="D164" i="29"/>
  <c r="E163" i="29"/>
  <c r="D163" i="29"/>
  <c r="E162" i="29"/>
  <c r="D162" i="29"/>
  <c r="E161" i="29"/>
  <c r="D161" i="29"/>
  <c r="E160" i="29"/>
  <c r="D160" i="29"/>
  <c r="E159" i="29"/>
  <c r="D159" i="29"/>
  <c r="E158" i="29"/>
  <c r="D158" i="29"/>
  <c r="E157" i="29"/>
  <c r="D157" i="29"/>
  <c r="E156" i="29"/>
  <c r="D156" i="29"/>
  <c r="E155" i="29"/>
  <c r="D155" i="29"/>
  <c r="E154" i="29"/>
  <c r="D154" i="29"/>
  <c r="E153" i="29"/>
  <c r="D153" i="29"/>
  <c r="E152" i="29"/>
  <c r="D152" i="29"/>
  <c r="E151" i="29"/>
  <c r="D151" i="29"/>
  <c r="E150" i="29"/>
  <c r="D150" i="29"/>
  <c r="E149" i="29"/>
  <c r="D149" i="29"/>
  <c r="E148" i="29"/>
  <c r="D148" i="29"/>
  <c r="E147" i="29"/>
  <c r="D147" i="29"/>
  <c r="E146" i="29"/>
  <c r="D146" i="29"/>
  <c r="E145" i="29"/>
  <c r="D145" i="29"/>
  <c r="E144" i="29"/>
  <c r="D144" i="29"/>
  <c r="E143" i="29"/>
  <c r="D143" i="29"/>
  <c r="E142" i="29"/>
  <c r="D142" i="29"/>
  <c r="E141" i="29"/>
  <c r="D141" i="29"/>
  <c r="E140" i="29"/>
  <c r="D140" i="29"/>
  <c r="E139" i="29"/>
  <c r="D139" i="29"/>
  <c r="E138" i="29"/>
  <c r="D138" i="29"/>
  <c r="E137" i="29"/>
  <c r="D137" i="29"/>
  <c r="E136" i="29"/>
  <c r="D136" i="29"/>
  <c r="E135" i="29"/>
  <c r="D135" i="29"/>
  <c r="E134" i="29"/>
  <c r="D134" i="29"/>
  <c r="E133" i="29"/>
  <c r="D133" i="29"/>
  <c r="E132" i="29"/>
  <c r="D132" i="29"/>
  <c r="E131" i="29"/>
  <c r="D131" i="29"/>
  <c r="E130" i="29"/>
  <c r="D130" i="29"/>
  <c r="E129" i="29"/>
  <c r="D129" i="29"/>
  <c r="E128" i="29"/>
  <c r="D128" i="29"/>
  <c r="E127" i="29"/>
  <c r="D127" i="29"/>
  <c r="E126" i="29"/>
  <c r="D126" i="29"/>
  <c r="E125" i="29"/>
  <c r="D125" i="29"/>
  <c r="E124" i="29"/>
  <c r="D124" i="29"/>
  <c r="E123" i="29"/>
  <c r="D123" i="29"/>
  <c r="E122" i="29"/>
  <c r="D122" i="29"/>
  <c r="E121" i="29"/>
  <c r="D121" i="29"/>
  <c r="E120" i="29"/>
  <c r="D120" i="29"/>
  <c r="E119" i="29"/>
  <c r="D119" i="29"/>
  <c r="E118" i="29"/>
  <c r="D118" i="29"/>
  <c r="E117" i="29"/>
  <c r="D117" i="29"/>
  <c r="E116" i="29"/>
  <c r="D116" i="29"/>
  <c r="E115" i="29"/>
  <c r="D115" i="29"/>
  <c r="E114" i="29"/>
  <c r="D114" i="29"/>
  <c r="E113" i="29"/>
  <c r="D113" i="29"/>
  <c r="E112" i="29"/>
  <c r="D112" i="29"/>
  <c r="E111" i="29"/>
  <c r="D111" i="29"/>
  <c r="E110" i="29"/>
  <c r="D110" i="29"/>
  <c r="E109" i="29"/>
  <c r="D109" i="29"/>
  <c r="E108" i="29"/>
  <c r="D108" i="29"/>
  <c r="E107" i="29"/>
  <c r="D107" i="29"/>
  <c r="E106" i="29"/>
  <c r="D106" i="29"/>
  <c r="E105" i="29"/>
  <c r="D105" i="29"/>
  <c r="E104" i="29"/>
  <c r="D104" i="29"/>
  <c r="E103" i="29"/>
  <c r="D103" i="29"/>
  <c r="E102" i="29"/>
  <c r="D102" i="29"/>
  <c r="E101" i="29"/>
  <c r="D101" i="29"/>
  <c r="E100" i="29"/>
  <c r="D100" i="29"/>
  <c r="E99" i="29"/>
  <c r="D99" i="29"/>
  <c r="E98" i="29"/>
  <c r="D98" i="29"/>
  <c r="E97" i="29"/>
  <c r="D97" i="29"/>
  <c r="E96" i="29"/>
  <c r="D96" i="29"/>
  <c r="E95" i="29"/>
  <c r="D95" i="29"/>
  <c r="E94" i="29"/>
  <c r="D94" i="29"/>
  <c r="E93" i="29"/>
  <c r="D93" i="29"/>
  <c r="E92" i="29"/>
  <c r="D92" i="29"/>
  <c r="E91" i="29"/>
  <c r="D91" i="29"/>
  <c r="E90" i="29"/>
  <c r="D90" i="29"/>
  <c r="E89" i="29"/>
  <c r="D89" i="29"/>
  <c r="E88" i="29"/>
  <c r="D88" i="29"/>
  <c r="E87" i="29"/>
  <c r="D87" i="29"/>
  <c r="E86" i="29"/>
  <c r="D86" i="29"/>
  <c r="E85" i="29"/>
  <c r="D85" i="29"/>
  <c r="E84" i="29"/>
  <c r="D84" i="29"/>
  <c r="E83" i="29"/>
  <c r="D83" i="29"/>
  <c r="E82" i="29"/>
  <c r="D82" i="29"/>
  <c r="E81" i="29"/>
  <c r="D81" i="29"/>
  <c r="E80" i="29"/>
  <c r="D80" i="29"/>
  <c r="E79" i="29"/>
  <c r="D79" i="29"/>
  <c r="E78" i="29"/>
  <c r="D78" i="29"/>
  <c r="E77" i="29"/>
  <c r="D77" i="29"/>
  <c r="E76" i="29"/>
  <c r="D76" i="29"/>
  <c r="E75" i="29"/>
  <c r="D75" i="29"/>
  <c r="E74" i="29"/>
  <c r="D74" i="29"/>
  <c r="E73" i="29"/>
  <c r="D73" i="29"/>
  <c r="E72" i="29"/>
  <c r="D72" i="29"/>
  <c r="E71" i="29"/>
  <c r="D71" i="29"/>
  <c r="E70" i="29"/>
  <c r="D70" i="29"/>
  <c r="E69" i="29"/>
  <c r="D69" i="29"/>
  <c r="E68" i="29"/>
  <c r="D68" i="29"/>
  <c r="E67" i="29"/>
  <c r="D67" i="29"/>
  <c r="E66" i="29"/>
  <c r="D66" i="29"/>
  <c r="E65" i="29"/>
  <c r="D65" i="29"/>
  <c r="E64" i="29"/>
  <c r="D64" i="29"/>
  <c r="E63" i="29"/>
  <c r="D63" i="29"/>
  <c r="E62" i="29"/>
  <c r="D62" i="29"/>
  <c r="E61" i="29"/>
  <c r="D61" i="29"/>
  <c r="E60" i="29"/>
  <c r="D60" i="29"/>
  <c r="E59" i="29"/>
  <c r="D59" i="29"/>
  <c r="E58" i="29"/>
  <c r="D58" i="29"/>
  <c r="E57" i="29"/>
  <c r="D57" i="29"/>
  <c r="E56" i="29"/>
  <c r="D56" i="29"/>
  <c r="E55" i="29"/>
  <c r="D55" i="29"/>
  <c r="E54" i="29"/>
  <c r="D54" i="29"/>
  <c r="E53" i="29"/>
  <c r="D53" i="29"/>
  <c r="E52" i="29"/>
  <c r="D52" i="29"/>
  <c r="E51" i="29"/>
  <c r="D51" i="29"/>
  <c r="E50" i="29"/>
  <c r="D50" i="29"/>
  <c r="E49" i="29"/>
  <c r="D49" i="29"/>
  <c r="E48" i="29"/>
  <c r="D48" i="29"/>
  <c r="E47" i="29"/>
  <c r="D47" i="29"/>
  <c r="P47" i="29"/>
  <c r="E46" i="29"/>
  <c r="D46" i="29"/>
  <c r="M45" i="29"/>
  <c r="E45" i="29"/>
  <c r="D45" i="29"/>
  <c r="E44" i="29"/>
  <c r="D44" i="29"/>
  <c r="E43" i="29"/>
  <c r="D43" i="29"/>
  <c r="E42" i="29"/>
  <c r="D42" i="29"/>
  <c r="E41" i="29"/>
  <c r="D41" i="29"/>
  <c r="E40" i="29"/>
  <c r="D40" i="29"/>
  <c r="E39" i="29"/>
  <c r="D39" i="29"/>
  <c r="E38" i="29"/>
  <c r="D38" i="29"/>
  <c r="E37" i="29"/>
  <c r="D37" i="29"/>
  <c r="E36" i="29"/>
  <c r="D36" i="29"/>
  <c r="E35" i="29"/>
  <c r="D35" i="29"/>
  <c r="E34" i="29"/>
  <c r="D34" i="29"/>
  <c r="E33" i="29"/>
  <c r="D33" i="29"/>
  <c r="E32" i="29"/>
  <c r="D32" i="29"/>
  <c r="E31" i="29"/>
  <c r="D31" i="29"/>
  <c r="E30" i="29"/>
  <c r="D30" i="29"/>
  <c r="E29" i="29"/>
  <c r="D29" i="29"/>
  <c r="E28" i="29"/>
  <c r="D28" i="29"/>
  <c r="E27" i="29"/>
  <c r="D27" i="29"/>
  <c r="E26" i="29"/>
  <c r="D26" i="29"/>
  <c r="P27" i="29"/>
  <c r="E25" i="29"/>
  <c r="D25" i="29"/>
  <c r="E24" i="29"/>
  <c r="D24" i="29"/>
  <c r="E23" i="29"/>
  <c r="D23" i="29"/>
  <c r="E22" i="29"/>
  <c r="D22" i="29"/>
  <c r="E21" i="29"/>
  <c r="D21" i="29"/>
  <c r="E20" i="29"/>
  <c r="D20" i="29"/>
  <c r="R21" i="29"/>
  <c r="Q21" i="29"/>
  <c r="E19" i="29"/>
  <c r="D19" i="29"/>
  <c r="R20" i="29"/>
  <c r="Q20" i="29"/>
  <c r="E18" i="29"/>
  <c r="D18" i="29"/>
  <c r="Q19" i="29"/>
  <c r="R19" i="29"/>
  <c r="E17" i="29"/>
  <c r="D17" i="29"/>
  <c r="R18" i="29"/>
  <c r="Q18" i="29"/>
  <c r="E16" i="29"/>
  <c r="D16" i="29"/>
  <c r="E15" i="29"/>
  <c r="D15" i="29"/>
  <c r="E14" i="29"/>
  <c r="D14" i="29"/>
  <c r="R15" i="29"/>
  <c r="E13" i="29"/>
  <c r="D13" i="29"/>
  <c r="R14" i="29"/>
  <c r="Q14" i="29"/>
  <c r="E12" i="29"/>
  <c r="D12" i="29"/>
  <c r="R13" i="29"/>
  <c r="Q13" i="29"/>
  <c r="E11" i="29"/>
  <c r="D11" i="29"/>
  <c r="R12" i="29"/>
  <c r="R28" i="29" s="1"/>
  <c r="Q12" i="29"/>
  <c r="Q28" i="29" s="1"/>
  <c r="E10" i="29"/>
  <c r="D10" i="29"/>
  <c r="P10" i="29"/>
  <c r="A71" i="28"/>
  <c r="A70" i="28"/>
  <c r="C70" i="28" s="1"/>
  <c r="A69" i="28"/>
  <c r="C69" i="28" s="1"/>
  <c r="A68" i="28"/>
  <c r="B68" i="28" s="1"/>
  <c r="A67" i="28"/>
  <c r="A66" i="28"/>
  <c r="C66" i="28" s="1"/>
  <c r="A65" i="28"/>
  <c r="B65" i="28" s="1"/>
  <c r="A64" i="28"/>
  <c r="B64" i="28" s="1"/>
  <c r="A63" i="28"/>
  <c r="B63" i="28" s="1"/>
  <c r="A62" i="28"/>
  <c r="C62" i="28" s="1"/>
  <c r="A61" i="28"/>
  <c r="B61" i="28" s="1"/>
  <c r="A60" i="28"/>
  <c r="B60" i="28" s="1"/>
  <c r="A59" i="28"/>
  <c r="C59" i="28" s="1"/>
  <c r="A58" i="28"/>
  <c r="C58" i="28" s="1"/>
  <c r="A57" i="28"/>
  <c r="B57" i="28" s="1"/>
  <c r="A56" i="28"/>
  <c r="B56" i="28" s="1"/>
  <c r="A55" i="28"/>
  <c r="C55" i="28" s="1"/>
  <c r="A54" i="28"/>
  <c r="C54" i="28" s="1"/>
  <c r="A53" i="28"/>
  <c r="C53" i="28" s="1"/>
  <c r="A52" i="28"/>
  <c r="B52" i="28" s="1"/>
  <c r="A51" i="28"/>
  <c r="A50" i="28"/>
  <c r="C50" i="28" s="1"/>
  <c r="A49" i="28"/>
  <c r="A48" i="28"/>
  <c r="A47" i="28"/>
  <c r="C47" i="28" s="1"/>
  <c r="A46" i="28"/>
  <c r="C46" i="28" s="1"/>
  <c r="A45" i="28"/>
  <c r="A44" i="28"/>
  <c r="C44" i="28" s="1"/>
  <c r="A43" i="28"/>
  <c r="C43" i="28" s="1"/>
  <c r="A42" i="28"/>
  <c r="C42" i="28" s="1"/>
  <c r="A41" i="28"/>
  <c r="B41" i="28" s="1"/>
  <c r="A40" i="28"/>
  <c r="B40" i="28" s="1"/>
  <c r="A39" i="28"/>
  <c r="C39" i="28" s="1"/>
  <c r="A38" i="28"/>
  <c r="C38" i="28" s="1"/>
  <c r="A37" i="28"/>
  <c r="B37" i="28" s="1"/>
  <c r="A36" i="28"/>
  <c r="C36" i="28" s="1"/>
  <c r="A35" i="28"/>
  <c r="A34" i="28"/>
  <c r="B34" i="28" s="1"/>
  <c r="A33" i="28"/>
  <c r="A32" i="28"/>
  <c r="B32" i="28" s="1"/>
  <c r="A31" i="28"/>
  <c r="B31" i="28" s="1"/>
  <c r="A30" i="28"/>
  <c r="C30" i="28" s="1"/>
  <c r="A29" i="28"/>
  <c r="B29" i="28" s="1"/>
  <c r="A28" i="28"/>
  <c r="C28" i="28" s="1"/>
  <c r="A27" i="28"/>
  <c r="C27" i="28" s="1"/>
  <c r="A26" i="28"/>
  <c r="C26" i="28" s="1"/>
  <c r="A25" i="28"/>
  <c r="B25" i="28" s="1"/>
  <c r="A24" i="28"/>
  <c r="B24" i="28" s="1"/>
  <c r="A23" i="28"/>
  <c r="A22" i="28"/>
  <c r="C22" i="28" s="1"/>
  <c r="A21" i="28"/>
  <c r="A20" i="28"/>
  <c r="B20" i="28" s="1"/>
  <c r="A19" i="28"/>
  <c r="B19" i="28" s="1"/>
  <c r="A18" i="28"/>
  <c r="A17" i="28"/>
  <c r="A16" i="28"/>
  <c r="B16" i="28" s="1"/>
  <c r="A15" i="28"/>
  <c r="A14" i="28"/>
  <c r="C14" i="28" s="1"/>
  <c r="A13" i="28"/>
  <c r="C13" i="28" s="1"/>
  <c r="A12" i="28"/>
  <c r="B12" i="28" s="1"/>
  <c r="A11" i="28"/>
  <c r="E8" i="28"/>
  <c r="Q21" i="27"/>
  <c r="S21" i="27" s="1"/>
  <c r="Q20" i="27"/>
  <c r="S20" i="27" s="1"/>
  <c r="Q19" i="27"/>
  <c r="S19" i="27" s="1"/>
  <c r="Q18" i="27"/>
  <c r="S18" i="27" s="1"/>
  <c r="Q17" i="27"/>
  <c r="S17" i="27" s="1"/>
  <c r="Q16" i="27"/>
  <c r="S16" i="27" s="1"/>
  <c r="Q15" i="27"/>
  <c r="Q14" i="27"/>
  <c r="S14" i="27" s="1"/>
  <c r="Q13" i="27"/>
  <c r="Q12" i="27"/>
  <c r="S12" i="27" s="1"/>
  <c r="S11" i="27"/>
  <c r="R11" i="27"/>
  <c r="A10" i="26"/>
  <c r="W2" i="26"/>
  <c r="Z1" i="26" a="1"/>
  <c r="Z1" i="26" s="1"/>
  <c r="E251" i="25"/>
  <c r="D251" i="25"/>
  <c r="E250" i="25"/>
  <c r="D250" i="25"/>
  <c r="E249" i="25"/>
  <c r="D249" i="25"/>
  <c r="E248" i="25"/>
  <c r="D248" i="25"/>
  <c r="E247" i="25"/>
  <c r="D247" i="25"/>
  <c r="E246" i="25"/>
  <c r="D246" i="25"/>
  <c r="E245" i="25"/>
  <c r="D245" i="25"/>
  <c r="E244" i="25"/>
  <c r="D244" i="25"/>
  <c r="E243" i="25"/>
  <c r="D243" i="25"/>
  <c r="E242" i="25"/>
  <c r="D242" i="25"/>
  <c r="E241" i="25"/>
  <c r="D241" i="25"/>
  <c r="E240" i="25"/>
  <c r="D240" i="25"/>
  <c r="E239" i="25"/>
  <c r="D239" i="25"/>
  <c r="E238" i="25"/>
  <c r="D238" i="25"/>
  <c r="E237" i="25"/>
  <c r="D237" i="25"/>
  <c r="E236" i="25"/>
  <c r="D236" i="25"/>
  <c r="E235" i="25"/>
  <c r="D235" i="25"/>
  <c r="E234" i="25"/>
  <c r="D234" i="25"/>
  <c r="E233" i="25"/>
  <c r="D233" i="25"/>
  <c r="E232" i="25"/>
  <c r="D232" i="25"/>
  <c r="E231" i="25"/>
  <c r="D231" i="25"/>
  <c r="E230" i="25"/>
  <c r="D230" i="25"/>
  <c r="E229" i="25"/>
  <c r="D229" i="25"/>
  <c r="E228" i="25"/>
  <c r="D228" i="25"/>
  <c r="E227" i="25"/>
  <c r="D227" i="25"/>
  <c r="E226" i="25"/>
  <c r="D226" i="25"/>
  <c r="E225" i="25"/>
  <c r="D225" i="25"/>
  <c r="E224" i="25"/>
  <c r="D224" i="25"/>
  <c r="E223" i="25"/>
  <c r="D223" i="25"/>
  <c r="E222" i="25"/>
  <c r="D222" i="25"/>
  <c r="E221" i="25"/>
  <c r="D221" i="25"/>
  <c r="E220" i="25"/>
  <c r="D220" i="25"/>
  <c r="E219" i="25"/>
  <c r="D219" i="25"/>
  <c r="E218" i="25"/>
  <c r="D218" i="25"/>
  <c r="E217" i="25"/>
  <c r="D217" i="25"/>
  <c r="E216" i="25"/>
  <c r="D216" i="25"/>
  <c r="E215" i="25"/>
  <c r="D215" i="25"/>
  <c r="E214" i="25"/>
  <c r="D214" i="25"/>
  <c r="E213" i="25"/>
  <c r="D213" i="25"/>
  <c r="E212" i="25"/>
  <c r="D212" i="25"/>
  <c r="E211" i="25"/>
  <c r="D211" i="25"/>
  <c r="E210" i="25"/>
  <c r="D210" i="25"/>
  <c r="E209" i="25"/>
  <c r="D209" i="25"/>
  <c r="E208" i="25"/>
  <c r="D208" i="25"/>
  <c r="E207" i="25"/>
  <c r="D207" i="25"/>
  <c r="E206" i="25"/>
  <c r="D206" i="25"/>
  <c r="E205" i="25"/>
  <c r="D205" i="25"/>
  <c r="E204" i="25"/>
  <c r="D204" i="25"/>
  <c r="E203" i="25"/>
  <c r="D203" i="25"/>
  <c r="E202" i="25"/>
  <c r="D202" i="25"/>
  <c r="E201" i="25"/>
  <c r="D201" i="25"/>
  <c r="E200" i="25"/>
  <c r="D200" i="25"/>
  <c r="E199" i="25"/>
  <c r="D199" i="25"/>
  <c r="E198" i="25"/>
  <c r="D198" i="25"/>
  <c r="E197" i="25"/>
  <c r="D197" i="25"/>
  <c r="E196" i="25"/>
  <c r="D196" i="25"/>
  <c r="E195" i="25"/>
  <c r="D195" i="25"/>
  <c r="E194" i="25"/>
  <c r="D194" i="25"/>
  <c r="E193" i="25"/>
  <c r="D193" i="25"/>
  <c r="E192" i="25"/>
  <c r="D192" i="25"/>
  <c r="E191" i="25"/>
  <c r="D191" i="25"/>
  <c r="E190" i="25"/>
  <c r="D190" i="25"/>
  <c r="E189" i="25"/>
  <c r="D189" i="25"/>
  <c r="E188" i="25"/>
  <c r="D188" i="25"/>
  <c r="E187" i="25"/>
  <c r="D187" i="25"/>
  <c r="E186" i="25"/>
  <c r="D186" i="25"/>
  <c r="E185" i="25"/>
  <c r="D185" i="25"/>
  <c r="E184" i="25"/>
  <c r="D184" i="25"/>
  <c r="E183" i="25"/>
  <c r="D183" i="25"/>
  <c r="E182" i="25"/>
  <c r="D182" i="25"/>
  <c r="E181" i="25"/>
  <c r="D181" i="25"/>
  <c r="E180" i="25"/>
  <c r="D180" i="25"/>
  <c r="E179" i="25"/>
  <c r="D179" i="25"/>
  <c r="E178" i="25"/>
  <c r="D178" i="25"/>
  <c r="E177" i="25"/>
  <c r="D177" i="25"/>
  <c r="E176" i="25"/>
  <c r="D176" i="25"/>
  <c r="E175" i="25"/>
  <c r="D175" i="25"/>
  <c r="E174" i="25"/>
  <c r="D174" i="25"/>
  <c r="E173" i="25"/>
  <c r="D173" i="25"/>
  <c r="E172" i="25"/>
  <c r="D172" i="25"/>
  <c r="E171" i="25"/>
  <c r="D171" i="25"/>
  <c r="E170" i="25"/>
  <c r="D170" i="25"/>
  <c r="E169" i="25"/>
  <c r="D169" i="25"/>
  <c r="E168" i="25"/>
  <c r="D168" i="25"/>
  <c r="E167" i="25"/>
  <c r="D167" i="25"/>
  <c r="E166" i="25"/>
  <c r="D166" i="25"/>
  <c r="E165" i="25"/>
  <c r="D165" i="25"/>
  <c r="E164" i="25"/>
  <c r="D164" i="25"/>
  <c r="E163" i="25"/>
  <c r="D163" i="25"/>
  <c r="E162" i="25"/>
  <c r="D162" i="25"/>
  <c r="E161" i="25"/>
  <c r="D161" i="25"/>
  <c r="E160" i="25"/>
  <c r="D160" i="25"/>
  <c r="E159" i="25"/>
  <c r="D159" i="25"/>
  <c r="E158" i="25"/>
  <c r="D158" i="25"/>
  <c r="E157" i="25"/>
  <c r="D157" i="25"/>
  <c r="E156" i="25"/>
  <c r="D156" i="25"/>
  <c r="E155" i="25"/>
  <c r="D155" i="25"/>
  <c r="E154" i="25"/>
  <c r="D154" i="25"/>
  <c r="E153" i="25"/>
  <c r="D153" i="25"/>
  <c r="E152" i="25"/>
  <c r="D152" i="25"/>
  <c r="E151" i="25"/>
  <c r="D151" i="25"/>
  <c r="E150" i="25"/>
  <c r="D150" i="25"/>
  <c r="E149" i="25"/>
  <c r="D149" i="25"/>
  <c r="E148" i="25"/>
  <c r="D148" i="25"/>
  <c r="E147" i="25"/>
  <c r="D147" i="25"/>
  <c r="E146" i="25"/>
  <c r="D146" i="25"/>
  <c r="E145" i="25"/>
  <c r="D145" i="25"/>
  <c r="E144" i="25"/>
  <c r="D144" i="25"/>
  <c r="E143" i="25"/>
  <c r="D143" i="25"/>
  <c r="E142" i="25"/>
  <c r="D142" i="25"/>
  <c r="E141" i="25"/>
  <c r="D141" i="25"/>
  <c r="E140" i="25"/>
  <c r="D140" i="25"/>
  <c r="E139" i="25"/>
  <c r="D139" i="25"/>
  <c r="E138" i="25"/>
  <c r="D138" i="25"/>
  <c r="E137" i="25"/>
  <c r="D137" i="25"/>
  <c r="E136" i="25"/>
  <c r="D136" i="25"/>
  <c r="E135" i="25"/>
  <c r="D135" i="25"/>
  <c r="E134" i="25"/>
  <c r="D134" i="25"/>
  <c r="E133" i="25"/>
  <c r="D133" i="25"/>
  <c r="E132" i="25"/>
  <c r="D132" i="25"/>
  <c r="E131" i="25"/>
  <c r="D131" i="25"/>
  <c r="E130" i="25"/>
  <c r="D130" i="25"/>
  <c r="E129" i="25"/>
  <c r="D129" i="25"/>
  <c r="E128" i="25"/>
  <c r="D128" i="25"/>
  <c r="E127" i="25"/>
  <c r="D127" i="25"/>
  <c r="E126" i="25"/>
  <c r="D126" i="25"/>
  <c r="E125" i="25"/>
  <c r="D125" i="25"/>
  <c r="E124" i="25"/>
  <c r="D124" i="25"/>
  <c r="E123" i="25"/>
  <c r="D123" i="25"/>
  <c r="E122" i="25"/>
  <c r="D122" i="25"/>
  <c r="E121" i="25"/>
  <c r="D121" i="25"/>
  <c r="E120" i="25"/>
  <c r="D120" i="25"/>
  <c r="E119" i="25"/>
  <c r="D119" i="25"/>
  <c r="E118" i="25"/>
  <c r="D118" i="25"/>
  <c r="E117" i="25"/>
  <c r="D117" i="25"/>
  <c r="E116" i="25"/>
  <c r="D116" i="25"/>
  <c r="E115" i="25"/>
  <c r="D115" i="25"/>
  <c r="E114" i="25"/>
  <c r="D114" i="25"/>
  <c r="E113" i="25"/>
  <c r="D113" i="25"/>
  <c r="E112" i="25"/>
  <c r="D112" i="25"/>
  <c r="E111" i="25"/>
  <c r="D111" i="25"/>
  <c r="E110" i="25"/>
  <c r="D110" i="25"/>
  <c r="E109" i="25"/>
  <c r="D109" i="25"/>
  <c r="E108" i="25"/>
  <c r="D108" i="25"/>
  <c r="E107" i="25"/>
  <c r="D107" i="25"/>
  <c r="E106" i="25"/>
  <c r="D106" i="25"/>
  <c r="E105" i="25"/>
  <c r="D105" i="25"/>
  <c r="E104" i="25"/>
  <c r="D104" i="25"/>
  <c r="E103" i="25"/>
  <c r="D103" i="25"/>
  <c r="E102" i="25"/>
  <c r="D102" i="25"/>
  <c r="E101" i="25"/>
  <c r="D101" i="25"/>
  <c r="E100" i="25"/>
  <c r="D100" i="25"/>
  <c r="E99" i="25"/>
  <c r="D99" i="25"/>
  <c r="E98" i="25"/>
  <c r="D98" i="25"/>
  <c r="E97" i="25"/>
  <c r="D97" i="25"/>
  <c r="E96" i="25"/>
  <c r="D96" i="25"/>
  <c r="E95" i="25"/>
  <c r="D95" i="25"/>
  <c r="E94" i="25"/>
  <c r="D94" i="25"/>
  <c r="E93" i="25"/>
  <c r="D93" i="25"/>
  <c r="E92" i="25"/>
  <c r="D92" i="25"/>
  <c r="E91" i="25"/>
  <c r="D91" i="25"/>
  <c r="E90" i="25"/>
  <c r="D90" i="25"/>
  <c r="E89" i="25"/>
  <c r="D89" i="25"/>
  <c r="E88" i="25"/>
  <c r="D88" i="25"/>
  <c r="E87" i="25"/>
  <c r="D87" i="25"/>
  <c r="E86" i="25"/>
  <c r="D86" i="25"/>
  <c r="E85" i="25"/>
  <c r="D85" i="25"/>
  <c r="E84" i="25"/>
  <c r="D84" i="25"/>
  <c r="E83" i="25"/>
  <c r="D83" i="25"/>
  <c r="E82" i="25"/>
  <c r="D82" i="25"/>
  <c r="E81" i="25"/>
  <c r="D81" i="25"/>
  <c r="E80" i="25"/>
  <c r="D80" i="25"/>
  <c r="E79" i="25"/>
  <c r="D79" i="25"/>
  <c r="E78" i="25"/>
  <c r="D78" i="25"/>
  <c r="E77" i="25"/>
  <c r="D77" i="25"/>
  <c r="E76" i="25"/>
  <c r="D76" i="25"/>
  <c r="E75" i="25"/>
  <c r="D75" i="25"/>
  <c r="E74" i="25"/>
  <c r="D74" i="25"/>
  <c r="E73" i="25"/>
  <c r="D73" i="25"/>
  <c r="E72" i="25"/>
  <c r="D72" i="25"/>
  <c r="E71" i="25"/>
  <c r="D71" i="25"/>
  <c r="E70" i="25"/>
  <c r="D70" i="25"/>
  <c r="E69" i="25"/>
  <c r="D69" i="25"/>
  <c r="E68" i="25"/>
  <c r="D68" i="25"/>
  <c r="E67" i="25"/>
  <c r="D67" i="25"/>
  <c r="E66" i="25"/>
  <c r="D66" i="25"/>
  <c r="E65" i="25"/>
  <c r="D65" i="25"/>
  <c r="E64" i="25"/>
  <c r="D64" i="25"/>
  <c r="E63" i="25"/>
  <c r="D63" i="25"/>
  <c r="E62" i="25"/>
  <c r="D62" i="25"/>
  <c r="E61" i="25"/>
  <c r="D61" i="25"/>
  <c r="Q61" i="25"/>
  <c r="Q62" i="25" s="1"/>
  <c r="S62" i="25" s="1"/>
  <c r="E60" i="25"/>
  <c r="D60" i="25"/>
  <c r="E59" i="25"/>
  <c r="D59" i="25"/>
  <c r="E58" i="25"/>
  <c r="D58" i="25"/>
  <c r="E57" i="25"/>
  <c r="D57" i="25"/>
  <c r="E56" i="25"/>
  <c r="D56" i="25"/>
  <c r="E55" i="25"/>
  <c r="D55" i="25"/>
  <c r="E54" i="25"/>
  <c r="D54" i="25"/>
  <c r="E53" i="25"/>
  <c r="D53" i="25"/>
  <c r="E52" i="25"/>
  <c r="D52" i="25"/>
  <c r="E51" i="25"/>
  <c r="D51" i="25"/>
  <c r="E50" i="25"/>
  <c r="D50" i="25"/>
  <c r="E49" i="25"/>
  <c r="D49" i="25"/>
  <c r="E48" i="25"/>
  <c r="D48" i="25"/>
  <c r="E47" i="25"/>
  <c r="D47" i="25"/>
  <c r="E46" i="25"/>
  <c r="D46" i="25"/>
  <c r="E45" i="25"/>
  <c r="D45" i="25"/>
  <c r="E44" i="25"/>
  <c r="D44" i="25"/>
  <c r="E43" i="25"/>
  <c r="D43" i="25"/>
  <c r="E42" i="25"/>
  <c r="D42" i="25"/>
  <c r="E41" i="25"/>
  <c r="D41" i="25"/>
  <c r="E40" i="25"/>
  <c r="D40" i="25"/>
  <c r="E39" i="25"/>
  <c r="D39" i="25"/>
  <c r="E38" i="25"/>
  <c r="D38" i="25"/>
  <c r="E37" i="25"/>
  <c r="D37" i="25"/>
  <c r="E36" i="25"/>
  <c r="D36" i="25"/>
  <c r="S36" i="25"/>
  <c r="R36" i="25"/>
  <c r="E35" i="25"/>
  <c r="D35" i="25"/>
  <c r="Q35" i="25"/>
  <c r="E34" i="25"/>
  <c r="D34" i="25"/>
  <c r="E33" i="25"/>
  <c r="D33" i="25"/>
  <c r="E32" i="25"/>
  <c r="D32" i="25"/>
  <c r="E31" i="25"/>
  <c r="D31" i="25"/>
  <c r="E30" i="25"/>
  <c r="D30" i="25"/>
  <c r="E29" i="25"/>
  <c r="D29" i="25"/>
  <c r="E28" i="25"/>
  <c r="D28" i="25"/>
  <c r="E27" i="25"/>
  <c r="D27" i="25"/>
  <c r="E26" i="25"/>
  <c r="D26" i="25"/>
  <c r="E25" i="25"/>
  <c r="D25" i="25"/>
  <c r="E24" i="25"/>
  <c r="D24" i="25"/>
  <c r="E23" i="25"/>
  <c r="D23" i="25"/>
  <c r="E22" i="25"/>
  <c r="D22" i="25"/>
  <c r="E21" i="25"/>
  <c r="D21" i="25"/>
  <c r="E20" i="25"/>
  <c r="D20" i="25"/>
  <c r="S20" i="25"/>
  <c r="R20" i="25"/>
  <c r="E19" i="25"/>
  <c r="D19" i="25"/>
  <c r="E18" i="25"/>
  <c r="D18" i="25"/>
  <c r="S18" i="25"/>
  <c r="R18" i="25"/>
  <c r="E17" i="25"/>
  <c r="D17" i="25"/>
  <c r="S17" i="25"/>
  <c r="R17" i="25"/>
  <c r="E16" i="25"/>
  <c r="D16" i="25"/>
  <c r="R16" i="25"/>
  <c r="S16" i="25"/>
  <c r="E15" i="25"/>
  <c r="D15" i="25"/>
  <c r="R15" i="25"/>
  <c r="S15" i="25"/>
  <c r="E14" i="25"/>
  <c r="D14" i="25"/>
  <c r="E13" i="25"/>
  <c r="D13" i="25"/>
  <c r="S13" i="25"/>
  <c r="R13" i="25"/>
  <c r="E12" i="25"/>
  <c r="D12" i="25"/>
  <c r="S12" i="25"/>
  <c r="R12" i="25"/>
  <c r="E11" i="25"/>
  <c r="D11" i="25"/>
  <c r="E10" i="25"/>
  <c r="D10" i="25"/>
  <c r="E9" i="25"/>
  <c r="D9" i="25"/>
  <c r="A71" i="24"/>
  <c r="C71" i="24" s="1"/>
  <c r="A70" i="24"/>
  <c r="C70" i="24" s="1"/>
  <c r="A69" i="24"/>
  <c r="C69" i="24" s="1"/>
  <c r="A68" i="24"/>
  <c r="B68" i="24" s="1"/>
  <c r="A67" i="24"/>
  <c r="C67" i="24" s="1"/>
  <c r="A66" i="24"/>
  <c r="C66" i="24" s="1"/>
  <c r="A65" i="24"/>
  <c r="C65" i="24" s="1"/>
  <c r="A64" i="24"/>
  <c r="B64" i="24" s="1"/>
  <c r="A63" i="24"/>
  <c r="C63" i="24" s="1"/>
  <c r="A62" i="24"/>
  <c r="B62" i="24" s="1"/>
  <c r="A61" i="24"/>
  <c r="C61" i="24" s="1"/>
  <c r="A60" i="24"/>
  <c r="B60" i="24" s="1"/>
  <c r="A59" i="24"/>
  <c r="B59" i="24" s="1"/>
  <c r="A58" i="24"/>
  <c r="C58" i="24" s="1"/>
  <c r="A57" i="24"/>
  <c r="C57" i="24" s="1"/>
  <c r="A56" i="24"/>
  <c r="B56" i="24" s="1"/>
  <c r="A55" i="24"/>
  <c r="B55" i="24" s="1"/>
  <c r="A54" i="24"/>
  <c r="A53" i="24"/>
  <c r="C53" i="24" s="1"/>
  <c r="A52" i="24"/>
  <c r="B52" i="24" s="1"/>
  <c r="A51" i="24"/>
  <c r="A50" i="24"/>
  <c r="C50" i="24" s="1"/>
  <c r="A49" i="24"/>
  <c r="C49" i="24" s="1"/>
  <c r="A48" i="24"/>
  <c r="A47" i="24"/>
  <c r="C47" i="24" s="1"/>
  <c r="A46" i="24"/>
  <c r="C46" i="24" s="1"/>
  <c r="A45" i="24"/>
  <c r="C45" i="24" s="1"/>
  <c r="A44" i="24"/>
  <c r="B44" i="24" s="1"/>
  <c r="A43" i="24"/>
  <c r="C43" i="24" s="1"/>
  <c r="A42" i="24"/>
  <c r="B42" i="24" s="1"/>
  <c r="A41" i="24"/>
  <c r="C41" i="24" s="1"/>
  <c r="A40" i="24"/>
  <c r="A39" i="24"/>
  <c r="C39" i="24" s="1"/>
  <c r="A38" i="24"/>
  <c r="C38" i="24" s="1"/>
  <c r="A37" i="24"/>
  <c r="C37" i="24" s="1"/>
  <c r="A36" i="24"/>
  <c r="B36" i="24" s="1"/>
  <c r="A35" i="24"/>
  <c r="B35" i="24" s="1"/>
  <c r="A34" i="24"/>
  <c r="C34" i="24" s="1"/>
  <c r="A33" i="24"/>
  <c r="C33" i="24" s="1"/>
  <c r="A32" i="24"/>
  <c r="C32" i="24" s="1"/>
  <c r="A31" i="24"/>
  <c r="C31" i="24" s="1"/>
  <c r="A30" i="24"/>
  <c r="B30" i="24" s="1"/>
  <c r="A29" i="24"/>
  <c r="B29" i="24" s="1"/>
  <c r="A28" i="24"/>
  <c r="B28" i="24" s="1"/>
  <c r="A27" i="24"/>
  <c r="B27" i="24" s="1"/>
  <c r="A26" i="24"/>
  <c r="C26" i="24" s="1"/>
  <c r="A25" i="24"/>
  <c r="C25" i="24" s="1"/>
  <c r="A24" i="24"/>
  <c r="B24" i="24" s="1"/>
  <c r="A23" i="24"/>
  <c r="C23" i="24" s="1"/>
  <c r="A22" i="24"/>
  <c r="C22" i="24" s="1"/>
  <c r="A21" i="24"/>
  <c r="B21" i="24" s="1"/>
  <c r="A20" i="24"/>
  <c r="B20" i="24" s="1"/>
  <c r="A19" i="24"/>
  <c r="B19" i="24" s="1"/>
  <c r="A18" i="24"/>
  <c r="C18" i="24" s="1"/>
  <c r="A17" i="24"/>
  <c r="A16" i="24"/>
  <c r="B16" i="24" s="1"/>
  <c r="A15" i="24"/>
  <c r="B15" i="24" s="1"/>
  <c r="A14" i="24"/>
  <c r="C14" i="24" s="1"/>
  <c r="A13" i="24"/>
  <c r="B13" i="24" s="1"/>
  <c r="A12" i="24"/>
  <c r="B12" i="24" s="1"/>
  <c r="A11" i="24"/>
  <c r="E8" i="24"/>
  <c r="P21" i="23"/>
  <c r="R21" i="23" s="1"/>
  <c r="P20" i="23"/>
  <c r="P19" i="23"/>
  <c r="R19" i="23" s="1"/>
  <c r="P18" i="23"/>
  <c r="R18" i="23" s="1"/>
  <c r="P17" i="23"/>
  <c r="R17" i="23" s="1"/>
  <c r="P16" i="23"/>
  <c r="P15" i="23"/>
  <c r="R15" i="23" s="1"/>
  <c r="P14" i="23"/>
  <c r="P13" i="23"/>
  <c r="R13" i="23" s="1"/>
  <c r="P12" i="23"/>
  <c r="R11" i="23"/>
  <c r="Q11" i="23"/>
  <c r="A10" i="22"/>
  <c r="W2" i="22"/>
  <c r="Z1" i="22" a="1"/>
  <c r="Z1" i="22" s="1"/>
  <c r="E251" i="21"/>
  <c r="D251" i="21"/>
  <c r="E250" i="21"/>
  <c r="D250" i="21"/>
  <c r="E249" i="21"/>
  <c r="D249" i="21"/>
  <c r="E248" i="21"/>
  <c r="D248" i="21"/>
  <c r="E247" i="21"/>
  <c r="D247" i="21"/>
  <c r="E246" i="21"/>
  <c r="D246" i="21"/>
  <c r="E245" i="21"/>
  <c r="D245" i="21"/>
  <c r="E244" i="21"/>
  <c r="D244" i="21"/>
  <c r="E243" i="21"/>
  <c r="D243" i="21"/>
  <c r="E242" i="21"/>
  <c r="D242" i="21"/>
  <c r="E241" i="21"/>
  <c r="D241" i="21"/>
  <c r="E240" i="21"/>
  <c r="D240" i="21"/>
  <c r="E239" i="21"/>
  <c r="D239" i="21"/>
  <c r="E238" i="21"/>
  <c r="D238" i="21"/>
  <c r="E237" i="21"/>
  <c r="D237" i="21"/>
  <c r="E236" i="21"/>
  <c r="D236" i="21"/>
  <c r="E235" i="21"/>
  <c r="D235" i="21"/>
  <c r="E234" i="21"/>
  <c r="D234" i="21"/>
  <c r="E233" i="21"/>
  <c r="D233" i="21"/>
  <c r="E232" i="21"/>
  <c r="D232" i="21"/>
  <c r="E231" i="21"/>
  <c r="D231" i="21"/>
  <c r="E230" i="21"/>
  <c r="D230" i="21"/>
  <c r="E229" i="21"/>
  <c r="D229" i="21"/>
  <c r="E228" i="21"/>
  <c r="D228" i="21"/>
  <c r="E227" i="21"/>
  <c r="D227" i="21"/>
  <c r="E226" i="21"/>
  <c r="D226" i="21"/>
  <c r="E225" i="21"/>
  <c r="D225" i="21"/>
  <c r="E224" i="21"/>
  <c r="D224" i="21"/>
  <c r="E223" i="21"/>
  <c r="D223" i="21"/>
  <c r="E222" i="21"/>
  <c r="D222" i="21"/>
  <c r="E221" i="21"/>
  <c r="D221" i="21"/>
  <c r="E220" i="21"/>
  <c r="D220" i="21"/>
  <c r="E219" i="21"/>
  <c r="D219" i="21"/>
  <c r="E218" i="21"/>
  <c r="D218" i="21"/>
  <c r="E217" i="21"/>
  <c r="D217" i="21"/>
  <c r="E216" i="21"/>
  <c r="D216" i="21"/>
  <c r="E215" i="21"/>
  <c r="D215" i="21"/>
  <c r="E214" i="21"/>
  <c r="D214" i="21"/>
  <c r="E213" i="21"/>
  <c r="D213" i="21"/>
  <c r="E212" i="21"/>
  <c r="D212" i="21"/>
  <c r="E211" i="21"/>
  <c r="D211" i="21"/>
  <c r="E210" i="21"/>
  <c r="D210" i="21"/>
  <c r="E209" i="21"/>
  <c r="D209" i="21"/>
  <c r="E208" i="21"/>
  <c r="D208" i="21"/>
  <c r="E207" i="21"/>
  <c r="D207" i="21"/>
  <c r="E206" i="21"/>
  <c r="D206" i="21"/>
  <c r="E205" i="21"/>
  <c r="D205" i="21"/>
  <c r="E204" i="21"/>
  <c r="D204" i="21"/>
  <c r="E203" i="21"/>
  <c r="D203" i="21"/>
  <c r="E202" i="21"/>
  <c r="D202" i="21"/>
  <c r="E201" i="21"/>
  <c r="D201" i="21"/>
  <c r="E200" i="21"/>
  <c r="D200" i="21"/>
  <c r="E199" i="21"/>
  <c r="D199" i="21"/>
  <c r="E198" i="21"/>
  <c r="D198" i="21"/>
  <c r="E197" i="21"/>
  <c r="D197" i="21"/>
  <c r="E196" i="21"/>
  <c r="D196" i="21"/>
  <c r="E195" i="21"/>
  <c r="D195" i="21"/>
  <c r="E194" i="21"/>
  <c r="D194" i="21"/>
  <c r="E193" i="21"/>
  <c r="D193" i="21"/>
  <c r="E192" i="21"/>
  <c r="D192" i="21"/>
  <c r="E191" i="21"/>
  <c r="D191" i="21"/>
  <c r="E190" i="21"/>
  <c r="D190" i="21"/>
  <c r="E189" i="21"/>
  <c r="D189" i="21"/>
  <c r="E188" i="21"/>
  <c r="D188" i="21"/>
  <c r="E187" i="21"/>
  <c r="D187" i="21"/>
  <c r="E186" i="21"/>
  <c r="D186" i="21"/>
  <c r="E185" i="21"/>
  <c r="D185" i="21"/>
  <c r="E184" i="21"/>
  <c r="D184" i="21"/>
  <c r="E183" i="21"/>
  <c r="D183" i="21"/>
  <c r="E182" i="21"/>
  <c r="D182" i="21"/>
  <c r="E181" i="21"/>
  <c r="D181" i="21"/>
  <c r="E180" i="21"/>
  <c r="D180" i="21"/>
  <c r="E179" i="21"/>
  <c r="D179" i="21"/>
  <c r="E178" i="21"/>
  <c r="D178" i="21"/>
  <c r="E177" i="21"/>
  <c r="D177" i="21"/>
  <c r="E176" i="21"/>
  <c r="D176" i="21"/>
  <c r="E175" i="21"/>
  <c r="D175" i="21"/>
  <c r="E174" i="21"/>
  <c r="D174" i="21"/>
  <c r="E173" i="21"/>
  <c r="D173" i="21"/>
  <c r="E172" i="21"/>
  <c r="D172" i="21"/>
  <c r="E171" i="21"/>
  <c r="D171" i="21"/>
  <c r="E170" i="21"/>
  <c r="D170" i="21"/>
  <c r="E169" i="21"/>
  <c r="D169" i="21"/>
  <c r="E168" i="21"/>
  <c r="D168" i="21"/>
  <c r="E167" i="21"/>
  <c r="D167" i="21"/>
  <c r="E166" i="21"/>
  <c r="D166" i="21"/>
  <c r="E165" i="21"/>
  <c r="D165" i="21"/>
  <c r="E164" i="21"/>
  <c r="D164" i="21"/>
  <c r="E163" i="21"/>
  <c r="D163" i="21"/>
  <c r="E162" i="21"/>
  <c r="D162" i="21"/>
  <c r="E161" i="21"/>
  <c r="D161" i="21"/>
  <c r="E160" i="21"/>
  <c r="D160" i="21"/>
  <c r="E159" i="21"/>
  <c r="D159" i="21"/>
  <c r="E158" i="21"/>
  <c r="D158" i="21"/>
  <c r="E157" i="21"/>
  <c r="D157" i="21"/>
  <c r="E156" i="21"/>
  <c r="D156" i="21"/>
  <c r="E155" i="21"/>
  <c r="D155" i="21"/>
  <c r="E154" i="21"/>
  <c r="D154" i="21"/>
  <c r="E153" i="21"/>
  <c r="D153" i="21"/>
  <c r="E152" i="21"/>
  <c r="D152" i="21"/>
  <c r="E151" i="21"/>
  <c r="D151" i="21"/>
  <c r="E150" i="21"/>
  <c r="D150" i="21"/>
  <c r="E149" i="21"/>
  <c r="D149" i="21"/>
  <c r="E148" i="21"/>
  <c r="D148" i="21"/>
  <c r="E147" i="21"/>
  <c r="D147" i="21"/>
  <c r="E146" i="21"/>
  <c r="D146" i="21"/>
  <c r="E145" i="21"/>
  <c r="D145" i="21"/>
  <c r="E144" i="21"/>
  <c r="D144" i="21"/>
  <c r="E143" i="21"/>
  <c r="D143" i="21"/>
  <c r="E142" i="21"/>
  <c r="D142" i="21"/>
  <c r="E141" i="21"/>
  <c r="D141" i="21"/>
  <c r="E140" i="21"/>
  <c r="D140" i="21"/>
  <c r="E139" i="21"/>
  <c r="D139" i="21"/>
  <c r="E138" i="21"/>
  <c r="D138" i="21"/>
  <c r="E137" i="21"/>
  <c r="D137" i="21"/>
  <c r="E136" i="21"/>
  <c r="D136" i="21"/>
  <c r="E135" i="21"/>
  <c r="D135" i="21"/>
  <c r="E134" i="21"/>
  <c r="D134" i="21"/>
  <c r="E133" i="21"/>
  <c r="D133" i="21"/>
  <c r="E132" i="21"/>
  <c r="D132" i="21"/>
  <c r="E131" i="21"/>
  <c r="D131" i="21"/>
  <c r="E130" i="21"/>
  <c r="D130" i="21"/>
  <c r="E129" i="21"/>
  <c r="D129" i="21"/>
  <c r="E128" i="21"/>
  <c r="D128" i="21"/>
  <c r="E127" i="21"/>
  <c r="D127" i="21"/>
  <c r="E126" i="21"/>
  <c r="D126" i="21"/>
  <c r="E125" i="21"/>
  <c r="D125" i="21"/>
  <c r="E124" i="21"/>
  <c r="D124" i="21"/>
  <c r="E123" i="21"/>
  <c r="D123" i="21"/>
  <c r="E122" i="21"/>
  <c r="D122" i="21"/>
  <c r="E121" i="21"/>
  <c r="D121" i="21"/>
  <c r="E120" i="21"/>
  <c r="D120" i="21"/>
  <c r="E119" i="21"/>
  <c r="D119" i="21"/>
  <c r="E118" i="21"/>
  <c r="D118" i="21"/>
  <c r="E117" i="21"/>
  <c r="D117" i="21"/>
  <c r="E116" i="21"/>
  <c r="D116" i="21"/>
  <c r="E115" i="21"/>
  <c r="D115" i="21"/>
  <c r="E114" i="21"/>
  <c r="D114" i="21"/>
  <c r="E113" i="21"/>
  <c r="D113" i="21"/>
  <c r="E112" i="21"/>
  <c r="D112" i="21"/>
  <c r="E111" i="21"/>
  <c r="D111" i="21"/>
  <c r="E110" i="21"/>
  <c r="D110" i="21"/>
  <c r="E109" i="21"/>
  <c r="D109" i="21"/>
  <c r="E108" i="21"/>
  <c r="D108" i="21"/>
  <c r="E107" i="21"/>
  <c r="D107" i="21"/>
  <c r="E106" i="21"/>
  <c r="D106" i="21"/>
  <c r="E105" i="21"/>
  <c r="D105" i="21"/>
  <c r="E104" i="21"/>
  <c r="D104" i="21"/>
  <c r="E103" i="21"/>
  <c r="D103" i="21"/>
  <c r="E102" i="21"/>
  <c r="D102" i="21"/>
  <c r="E101" i="21"/>
  <c r="D101" i="21"/>
  <c r="E100" i="21"/>
  <c r="D100" i="21"/>
  <c r="E99" i="21"/>
  <c r="D99" i="21"/>
  <c r="E98" i="21"/>
  <c r="D98" i="21"/>
  <c r="E97" i="21"/>
  <c r="D97" i="21"/>
  <c r="E96" i="21"/>
  <c r="D96" i="21"/>
  <c r="E95" i="21"/>
  <c r="D95" i="21"/>
  <c r="E94" i="21"/>
  <c r="D94" i="21"/>
  <c r="E93" i="21"/>
  <c r="D93" i="21"/>
  <c r="E92" i="21"/>
  <c r="D92" i="21"/>
  <c r="E91" i="21"/>
  <c r="D91" i="21"/>
  <c r="E90" i="21"/>
  <c r="D90" i="21"/>
  <c r="E89" i="21"/>
  <c r="D89" i="21"/>
  <c r="E88" i="21"/>
  <c r="D88" i="21"/>
  <c r="E87" i="21"/>
  <c r="D87" i="21"/>
  <c r="E86" i="21"/>
  <c r="D86" i="21"/>
  <c r="E85" i="21"/>
  <c r="D85" i="21"/>
  <c r="E84" i="21"/>
  <c r="D84" i="21"/>
  <c r="E83" i="21"/>
  <c r="D83" i="21"/>
  <c r="E82" i="21"/>
  <c r="D82" i="21"/>
  <c r="E81" i="21"/>
  <c r="D81" i="21"/>
  <c r="E80" i="21"/>
  <c r="D80" i="21"/>
  <c r="E79" i="21"/>
  <c r="D79" i="21"/>
  <c r="E78" i="21"/>
  <c r="D78" i="21"/>
  <c r="E77" i="21"/>
  <c r="D77" i="21"/>
  <c r="E76" i="21"/>
  <c r="D76" i="21"/>
  <c r="E75" i="21"/>
  <c r="D75" i="21"/>
  <c r="E72" i="21"/>
  <c r="D72" i="21"/>
  <c r="E71" i="21"/>
  <c r="D71" i="21"/>
  <c r="E70" i="21"/>
  <c r="D70" i="21"/>
  <c r="E69" i="21"/>
  <c r="D69" i="21"/>
  <c r="E68" i="21"/>
  <c r="D68" i="21"/>
  <c r="E67" i="21"/>
  <c r="D67" i="21"/>
  <c r="E66" i="21"/>
  <c r="D66" i="21"/>
  <c r="E65" i="21"/>
  <c r="D65" i="21"/>
  <c r="E64" i="21"/>
  <c r="D64" i="21"/>
  <c r="E63" i="21"/>
  <c r="D63" i="21"/>
  <c r="E62" i="21"/>
  <c r="D62" i="21"/>
  <c r="E61" i="21"/>
  <c r="D61" i="21"/>
  <c r="O61" i="21"/>
  <c r="Q61" i="21" s="1"/>
  <c r="E60" i="21"/>
  <c r="D60" i="21"/>
  <c r="E59" i="21"/>
  <c r="D59" i="21"/>
  <c r="E58" i="21"/>
  <c r="D58" i="21"/>
  <c r="E57" i="21"/>
  <c r="D57" i="21"/>
  <c r="E56" i="21"/>
  <c r="D56" i="21"/>
  <c r="E55" i="21"/>
  <c r="D55" i="21"/>
  <c r="E54" i="21"/>
  <c r="D54" i="21"/>
  <c r="E53" i="21"/>
  <c r="D53" i="21"/>
  <c r="E52" i="21"/>
  <c r="D52" i="21"/>
  <c r="E51" i="21"/>
  <c r="D51" i="21"/>
  <c r="E50" i="21"/>
  <c r="D50" i="21"/>
  <c r="E49" i="21"/>
  <c r="D49" i="21"/>
  <c r="E48" i="21"/>
  <c r="D48" i="21"/>
  <c r="E47" i="21"/>
  <c r="D47" i="21"/>
  <c r="E46" i="21"/>
  <c r="D46" i="21"/>
  <c r="E45" i="21"/>
  <c r="D45" i="21"/>
  <c r="E44" i="21"/>
  <c r="D44" i="21"/>
  <c r="E43" i="21"/>
  <c r="D43" i="21"/>
  <c r="E42" i="21"/>
  <c r="D42" i="21"/>
  <c r="E41" i="21"/>
  <c r="D41" i="21"/>
  <c r="E40" i="21"/>
  <c r="D40" i="21"/>
  <c r="E39" i="21"/>
  <c r="D39" i="21"/>
  <c r="E38" i="21"/>
  <c r="D38" i="21"/>
  <c r="E37" i="21"/>
  <c r="D37" i="21"/>
  <c r="E36" i="21"/>
  <c r="D36" i="21"/>
  <c r="Q36" i="21"/>
  <c r="P36" i="21"/>
  <c r="E35" i="21"/>
  <c r="D35" i="21"/>
  <c r="O35" i="21"/>
  <c r="E34" i="21"/>
  <c r="D34" i="21"/>
  <c r="E33" i="21"/>
  <c r="D33" i="21"/>
  <c r="E32" i="21"/>
  <c r="D32" i="21"/>
  <c r="E31" i="21"/>
  <c r="D31" i="21"/>
  <c r="E30" i="21"/>
  <c r="D30" i="21"/>
  <c r="E29" i="21"/>
  <c r="D29" i="21"/>
  <c r="E28" i="21"/>
  <c r="D28" i="21"/>
  <c r="E27" i="21"/>
  <c r="D27" i="21"/>
  <c r="E26" i="21"/>
  <c r="D26" i="21"/>
  <c r="E25" i="21"/>
  <c r="D25" i="21"/>
  <c r="E24" i="21"/>
  <c r="D24" i="21"/>
  <c r="E23" i="21"/>
  <c r="D23" i="21"/>
  <c r="E22" i="21"/>
  <c r="D22" i="21"/>
  <c r="E21" i="21"/>
  <c r="D21" i="21"/>
  <c r="E20" i="21"/>
  <c r="D20" i="21"/>
  <c r="Q20" i="21"/>
  <c r="E19" i="21"/>
  <c r="D19" i="21"/>
  <c r="Q19" i="21"/>
  <c r="P19" i="21"/>
  <c r="E18" i="21"/>
  <c r="D18" i="21"/>
  <c r="Q18" i="21"/>
  <c r="E17" i="21"/>
  <c r="D17" i="21"/>
  <c r="P17" i="21"/>
  <c r="Q17" i="21"/>
  <c r="E16" i="21"/>
  <c r="D16" i="21"/>
  <c r="Q16" i="21"/>
  <c r="E15" i="21"/>
  <c r="D15" i="21"/>
  <c r="Q15" i="21"/>
  <c r="E14" i="21"/>
  <c r="D14" i="21"/>
  <c r="E13" i="21"/>
  <c r="D13" i="21"/>
  <c r="Q13" i="21"/>
  <c r="E12" i="21"/>
  <c r="D12" i="21"/>
  <c r="Q12" i="21"/>
  <c r="E11" i="21"/>
  <c r="D11" i="21"/>
  <c r="E10" i="21"/>
  <c r="D10" i="21"/>
  <c r="E9" i="21"/>
  <c r="D9" i="21"/>
  <c r="A70" i="20"/>
  <c r="C70" i="20" s="1"/>
  <c r="A69" i="20"/>
  <c r="C69" i="20" s="1"/>
  <c r="A68" i="20"/>
  <c r="C68" i="20" s="1"/>
  <c r="A67" i="20"/>
  <c r="C67" i="20" s="1"/>
  <c r="A66" i="20"/>
  <c r="B66" i="20" s="1"/>
  <c r="A65" i="20"/>
  <c r="C65" i="20" s="1"/>
  <c r="A64" i="20"/>
  <c r="A63" i="20"/>
  <c r="A62" i="20"/>
  <c r="C62" i="20" s="1"/>
  <c r="A61" i="20"/>
  <c r="C61" i="20" s="1"/>
  <c r="A60" i="20"/>
  <c r="B60" i="20" s="1"/>
  <c r="A59" i="20"/>
  <c r="C59" i="20" s="1"/>
  <c r="A58" i="20"/>
  <c r="C58" i="20" s="1"/>
  <c r="A57" i="20"/>
  <c r="B57" i="20" s="1"/>
  <c r="A56" i="20"/>
  <c r="B56" i="20" s="1"/>
  <c r="A55" i="20"/>
  <c r="B55" i="20" s="1"/>
  <c r="A54" i="20"/>
  <c r="C54" i="20" s="1"/>
  <c r="A53" i="20"/>
  <c r="B53" i="20" s="1"/>
  <c r="A52" i="20"/>
  <c r="C52" i="20" s="1"/>
  <c r="A51" i="20"/>
  <c r="B51" i="20" s="1"/>
  <c r="A50" i="20"/>
  <c r="B50" i="20" s="1"/>
  <c r="A49" i="20"/>
  <c r="A48" i="20"/>
  <c r="C48" i="20" s="1"/>
  <c r="A47" i="20"/>
  <c r="C47" i="20" s="1"/>
  <c r="A46" i="20"/>
  <c r="A45" i="20"/>
  <c r="C45" i="20" s="1"/>
  <c r="A44" i="20"/>
  <c r="C44" i="20" s="1"/>
  <c r="A43" i="20"/>
  <c r="A42" i="20"/>
  <c r="B42" i="20" s="1"/>
  <c r="A41" i="20"/>
  <c r="B41" i="20" s="1"/>
  <c r="A40" i="20"/>
  <c r="C40" i="20" s="1"/>
  <c r="A39" i="20"/>
  <c r="A38" i="20"/>
  <c r="B38" i="20" s="1"/>
  <c r="A37" i="20"/>
  <c r="C37" i="20" s="1"/>
  <c r="A36" i="20"/>
  <c r="C36" i="20" s="1"/>
  <c r="A35" i="20"/>
  <c r="B35" i="20" s="1"/>
  <c r="A34" i="20"/>
  <c r="B34" i="20" s="1"/>
  <c r="A33" i="20"/>
  <c r="C33" i="20" s="1"/>
  <c r="A32" i="20"/>
  <c r="C32" i="20" s="1"/>
  <c r="A31" i="20"/>
  <c r="B31" i="20" s="1"/>
  <c r="A30" i="20"/>
  <c r="B30" i="20" s="1"/>
  <c r="A29" i="20"/>
  <c r="C29" i="20" s="1"/>
  <c r="A28" i="20"/>
  <c r="C28" i="20" s="1"/>
  <c r="A27" i="20"/>
  <c r="B27" i="20" s="1"/>
  <c r="A26" i="20"/>
  <c r="B26" i="20" s="1"/>
  <c r="A25" i="20"/>
  <c r="C25" i="20" s="1"/>
  <c r="A24" i="20"/>
  <c r="C24" i="20" s="1"/>
  <c r="A23" i="20"/>
  <c r="B23" i="20" s="1"/>
  <c r="A22" i="20"/>
  <c r="A21" i="20"/>
  <c r="C21" i="20" s="1"/>
  <c r="A20" i="20"/>
  <c r="C20" i="20" s="1"/>
  <c r="A19" i="20"/>
  <c r="B19" i="20" s="1"/>
  <c r="A18" i="20"/>
  <c r="B18" i="20" s="1"/>
  <c r="A17" i="20"/>
  <c r="C17" i="20" s="1"/>
  <c r="A16" i="20"/>
  <c r="A15" i="20"/>
  <c r="C15" i="20" s="1"/>
  <c r="A14" i="20"/>
  <c r="B14" i="20" s="1"/>
  <c r="A13" i="20"/>
  <c r="A12" i="20"/>
  <c r="C12" i="20" s="1"/>
  <c r="A11" i="20"/>
  <c r="B11" i="20" s="1"/>
  <c r="A10" i="20"/>
  <c r="E8" i="20"/>
  <c r="S23" i="19"/>
  <c r="Y23" i="19" s="1"/>
  <c r="S22" i="19"/>
  <c r="Y22" i="19" s="1"/>
  <c r="S21" i="19"/>
  <c r="Y21" i="19" s="1"/>
  <c r="S20" i="19"/>
  <c r="Y20" i="19" s="1"/>
  <c r="S19" i="19"/>
  <c r="Y19" i="19" s="1"/>
  <c r="S18" i="19"/>
  <c r="W18" i="19" s="1"/>
  <c r="S17" i="19"/>
  <c r="Y17" i="19" s="1"/>
  <c r="S16" i="19"/>
  <c r="U16" i="19" s="1"/>
  <c r="S15" i="19"/>
  <c r="Y15" i="19" s="1"/>
  <c r="S14" i="19"/>
  <c r="Y14" i="19" s="1"/>
  <c r="Y13" i="19"/>
  <c r="X13" i="19"/>
  <c r="W13" i="19"/>
  <c r="V13" i="19"/>
  <c r="U13" i="19"/>
  <c r="T13" i="19"/>
  <c r="AP3" i="19"/>
  <c r="AP2" i="19"/>
  <c r="AP1" i="19"/>
  <c r="A31" i="18"/>
  <c r="A10" i="18"/>
  <c r="W2" i="18"/>
  <c r="I251" i="17"/>
  <c r="H251" i="17"/>
  <c r="I250" i="17"/>
  <c r="H250" i="17"/>
  <c r="I249" i="17"/>
  <c r="H249" i="17"/>
  <c r="I248" i="17"/>
  <c r="H248" i="17"/>
  <c r="I247" i="17"/>
  <c r="H247" i="17"/>
  <c r="I246" i="17"/>
  <c r="H246" i="17"/>
  <c r="I245" i="17"/>
  <c r="H245" i="17"/>
  <c r="I244" i="17"/>
  <c r="H244" i="17"/>
  <c r="I243" i="17"/>
  <c r="H243" i="17"/>
  <c r="I242" i="17"/>
  <c r="H242" i="17"/>
  <c r="I241" i="17"/>
  <c r="H241" i="17"/>
  <c r="I240" i="17"/>
  <c r="H240" i="17"/>
  <c r="I239" i="17"/>
  <c r="H239" i="17"/>
  <c r="I238" i="17"/>
  <c r="H238" i="17"/>
  <c r="I237" i="17"/>
  <c r="H237" i="17"/>
  <c r="I236" i="17"/>
  <c r="H236" i="17"/>
  <c r="I235" i="17"/>
  <c r="H235" i="17"/>
  <c r="I234" i="17"/>
  <c r="H234" i="17"/>
  <c r="I233" i="17"/>
  <c r="H233" i="17"/>
  <c r="I232" i="17"/>
  <c r="H232" i="17"/>
  <c r="I231" i="17"/>
  <c r="H231" i="17"/>
  <c r="I230" i="17"/>
  <c r="H230" i="17"/>
  <c r="I229" i="17"/>
  <c r="H229" i="17"/>
  <c r="I228" i="17"/>
  <c r="H228" i="17"/>
  <c r="I227" i="17"/>
  <c r="H227" i="17"/>
  <c r="I226" i="17"/>
  <c r="H226" i="17"/>
  <c r="I225" i="17"/>
  <c r="H225" i="17"/>
  <c r="I224" i="17"/>
  <c r="H224" i="17"/>
  <c r="I223" i="17"/>
  <c r="H223" i="17"/>
  <c r="I222" i="17"/>
  <c r="H222" i="17"/>
  <c r="I221" i="17"/>
  <c r="H221" i="17"/>
  <c r="I220" i="17"/>
  <c r="H220" i="17"/>
  <c r="I219" i="17"/>
  <c r="H219" i="17"/>
  <c r="I218" i="17"/>
  <c r="H218" i="17"/>
  <c r="I217" i="17"/>
  <c r="H217" i="17"/>
  <c r="I216" i="17"/>
  <c r="H216" i="17"/>
  <c r="I215" i="17"/>
  <c r="H215" i="17"/>
  <c r="I214" i="17"/>
  <c r="H214" i="17"/>
  <c r="I213" i="17"/>
  <c r="H213" i="17"/>
  <c r="I212" i="17"/>
  <c r="H212" i="17"/>
  <c r="I211" i="17"/>
  <c r="H211" i="17"/>
  <c r="I210" i="17"/>
  <c r="H210" i="17"/>
  <c r="I209" i="17"/>
  <c r="H209" i="17"/>
  <c r="I208" i="17"/>
  <c r="H208" i="17"/>
  <c r="I207" i="17"/>
  <c r="H207" i="17"/>
  <c r="I206" i="17"/>
  <c r="H206" i="17"/>
  <c r="I205" i="17"/>
  <c r="H205" i="17"/>
  <c r="I204" i="17"/>
  <c r="H204" i="17"/>
  <c r="I203" i="17"/>
  <c r="H203" i="17"/>
  <c r="I202" i="17"/>
  <c r="H202" i="17"/>
  <c r="I201" i="17"/>
  <c r="H201" i="17"/>
  <c r="I200" i="17"/>
  <c r="H200" i="17"/>
  <c r="I199" i="17"/>
  <c r="H199" i="17"/>
  <c r="I198" i="17"/>
  <c r="H198" i="17"/>
  <c r="I197" i="17"/>
  <c r="H197" i="17"/>
  <c r="I196" i="17"/>
  <c r="H196" i="17"/>
  <c r="I195" i="17"/>
  <c r="H195" i="17"/>
  <c r="I194" i="17"/>
  <c r="H194" i="17"/>
  <c r="I193" i="17"/>
  <c r="H193" i="17"/>
  <c r="I192" i="17"/>
  <c r="H192" i="17"/>
  <c r="I191" i="17"/>
  <c r="H191" i="17"/>
  <c r="I190" i="17"/>
  <c r="H190" i="17"/>
  <c r="I189" i="17"/>
  <c r="H189" i="17"/>
  <c r="I188" i="17"/>
  <c r="H188" i="17"/>
  <c r="I187" i="17"/>
  <c r="H187" i="17"/>
  <c r="I186" i="17"/>
  <c r="H186" i="17"/>
  <c r="I185" i="17"/>
  <c r="H185" i="17"/>
  <c r="I184" i="17"/>
  <c r="H184" i="17"/>
  <c r="I183" i="17"/>
  <c r="H183" i="17"/>
  <c r="I182" i="17"/>
  <c r="H182" i="17"/>
  <c r="I181" i="17"/>
  <c r="H181" i="17"/>
  <c r="I180" i="17"/>
  <c r="H180" i="17"/>
  <c r="I179" i="17"/>
  <c r="H179" i="17"/>
  <c r="I178" i="17"/>
  <c r="H178" i="17"/>
  <c r="I177" i="17"/>
  <c r="H177" i="17"/>
  <c r="I176" i="17"/>
  <c r="H176" i="17"/>
  <c r="I175" i="17"/>
  <c r="H175" i="17"/>
  <c r="I174" i="17"/>
  <c r="H174" i="17"/>
  <c r="I173" i="17"/>
  <c r="H173" i="17"/>
  <c r="I172" i="17"/>
  <c r="H172" i="17"/>
  <c r="I171" i="17"/>
  <c r="H171" i="17"/>
  <c r="I170" i="17"/>
  <c r="H170" i="17"/>
  <c r="I169" i="17"/>
  <c r="H169" i="17"/>
  <c r="I168" i="17"/>
  <c r="H168" i="17"/>
  <c r="I167" i="17"/>
  <c r="H167" i="17"/>
  <c r="I166" i="17"/>
  <c r="H166" i="17"/>
  <c r="I165" i="17"/>
  <c r="H165" i="17"/>
  <c r="I164" i="17"/>
  <c r="H164" i="17"/>
  <c r="I163" i="17"/>
  <c r="H163" i="17"/>
  <c r="I162" i="17"/>
  <c r="H162" i="17"/>
  <c r="I161" i="17"/>
  <c r="H161" i="17"/>
  <c r="I160" i="17"/>
  <c r="H160" i="17"/>
  <c r="I159" i="17"/>
  <c r="H159" i="17"/>
  <c r="I158" i="17"/>
  <c r="H158" i="17"/>
  <c r="I157" i="17"/>
  <c r="H157" i="17"/>
  <c r="I156" i="17"/>
  <c r="H156" i="17"/>
  <c r="I155" i="17"/>
  <c r="H155" i="17"/>
  <c r="I154" i="17"/>
  <c r="H154" i="17"/>
  <c r="I153" i="17"/>
  <c r="H153" i="17"/>
  <c r="I152" i="17"/>
  <c r="H152" i="17"/>
  <c r="I151" i="17"/>
  <c r="H151" i="17"/>
  <c r="I150" i="17"/>
  <c r="H150" i="17"/>
  <c r="I149" i="17"/>
  <c r="H149" i="17"/>
  <c r="I148" i="17"/>
  <c r="H148" i="17"/>
  <c r="I147" i="17"/>
  <c r="H147" i="17"/>
  <c r="I146" i="17"/>
  <c r="H146" i="17"/>
  <c r="I145" i="17"/>
  <c r="H145" i="17"/>
  <c r="I144" i="17"/>
  <c r="H144" i="17"/>
  <c r="I143" i="17"/>
  <c r="H143" i="17"/>
  <c r="I142" i="17"/>
  <c r="H142" i="17"/>
  <c r="I141" i="17"/>
  <c r="H141" i="17"/>
  <c r="I140" i="17"/>
  <c r="H140" i="17"/>
  <c r="I139" i="17"/>
  <c r="H139" i="17"/>
  <c r="I138" i="17"/>
  <c r="H138" i="17"/>
  <c r="I137" i="17"/>
  <c r="H137" i="17"/>
  <c r="I136" i="17"/>
  <c r="H136" i="17"/>
  <c r="I135" i="17"/>
  <c r="H135" i="17"/>
  <c r="I134" i="17"/>
  <c r="H134" i="17"/>
  <c r="I133" i="17"/>
  <c r="H133" i="17"/>
  <c r="I132" i="17"/>
  <c r="H132" i="17"/>
  <c r="I131" i="17"/>
  <c r="H131" i="17"/>
  <c r="I130" i="17"/>
  <c r="H130" i="17"/>
  <c r="I129" i="17"/>
  <c r="H129" i="17"/>
  <c r="I128" i="17"/>
  <c r="H128" i="17"/>
  <c r="I127" i="17"/>
  <c r="H127" i="17"/>
  <c r="I126" i="17"/>
  <c r="H126" i="17"/>
  <c r="I125" i="17"/>
  <c r="H125" i="17"/>
  <c r="I124" i="17"/>
  <c r="H124" i="17"/>
  <c r="I123" i="17"/>
  <c r="H123" i="17"/>
  <c r="I122" i="17"/>
  <c r="H122" i="17"/>
  <c r="I121" i="17"/>
  <c r="H121" i="17"/>
  <c r="I120" i="17"/>
  <c r="H120" i="17"/>
  <c r="I119" i="17"/>
  <c r="H119" i="17"/>
  <c r="I118" i="17"/>
  <c r="H118" i="17"/>
  <c r="I117" i="17"/>
  <c r="H117" i="17"/>
  <c r="I116" i="17"/>
  <c r="H116" i="17"/>
  <c r="I115" i="17"/>
  <c r="H115" i="17"/>
  <c r="I114" i="17"/>
  <c r="H114" i="17"/>
  <c r="I113" i="17"/>
  <c r="H113" i="17"/>
  <c r="I112" i="17"/>
  <c r="H112" i="17"/>
  <c r="I111" i="17"/>
  <c r="H111" i="17"/>
  <c r="I110" i="17"/>
  <c r="H110" i="17"/>
  <c r="I109" i="17"/>
  <c r="H109" i="17"/>
  <c r="I108" i="17"/>
  <c r="H108" i="17"/>
  <c r="I107" i="17"/>
  <c r="H107" i="17"/>
  <c r="I106" i="17"/>
  <c r="H106" i="17"/>
  <c r="I105" i="17"/>
  <c r="H105" i="17"/>
  <c r="I104" i="17"/>
  <c r="H104" i="17"/>
  <c r="I103" i="17"/>
  <c r="H103" i="17"/>
  <c r="I102" i="17"/>
  <c r="H102" i="17"/>
  <c r="I101" i="17"/>
  <c r="H101" i="17"/>
  <c r="I100" i="17"/>
  <c r="H100" i="17"/>
  <c r="I99" i="17"/>
  <c r="H99" i="17"/>
  <c r="I98" i="17"/>
  <c r="H98" i="17"/>
  <c r="I97" i="17"/>
  <c r="H97" i="17"/>
  <c r="I96" i="17"/>
  <c r="H96" i="17"/>
  <c r="I95" i="17"/>
  <c r="H95" i="17"/>
  <c r="I94" i="17"/>
  <c r="H94" i="17"/>
  <c r="I93" i="17"/>
  <c r="H93" i="17"/>
  <c r="I92" i="17"/>
  <c r="H92" i="17"/>
  <c r="I91" i="17"/>
  <c r="H91" i="17"/>
  <c r="I90" i="17"/>
  <c r="H90" i="17"/>
  <c r="I89" i="17"/>
  <c r="H89" i="17"/>
  <c r="I88" i="17"/>
  <c r="H88" i="17"/>
  <c r="I87" i="17"/>
  <c r="H87" i="17"/>
  <c r="I86" i="17"/>
  <c r="H86" i="17"/>
  <c r="I85" i="17"/>
  <c r="H85" i="17"/>
  <c r="I84" i="17"/>
  <c r="H84" i="17"/>
  <c r="I83" i="17"/>
  <c r="H83" i="17"/>
  <c r="I82" i="17"/>
  <c r="H82" i="17"/>
  <c r="I81" i="17"/>
  <c r="H81" i="17"/>
  <c r="I80" i="17"/>
  <c r="H80" i="17"/>
  <c r="I79" i="17"/>
  <c r="H79" i="17"/>
  <c r="I78" i="17"/>
  <c r="H78" i="17"/>
  <c r="I77" i="17"/>
  <c r="H77" i="17"/>
  <c r="I76" i="17"/>
  <c r="H76" i="17"/>
  <c r="I75" i="17"/>
  <c r="H75" i="17"/>
  <c r="I74" i="17"/>
  <c r="H74" i="17"/>
  <c r="I73" i="17"/>
  <c r="H73" i="17"/>
  <c r="I72" i="17"/>
  <c r="H72" i="17"/>
  <c r="I71" i="17"/>
  <c r="H71" i="17"/>
  <c r="I70" i="17"/>
  <c r="H70" i="17"/>
  <c r="I69" i="17"/>
  <c r="H69" i="17"/>
  <c r="I68" i="17"/>
  <c r="H68" i="17"/>
  <c r="I67" i="17"/>
  <c r="H67" i="17"/>
  <c r="I66" i="17"/>
  <c r="H66" i="17"/>
  <c r="I65" i="17"/>
  <c r="H65" i="17"/>
  <c r="I64" i="17"/>
  <c r="H64" i="17"/>
  <c r="I63" i="17"/>
  <c r="H63" i="17"/>
  <c r="I62" i="17"/>
  <c r="H62" i="17"/>
  <c r="I61" i="17"/>
  <c r="H61" i="17"/>
  <c r="I60" i="17"/>
  <c r="H60" i="17"/>
  <c r="I59" i="17"/>
  <c r="H59" i="17"/>
  <c r="I58" i="17"/>
  <c r="H58" i="17"/>
  <c r="I57" i="17"/>
  <c r="H57" i="17"/>
  <c r="I56" i="17"/>
  <c r="H56" i="17"/>
  <c r="I55" i="17"/>
  <c r="H55" i="17"/>
  <c r="I54" i="17"/>
  <c r="H54" i="17"/>
  <c r="I53" i="17"/>
  <c r="H53" i="17"/>
  <c r="I52" i="17"/>
  <c r="H52" i="17"/>
  <c r="I51" i="17"/>
  <c r="H51" i="17"/>
  <c r="K52" i="17"/>
  <c r="Q52" i="17" s="1"/>
  <c r="I50" i="17"/>
  <c r="H50" i="17"/>
  <c r="I49" i="17"/>
  <c r="H49" i="17"/>
  <c r="I48" i="17"/>
  <c r="H48" i="17"/>
  <c r="I47" i="17"/>
  <c r="H47" i="17"/>
  <c r="I46" i="17"/>
  <c r="H46" i="17"/>
  <c r="I45" i="17"/>
  <c r="H45" i="17"/>
  <c r="I44" i="17"/>
  <c r="H44" i="17"/>
  <c r="I43" i="17"/>
  <c r="H43" i="17"/>
  <c r="I42" i="17"/>
  <c r="H42" i="17"/>
  <c r="I41" i="17"/>
  <c r="H41" i="17"/>
  <c r="I40" i="17"/>
  <c r="H40" i="17"/>
  <c r="I39" i="17"/>
  <c r="H39" i="17"/>
  <c r="I38" i="17"/>
  <c r="H38" i="17"/>
  <c r="I37" i="17"/>
  <c r="H37" i="17"/>
  <c r="I36" i="17"/>
  <c r="H36" i="17"/>
  <c r="I35" i="17"/>
  <c r="H35" i="17"/>
  <c r="I34" i="17"/>
  <c r="H34" i="17"/>
  <c r="I33" i="17"/>
  <c r="H33" i="17"/>
  <c r="I32" i="17"/>
  <c r="H32" i="17"/>
  <c r="I31" i="17"/>
  <c r="H31" i="17"/>
  <c r="I30" i="17"/>
  <c r="H30" i="17"/>
  <c r="I29" i="17"/>
  <c r="H29" i="17"/>
  <c r="I28" i="17"/>
  <c r="H28" i="17"/>
  <c r="I27" i="17"/>
  <c r="H27" i="17"/>
  <c r="Q28" i="17"/>
  <c r="P28" i="17"/>
  <c r="O28" i="17"/>
  <c r="N28" i="17"/>
  <c r="M28" i="17"/>
  <c r="L28" i="17"/>
  <c r="I26" i="17"/>
  <c r="H26" i="17"/>
  <c r="P27" i="17"/>
  <c r="N27" i="17"/>
  <c r="L27" i="17"/>
  <c r="I25" i="17"/>
  <c r="H25" i="17"/>
  <c r="K26" i="17"/>
  <c r="I24" i="17"/>
  <c r="H24" i="17"/>
  <c r="I23" i="17"/>
  <c r="H23" i="17"/>
  <c r="I22" i="17"/>
  <c r="H22" i="17"/>
  <c r="I21" i="17"/>
  <c r="H21" i="17"/>
  <c r="N22" i="17"/>
  <c r="I20" i="17"/>
  <c r="H20" i="17"/>
  <c r="P21" i="17"/>
  <c r="I19" i="17"/>
  <c r="H19" i="17"/>
  <c r="N20" i="17"/>
  <c r="I18" i="17"/>
  <c r="H18" i="17"/>
  <c r="N19" i="17"/>
  <c r="I17" i="17"/>
  <c r="H17" i="17"/>
  <c r="M18" i="17"/>
  <c r="I16" i="17"/>
  <c r="H16" i="17"/>
  <c r="M17" i="17"/>
  <c r="I15" i="17"/>
  <c r="H15" i="17"/>
  <c r="M16" i="17"/>
  <c r="I14" i="17"/>
  <c r="H14" i="17"/>
  <c r="M15" i="17"/>
  <c r="I13" i="17"/>
  <c r="H13" i="17"/>
  <c r="I12" i="17"/>
  <c r="H12" i="17"/>
  <c r="I11" i="17"/>
  <c r="H11" i="17"/>
  <c r="I10" i="17"/>
  <c r="H10" i="17"/>
  <c r="A71" i="16"/>
  <c r="B71" i="16" s="1"/>
  <c r="A70" i="16"/>
  <c r="A69" i="16"/>
  <c r="A68" i="16"/>
  <c r="B68" i="16" s="1"/>
  <c r="A67" i="16"/>
  <c r="D67" i="16" s="1"/>
  <c r="A66" i="16"/>
  <c r="D66" i="16" s="1"/>
  <c r="A65" i="16"/>
  <c r="B65" i="16" s="1"/>
  <c r="A64" i="16"/>
  <c r="B64" i="16" s="1"/>
  <c r="A63" i="16"/>
  <c r="A62" i="16"/>
  <c r="D62" i="16" s="1"/>
  <c r="A61" i="16"/>
  <c r="B61" i="16" s="1"/>
  <c r="A60" i="16"/>
  <c r="D60" i="16" s="1"/>
  <c r="A59" i="16"/>
  <c r="B59" i="16" s="1"/>
  <c r="A58" i="16"/>
  <c r="C58" i="16" s="1"/>
  <c r="A57" i="16"/>
  <c r="B57" i="16" s="1"/>
  <c r="A56" i="16"/>
  <c r="D56" i="16" s="1"/>
  <c r="A55" i="16"/>
  <c r="B55" i="16" s="1"/>
  <c r="A54" i="16"/>
  <c r="D54" i="16" s="1"/>
  <c r="A53" i="16"/>
  <c r="C53" i="16" s="1"/>
  <c r="A52" i="16"/>
  <c r="B52" i="16" s="1"/>
  <c r="A51" i="16"/>
  <c r="A50" i="16"/>
  <c r="D50" i="16" s="1"/>
  <c r="A49" i="16"/>
  <c r="B49" i="16" s="1"/>
  <c r="A48" i="16"/>
  <c r="A47" i="16"/>
  <c r="C47" i="16" s="1"/>
  <c r="A46" i="16"/>
  <c r="A45" i="16"/>
  <c r="B45" i="16" s="1"/>
  <c r="A44" i="16"/>
  <c r="B44" i="16" s="1"/>
  <c r="A43" i="16"/>
  <c r="C43" i="16" s="1"/>
  <c r="A42" i="16"/>
  <c r="A41" i="16"/>
  <c r="B41" i="16" s="1"/>
  <c r="A40" i="16"/>
  <c r="D40" i="16" s="1"/>
  <c r="A39" i="16"/>
  <c r="A38" i="16"/>
  <c r="A37" i="16"/>
  <c r="B37" i="16" s="1"/>
  <c r="A36" i="16"/>
  <c r="C36" i="16" s="1"/>
  <c r="A35" i="16"/>
  <c r="D35" i="16" s="1"/>
  <c r="A34" i="16"/>
  <c r="A33" i="16"/>
  <c r="B33" i="16" s="1"/>
  <c r="A32" i="16"/>
  <c r="B32" i="16" s="1"/>
  <c r="A31" i="16"/>
  <c r="D31" i="16" s="1"/>
  <c r="A30" i="16"/>
  <c r="D30" i="16" s="1"/>
  <c r="A29" i="16"/>
  <c r="B29" i="16" s="1"/>
  <c r="A28" i="16"/>
  <c r="B28" i="16" s="1"/>
  <c r="A27" i="16"/>
  <c r="A26" i="16"/>
  <c r="D26" i="16" s="1"/>
  <c r="A25" i="16"/>
  <c r="A24" i="16"/>
  <c r="D24" i="16" s="1"/>
  <c r="A23" i="16"/>
  <c r="D23" i="16" s="1"/>
  <c r="A22" i="16"/>
  <c r="D22" i="16" s="1"/>
  <c r="A21" i="16"/>
  <c r="B21" i="16" s="1"/>
  <c r="A20" i="16"/>
  <c r="D20" i="16" s="1"/>
  <c r="A19" i="16"/>
  <c r="A18" i="16"/>
  <c r="D18" i="16" s="1"/>
  <c r="A17" i="16"/>
  <c r="D17" i="16" s="1"/>
  <c r="A16" i="16"/>
  <c r="D16" i="16" s="1"/>
  <c r="A15" i="16"/>
  <c r="D15" i="16" s="1"/>
  <c r="A14" i="16"/>
  <c r="D14" i="16" s="1"/>
  <c r="A13" i="16"/>
  <c r="B13" i="16" s="1"/>
  <c r="A12" i="16"/>
  <c r="A11" i="16"/>
  <c r="F8" i="16"/>
  <c r="S21" i="15"/>
  <c r="S20" i="15"/>
  <c r="S19" i="15"/>
  <c r="S18" i="15"/>
  <c r="S17" i="15"/>
  <c r="S16" i="15"/>
  <c r="S15" i="15"/>
  <c r="S14" i="15"/>
  <c r="S13" i="15"/>
  <c r="S12" i="15"/>
  <c r="U11" i="15"/>
  <c r="T11" i="15"/>
  <c r="A10" i="14"/>
  <c r="Z1" i="14" a="1"/>
  <c r="Z1" i="14" s="1"/>
  <c r="I252" i="13"/>
  <c r="H252" i="13"/>
  <c r="I251" i="13"/>
  <c r="H251" i="13"/>
  <c r="I250" i="13"/>
  <c r="H250" i="13"/>
  <c r="I249" i="13"/>
  <c r="H249" i="13"/>
  <c r="I248" i="13"/>
  <c r="H248" i="13"/>
  <c r="I247" i="13"/>
  <c r="H247" i="13"/>
  <c r="I246" i="13"/>
  <c r="H246" i="13"/>
  <c r="I245" i="13"/>
  <c r="H245" i="13"/>
  <c r="I244" i="13"/>
  <c r="H244" i="13"/>
  <c r="I243" i="13"/>
  <c r="H243" i="13"/>
  <c r="I242" i="13"/>
  <c r="H242" i="13"/>
  <c r="I241" i="13"/>
  <c r="H241" i="13"/>
  <c r="I240" i="13"/>
  <c r="H240" i="13"/>
  <c r="I239" i="13"/>
  <c r="H239" i="13"/>
  <c r="I238" i="13"/>
  <c r="H238" i="13"/>
  <c r="I237" i="13"/>
  <c r="H237" i="13"/>
  <c r="I236" i="13"/>
  <c r="H236" i="13"/>
  <c r="I235" i="13"/>
  <c r="H235" i="13"/>
  <c r="I234" i="13"/>
  <c r="H234" i="13"/>
  <c r="I233" i="13"/>
  <c r="H233" i="13"/>
  <c r="I232" i="13"/>
  <c r="H232" i="13"/>
  <c r="I231" i="13"/>
  <c r="H231" i="13"/>
  <c r="I230" i="13"/>
  <c r="H230" i="13"/>
  <c r="I229" i="13"/>
  <c r="H229" i="13"/>
  <c r="I228" i="13"/>
  <c r="H228" i="13"/>
  <c r="I227" i="13"/>
  <c r="H227" i="13"/>
  <c r="I226" i="13"/>
  <c r="H226" i="13"/>
  <c r="I225" i="13"/>
  <c r="H225" i="13"/>
  <c r="I224" i="13"/>
  <c r="H224" i="13"/>
  <c r="I223" i="13"/>
  <c r="H223" i="13"/>
  <c r="I222" i="13"/>
  <c r="H222" i="13"/>
  <c r="I221" i="13"/>
  <c r="H221" i="13"/>
  <c r="I220" i="13"/>
  <c r="H220" i="13"/>
  <c r="I219" i="13"/>
  <c r="H219" i="13"/>
  <c r="I218" i="13"/>
  <c r="H218" i="13"/>
  <c r="I217" i="13"/>
  <c r="H217" i="13"/>
  <c r="I216" i="13"/>
  <c r="H216" i="13"/>
  <c r="I215" i="13"/>
  <c r="H215" i="13"/>
  <c r="I214" i="13"/>
  <c r="H214" i="13"/>
  <c r="I213" i="13"/>
  <c r="H213" i="13"/>
  <c r="I212" i="13"/>
  <c r="H212" i="13"/>
  <c r="I211" i="13"/>
  <c r="H211" i="13"/>
  <c r="I210" i="13"/>
  <c r="H210" i="13"/>
  <c r="I209" i="13"/>
  <c r="H209" i="13"/>
  <c r="I208" i="13"/>
  <c r="H208" i="13"/>
  <c r="I207" i="13"/>
  <c r="H207" i="13"/>
  <c r="I206" i="13"/>
  <c r="H206" i="13"/>
  <c r="I205" i="13"/>
  <c r="H205" i="13"/>
  <c r="I204" i="13"/>
  <c r="H204" i="13"/>
  <c r="I203" i="13"/>
  <c r="H203" i="13"/>
  <c r="I202" i="13"/>
  <c r="H202" i="13"/>
  <c r="I201" i="13"/>
  <c r="H201" i="13"/>
  <c r="I200" i="13"/>
  <c r="H200" i="13"/>
  <c r="I199" i="13"/>
  <c r="H199" i="13"/>
  <c r="I198" i="13"/>
  <c r="H198" i="13"/>
  <c r="I197" i="13"/>
  <c r="H197" i="13"/>
  <c r="I196" i="13"/>
  <c r="H196" i="13"/>
  <c r="I195" i="13"/>
  <c r="H195" i="13"/>
  <c r="I194" i="13"/>
  <c r="H194" i="13"/>
  <c r="I193" i="13"/>
  <c r="H193" i="13"/>
  <c r="I192" i="13"/>
  <c r="H192" i="13"/>
  <c r="I191" i="13"/>
  <c r="H191" i="13"/>
  <c r="I190" i="13"/>
  <c r="H190" i="13"/>
  <c r="I189" i="13"/>
  <c r="H189" i="13"/>
  <c r="I188" i="13"/>
  <c r="H188" i="13"/>
  <c r="I187" i="13"/>
  <c r="H187" i="13"/>
  <c r="I186" i="13"/>
  <c r="H186" i="13"/>
  <c r="I185" i="13"/>
  <c r="H185" i="13"/>
  <c r="I184" i="13"/>
  <c r="H184" i="13"/>
  <c r="I183" i="13"/>
  <c r="H183" i="13"/>
  <c r="I182" i="13"/>
  <c r="H182" i="13"/>
  <c r="I181" i="13"/>
  <c r="H181" i="13"/>
  <c r="I180" i="13"/>
  <c r="H180" i="13"/>
  <c r="I179" i="13"/>
  <c r="H179" i="13"/>
  <c r="I178" i="13"/>
  <c r="H178" i="13"/>
  <c r="I177" i="13"/>
  <c r="H177" i="13"/>
  <c r="I176" i="13"/>
  <c r="H176" i="13"/>
  <c r="I175" i="13"/>
  <c r="H175" i="13"/>
  <c r="I174" i="13"/>
  <c r="H174" i="13"/>
  <c r="I173" i="13"/>
  <c r="H173" i="13"/>
  <c r="I172" i="13"/>
  <c r="H172" i="13"/>
  <c r="I171" i="13"/>
  <c r="H171" i="13"/>
  <c r="I170" i="13"/>
  <c r="H170" i="13"/>
  <c r="I169" i="13"/>
  <c r="H169" i="13"/>
  <c r="I168" i="13"/>
  <c r="H168" i="13"/>
  <c r="I167" i="13"/>
  <c r="H167" i="13"/>
  <c r="I166" i="13"/>
  <c r="H166" i="13"/>
  <c r="I165" i="13"/>
  <c r="H165" i="13"/>
  <c r="I164" i="13"/>
  <c r="H164" i="13"/>
  <c r="I163" i="13"/>
  <c r="H163" i="13"/>
  <c r="I162" i="13"/>
  <c r="H162" i="13"/>
  <c r="I161" i="13"/>
  <c r="H161" i="13"/>
  <c r="I160" i="13"/>
  <c r="H160" i="13"/>
  <c r="I159" i="13"/>
  <c r="H159" i="13"/>
  <c r="I158" i="13"/>
  <c r="H158" i="13"/>
  <c r="I157" i="13"/>
  <c r="H157" i="13"/>
  <c r="I156" i="13"/>
  <c r="H156" i="13"/>
  <c r="I155" i="13"/>
  <c r="H155" i="13"/>
  <c r="I154" i="13"/>
  <c r="H154" i="13"/>
  <c r="I153" i="13"/>
  <c r="H153" i="13"/>
  <c r="I152" i="13"/>
  <c r="H152" i="13"/>
  <c r="I151" i="13"/>
  <c r="H151" i="13"/>
  <c r="I150" i="13"/>
  <c r="H150" i="13"/>
  <c r="I149" i="13"/>
  <c r="H149" i="13"/>
  <c r="I148" i="13"/>
  <c r="H148" i="13"/>
  <c r="I147" i="13"/>
  <c r="H147" i="13"/>
  <c r="I146" i="13"/>
  <c r="H146" i="13"/>
  <c r="I145" i="13"/>
  <c r="H145" i="13"/>
  <c r="I144" i="13"/>
  <c r="H144" i="13"/>
  <c r="I143" i="13"/>
  <c r="H143" i="13"/>
  <c r="I142" i="13"/>
  <c r="H142" i="13"/>
  <c r="I141" i="13"/>
  <c r="H141" i="13"/>
  <c r="I140" i="13"/>
  <c r="H140" i="13"/>
  <c r="I139" i="13"/>
  <c r="H139" i="13"/>
  <c r="I138" i="13"/>
  <c r="H138" i="13"/>
  <c r="I137" i="13"/>
  <c r="H137" i="13"/>
  <c r="I136" i="13"/>
  <c r="H136" i="13"/>
  <c r="I135" i="13"/>
  <c r="H135" i="13"/>
  <c r="I134" i="13"/>
  <c r="H134" i="13"/>
  <c r="I133" i="13"/>
  <c r="H133" i="13"/>
  <c r="I132" i="13"/>
  <c r="H132" i="13"/>
  <c r="I131" i="13"/>
  <c r="H131" i="13"/>
  <c r="I130" i="13"/>
  <c r="H130" i="13"/>
  <c r="I129" i="13"/>
  <c r="H129" i="13"/>
  <c r="I128" i="13"/>
  <c r="H128" i="13"/>
  <c r="I127" i="13"/>
  <c r="H127" i="13"/>
  <c r="I126" i="13"/>
  <c r="H126" i="13"/>
  <c r="I125" i="13"/>
  <c r="H125" i="13"/>
  <c r="I124" i="13"/>
  <c r="H124" i="13"/>
  <c r="I123" i="13"/>
  <c r="H123" i="13"/>
  <c r="I122" i="13"/>
  <c r="H122" i="13"/>
  <c r="I121" i="13"/>
  <c r="H121" i="13"/>
  <c r="I120" i="13"/>
  <c r="H120" i="13"/>
  <c r="I119" i="13"/>
  <c r="H119" i="13"/>
  <c r="I118" i="13"/>
  <c r="H118" i="13"/>
  <c r="I117" i="13"/>
  <c r="H117" i="13"/>
  <c r="I116" i="13"/>
  <c r="H116" i="13"/>
  <c r="I115" i="13"/>
  <c r="H115" i="13"/>
  <c r="I114" i="13"/>
  <c r="H114" i="13"/>
  <c r="I113" i="13"/>
  <c r="H113" i="13"/>
  <c r="G113" i="13"/>
  <c r="F113" i="13"/>
  <c r="I112" i="13"/>
  <c r="H112" i="13"/>
  <c r="G112" i="13"/>
  <c r="F112" i="13"/>
  <c r="U18" i="13" s="1"/>
  <c r="I111" i="13"/>
  <c r="H111" i="13"/>
  <c r="G111" i="13"/>
  <c r="V13" i="13" s="1"/>
  <c r="F111" i="13"/>
  <c r="I110" i="13"/>
  <c r="H110" i="13"/>
  <c r="G110" i="13"/>
  <c r="V18" i="13" s="1"/>
  <c r="F110" i="13"/>
  <c r="U14" i="13" s="1"/>
  <c r="I109" i="13"/>
  <c r="H109" i="13"/>
  <c r="G109" i="13"/>
  <c r="F109" i="13"/>
  <c r="I108" i="13"/>
  <c r="H108" i="13"/>
  <c r="G108" i="13"/>
  <c r="F108" i="13"/>
  <c r="I107" i="13"/>
  <c r="H107" i="13"/>
  <c r="G107" i="13"/>
  <c r="F107" i="13"/>
  <c r="I106" i="13"/>
  <c r="H106" i="13"/>
  <c r="G106" i="13"/>
  <c r="F106" i="13"/>
  <c r="I105" i="13"/>
  <c r="H105" i="13"/>
  <c r="G105" i="13"/>
  <c r="F105" i="13"/>
  <c r="I104" i="13"/>
  <c r="H104" i="13"/>
  <c r="G104" i="13"/>
  <c r="F104" i="13"/>
  <c r="I103" i="13"/>
  <c r="H103" i="13"/>
  <c r="G103" i="13"/>
  <c r="F103" i="13"/>
  <c r="I102" i="13"/>
  <c r="H102" i="13"/>
  <c r="G102" i="13"/>
  <c r="F102" i="13"/>
  <c r="I101" i="13"/>
  <c r="H101" i="13"/>
  <c r="G101" i="13"/>
  <c r="F101" i="13"/>
  <c r="I100" i="13"/>
  <c r="H100" i="13"/>
  <c r="G100" i="13"/>
  <c r="F100" i="13"/>
  <c r="I99" i="13"/>
  <c r="H99" i="13"/>
  <c r="G99" i="13"/>
  <c r="F99" i="13"/>
  <c r="I98" i="13"/>
  <c r="H98" i="13"/>
  <c r="G98" i="13"/>
  <c r="F98" i="13"/>
  <c r="I97" i="13"/>
  <c r="H97" i="13"/>
  <c r="G97" i="13"/>
  <c r="F97" i="13"/>
  <c r="I96" i="13"/>
  <c r="H96" i="13"/>
  <c r="G96" i="13"/>
  <c r="F96" i="13"/>
  <c r="I95" i="13"/>
  <c r="H95" i="13"/>
  <c r="G95" i="13"/>
  <c r="F95" i="13"/>
  <c r="I94" i="13"/>
  <c r="H94" i="13"/>
  <c r="G94" i="13"/>
  <c r="F94" i="13"/>
  <c r="I93" i="13"/>
  <c r="H93" i="13"/>
  <c r="G93" i="13"/>
  <c r="F93" i="13"/>
  <c r="I92" i="13"/>
  <c r="H92" i="13"/>
  <c r="G92" i="13"/>
  <c r="F92" i="13"/>
  <c r="I91" i="13"/>
  <c r="H91" i="13"/>
  <c r="G91" i="13"/>
  <c r="F91" i="13"/>
  <c r="I90" i="13"/>
  <c r="H90" i="13"/>
  <c r="G90" i="13"/>
  <c r="F90" i="13"/>
  <c r="I89" i="13"/>
  <c r="H89" i="13"/>
  <c r="G89" i="13"/>
  <c r="F89" i="13"/>
  <c r="I88" i="13"/>
  <c r="H88" i="13"/>
  <c r="G88" i="13"/>
  <c r="F88" i="13"/>
  <c r="I87" i="13"/>
  <c r="H87" i="13"/>
  <c r="G87" i="13"/>
  <c r="F87" i="13"/>
  <c r="I86" i="13"/>
  <c r="H86" i="13"/>
  <c r="G86" i="13"/>
  <c r="F86" i="13"/>
  <c r="I85" i="13"/>
  <c r="H85" i="13"/>
  <c r="G85" i="13"/>
  <c r="F85" i="13"/>
  <c r="I84" i="13"/>
  <c r="H84" i="13"/>
  <c r="G84" i="13"/>
  <c r="F84" i="13"/>
  <c r="I83" i="13"/>
  <c r="H83" i="13"/>
  <c r="G83" i="13"/>
  <c r="F83" i="13"/>
  <c r="I82" i="13"/>
  <c r="H82" i="13"/>
  <c r="G82" i="13"/>
  <c r="F82" i="13"/>
  <c r="I81" i="13"/>
  <c r="H81" i="13"/>
  <c r="G81" i="13"/>
  <c r="F81" i="13"/>
  <c r="I80" i="13"/>
  <c r="H80" i="13"/>
  <c r="G80" i="13"/>
  <c r="F80" i="13"/>
  <c r="I79" i="13"/>
  <c r="H79" i="13"/>
  <c r="G79" i="13"/>
  <c r="F79" i="13"/>
  <c r="I78" i="13"/>
  <c r="H78" i="13"/>
  <c r="G78" i="13"/>
  <c r="F78" i="13"/>
  <c r="I77" i="13"/>
  <c r="H77" i="13"/>
  <c r="G77" i="13"/>
  <c r="F77" i="13"/>
  <c r="I76" i="13"/>
  <c r="H76" i="13"/>
  <c r="G76" i="13"/>
  <c r="F76" i="13"/>
  <c r="I75" i="13"/>
  <c r="H75" i="13"/>
  <c r="G75" i="13"/>
  <c r="F75" i="13"/>
  <c r="I74" i="13"/>
  <c r="H74" i="13"/>
  <c r="G74" i="13"/>
  <c r="F74" i="13"/>
  <c r="I73" i="13"/>
  <c r="H73" i="13"/>
  <c r="G73" i="13"/>
  <c r="F73" i="13"/>
  <c r="I72" i="13"/>
  <c r="H72" i="13"/>
  <c r="G72" i="13"/>
  <c r="F72" i="13"/>
  <c r="I71" i="13"/>
  <c r="H71" i="13"/>
  <c r="G71" i="13"/>
  <c r="F71" i="13"/>
  <c r="I70" i="13"/>
  <c r="H70" i="13"/>
  <c r="G70" i="13"/>
  <c r="F70" i="13"/>
  <c r="I69" i="13"/>
  <c r="H69" i="13"/>
  <c r="G69" i="13"/>
  <c r="F69" i="13"/>
  <c r="I68" i="13"/>
  <c r="H68" i="13"/>
  <c r="G68" i="13"/>
  <c r="F68" i="13"/>
  <c r="I67" i="13"/>
  <c r="H67" i="13"/>
  <c r="G67" i="13"/>
  <c r="F67" i="13"/>
  <c r="I66" i="13"/>
  <c r="H66" i="13"/>
  <c r="G66" i="13"/>
  <c r="F66" i="13"/>
  <c r="I65" i="13"/>
  <c r="H65" i="13"/>
  <c r="G65" i="13"/>
  <c r="F65" i="13"/>
  <c r="I64" i="13"/>
  <c r="H64" i="13"/>
  <c r="G64" i="13"/>
  <c r="F64" i="13"/>
  <c r="I63" i="13"/>
  <c r="H63" i="13"/>
  <c r="G63" i="13"/>
  <c r="F63" i="13"/>
  <c r="I62" i="13"/>
  <c r="H62" i="13"/>
  <c r="G62" i="13"/>
  <c r="F62" i="13"/>
  <c r="I61" i="13"/>
  <c r="H61" i="13"/>
  <c r="G61" i="13"/>
  <c r="F61" i="13"/>
  <c r="I60" i="13"/>
  <c r="H60" i="13"/>
  <c r="G60" i="13"/>
  <c r="F60" i="13"/>
  <c r="I59" i="13"/>
  <c r="H59" i="13"/>
  <c r="G59" i="13"/>
  <c r="F59" i="13"/>
  <c r="I58" i="13"/>
  <c r="H58" i="13"/>
  <c r="G58" i="13"/>
  <c r="F58" i="13"/>
  <c r="I57" i="13"/>
  <c r="H57" i="13"/>
  <c r="G57" i="13"/>
  <c r="F57" i="13"/>
  <c r="T55" i="13"/>
  <c r="I56" i="13"/>
  <c r="H56" i="13"/>
  <c r="G56" i="13"/>
  <c r="F56" i="13"/>
  <c r="I55" i="13"/>
  <c r="H55" i="13"/>
  <c r="G55" i="13"/>
  <c r="F55" i="13"/>
  <c r="I54" i="13"/>
  <c r="H54" i="13"/>
  <c r="G54" i="13"/>
  <c r="F54" i="13"/>
  <c r="I53" i="13"/>
  <c r="H53" i="13"/>
  <c r="G53" i="13"/>
  <c r="F53" i="13"/>
  <c r="I52" i="13"/>
  <c r="H52" i="13"/>
  <c r="G52" i="13"/>
  <c r="F52" i="13"/>
  <c r="I51" i="13"/>
  <c r="H51" i="13"/>
  <c r="G51" i="13"/>
  <c r="F51" i="13"/>
  <c r="I50" i="13"/>
  <c r="H50" i="13"/>
  <c r="G50" i="13"/>
  <c r="F50" i="13"/>
  <c r="I49" i="13"/>
  <c r="H49" i="13"/>
  <c r="G49" i="13"/>
  <c r="F49" i="13"/>
  <c r="I48" i="13"/>
  <c r="H48" i="13"/>
  <c r="G48" i="13"/>
  <c r="F48" i="13"/>
  <c r="I47" i="13"/>
  <c r="H47" i="13"/>
  <c r="G47" i="13"/>
  <c r="F47" i="13"/>
  <c r="I46" i="13"/>
  <c r="H46" i="13"/>
  <c r="G46" i="13"/>
  <c r="F46" i="13"/>
  <c r="I45" i="13"/>
  <c r="H45" i="13"/>
  <c r="G45" i="13"/>
  <c r="F45" i="13"/>
  <c r="I44" i="13"/>
  <c r="H44" i="13"/>
  <c r="G44" i="13"/>
  <c r="F44" i="13"/>
  <c r="I43" i="13"/>
  <c r="H43" i="13"/>
  <c r="G43" i="13"/>
  <c r="F43" i="13"/>
  <c r="I42" i="13"/>
  <c r="H42" i="13"/>
  <c r="G42" i="13"/>
  <c r="F42" i="13"/>
  <c r="I41" i="13"/>
  <c r="H41" i="13"/>
  <c r="G41" i="13"/>
  <c r="F41" i="13"/>
  <c r="I40" i="13"/>
  <c r="H40" i="13"/>
  <c r="G40" i="13"/>
  <c r="F40" i="13"/>
  <c r="I39" i="13"/>
  <c r="H39" i="13"/>
  <c r="G39" i="13"/>
  <c r="F39" i="13"/>
  <c r="I38" i="13"/>
  <c r="H38" i="13"/>
  <c r="G38" i="13"/>
  <c r="F38" i="13"/>
  <c r="I37" i="13"/>
  <c r="H37" i="13"/>
  <c r="G37" i="13"/>
  <c r="F37" i="13"/>
  <c r="V36" i="13"/>
  <c r="U36" i="13"/>
  <c r="I36" i="13"/>
  <c r="H36" i="13"/>
  <c r="G36" i="13"/>
  <c r="F36" i="13"/>
  <c r="T35" i="13"/>
  <c r="I35" i="13"/>
  <c r="H35" i="13"/>
  <c r="G35" i="13"/>
  <c r="F35" i="13"/>
  <c r="I34" i="13"/>
  <c r="H34" i="13"/>
  <c r="G34" i="13"/>
  <c r="F34" i="13"/>
  <c r="I33" i="13"/>
  <c r="H33" i="13"/>
  <c r="G33" i="13"/>
  <c r="F33" i="13"/>
  <c r="I32" i="13"/>
  <c r="H32" i="13"/>
  <c r="G32" i="13"/>
  <c r="F32" i="13"/>
  <c r="I31" i="13"/>
  <c r="H31" i="13"/>
  <c r="G31" i="13"/>
  <c r="F31" i="13"/>
  <c r="I30" i="13"/>
  <c r="H30" i="13"/>
  <c r="G30" i="13"/>
  <c r="F30" i="13"/>
  <c r="I29" i="13"/>
  <c r="H29" i="13"/>
  <c r="G29" i="13"/>
  <c r="F29" i="13"/>
  <c r="I28" i="13"/>
  <c r="H28" i="13"/>
  <c r="G28" i="13"/>
  <c r="F28" i="13"/>
  <c r="I27" i="13"/>
  <c r="H27" i="13"/>
  <c r="G27" i="13"/>
  <c r="F27" i="13"/>
  <c r="I26" i="13"/>
  <c r="H26" i="13"/>
  <c r="G26" i="13"/>
  <c r="F26" i="13"/>
  <c r="I25" i="13"/>
  <c r="H25" i="13"/>
  <c r="G25" i="13"/>
  <c r="F25" i="13"/>
  <c r="I24" i="13"/>
  <c r="H24" i="13"/>
  <c r="G24" i="13"/>
  <c r="F24" i="13"/>
  <c r="I23" i="13"/>
  <c r="H23" i="13"/>
  <c r="G23" i="13"/>
  <c r="F23" i="13"/>
  <c r="I22" i="13"/>
  <c r="H22" i="13"/>
  <c r="G22" i="13"/>
  <c r="F22" i="13"/>
  <c r="I21" i="13"/>
  <c r="H21" i="13"/>
  <c r="G21" i="13"/>
  <c r="F21" i="13"/>
  <c r="U20" i="13"/>
  <c r="I20" i="13"/>
  <c r="H20" i="13"/>
  <c r="G20" i="13"/>
  <c r="F20" i="13"/>
  <c r="V19" i="13"/>
  <c r="I19" i="13"/>
  <c r="H19" i="13"/>
  <c r="G19" i="13"/>
  <c r="F19" i="13"/>
  <c r="I18" i="13"/>
  <c r="H18" i="13"/>
  <c r="G18" i="13"/>
  <c r="F18" i="13"/>
  <c r="I17" i="13"/>
  <c r="H17" i="13"/>
  <c r="G17" i="13"/>
  <c r="F17" i="13"/>
  <c r="I16" i="13"/>
  <c r="H16" i="13"/>
  <c r="G16" i="13"/>
  <c r="F16" i="13"/>
  <c r="I15" i="13"/>
  <c r="H15" i="13"/>
  <c r="G15" i="13"/>
  <c r="F15" i="13"/>
  <c r="I14" i="13"/>
  <c r="H14" i="13"/>
  <c r="G14" i="13"/>
  <c r="F14" i="13"/>
  <c r="I13" i="13"/>
  <c r="H13" i="13"/>
  <c r="G13" i="13"/>
  <c r="F13" i="13"/>
  <c r="I12" i="13"/>
  <c r="H12" i="13"/>
  <c r="G12" i="13"/>
  <c r="F12" i="13"/>
  <c r="I11" i="13"/>
  <c r="H11" i="13"/>
  <c r="G11" i="13"/>
  <c r="F11" i="13"/>
  <c r="I10" i="13"/>
  <c r="H10" i="13"/>
  <c r="G10" i="13"/>
  <c r="F10" i="13"/>
  <c r="A71" i="12"/>
  <c r="A70" i="12"/>
  <c r="C70" i="12" s="1"/>
  <c r="A69" i="12"/>
  <c r="C69" i="12" s="1"/>
  <c r="A68" i="12"/>
  <c r="C68" i="12" s="1"/>
  <c r="A67" i="12"/>
  <c r="B67" i="12" s="1"/>
  <c r="A66" i="12"/>
  <c r="C66" i="12" s="1"/>
  <c r="A65" i="12"/>
  <c r="A64" i="12"/>
  <c r="C64" i="12" s="1"/>
  <c r="A63" i="12"/>
  <c r="C63" i="12" s="1"/>
  <c r="A62" i="12"/>
  <c r="C62" i="12" s="1"/>
  <c r="A61" i="12"/>
  <c r="C61" i="12" s="1"/>
  <c r="A60" i="12"/>
  <c r="C60" i="12" s="1"/>
  <c r="A59" i="12"/>
  <c r="B59" i="12" s="1"/>
  <c r="A58" i="12"/>
  <c r="B58" i="12" s="1"/>
  <c r="A57" i="12"/>
  <c r="C57" i="12" s="1"/>
  <c r="A56" i="12"/>
  <c r="C56" i="12" s="1"/>
  <c r="A55" i="12"/>
  <c r="C55" i="12" s="1"/>
  <c r="A54" i="12"/>
  <c r="C54" i="12" s="1"/>
  <c r="A53" i="12"/>
  <c r="C53" i="12" s="1"/>
  <c r="A52" i="12"/>
  <c r="B52" i="12" s="1"/>
  <c r="A51" i="12"/>
  <c r="B51" i="12" s="1"/>
  <c r="A50" i="12"/>
  <c r="B50" i="12" s="1"/>
  <c r="A49" i="12"/>
  <c r="B49" i="12" s="1"/>
  <c r="A48" i="12"/>
  <c r="B48" i="12" s="1"/>
  <c r="A47" i="12"/>
  <c r="A46" i="12"/>
  <c r="B46" i="12" s="1"/>
  <c r="A45" i="12"/>
  <c r="C45" i="12" s="1"/>
  <c r="A44" i="12"/>
  <c r="C44" i="12" s="1"/>
  <c r="A43" i="12"/>
  <c r="C43" i="12" s="1"/>
  <c r="A42" i="12"/>
  <c r="C42" i="12" s="1"/>
  <c r="A41" i="12"/>
  <c r="C41" i="12" s="1"/>
  <c r="A40" i="12"/>
  <c r="C40" i="12" s="1"/>
  <c r="A39" i="12"/>
  <c r="C39" i="12" s="1"/>
  <c r="A38" i="12"/>
  <c r="C38" i="12" s="1"/>
  <c r="A37" i="12"/>
  <c r="C37" i="12" s="1"/>
  <c r="A36" i="12"/>
  <c r="C36" i="12" s="1"/>
  <c r="A35" i="12"/>
  <c r="C35" i="12" s="1"/>
  <c r="A34" i="12"/>
  <c r="C34" i="12" s="1"/>
  <c r="A33" i="12"/>
  <c r="C33" i="12" s="1"/>
  <c r="A32" i="12"/>
  <c r="C32" i="12" s="1"/>
  <c r="A31" i="12"/>
  <c r="C31" i="12" s="1"/>
  <c r="A30" i="12"/>
  <c r="C30" i="12" s="1"/>
  <c r="A29" i="12"/>
  <c r="C29" i="12" s="1"/>
  <c r="A28" i="12"/>
  <c r="C28" i="12" s="1"/>
  <c r="A27" i="12"/>
  <c r="C27" i="12" s="1"/>
  <c r="A26" i="12"/>
  <c r="C26" i="12" s="1"/>
  <c r="A25" i="12"/>
  <c r="C25" i="12" s="1"/>
  <c r="A24" i="12"/>
  <c r="C24" i="12" s="1"/>
  <c r="A23" i="12"/>
  <c r="C23" i="12" s="1"/>
  <c r="A22" i="12"/>
  <c r="C22" i="12" s="1"/>
  <c r="A21" i="12"/>
  <c r="C21" i="12" s="1"/>
  <c r="A20" i="12"/>
  <c r="B20" i="12" s="1"/>
  <c r="A19" i="12"/>
  <c r="C19" i="12" s="1"/>
  <c r="A18" i="12"/>
  <c r="C18" i="12" s="1"/>
  <c r="A17" i="12"/>
  <c r="C17" i="12" s="1"/>
  <c r="A16" i="12"/>
  <c r="B16" i="12" s="1"/>
  <c r="A15" i="12"/>
  <c r="C15" i="12" s="1"/>
  <c r="A14" i="12"/>
  <c r="C14" i="12" s="1"/>
  <c r="A13" i="12"/>
  <c r="C13" i="12" s="1"/>
  <c r="A12" i="12"/>
  <c r="B12" i="12" s="1"/>
  <c r="A11" i="12"/>
  <c r="B11" i="12" s="1"/>
  <c r="E8" i="12"/>
  <c r="AR38" i="10"/>
  <c r="AN38" i="10"/>
  <c r="AL38" i="10"/>
  <c r="AJ38" i="10"/>
  <c r="AH38" i="10"/>
  <c r="AF38" i="10"/>
  <c r="AD38" i="10"/>
  <c r="AB38" i="10"/>
  <c r="Z38" i="10"/>
  <c r="X38" i="10"/>
  <c r="V38" i="10"/>
  <c r="T38" i="10"/>
  <c r="R38" i="10"/>
  <c r="P38" i="10"/>
  <c r="N38" i="10"/>
  <c r="L38" i="10"/>
  <c r="J38" i="10"/>
  <c r="H38" i="10"/>
  <c r="F38" i="10"/>
  <c r="D38" i="10"/>
  <c r="AR10" i="10"/>
  <c r="AR11" i="10" s="1"/>
  <c r="AQ10" i="10"/>
  <c r="AQ11" i="10" s="1"/>
  <c r="AN10" i="10"/>
  <c r="AN11" i="10" s="1"/>
  <c r="AM10" i="10"/>
  <c r="AM11" i="10" s="1"/>
  <c r="AL10" i="10"/>
  <c r="AL11" i="10" s="1"/>
  <c r="AK10" i="10"/>
  <c r="AK11" i="10" s="1"/>
  <c r="AJ10" i="10"/>
  <c r="AJ11" i="10" s="1"/>
  <c r="AI10" i="10"/>
  <c r="AI11" i="10" s="1"/>
  <c r="AH10" i="10"/>
  <c r="AH11" i="10" s="1"/>
  <c r="AG10" i="10"/>
  <c r="AG11" i="10" s="1"/>
  <c r="AF10" i="10"/>
  <c r="AF11" i="10" s="1"/>
  <c r="AE10" i="10"/>
  <c r="AE11" i="10" s="1"/>
  <c r="AD10" i="10"/>
  <c r="AD11" i="10" s="1"/>
  <c r="AC10" i="10"/>
  <c r="AC11" i="10" s="1"/>
  <c r="AB10" i="10"/>
  <c r="AB11" i="10" s="1"/>
  <c r="AA10" i="10"/>
  <c r="AA11" i="10" s="1"/>
  <c r="Z10" i="10"/>
  <c r="Z11" i="10" s="1"/>
  <c r="Y10" i="10"/>
  <c r="Y11" i="10" s="1"/>
  <c r="X10" i="10"/>
  <c r="X11" i="10" s="1"/>
  <c r="W10" i="10"/>
  <c r="W11" i="10" s="1"/>
  <c r="V10" i="10"/>
  <c r="V11" i="10" s="1"/>
  <c r="U10" i="10"/>
  <c r="U11" i="10" s="1"/>
  <c r="T10" i="10"/>
  <c r="T11" i="10" s="1"/>
  <c r="S10" i="10"/>
  <c r="S11" i="10" s="1"/>
  <c r="R10" i="10"/>
  <c r="R11" i="10" s="1"/>
  <c r="Q10" i="10"/>
  <c r="Q11" i="10" s="1"/>
  <c r="P10" i="10"/>
  <c r="P11" i="10" s="1"/>
  <c r="O10" i="10"/>
  <c r="O11" i="10" s="1"/>
  <c r="N10" i="10"/>
  <c r="N11" i="10" s="1"/>
  <c r="M10" i="10"/>
  <c r="M11" i="10" s="1"/>
  <c r="L10" i="10"/>
  <c r="L11" i="10" s="1"/>
  <c r="K10" i="10"/>
  <c r="K11" i="10" s="1"/>
  <c r="J10" i="10"/>
  <c r="J11" i="10" s="1"/>
  <c r="I10" i="10"/>
  <c r="I11" i="10" s="1"/>
  <c r="H10" i="10"/>
  <c r="H11" i="10" s="1"/>
  <c r="G10" i="10"/>
  <c r="G11" i="10" s="1"/>
  <c r="F10" i="10"/>
  <c r="F11" i="10" s="1"/>
  <c r="E10" i="10"/>
  <c r="E11" i="10" s="1"/>
  <c r="D10" i="10"/>
  <c r="D11" i="10" s="1"/>
  <c r="C10" i="10"/>
  <c r="R173" i="9"/>
  <c r="R171" i="9" s="1"/>
  <c r="AH171" i="9"/>
  <c r="AF171" i="9"/>
  <c r="AD171" i="9"/>
  <c r="AB171" i="9"/>
  <c r="Z171" i="9"/>
  <c r="X171" i="9"/>
  <c r="V171" i="9"/>
  <c r="T171" i="9"/>
  <c r="N171" i="9"/>
  <c r="L171" i="9"/>
  <c r="F171" i="9"/>
  <c r="D171" i="9"/>
  <c r="P165" i="9"/>
  <c r="J165" i="9"/>
  <c r="H165" i="9"/>
  <c r="F165" i="9"/>
  <c r="D165" i="9"/>
  <c r="H159" i="9"/>
  <c r="AL153" i="9"/>
  <c r="P153" i="9"/>
  <c r="J153" i="9"/>
  <c r="H153" i="9"/>
  <c r="F153" i="9"/>
  <c r="D153" i="9"/>
  <c r="AN145" i="9"/>
  <c r="AL145" i="9"/>
  <c r="AJ145" i="9"/>
  <c r="AH145" i="9"/>
  <c r="AF145" i="9"/>
  <c r="AD145" i="9"/>
  <c r="AB145" i="9"/>
  <c r="Z145" i="9"/>
  <c r="X145" i="9"/>
  <c r="V145" i="9"/>
  <c r="T145" i="9"/>
  <c r="R145" i="9"/>
  <c r="P145" i="9"/>
  <c r="N145" i="9"/>
  <c r="L145" i="9"/>
  <c r="J145" i="9"/>
  <c r="H145" i="9"/>
  <c r="F145" i="9"/>
  <c r="D145" i="9"/>
  <c r="AN140" i="9"/>
  <c r="AN171" i="9" s="1"/>
  <c r="AL140" i="9"/>
  <c r="AL171" i="9" s="1"/>
  <c r="AJ140" i="9"/>
  <c r="AJ171" i="9" s="1"/>
  <c r="P140" i="9"/>
  <c r="J140" i="9"/>
  <c r="J171" i="9" s="1"/>
  <c r="H140" i="9"/>
  <c r="H171" i="9" s="1"/>
  <c r="F140" i="9"/>
  <c r="D140" i="9"/>
  <c r="C134" i="9"/>
  <c r="T129" i="9"/>
  <c r="R129" i="9"/>
  <c r="P129" i="9"/>
  <c r="N129" i="9"/>
  <c r="L129" i="9"/>
  <c r="H129" i="9"/>
  <c r="T124" i="9"/>
  <c r="S124" i="9"/>
  <c r="AN123" i="9"/>
  <c r="AN129" i="9" s="1"/>
  <c r="AL123" i="9"/>
  <c r="AL129" i="9" s="1"/>
  <c r="AJ123" i="9"/>
  <c r="AJ129" i="9" s="1"/>
  <c r="J123" i="9"/>
  <c r="J129" i="9" s="1"/>
  <c r="I123" i="9"/>
  <c r="H123" i="9"/>
  <c r="G123" i="9"/>
  <c r="F123" i="9"/>
  <c r="F129" i="9" s="1"/>
  <c r="E123" i="9"/>
  <c r="D123" i="9"/>
  <c r="D129" i="9" s="1"/>
  <c r="C123" i="9"/>
  <c r="AN113" i="9"/>
  <c r="AL113" i="9"/>
  <c r="AJ113" i="9"/>
  <c r="P113" i="9"/>
  <c r="J113" i="9"/>
  <c r="H113" i="9"/>
  <c r="F113" i="9"/>
  <c r="D113" i="9"/>
  <c r="AN108" i="9"/>
  <c r="AM108" i="9"/>
  <c r="AL108" i="9"/>
  <c r="AK108" i="9"/>
  <c r="AJ108" i="9"/>
  <c r="P108" i="9"/>
  <c r="O108" i="9"/>
  <c r="J108" i="9"/>
  <c r="I108" i="9"/>
  <c r="H108" i="9"/>
  <c r="G108" i="9"/>
  <c r="F108" i="9"/>
  <c r="E108" i="9"/>
  <c r="D108" i="9"/>
  <c r="C108" i="9"/>
  <c r="AN102" i="9"/>
  <c r="AL102" i="9"/>
  <c r="AJ102" i="9"/>
  <c r="AH102" i="9"/>
  <c r="AF102" i="9"/>
  <c r="AD102" i="9"/>
  <c r="AB102" i="9"/>
  <c r="Z102" i="9"/>
  <c r="X102" i="9"/>
  <c r="V102" i="9"/>
  <c r="T102" i="9"/>
  <c r="P102" i="9"/>
  <c r="J102" i="9"/>
  <c r="H102" i="9"/>
  <c r="F102" i="9"/>
  <c r="D102" i="9"/>
  <c r="AN97" i="9"/>
  <c r="AL97" i="9"/>
  <c r="AJ97" i="9"/>
  <c r="P97" i="9"/>
  <c r="J97" i="9"/>
  <c r="H97" i="9"/>
  <c r="F97" i="9"/>
  <c r="D97" i="9"/>
  <c r="AB77" i="9"/>
  <c r="P77" i="9"/>
  <c r="N77" i="9"/>
  <c r="L77" i="9"/>
  <c r="J77" i="9"/>
  <c r="H77" i="9"/>
  <c r="F77" i="9"/>
  <c r="D77" i="9"/>
  <c r="K68" i="9"/>
  <c r="G68" i="9"/>
  <c r="AN61" i="9"/>
  <c r="AL61" i="9"/>
  <c r="AJ61" i="9"/>
  <c r="AD61" i="9"/>
  <c r="T61" i="9"/>
  <c r="R61" i="9"/>
  <c r="P61" i="9"/>
  <c r="N61" i="9"/>
  <c r="J61" i="9"/>
  <c r="H61" i="9"/>
  <c r="F61" i="9"/>
  <c r="D61" i="9"/>
  <c r="AN46" i="9"/>
  <c r="AL46" i="9"/>
  <c r="AJ46" i="9"/>
  <c r="P46" i="9"/>
  <c r="N46" i="9"/>
  <c r="J46" i="9"/>
  <c r="H46" i="9"/>
  <c r="F46" i="9"/>
  <c r="D46" i="9"/>
  <c r="AL36" i="9"/>
  <c r="AJ36" i="9"/>
  <c r="P36" i="9"/>
  <c r="J36" i="9"/>
  <c r="F36" i="9"/>
  <c r="D36" i="9"/>
  <c r="H29" i="9"/>
  <c r="H36" i="9" s="1"/>
  <c r="AN23" i="9"/>
  <c r="AL23" i="9"/>
  <c r="AJ23" i="9"/>
  <c r="P23" i="9"/>
  <c r="J23" i="9"/>
  <c r="H23" i="9"/>
  <c r="D23" i="9"/>
  <c r="F20" i="9"/>
  <c r="F23" i="9" s="1"/>
  <c r="E20" i="9"/>
  <c r="D20" i="9"/>
  <c r="C20" i="9"/>
  <c r="AN15" i="9"/>
  <c r="AM15" i="9"/>
  <c r="AL15" i="9"/>
  <c r="AK15" i="9"/>
  <c r="P15" i="9"/>
  <c r="N15" i="9"/>
  <c r="L15" i="9"/>
  <c r="J15" i="9"/>
  <c r="H15" i="9"/>
  <c r="F15" i="9"/>
  <c r="D15" i="9"/>
  <c r="AN10" i="9"/>
  <c r="AM10" i="9"/>
  <c r="AL10" i="9"/>
  <c r="AK10" i="9"/>
  <c r="AJ10" i="9"/>
  <c r="AI10" i="9"/>
  <c r="AH10" i="9"/>
  <c r="AG10" i="9"/>
  <c r="AF10" i="9"/>
  <c r="AE10" i="9"/>
  <c r="AD10" i="9"/>
  <c r="AC10" i="9"/>
  <c r="AB10" i="9"/>
  <c r="AA10" i="9"/>
  <c r="Z10" i="9"/>
  <c r="Y10" i="9"/>
  <c r="X10" i="9"/>
  <c r="W10" i="9"/>
  <c r="V10" i="9"/>
  <c r="U10" i="9"/>
  <c r="T10" i="9"/>
  <c r="S10" i="9"/>
  <c r="R10" i="9"/>
  <c r="Q10" i="9"/>
  <c r="P10" i="9"/>
  <c r="O10" i="9"/>
  <c r="N10" i="9"/>
  <c r="M10" i="9"/>
  <c r="L10" i="9"/>
  <c r="K10" i="9"/>
  <c r="J10" i="9"/>
  <c r="I10" i="9"/>
  <c r="H10" i="9"/>
  <c r="G10" i="9"/>
  <c r="F10" i="9"/>
  <c r="E10" i="9"/>
  <c r="D10" i="9"/>
  <c r="C10" i="9"/>
  <c r="AB38" i="8"/>
  <c r="Z38" i="8"/>
  <c r="X38" i="8"/>
  <c r="V38" i="8"/>
  <c r="T38" i="8"/>
  <c r="R38" i="8"/>
  <c r="P38" i="8"/>
  <c r="N38" i="8"/>
  <c r="L38" i="8"/>
  <c r="J38" i="8"/>
  <c r="H38" i="8"/>
  <c r="F38" i="8"/>
  <c r="D38" i="8"/>
  <c r="AT10" i="8"/>
  <c r="AS10" i="8"/>
  <c r="AN10" i="8"/>
  <c r="AM10" i="8"/>
  <c r="AL10" i="8"/>
  <c r="AK10" i="8"/>
  <c r="AJ10" i="8"/>
  <c r="AI10" i="8"/>
  <c r="AH10" i="8"/>
  <c r="AG10" i="8"/>
  <c r="AF10" i="8"/>
  <c r="AE10" i="8"/>
  <c r="AD10" i="8"/>
  <c r="AC10" i="8"/>
  <c r="AB10" i="8"/>
  <c r="AA10" i="8"/>
  <c r="Z10" i="8"/>
  <c r="Y10" i="8"/>
  <c r="X10" i="8"/>
  <c r="W10" i="8"/>
  <c r="V10" i="8"/>
  <c r="U10" i="8"/>
  <c r="T10" i="8"/>
  <c r="S10" i="8"/>
  <c r="R10" i="8"/>
  <c r="Q10" i="8"/>
  <c r="P10" i="8"/>
  <c r="O10" i="8"/>
  <c r="N10" i="8"/>
  <c r="M10" i="8"/>
  <c r="L10" i="8"/>
  <c r="K10" i="8"/>
  <c r="J10" i="8"/>
  <c r="I10" i="8"/>
  <c r="H10" i="8"/>
  <c r="G10" i="8"/>
  <c r="F10" i="8"/>
  <c r="E10" i="8"/>
  <c r="D10" i="8"/>
  <c r="C10" i="8"/>
  <c r="AV219" i="7"/>
  <c r="AU219" i="7"/>
  <c r="AT219" i="7"/>
  <c r="AS219" i="7"/>
  <c r="AR219" i="7"/>
  <c r="AQ219" i="7"/>
  <c r="AP219" i="7"/>
  <c r="AO219" i="7"/>
  <c r="AN219" i="7"/>
  <c r="AM219" i="7"/>
  <c r="AL219" i="7"/>
  <c r="AK219" i="7"/>
  <c r="AJ219" i="7"/>
  <c r="AI219" i="7"/>
  <c r="AH219" i="7"/>
  <c r="AG219" i="7"/>
  <c r="AF219" i="7"/>
  <c r="AE219" i="7"/>
  <c r="AD219" i="7"/>
  <c r="AC219" i="7"/>
  <c r="AB219" i="7"/>
  <c r="AA219" i="7"/>
  <c r="Z219" i="7"/>
  <c r="Y219" i="7"/>
  <c r="X219" i="7"/>
  <c r="W219" i="7"/>
  <c r="V219" i="7"/>
  <c r="U219" i="7"/>
  <c r="T219" i="7"/>
  <c r="S219" i="7"/>
  <c r="R219" i="7"/>
  <c r="Q219" i="7"/>
  <c r="P219" i="7"/>
  <c r="O219" i="7"/>
  <c r="N219" i="7"/>
  <c r="M219" i="7"/>
  <c r="L219" i="7"/>
  <c r="K219" i="7"/>
  <c r="J219" i="7"/>
  <c r="I219" i="7"/>
  <c r="H219" i="7"/>
  <c r="G219" i="7"/>
  <c r="F219" i="7"/>
  <c r="E219" i="7"/>
  <c r="D219" i="7"/>
  <c r="C219" i="7"/>
  <c r="AT214" i="7"/>
  <c r="AR214" i="7"/>
  <c r="AJ214" i="7"/>
  <c r="AH214" i="7"/>
  <c r="AF214" i="7"/>
  <c r="AD214" i="7"/>
  <c r="AB214" i="7"/>
  <c r="X214" i="7"/>
  <c r="V214" i="7"/>
  <c r="T214" i="7"/>
  <c r="R214" i="7"/>
  <c r="P214" i="7"/>
  <c r="N214" i="7"/>
  <c r="L214" i="7"/>
  <c r="J214" i="7"/>
  <c r="H214" i="7"/>
  <c r="F214" i="7"/>
  <c r="D214" i="7"/>
  <c r="L201" i="7"/>
  <c r="AZ199" i="7"/>
  <c r="AX199" i="7"/>
  <c r="AV199" i="7"/>
  <c r="AT199" i="7"/>
  <c r="AJ199" i="7"/>
  <c r="AH199" i="7"/>
  <c r="AF199" i="7"/>
  <c r="AD199" i="7"/>
  <c r="AB199" i="7"/>
  <c r="Z199" i="7"/>
  <c r="X199" i="7"/>
  <c r="V199" i="7"/>
  <c r="T199" i="7"/>
  <c r="R199" i="7"/>
  <c r="P199" i="7"/>
  <c r="N199" i="7"/>
  <c r="L199" i="7"/>
  <c r="J199" i="7"/>
  <c r="H199" i="7"/>
  <c r="F199" i="7"/>
  <c r="D199" i="7"/>
  <c r="AZ189" i="7"/>
  <c r="AX189" i="7"/>
  <c r="AV189" i="7"/>
  <c r="AU189" i="7"/>
  <c r="AT189" i="7"/>
  <c r="AS189" i="7"/>
  <c r="AR189" i="7"/>
  <c r="AQ189" i="7"/>
  <c r="AP189" i="7"/>
  <c r="AO189" i="7"/>
  <c r="AN189" i="7"/>
  <c r="AM189" i="7"/>
  <c r="AL189" i="7"/>
  <c r="AK189" i="7"/>
  <c r="AJ189" i="7"/>
  <c r="AI189" i="7"/>
  <c r="AH189" i="7"/>
  <c r="AG189" i="7"/>
  <c r="AF189" i="7"/>
  <c r="AE189" i="7"/>
  <c r="AD189" i="7"/>
  <c r="AC189" i="7"/>
  <c r="AB189" i="7"/>
  <c r="AA189" i="7"/>
  <c r="Z189" i="7"/>
  <c r="Y189" i="7"/>
  <c r="X189" i="7"/>
  <c r="W189" i="7"/>
  <c r="V189" i="7"/>
  <c r="U189" i="7"/>
  <c r="T189" i="7"/>
  <c r="S189" i="7"/>
  <c r="R189" i="7"/>
  <c r="Q189" i="7"/>
  <c r="P189" i="7"/>
  <c r="O189" i="7"/>
  <c r="N189" i="7"/>
  <c r="M189" i="7"/>
  <c r="L189" i="7"/>
  <c r="K189" i="7"/>
  <c r="J189" i="7"/>
  <c r="I189" i="7"/>
  <c r="H189" i="7"/>
  <c r="G189" i="7"/>
  <c r="F189" i="7"/>
  <c r="E189" i="7"/>
  <c r="D187" i="7"/>
  <c r="D189" i="7" s="1"/>
  <c r="C187" i="7"/>
  <c r="C189" i="7" s="1"/>
  <c r="AZ182" i="7"/>
  <c r="AV182" i="7"/>
  <c r="AT182" i="7"/>
  <c r="AR182" i="7"/>
  <c r="AL182" i="7"/>
  <c r="AJ182" i="7"/>
  <c r="AH182" i="7"/>
  <c r="AF182" i="7"/>
  <c r="AD182" i="7"/>
  <c r="AB182" i="7"/>
  <c r="Z182" i="7"/>
  <c r="X182" i="7"/>
  <c r="V182" i="7"/>
  <c r="T182" i="7"/>
  <c r="R182" i="7"/>
  <c r="P182" i="7"/>
  <c r="P225" i="7" s="1"/>
  <c r="N182" i="7"/>
  <c r="N225" i="7" s="1"/>
  <c r="L182" i="7"/>
  <c r="L225" i="7" s="1"/>
  <c r="J182" i="7"/>
  <c r="J225" i="7" s="1"/>
  <c r="H182" i="7"/>
  <c r="H225" i="7" s="1"/>
  <c r="F182" i="7"/>
  <c r="F225" i="7" s="1"/>
  <c r="D182" i="7"/>
  <c r="Q176" i="7"/>
  <c r="O176" i="7"/>
  <c r="M176" i="7"/>
  <c r="K176" i="7"/>
  <c r="I176" i="7"/>
  <c r="AZ162" i="7"/>
  <c r="AZ169" i="7" s="1"/>
  <c r="AX162" i="7"/>
  <c r="AX169" i="7" s="1"/>
  <c r="AV162" i="7"/>
  <c r="AV169" i="7" s="1"/>
  <c r="AU162" i="7"/>
  <c r="AT162" i="7"/>
  <c r="AT169" i="7" s="1"/>
  <c r="AS162" i="7"/>
  <c r="AR162" i="7"/>
  <c r="AR169" i="7" s="1"/>
  <c r="AQ162" i="7"/>
  <c r="AP162" i="7"/>
  <c r="AP169" i="7" s="1"/>
  <c r="AO162" i="7"/>
  <c r="AN162" i="7"/>
  <c r="AN169" i="7" s="1"/>
  <c r="AM162" i="7"/>
  <c r="AL162" i="7"/>
  <c r="AL169" i="7" s="1"/>
  <c r="AK162" i="7"/>
  <c r="AJ162" i="7"/>
  <c r="AJ169" i="7" s="1"/>
  <c r="AI162" i="7"/>
  <c r="AH162" i="7"/>
  <c r="AH169" i="7" s="1"/>
  <c r="AG162" i="7"/>
  <c r="AF162" i="7"/>
  <c r="AF169" i="7" s="1"/>
  <c r="AE162" i="7"/>
  <c r="AD162" i="7"/>
  <c r="AD169" i="7" s="1"/>
  <c r="AC162" i="7"/>
  <c r="AB162" i="7"/>
  <c r="AB169" i="7" s="1"/>
  <c r="AA162" i="7"/>
  <c r="Z162" i="7"/>
  <c r="Z169" i="7" s="1"/>
  <c r="Y162" i="7"/>
  <c r="X162" i="7"/>
  <c r="X169" i="7" s="1"/>
  <c r="W162" i="7"/>
  <c r="V162" i="7"/>
  <c r="V169" i="7" s="1"/>
  <c r="T162" i="7"/>
  <c r="T169" i="7" s="1"/>
  <c r="R162" i="7"/>
  <c r="R169" i="7" s="1"/>
  <c r="Q162" i="7"/>
  <c r="P162" i="7"/>
  <c r="P169" i="7" s="1"/>
  <c r="O162" i="7"/>
  <c r="N162" i="7"/>
  <c r="N169" i="7" s="1"/>
  <c r="M162" i="7"/>
  <c r="L162" i="7"/>
  <c r="L169" i="7" s="1"/>
  <c r="K162" i="7"/>
  <c r="J162" i="7"/>
  <c r="J169" i="7" s="1"/>
  <c r="I162" i="7"/>
  <c r="H162" i="7"/>
  <c r="H169" i="7" s="1"/>
  <c r="G162" i="7"/>
  <c r="F162" i="7"/>
  <c r="F169" i="7" s="1"/>
  <c r="E162" i="7"/>
  <c r="D162" i="7"/>
  <c r="D169" i="7" s="1"/>
  <c r="C162" i="7"/>
  <c r="D154" i="7"/>
  <c r="C154" i="7"/>
  <c r="AZ150" i="7"/>
  <c r="AX150" i="7"/>
  <c r="AV150" i="7"/>
  <c r="AT150" i="7"/>
  <c r="AJ150" i="7"/>
  <c r="AH150" i="7"/>
  <c r="AF150" i="7"/>
  <c r="AD150" i="7"/>
  <c r="AB150" i="7"/>
  <c r="Z150" i="7"/>
  <c r="X150" i="7"/>
  <c r="V150" i="7"/>
  <c r="T150" i="7"/>
  <c r="R150" i="7"/>
  <c r="P150" i="7"/>
  <c r="N150" i="7"/>
  <c r="L150" i="7"/>
  <c r="J150" i="7"/>
  <c r="H150" i="7"/>
  <c r="F150" i="7"/>
  <c r="D150" i="7"/>
  <c r="AZ145" i="7"/>
  <c r="AY145" i="7"/>
  <c r="AX145" i="7"/>
  <c r="AW145" i="7"/>
  <c r="AV145" i="7"/>
  <c r="AU145" i="7"/>
  <c r="AT145" i="7"/>
  <c r="AS145" i="7"/>
  <c r="AR145" i="7"/>
  <c r="AQ145" i="7"/>
  <c r="AP145" i="7"/>
  <c r="AO145" i="7"/>
  <c r="AN145" i="7"/>
  <c r="AM145" i="7"/>
  <c r="AJ145" i="7"/>
  <c r="AI145" i="7"/>
  <c r="AH145" i="7"/>
  <c r="AG145" i="7"/>
  <c r="AF145" i="7"/>
  <c r="AE145" i="7"/>
  <c r="AD145" i="7"/>
  <c r="AC145" i="7"/>
  <c r="AB145" i="7"/>
  <c r="AA145" i="7"/>
  <c r="Z145" i="7"/>
  <c r="Y145" i="7"/>
  <c r="X145" i="7"/>
  <c r="W145" i="7"/>
  <c r="V145" i="7"/>
  <c r="U145" i="7"/>
  <c r="T145" i="7"/>
  <c r="S145" i="7"/>
  <c r="R145" i="7"/>
  <c r="Q145" i="7"/>
  <c r="P145" i="7"/>
  <c r="O145" i="7"/>
  <c r="K142" i="7"/>
  <c r="K145" i="7" s="1"/>
  <c r="N141" i="7"/>
  <c r="N142" i="7" s="1"/>
  <c r="M141" i="7"/>
  <c r="M142" i="7" s="1"/>
  <c r="L141" i="7"/>
  <c r="L142" i="7" s="1"/>
  <c r="J141" i="7"/>
  <c r="J142" i="7" s="1"/>
  <c r="I141" i="7"/>
  <c r="H141" i="7"/>
  <c r="H142" i="7" s="1"/>
  <c r="H145" i="7" s="1"/>
  <c r="G141" i="7"/>
  <c r="G142" i="7" s="1"/>
  <c r="F141" i="7"/>
  <c r="F145" i="7" s="1"/>
  <c r="E141" i="7"/>
  <c r="E145" i="7" s="1"/>
  <c r="D141" i="7"/>
  <c r="D145" i="7" s="1"/>
  <c r="C141" i="7"/>
  <c r="C145" i="7" s="1"/>
  <c r="AZ138" i="7"/>
  <c r="AX138" i="7"/>
  <c r="AV138" i="7"/>
  <c r="AT138" i="7"/>
  <c r="AR138" i="7"/>
  <c r="AP138" i="7"/>
  <c r="AN138" i="7"/>
  <c r="AL138" i="7"/>
  <c r="AJ138" i="7"/>
  <c r="AH138" i="7"/>
  <c r="AF138" i="7"/>
  <c r="AD138" i="7"/>
  <c r="AB138" i="7"/>
  <c r="Z138" i="7"/>
  <c r="X138" i="7"/>
  <c r="V138" i="7"/>
  <c r="T138" i="7"/>
  <c r="R138" i="7"/>
  <c r="P138" i="7"/>
  <c r="N138" i="7"/>
  <c r="L138" i="7"/>
  <c r="J138" i="7"/>
  <c r="H138" i="7"/>
  <c r="F138" i="7"/>
  <c r="D138" i="7"/>
  <c r="AZ133" i="7"/>
  <c r="AX133" i="7"/>
  <c r="AV133" i="7"/>
  <c r="AT133" i="7"/>
  <c r="AR133" i="7"/>
  <c r="AP133" i="7"/>
  <c r="AN133" i="7"/>
  <c r="AJ133" i="7"/>
  <c r="AH133" i="7"/>
  <c r="AF133" i="7"/>
  <c r="AD133" i="7"/>
  <c r="AB133" i="7"/>
  <c r="Z133" i="7"/>
  <c r="X133" i="7"/>
  <c r="V133" i="7"/>
  <c r="T133" i="7"/>
  <c r="R133" i="7"/>
  <c r="P133" i="7"/>
  <c r="N133" i="7"/>
  <c r="L133" i="7"/>
  <c r="J133" i="7"/>
  <c r="H133" i="7"/>
  <c r="F133" i="7"/>
  <c r="D122" i="7"/>
  <c r="D133" i="7" s="1"/>
  <c r="C122" i="7"/>
  <c r="AB114" i="7"/>
  <c r="Z114" i="7"/>
  <c r="X114" i="7"/>
  <c r="V114" i="7"/>
  <c r="T114" i="7"/>
  <c r="AV110" i="7"/>
  <c r="AT110" i="7"/>
  <c r="AR110" i="7"/>
  <c r="AP110" i="7"/>
  <c r="AN110" i="7"/>
  <c r="AL110" i="7"/>
  <c r="AJ110" i="7"/>
  <c r="AH110" i="7"/>
  <c r="AF110" i="7"/>
  <c r="AD110" i="7"/>
  <c r="AB110" i="7"/>
  <c r="Z110" i="7"/>
  <c r="X110" i="7"/>
  <c r="V110" i="7"/>
  <c r="T110" i="7"/>
  <c r="R110" i="7"/>
  <c r="P110" i="7"/>
  <c r="N110" i="7"/>
  <c r="L110" i="7"/>
  <c r="J110" i="7"/>
  <c r="H110" i="7"/>
  <c r="F110" i="7"/>
  <c r="D110" i="7"/>
  <c r="AZ86" i="7"/>
  <c r="AX86" i="7"/>
  <c r="AV86" i="7"/>
  <c r="AT86" i="7"/>
  <c r="AR86" i="7"/>
  <c r="AP86" i="7"/>
  <c r="AN86" i="7"/>
  <c r="AJ86" i="7"/>
  <c r="AH86" i="7"/>
  <c r="AF86" i="7"/>
  <c r="AD86" i="7"/>
  <c r="AB86" i="7"/>
  <c r="Z86" i="7"/>
  <c r="X86" i="7"/>
  <c r="V86" i="7"/>
  <c r="T86" i="7"/>
  <c r="R86" i="7"/>
  <c r="P86" i="7"/>
  <c r="N86" i="7"/>
  <c r="L86" i="7"/>
  <c r="F86" i="7"/>
  <c r="J83" i="7"/>
  <c r="J86" i="7" s="1"/>
  <c r="I83" i="7"/>
  <c r="H83" i="7"/>
  <c r="H86" i="7" s="1"/>
  <c r="G83" i="7"/>
  <c r="D83" i="7"/>
  <c r="D86" i="7" s="1"/>
  <c r="C83" i="7"/>
  <c r="AX69" i="7"/>
  <c r="AT69" i="7"/>
  <c r="AP69" i="7"/>
  <c r="AN69" i="7"/>
  <c r="AJ69" i="7"/>
  <c r="AH69" i="7"/>
  <c r="AF69" i="7"/>
  <c r="AD69" i="7"/>
  <c r="AB69" i="7"/>
  <c r="Z69" i="7"/>
  <c r="X69" i="7"/>
  <c r="V69" i="7"/>
  <c r="T69" i="7"/>
  <c r="R69" i="7"/>
  <c r="P69" i="7"/>
  <c r="N69" i="7"/>
  <c r="L69" i="7"/>
  <c r="J69" i="7"/>
  <c r="F69" i="7"/>
  <c r="D68" i="7"/>
  <c r="D69" i="7" s="1"/>
  <c r="C68" i="7"/>
  <c r="AZ59" i="7"/>
  <c r="AX59" i="7"/>
  <c r="AV59" i="7"/>
  <c r="AT59" i="7"/>
  <c r="AR59" i="7"/>
  <c r="AP59" i="7"/>
  <c r="AN59" i="7"/>
  <c r="AJ59" i="7"/>
  <c r="AH59" i="7"/>
  <c r="AF59" i="7"/>
  <c r="AD59" i="7"/>
  <c r="AB59" i="7"/>
  <c r="Z59" i="7"/>
  <c r="X59" i="7"/>
  <c r="V59" i="7"/>
  <c r="T59" i="7"/>
  <c r="L58" i="7"/>
  <c r="K58" i="7"/>
  <c r="H58" i="7"/>
  <c r="G58" i="7"/>
  <c r="L54" i="7"/>
  <c r="K54" i="7"/>
  <c r="J54" i="7"/>
  <c r="J59" i="7" s="1"/>
  <c r="I54" i="7"/>
  <c r="H54" i="7"/>
  <c r="G54" i="7"/>
  <c r="D54" i="7"/>
  <c r="D59" i="7" s="1"/>
  <c r="C54" i="7"/>
  <c r="R50" i="7"/>
  <c r="R59" i="7" s="1"/>
  <c r="P50" i="7"/>
  <c r="P59" i="7" s="1"/>
  <c r="N50" i="7"/>
  <c r="N59" i="7" s="1"/>
  <c r="L50" i="7"/>
  <c r="H50" i="7"/>
  <c r="F50" i="7"/>
  <c r="F59" i="7" s="1"/>
  <c r="AZ42" i="7"/>
  <c r="AX42" i="7"/>
  <c r="AV42" i="7"/>
  <c r="AT42" i="7"/>
  <c r="AR42" i="7"/>
  <c r="AP42" i="7"/>
  <c r="AN42" i="7"/>
  <c r="AL42" i="7"/>
  <c r="AJ42" i="7"/>
  <c r="AH42" i="7"/>
  <c r="AF42" i="7"/>
  <c r="AD42" i="7"/>
  <c r="AB42" i="7"/>
  <c r="X42" i="7"/>
  <c r="T42" i="7"/>
  <c r="R42" i="7"/>
  <c r="J42" i="7"/>
  <c r="F42" i="7"/>
  <c r="AC36" i="7"/>
  <c r="Z36" i="7"/>
  <c r="Z42" i="7" s="1"/>
  <c r="Y36" i="7"/>
  <c r="V36" i="7"/>
  <c r="V42" i="7" s="1"/>
  <c r="U36" i="7"/>
  <c r="Q34" i="7"/>
  <c r="P34" i="7"/>
  <c r="P42" i="7" s="1"/>
  <c r="O34" i="7"/>
  <c r="N34" i="7"/>
  <c r="N42" i="7" s="1"/>
  <c r="M34" i="7"/>
  <c r="L34" i="7"/>
  <c r="L42" i="7" s="1"/>
  <c r="K34" i="7"/>
  <c r="H34" i="7"/>
  <c r="H42" i="7" s="1"/>
  <c r="G34" i="7"/>
  <c r="D34" i="7"/>
  <c r="D42" i="7" s="1"/>
  <c r="C34" i="7"/>
  <c r="D29" i="7"/>
  <c r="C29" i="7"/>
  <c r="AZ16" i="7"/>
  <c r="AY16" i="7"/>
  <c r="AX16" i="7"/>
  <c r="AV16" i="7"/>
  <c r="AT16" i="7"/>
  <c r="AR16" i="7"/>
  <c r="AP16" i="7"/>
  <c r="AN16" i="7"/>
  <c r="AJ16" i="7"/>
  <c r="AH16" i="7"/>
  <c r="AF16" i="7"/>
  <c r="AD16" i="7"/>
  <c r="AB16" i="7"/>
  <c r="Z16" i="7"/>
  <c r="X16" i="7"/>
  <c r="V16" i="7"/>
  <c r="T16" i="7"/>
  <c r="R16" i="7"/>
  <c r="P16" i="7"/>
  <c r="N16" i="7"/>
  <c r="L16" i="7"/>
  <c r="J16" i="7"/>
  <c r="H16" i="7"/>
  <c r="F16" i="7"/>
  <c r="D16" i="7"/>
  <c r="C16" i="7"/>
  <c r="AZ10" i="7"/>
  <c r="AY10" i="7"/>
  <c r="AX10" i="7"/>
  <c r="AW10" i="7"/>
  <c r="AV10" i="7"/>
  <c r="AU10" i="7"/>
  <c r="AT10" i="7"/>
  <c r="AS10" i="7"/>
  <c r="AR10" i="7"/>
  <c r="AQ10" i="7"/>
  <c r="AP10" i="7"/>
  <c r="AO10" i="7"/>
  <c r="AN10" i="7"/>
  <c r="AM10" i="7"/>
  <c r="AL10" i="7"/>
  <c r="AK10" i="7"/>
  <c r="AJ10" i="7"/>
  <c r="AI10" i="7"/>
  <c r="AH10" i="7"/>
  <c r="AG10" i="7"/>
  <c r="AF10" i="7"/>
  <c r="AE10" i="7"/>
  <c r="AD10" i="7"/>
  <c r="AC10" i="7"/>
  <c r="AB10" i="7"/>
  <c r="AA10" i="7"/>
  <c r="Z10" i="7"/>
  <c r="Y10" i="7"/>
  <c r="X10" i="7"/>
  <c r="W10" i="7"/>
  <c r="V10" i="7"/>
  <c r="U10" i="7"/>
  <c r="T10" i="7"/>
  <c r="S10" i="7"/>
  <c r="R10" i="7"/>
  <c r="Q10" i="7"/>
  <c r="P10" i="7"/>
  <c r="O10" i="7"/>
  <c r="N10" i="7"/>
  <c r="M10" i="7"/>
  <c r="L10" i="7"/>
  <c r="K10" i="7"/>
  <c r="J10" i="7"/>
  <c r="I10" i="7"/>
  <c r="H10" i="7"/>
  <c r="G10" i="7"/>
  <c r="F10" i="7"/>
  <c r="E10" i="7"/>
  <c r="D10" i="7"/>
  <c r="C10" i="7"/>
  <c r="A1302" i="6"/>
  <c r="B1302" i="6" s="1"/>
  <c r="A1301" i="6"/>
  <c r="B1301" i="6" s="1"/>
  <c r="A1300" i="6"/>
  <c r="B1300" i="6" s="1"/>
  <c r="A1299" i="6"/>
  <c r="B1299" i="6" s="1"/>
  <c r="A1298" i="6"/>
  <c r="B1298" i="6" s="1"/>
  <c r="A1297" i="6"/>
  <c r="B1297" i="6" s="1"/>
  <c r="A1296" i="6"/>
  <c r="B1296" i="6" s="1"/>
  <c r="A1295" i="6"/>
  <c r="B1295" i="6" s="1"/>
  <c r="A1294" i="6"/>
  <c r="B1294" i="6" s="1"/>
  <c r="A1293" i="6"/>
  <c r="B1293" i="6" s="1"/>
  <c r="A1292" i="6"/>
  <c r="B1292" i="6" s="1"/>
  <c r="A1291" i="6"/>
  <c r="B1291" i="6" s="1"/>
  <c r="A1290" i="6"/>
  <c r="B1290" i="6" s="1"/>
  <c r="A1289" i="6"/>
  <c r="B1289" i="6" s="1"/>
  <c r="A1288" i="6"/>
  <c r="B1288" i="6" s="1"/>
  <c r="A1287" i="6"/>
  <c r="B1287" i="6" s="1"/>
  <c r="A1286" i="6"/>
  <c r="B1286" i="6" s="1"/>
  <c r="A1285" i="6"/>
  <c r="B1285" i="6" s="1"/>
  <c r="A1284" i="6"/>
  <c r="B1284" i="6" s="1"/>
  <c r="A1283" i="6"/>
  <c r="B1283" i="6" s="1"/>
  <c r="A1282" i="6"/>
  <c r="B1282" i="6" s="1"/>
  <c r="A1281" i="6"/>
  <c r="B1281" i="6" s="1"/>
  <c r="A1280" i="6"/>
  <c r="B1280" i="6" s="1"/>
  <c r="A1279" i="6"/>
  <c r="B1279" i="6" s="1"/>
  <c r="A1278" i="6"/>
  <c r="B1278" i="6" s="1"/>
  <c r="A1277" i="6"/>
  <c r="B1277" i="6" s="1"/>
  <c r="A1276" i="6"/>
  <c r="B1276" i="6" s="1"/>
  <c r="A1275" i="6"/>
  <c r="B1275" i="6" s="1"/>
  <c r="A1274" i="6"/>
  <c r="B1274" i="6" s="1"/>
  <c r="A1273" i="6"/>
  <c r="B1273" i="6" s="1"/>
  <c r="A1272" i="6"/>
  <c r="B1272" i="6" s="1"/>
  <c r="A1271" i="6"/>
  <c r="B1271" i="6" s="1"/>
  <c r="A1270" i="6"/>
  <c r="B1270" i="6" s="1"/>
  <c r="A1269" i="6"/>
  <c r="B1269" i="6" s="1"/>
  <c r="A1268" i="6"/>
  <c r="B1268" i="6" s="1"/>
  <c r="A1267" i="6"/>
  <c r="B1267" i="6" s="1"/>
  <c r="A1266" i="6"/>
  <c r="B1266" i="6" s="1"/>
  <c r="A1265" i="6"/>
  <c r="B1265" i="6" s="1"/>
  <c r="A1264" i="6"/>
  <c r="B1264" i="6" s="1"/>
  <c r="A1263" i="6"/>
  <c r="B1263" i="6" s="1"/>
  <c r="A1262" i="6"/>
  <c r="B1262" i="6" s="1"/>
  <c r="A1261" i="6"/>
  <c r="B1261" i="6" s="1"/>
  <c r="A1260" i="6"/>
  <c r="B1260" i="6" s="1"/>
  <c r="A1259" i="6"/>
  <c r="B1259" i="6" s="1"/>
  <c r="A1258" i="6"/>
  <c r="B1258" i="6" s="1"/>
  <c r="A1257" i="6"/>
  <c r="B1257" i="6" s="1"/>
  <c r="A1256" i="6"/>
  <c r="B1256" i="6" s="1"/>
  <c r="A1255" i="6"/>
  <c r="B1255" i="6" s="1"/>
  <c r="A1254" i="6"/>
  <c r="B1254" i="6" s="1"/>
  <c r="A1253" i="6"/>
  <c r="B1253" i="6" s="1"/>
  <c r="A1252" i="6"/>
  <c r="B1252" i="6" s="1"/>
  <c r="A1251" i="6"/>
  <c r="B1251" i="6" s="1"/>
  <c r="A1250" i="6"/>
  <c r="B1250" i="6" s="1"/>
  <c r="A1249" i="6"/>
  <c r="B1249" i="6" s="1"/>
  <c r="A1248" i="6"/>
  <c r="B1248" i="6" s="1"/>
  <c r="A1247" i="6"/>
  <c r="B1247" i="6" s="1"/>
  <c r="A1246" i="6"/>
  <c r="B1246" i="6" s="1"/>
  <c r="A1245" i="6"/>
  <c r="B1245" i="6" s="1"/>
  <c r="A1244" i="6"/>
  <c r="B1244" i="6" s="1"/>
  <c r="A1243" i="6"/>
  <c r="B1243" i="6" s="1"/>
  <c r="A1242" i="6"/>
  <c r="B1242" i="6" s="1"/>
  <c r="A1241" i="6"/>
  <c r="B1241" i="6" s="1"/>
  <c r="A1240" i="6"/>
  <c r="B1240" i="6" s="1"/>
  <c r="A1239" i="6"/>
  <c r="B1239" i="6" s="1"/>
  <c r="A1238" i="6"/>
  <c r="B1238" i="6" s="1"/>
  <c r="A1237" i="6"/>
  <c r="B1237" i="6" s="1"/>
  <c r="A1236" i="6"/>
  <c r="B1236" i="6" s="1"/>
  <c r="A1235" i="6"/>
  <c r="B1235" i="6" s="1"/>
  <c r="A1234" i="6"/>
  <c r="B1234" i="6" s="1"/>
  <c r="A1233" i="6"/>
  <c r="B1233" i="6" s="1"/>
  <c r="A1232" i="6"/>
  <c r="B1232" i="6" s="1"/>
  <c r="A1231" i="6"/>
  <c r="B1231" i="6" s="1"/>
  <c r="A1230" i="6"/>
  <c r="B1230" i="6" s="1"/>
  <c r="A1229" i="6"/>
  <c r="B1229" i="6" s="1"/>
  <c r="A1228" i="6"/>
  <c r="B1228" i="6" s="1"/>
  <c r="BN1227" i="6"/>
  <c r="A1227" i="6"/>
  <c r="B1227" i="6" s="1"/>
  <c r="BN1226" i="6"/>
  <c r="A1226" i="6"/>
  <c r="B1226" i="6" s="1"/>
  <c r="BN1225" i="6"/>
  <c r="A1225" i="6"/>
  <c r="B1225" i="6" s="1"/>
  <c r="BN1224" i="6"/>
  <c r="A1224" i="6"/>
  <c r="B1224" i="6" s="1"/>
  <c r="BN1223" i="6"/>
  <c r="A1223" i="6"/>
  <c r="B1223" i="6" s="1"/>
  <c r="BN1222" i="6"/>
  <c r="A1222" i="6"/>
  <c r="B1222" i="6" s="1"/>
  <c r="BN1221" i="6"/>
  <c r="A1221" i="6"/>
  <c r="B1221" i="6" s="1"/>
  <c r="BN1220" i="6"/>
  <c r="A1220" i="6"/>
  <c r="B1220" i="6" s="1"/>
  <c r="BN1219" i="6"/>
  <c r="A1219" i="6"/>
  <c r="B1219" i="6" s="1"/>
  <c r="BN1218" i="6"/>
  <c r="A1218" i="6"/>
  <c r="B1218" i="6" s="1"/>
  <c r="BN1217" i="6"/>
  <c r="A1217" i="6"/>
  <c r="B1217" i="6" s="1"/>
  <c r="BN1216" i="6"/>
  <c r="A1216" i="6"/>
  <c r="B1216" i="6" s="1"/>
  <c r="BN1215" i="6"/>
  <c r="A1215" i="6"/>
  <c r="B1215" i="6" s="1"/>
  <c r="BN1214" i="6"/>
  <c r="A1214" i="6"/>
  <c r="B1214" i="6" s="1"/>
  <c r="BN1213" i="6"/>
  <c r="A1213" i="6"/>
  <c r="B1213" i="6" s="1"/>
  <c r="BN1212" i="6"/>
  <c r="A1212" i="6"/>
  <c r="B1212" i="6" s="1"/>
  <c r="BN1211" i="6"/>
  <c r="A1211" i="6"/>
  <c r="B1211" i="6" s="1"/>
  <c r="BN1210" i="6"/>
  <c r="A1210" i="6"/>
  <c r="B1210" i="6" s="1"/>
  <c r="BN1209" i="6"/>
  <c r="A1209" i="6"/>
  <c r="B1209" i="6" s="1"/>
  <c r="BN1208" i="6"/>
  <c r="A1208" i="6"/>
  <c r="B1208" i="6" s="1"/>
  <c r="BN1207" i="6"/>
  <c r="A1207" i="6"/>
  <c r="B1207" i="6" s="1"/>
  <c r="BN1206" i="6"/>
  <c r="A1206" i="6"/>
  <c r="B1206" i="6" s="1"/>
  <c r="BN1205" i="6"/>
  <c r="A1205" i="6"/>
  <c r="B1205" i="6" s="1"/>
  <c r="BN1204" i="6"/>
  <c r="A1204" i="6"/>
  <c r="B1204" i="6" s="1"/>
  <c r="BN1203" i="6"/>
  <c r="A1203" i="6"/>
  <c r="B1203" i="6" s="1"/>
  <c r="BN1202" i="6"/>
  <c r="A1202" i="6"/>
  <c r="B1202" i="6" s="1"/>
  <c r="BN1201" i="6"/>
  <c r="A1201" i="6"/>
  <c r="B1201" i="6" s="1"/>
  <c r="BN1200" i="6"/>
  <c r="A1200" i="6"/>
  <c r="B1200" i="6" s="1"/>
  <c r="BN1199" i="6"/>
  <c r="A1199" i="6"/>
  <c r="B1199" i="6" s="1"/>
  <c r="BN1198" i="6"/>
  <c r="A1198" i="6"/>
  <c r="B1198" i="6" s="1"/>
  <c r="BN1197" i="6"/>
  <c r="A1197" i="6"/>
  <c r="B1197" i="6" s="1"/>
  <c r="BN1196" i="6"/>
  <c r="A1196" i="6"/>
  <c r="B1196" i="6" s="1"/>
  <c r="BN1195" i="6"/>
  <c r="A1195" i="6"/>
  <c r="B1195" i="6" s="1"/>
  <c r="BN1194" i="6"/>
  <c r="A1194" i="6"/>
  <c r="B1194" i="6" s="1"/>
  <c r="BN1193" i="6"/>
  <c r="A1193" i="6"/>
  <c r="B1193" i="6" s="1"/>
  <c r="BN1192" i="6"/>
  <c r="A1192" i="6"/>
  <c r="B1192" i="6" s="1"/>
  <c r="BN1191" i="6"/>
  <c r="A1191" i="6"/>
  <c r="B1191" i="6" s="1"/>
  <c r="BN1190" i="6"/>
  <c r="A1190" i="6"/>
  <c r="B1190" i="6" s="1"/>
  <c r="BN1189" i="6"/>
  <c r="A1189" i="6"/>
  <c r="B1189" i="6" s="1"/>
  <c r="BN1188" i="6"/>
  <c r="A1188" i="6"/>
  <c r="B1188" i="6" s="1"/>
  <c r="BN1187" i="6"/>
  <c r="A1187" i="6"/>
  <c r="B1187" i="6" s="1"/>
  <c r="BN1186" i="6"/>
  <c r="A1186" i="6"/>
  <c r="B1186" i="6" s="1"/>
  <c r="BN1185" i="6"/>
  <c r="A1185" i="6"/>
  <c r="B1185" i="6" s="1"/>
  <c r="BN1184" i="6"/>
  <c r="A1184" i="6"/>
  <c r="B1184" i="6" s="1"/>
  <c r="BN1183" i="6"/>
  <c r="A1183" i="6"/>
  <c r="B1183" i="6" s="1"/>
  <c r="BN1182" i="6"/>
  <c r="A1182" i="6"/>
  <c r="B1182" i="6" s="1"/>
  <c r="BN1181" i="6"/>
  <c r="A1181" i="6"/>
  <c r="B1181" i="6" s="1"/>
  <c r="BN1180" i="6"/>
  <c r="A1180" i="6"/>
  <c r="B1180" i="6" s="1"/>
  <c r="BN1179" i="6"/>
  <c r="A1179" i="6"/>
  <c r="B1179" i="6" s="1"/>
  <c r="BN1178" i="6"/>
  <c r="A1178" i="6"/>
  <c r="B1178" i="6" s="1"/>
  <c r="BN1177" i="6"/>
  <c r="A1177" i="6"/>
  <c r="B1177" i="6" s="1"/>
  <c r="BN1176" i="6"/>
  <c r="A1176" i="6"/>
  <c r="B1176" i="6" s="1"/>
  <c r="BN1175" i="6"/>
  <c r="A1175" i="6"/>
  <c r="B1175" i="6" s="1"/>
  <c r="BN1174" i="6"/>
  <c r="A1174" i="6"/>
  <c r="B1174" i="6" s="1"/>
  <c r="BN1173" i="6"/>
  <c r="A1173" i="6"/>
  <c r="B1173" i="6" s="1"/>
  <c r="BN1172" i="6"/>
  <c r="A1172" i="6"/>
  <c r="B1172" i="6" s="1"/>
  <c r="BN1171" i="6"/>
  <c r="A1171" i="6"/>
  <c r="B1171" i="6" s="1"/>
  <c r="BN1170" i="6"/>
  <c r="A1170" i="6"/>
  <c r="B1170" i="6" s="1"/>
  <c r="BN1169" i="6"/>
  <c r="A1169" i="6"/>
  <c r="B1169" i="6" s="1"/>
  <c r="BN1168" i="6"/>
  <c r="A1168" i="6"/>
  <c r="B1168" i="6" s="1"/>
  <c r="BN1167" i="6"/>
  <c r="A1167" i="6"/>
  <c r="B1167" i="6" s="1"/>
  <c r="BN1166" i="6"/>
  <c r="A1166" i="6"/>
  <c r="B1166" i="6" s="1"/>
  <c r="BN1165" i="6"/>
  <c r="A1165" i="6"/>
  <c r="B1165" i="6" s="1"/>
  <c r="BN1164" i="6"/>
  <c r="A1164" i="6"/>
  <c r="B1164" i="6" s="1"/>
  <c r="BN1163" i="6"/>
  <c r="A1163" i="6"/>
  <c r="B1163" i="6" s="1"/>
  <c r="BN1162" i="6"/>
  <c r="A1162" i="6"/>
  <c r="B1162" i="6" s="1"/>
  <c r="BN1161" i="6"/>
  <c r="A1161" i="6"/>
  <c r="B1161" i="6" s="1"/>
  <c r="BN1160" i="6"/>
  <c r="A1160" i="6"/>
  <c r="B1160" i="6" s="1"/>
  <c r="BN1159" i="6"/>
  <c r="A1159" i="6"/>
  <c r="B1159" i="6" s="1"/>
  <c r="BN1158" i="6"/>
  <c r="A1158" i="6"/>
  <c r="B1158" i="6" s="1"/>
  <c r="BN1157" i="6"/>
  <c r="A1157" i="6"/>
  <c r="B1157" i="6" s="1"/>
  <c r="BN1156" i="6"/>
  <c r="A1156" i="6"/>
  <c r="B1156" i="6" s="1"/>
  <c r="BN1155" i="6"/>
  <c r="A1155" i="6"/>
  <c r="B1155" i="6" s="1"/>
  <c r="BN1154" i="6"/>
  <c r="A1154" i="6"/>
  <c r="B1154" i="6" s="1"/>
  <c r="BN1153" i="6"/>
  <c r="A1153" i="6"/>
  <c r="B1153" i="6" s="1"/>
  <c r="BN1152" i="6"/>
  <c r="A1152" i="6"/>
  <c r="B1152" i="6" s="1"/>
  <c r="BN1151" i="6"/>
  <c r="A1151" i="6"/>
  <c r="B1151" i="6" s="1"/>
  <c r="BN1150" i="6"/>
  <c r="A1150" i="6"/>
  <c r="B1150" i="6" s="1"/>
  <c r="BN1149" i="6"/>
  <c r="A1149" i="6"/>
  <c r="B1149" i="6" s="1"/>
  <c r="BN1148" i="6"/>
  <c r="A1148" i="6"/>
  <c r="B1148" i="6" s="1"/>
  <c r="BN1147" i="6"/>
  <c r="A1147" i="6"/>
  <c r="B1147" i="6" s="1"/>
  <c r="BN1146" i="6"/>
  <c r="A1146" i="6"/>
  <c r="B1146" i="6" s="1"/>
  <c r="BN1145" i="6"/>
  <c r="A1145" i="6"/>
  <c r="B1145" i="6" s="1"/>
  <c r="BN1144" i="6"/>
  <c r="A1144" i="6"/>
  <c r="B1144" i="6" s="1"/>
  <c r="BN1143" i="6"/>
  <c r="A1143" i="6"/>
  <c r="B1143" i="6" s="1"/>
  <c r="BN1142" i="6"/>
  <c r="A1142" i="6"/>
  <c r="B1142" i="6" s="1"/>
  <c r="BN1141" i="6"/>
  <c r="A1141" i="6"/>
  <c r="B1141" i="6" s="1"/>
  <c r="BN1140" i="6"/>
  <c r="A1140" i="6"/>
  <c r="B1140" i="6" s="1"/>
  <c r="BN1139" i="6"/>
  <c r="A1139" i="6"/>
  <c r="B1139" i="6" s="1"/>
  <c r="BN1138" i="6"/>
  <c r="A1138" i="6"/>
  <c r="B1138" i="6" s="1"/>
  <c r="BN1137" i="6"/>
  <c r="A1137" i="6"/>
  <c r="B1137" i="6" s="1"/>
  <c r="BN1136" i="6"/>
  <c r="A1136" i="6"/>
  <c r="B1136" i="6" s="1"/>
  <c r="BN1135" i="6"/>
  <c r="A1135" i="6"/>
  <c r="B1135" i="6" s="1"/>
  <c r="BN1134" i="6"/>
  <c r="A1134" i="6"/>
  <c r="B1134" i="6" s="1"/>
  <c r="BN1133" i="6"/>
  <c r="A1133" i="6"/>
  <c r="B1133" i="6" s="1"/>
  <c r="BN1132" i="6"/>
  <c r="A1132" i="6"/>
  <c r="B1132" i="6" s="1"/>
  <c r="BN1131" i="6"/>
  <c r="A1131" i="6"/>
  <c r="B1131" i="6" s="1"/>
  <c r="BN1130" i="6"/>
  <c r="A1130" i="6"/>
  <c r="B1130" i="6" s="1"/>
  <c r="BN1129" i="6"/>
  <c r="A1129" i="6"/>
  <c r="B1129" i="6" s="1"/>
  <c r="BN1128" i="6"/>
  <c r="A1128" i="6"/>
  <c r="B1128" i="6" s="1"/>
  <c r="BN1127" i="6"/>
  <c r="A1127" i="6"/>
  <c r="B1127" i="6" s="1"/>
  <c r="BN1126" i="6"/>
  <c r="A1126" i="6"/>
  <c r="B1126" i="6" s="1"/>
  <c r="BN1125" i="6"/>
  <c r="A1125" i="6"/>
  <c r="B1125" i="6" s="1"/>
  <c r="BN1124" i="6"/>
  <c r="A1124" i="6"/>
  <c r="B1124" i="6" s="1"/>
  <c r="BN1123" i="6"/>
  <c r="A1123" i="6"/>
  <c r="B1123" i="6" s="1"/>
  <c r="BN1122" i="6"/>
  <c r="A1122" i="6"/>
  <c r="B1122" i="6" s="1"/>
  <c r="BN1121" i="6"/>
  <c r="A1121" i="6"/>
  <c r="B1121" i="6" s="1"/>
  <c r="BN1120" i="6"/>
  <c r="A1120" i="6"/>
  <c r="B1120" i="6" s="1"/>
  <c r="BN1119" i="6"/>
  <c r="A1119" i="6"/>
  <c r="B1119" i="6" s="1"/>
  <c r="BN1118" i="6"/>
  <c r="A1118" i="6"/>
  <c r="B1118" i="6" s="1"/>
  <c r="BN1117" i="6"/>
  <c r="A1117" i="6"/>
  <c r="B1117" i="6" s="1"/>
  <c r="BN1116" i="6"/>
  <c r="A1116" i="6"/>
  <c r="B1116" i="6" s="1"/>
  <c r="BN1115" i="6"/>
  <c r="A1115" i="6"/>
  <c r="B1115" i="6" s="1"/>
  <c r="BN1114" i="6"/>
  <c r="A1114" i="6"/>
  <c r="B1114" i="6" s="1"/>
  <c r="BN1113" i="6"/>
  <c r="A1113" i="6"/>
  <c r="B1113" i="6" s="1"/>
  <c r="BN1112" i="6"/>
  <c r="A1112" i="6"/>
  <c r="B1112" i="6" s="1"/>
  <c r="BN1111" i="6"/>
  <c r="A1111" i="6"/>
  <c r="B1111" i="6" s="1"/>
  <c r="BN1110" i="6"/>
  <c r="A1110" i="6"/>
  <c r="B1110" i="6" s="1"/>
  <c r="BN1109" i="6"/>
  <c r="A1109" i="6"/>
  <c r="B1109" i="6" s="1"/>
  <c r="BN1108" i="6"/>
  <c r="A1108" i="6"/>
  <c r="B1108" i="6" s="1"/>
  <c r="BN1107" i="6"/>
  <c r="A1107" i="6"/>
  <c r="B1107" i="6" s="1"/>
  <c r="BN1106" i="6"/>
  <c r="A1106" i="6"/>
  <c r="B1106" i="6" s="1"/>
  <c r="BN1105" i="6"/>
  <c r="A1105" i="6"/>
  <c r="B1105" i="6" s="1"/>
  <c r="BN1104" i="6"/>
  <c r="A1104" i="6"/>
  <c r="B1104" i="6" s="1"/>
  <c r="BN1103" i="6"/>
  <c r="A1103" i="6"/>
  <c r="B1103" i="6" s="1"/>
  <c r="BN1102" i="6"/>
  <c r="A1102" i="6"/>
  <c r="B1102" i="6" s="1"/>
  <c r="BN1101" i="6"/>
  <c r="A1101" i="6"/>
  <c r="B1101" i="6" s="1"/>
  <c r="BN1100" i="6"/>
  <c r="A1100" i="6"/>
  <c r="B1100" i="6" s="1"/>
  <c r="BN1099" i="6"/>
  <c r="A1099" i="6"/>
  <c r="B1099" i="6" s="1"/>
  <c r="BN1098" i="6"/>
  <c r="A1098" i="6"/>
  <c r="B1098" i="6" s="1"/>
  <c r="BN1097" i="6"/>
  <c r="A1097" i="6"/>
  <c r="B1097" i="6" s="1"/>
  <c r="BN1096" i="6"/>
  <c r="A1096" i="6"/>
  <c r="B1096" i="6" s="1"/>
  <c r="BN1095" i="6"/>
  <c r="A1095" i="6"/>
  <c r="B1095" i="6" s="1"/>
  <c r="BN1094" i="6"/>
  <c r="A1094" i="6"/>
  <c r="B1094" i="6" s="1"/>
  <c r="BN1093" i="6"/>
  <c r="A1093" i="6"/>
  <c r="B1093" i="6" s="1"/>
  <c r="BN1092" i="6"/>
  <c r="A1092" i="6"/>
  <c r="B1092" i="6" s="1"/>
  <c r="BN1091" i="6"/>
  <c r="A1091" i="6"/>
  <c r="B1091" i="6" s="1"/>
  <c r="BN1090" i="6"/>
  <c r="A1090" i="6"/>
  <c r="B1090" i="6" s="1"/>
  <c r="BN1089" i="6"/>
  <c r="A1089" i="6"/>
  <c r="B1089" i="6" s="1"/>
  <c r="BN1088" i="6"/>
  <c r="A1088" i="6"/>
  <c r="B1088" i="6" s="1"/>
  <c r="BN1087" i="6"/>
  <c r="A1087" i="6"/>
  <c r="B1087" i="6" s="1"/>
  <c r="BN1086" i="6"/>
  <c r="A1086" i="6"/>
  <c r="B1086" i="6" s="1"/>
  <c r="BN1085" i="6"/>
  <c r="A1085" i="6"/>
  <c r="B1085" i="6" s="1"/>
  <c r="BN1084" i="6"/>
  <c r="A1084" i="6"/>
  <c r="B1084" i="6" s="1"/>
  <c r="BN1083" i="6"/>
  <c r="A1083" i="6"/>
  <c r="B1083" i="6" s="1"/>
  <c r="BN1082" i="6"/>
  <c r="A1082" i="6"/>
  <c r="B1082" i="6" s="1"/>
  <c r="BN1081" i="6"/>
  <c r="A1081" i="6"/>
  <c r="B1081" i="6" s="1"/>
  <c r="BN1080" i="6"/>
  <c r="A1080" i="6"/>
  <c r="B1080" i="6" s="1"/>
  <c r="BN1079" i="6"/>
  <c r="A1079" i="6"/>
  <c r="B1079" i="6" s="1"/>
  <c r="BN1078" i="6"/>
  <c r="A1078" i="6"/>
  <c r="B1078" i="6" s="1"/>
  <c r="BN1077" i="6"/>
  <c r="A1077" i="6"/>
  <c r="B1077" i="6" s="1"/>
  <c r="BN1076" i="6"/>
  <c r="A1076" i="6"/>
  <c r="B1076" i="6" s="1"/>
  <c r="BN1075" i="6"/>
  <c r="A1075" i="6"/>
  <c r="B1075" i="6" s="1"/>
  <c r="BN1074" i="6"/>
  <c r="A1074" i="6"/>
  <c r="B1074" i="6" s="1"/>
  <c r="BN1073" i="6"/>
  <c r="A1073" i="6"/>
  <c r="B1073" i="6" s="1"/>
  <c r="BN1072" i="6"/>
  <c r="A1072" i="6"/>
  <c r="B1072" i="6" s="1"/>
  <c r="BN1071" i="6"/>
  <c r="A1071" i="6"/>
  <c r="B1071" i="6" s="1"/>
  <c r="BN1070" i="6"/>
  <c r="A1070" i="6"/>
  <c r="B1070" i="6" s="1"/>
  <c r="BN1069" i="6"/>
  <c r="A1069" i="6"/>
  <c r="B1069" i="6" s="1"/>
  <c r="BN1068" i="6"/>
  <c r="A1068" i="6"/>
  <c r="B1068" i="6" s="1"/>
  <c r="BN1067" i="6"/>
  <c r="A1067" i="6"/>
  <c r="B1067" i="6" s="1"/>
  <c r="BN1066" i="6"/>
  <c r="A1066" i="6"/>
  <c r="B1066" i="6" s="1"/>
  <c r="BN1065" i="6"/>
  <c r="A1065" i="6"/>
  <c r="B1065" i="6" s="1"/>
  <c r="BN1064" i="6"/>
  <c r="A1064" i="6"/>
  <c r="B1064" i="6" s="1"/>
  <c r="BN1063" i="6"/>
  <c r="A1063" i="6"/>
  <c r="B1063" i="6" s="1"/>
  <c r="BN1062" i="6"/>
  <c r="A1062" i="6"/>
  <c r="B1062" i="6" s="1"/>
  <c r="BN1061" i="6"/>
  <c r="A1061" i="6"/>
  <c r="B1061" i="6" s="1"/>
  <c r="BN1060" i="6"/>
  <c r="A1060" i="6"/>
  <c r="B1060" i="6" s="1"/>
  <c r="BN1059" i="6"/>
  <c r="A1059" i="6"/>
  <c r="B1059" i="6" s="1"/>
  <c r="BN1058" i="6"/>
  <c r="A1058" i="6"/>
  <c r="B1058" i="6" s="1"/>
  <c r="BN1057" i="6"/>
  <c r="A1057" i="6"/>
  <c r="B1057" i="6" s="1"/>
  <c r="BN1056" i="6"/>
  <c r="A1056" i="6"/>
  <c r="B1056" i="6" s="1"/>
  <c r="BN1055" i="6"/>
  <c r="A1055" i="6"/>
  <c r="B1055" i="6" s="1"/>
  <c r="BN1054" i="6"/>
  <c r="A1054" i="6"/>
  <c r="B1054" i="6" s="1"/>
  <c r="BN1053" i="6"/>
  <c r="A1053" i="6"/>
  <c r="B1053" i="6" s="1"/>
  <c r="BN1052" i="6"/>
  <c r="A1052" i="6"/>
  <c r="B1052" i="6" s="1"/>
  <c r="BN1051" i="6"/>
  <c r="A1051" i="6"/>
  <c r="B1051" i="6" s="1"/>
  <c r="BN1050" i="6"/>
  <c r="A1050" i="6"/>
  <c r="B1050" i="6" s="1"/>
  <c r="BN1049" i="6"/>
  <c r="A1049" i="6"/>
  <c r="B1049" i="6" s="1"/>
  <c r="BN1048" i="6"/>
  <c r="A1048" i="6"/>
  <c r="B1048" i="6" s="1"/>
  <c r="BN1047" i="6"/>
  <c r="A1047" i="6"/>
  <c r="B1047" i="6" s="1"/>
  <c r="BN1046" i="6"/>
  <c r="A1046" i="6"/>
  <c r="B1046" i="6" s="1"/>
  <c r="BN1045" i="6"/>
  <c r="A1045" i="6"/>
  <c r="B1045" i="6" s="1"/>
  <c r="BN1044" i="6"/>
  <c r="A1044" i="6"/>
  <c r="B1044" i="6" s="1"/>
  <c r="BN1043" i="6"/>
  <c r="A1043" i="6"/>
  <c r="B1043" i="6" s="1"/>
  <c r="BN1042" i="6"/>
  <c r="A1042" i="6"/>
  <c r="B1042" i="6" s="1"/>
  <c r="BN1041" i="6"/>
  <c r="A1041" i="6"/>
  <c r="B1041" i="6" s="1"/>
  <c r="BN1040" i="6"/>
  <c r="A1040" i="6"/>
  <c r="B1040" i="6" s="1"/>
  <c r="BN1039" i="6"/>
  <c r="A1039" i="6"/>
  <c r="B1039" i="6" s="1"/>
  <c r="BN1038" i="6"/>
  <c r="A1038" i="6"/>
  <c r="B1038" i="6" s="1"/>
  <c r="BN1037" i="6"/>
  <c r="A1037" i="6"/>
  <c r="B1037" i="6" s="1"/>
  <c r="BN1036" i="6"/>
  <c r="A1036" i="6"/>
  <c r="B1036" i="6" s="1"/>
  <c r="BN1035" i="6"/>
  <c r="A1035" i="6"/>
  <c r="B1035" i="6" s="1"/>
  <c r="BN1034" i="6"/>
  <c r="A1034" i="6"/>
  <c r="B1034" i="6" s="1"/>
  <c r="BN1033" i="6"/>
  <c r="A1033" i="6"/>
  <c r="B1033" i="6" s="1"/>
  <c r="BN1032" i="6"/>
  <c r="A1032" i="6"/>
  <c r="B1032" i="6" s="1"/>
  <c r="BN1031" i="6"/>
  <c r="A1031" i="6"/>
  <c r="B1031" i="6" s="1"/>
  <c r="BN1030" i="6"/>
  <c r="A1030" i="6"/>
  <c r="B1030" i="6" s="1"/>
  <c r="BN1029" i="6"/>
  <c r="A1029" i="6"/>
  <c r="B1029" i="6" s="1"/>
  <c r="BN1028" i="6"/>
  <c r="A1028" i="6"/>
  <c r="B1028" i="6" s="1"/>
  <c r="BN1027" i="6"/>
  <c r="A1027" i="6"/>
  <c r="B1027" i="6" s="1"/>
  <c r="BN1026" i="6"/>
  <c r="A1026" i="6"/>
  <c r="B1026" i="6" s="1"/>
  <c r="BN1025" i="6"/>
  <c r="A1025" i="6"/>
  <c r="B1025" i="6" s="1"/>
  <c r="BN1024" i="6"/>
  <c r="A1024" i="6"/>
  <c r="B1024" i="6" s="1"/>
  <c r="BN1023" i="6"/>
  <c r="A1023" i="6"/>
  <c r="B1023" i="6" s="1"/>
  <c r="BN1022" i="6"/>
  <c r="A1022" i="6"/>
  <c r="B1022" i="6" s="1"/>
  <c r="BN1021" i="6"/>
  <c r="A1021" i="6"/>
  <c r="B1021" i="6" s="1"/>
  <c r="BN1020" i="6"/>
  <c r="A1020" i="6"/>
  <c r="B1020" i="6" s="1"/>
  <c r="BN1019" i="6"/>
  <c r="A1019" i="6"/>
  <c r="B1019" i="6" s="1"/>
  <c r="BN1018" i="6"/>
  <c r="A1018" i="6"/>
  <c r="B1018" i="6" s="1"/>
  <c r="BN1017" i="6"/>
  <c r="A1017" i="6"/>
  <c r="B1017" i="6" s="1"/>
  <c r="BN1016" i="6"/>
  <c r="A1016" i="6"/>
  <c r="B1016" i="6" s="1"/>
  <c r="BN1015" i="6"/>
  <c r="A1015" i="6"/>
  <c r="B1015" i="6" s="1"/>
  <c r="BN1014" i="6"/>
  <c r="A1014" i="6"/>
  <c r="B1014" i="6" s="1"/>
  <c r="BN1013" i="6"/>
  <c r="A1013" i="6"/>
  <c r="B1013" i="6" s="1"/>
  <c r="BN1012" i="6"/>
  <c r="A1012" i="6"/>
  <c r="B1012" i="6" s="1"/>
  <c r="BN1011" i="6"/>
  <c r="A1011" i="6"/>
  <c r="B1011" i="6" s="1"/>
  <c r="BN1010" i="6"/>
  <c r="A1010" i="6"/>
  <c r="B1010" i="6" s="1"/>
  <c r="BN1009" i="6"/>
  <c r="A1009" i="6"/>
  <c r="B1009" i="6" s="1"/>
  <c r="BN1008" i="6"/>
  <c r="A1008" i="6"/>
  <c r="B1008" i="6" s="1"/>
  <c r="BN1007" i="6"/>
  <c r="A1007" i="6"/>
  <c r="B1007" i="6" s="1"/>
  <c r="BN1006" i="6"/>
  <c r="A1006" i="6"/>
  <c r="B1006" i="6" s="1"/>
  <c r="BN1005" i="6"/>
  <c r="A1005" i="6"/>
  <c r="B1005" i="6" s="1"/>
  <c r="BN1004" i="6"/>
  <c r="A1004" i="6"/>
  <c r="B1004" i="6" s="1"/>
  <c r="BN1003" i="6"/>
  <c r="A1003" i="6"/>
  <c r="B1003" i="6" s="1"/>
  <c r="BN1002" i="6"/>
  <c r="A1002" i="6"/>
  <c r="B1002" i="6" s="1"/>
  <c r="BN1001" i="6"/>
  <c r="A1001" i="6"/>
  <c r="B1001" i="6" s="1"/>
  <c r="BN1000" i="6"/>
  <c r="A1000" i="6"/>
  <c r="B1000" i="6" s="1"/>
  <c r="BN999" i="6"/>
  <c r="A999" i="6"/>
  <c r="B999" i="6" s="1"/>
  <c r="BN998" i="6"/>
  <c r="A998" i="6"/>
  <c r="B998" i="6" s="1"/>
  <c r="BN997" i="6"/>
  <c r="A997" i="6"/>
  <c r="B997" i="6" s="1"/>
  <c r="BN996" i="6"/>
  <c r="A996" i="6"/>
  <c r="B996" i="6" s="1"/>
  <c r="BN995" i="6"/>
  <c r="A995" i="6"/>
  <c r="B995" i="6" s="1"/>
  <c r="BN994" i="6"/>
  <c r="A994" i="6"/>
  <c r="B994" i="6" s="1"/>
  <c r="BN993" i="6"/>
  <c r="A993" i="6"/>
  <c r="B993" i="6" s="1"/>
  <c r="BN992" i="6"/>
  <c r="A992" i="6"/>
  <c r="B992" i="6" s="1"/>
  <c r="BN991" i="6"/>
  <c r="A991" i="6"/>
  <c r="B991" i="6" s="1"/>
  <c r="BN990" i="6"/>
  <c r="A990" i="6"/>
  <c r="B990" i="6" s="1"/>
  <c r="BN989" i="6"/>
  <c r="A989" i="6"/>
  <c r="B989" i="6" s="1"/>
  <c r="A988" i="6"/>
  <c r="B988" i="6" s="1"/>
  <c r="A987" i="6"/>
  <c r="B987" i="6" s="1"/>
  <c r="A986" i="6"/>
  <c r="B986" i="6" s="1"/>
  <c r="A985" i="6"/>
  <c r="B985" i="6" s="1"/>
  <c r="A984" i="6"/>
  <c r="B984" i="6" s="1"/>
  <c r="A983" i="6"/>
  <c r="B983" i="6" s="1"/>
  <c r="A982" i="6"/>
  <c r="B982" i="6" s="1"/>
  <c r="A981" i="6"/>
  <c r="B981" i="6" s="1"/>
  <c r="A980" i="6"/>
  <c r="B980" i="6" s="1"/>
  <c r="A979" i="6"/>
  <c r="B979" i="6" s="1"/>
  <c r="A978" i="6"/>
  <c r="B978" i="6" s="1"/>
  <c r="A977" i="6"/>
  <c r="B977" i="6" s="1"/>
  <c r="A976" i="6"/>
  <c r="B976" i="6" s="1"/>
  <c r="A975" i="6"/>
  <c r="B975" i="6" s="1"/>
  <c r="A974" i="6"/>
  <c r="B974" i="6" s="1"/>
  <c r="A973" i="6"/>
  <c r="B973" i="6" s="1"/>
  <c r="A972" i="6"/>
  <c r="B972" i="6" s="1"/>
  <c r="A971" i="6"/>
  <c r="B971" i="6" s="1"/>
  <c r="A970" i="6"/>
  <c r="B970" i="6" s="1"/>
  <c r="A969" i="6"/>
  <c r="B969" i="6" s="1"/>
  <c r="A968" i="6"/>
  <c r="B968" i="6" s="1"/>
  <c r="A967" i="6"/>
  <c r="B967" i="6" s="1"/>
  <c r="A966" i="6"/>
  <c r="B966" i="6" s="1"/>
  <c r="A965" i="6"/>
  <c r="B965" i="6" s="1"/>
  <c r="A964" i="6"/>
  <c r="B964" i="6" s="1"/>
  <c r="A963" i="6"/>
  <c r="B963" i="6" s="1"/>
  <c r="A962" i="6"/>
  <c r="B962" i="6" s="1"/>
  <c r="A961" i="6"/>
  <c r="B961" i="6" s="1"/>
  <c r="A960" i="6"/>
  <c r="B960" i="6" s="1"/>
  <c r="A959" i="6"/>
  <c r="B959" i="6" s="1"/>
  <c r="A958" i="6"/>
  <c r="B958" i="6" s="1"/>
  <c r="A957" i="6"/>
  <c r="B957" i="6" s="1"/>
  <c r="A956" i="6"/>
  <c r="B956" i="6" s="1"/>
  <c r="A955" i="6"/>
  <c r="B955" i="6" s="1"/>
  <c r="A954" i="6"/>
  <c r="B954" i="6" s="1"/>
  <c r="A953" i="6"/>
  <c r="B953" i="6" s="1"/>
  <c r="A952" i="6"/>
  <c r="B952" i="6" s="1"/>
  <c r="A951" i="6"/>
  <c r="B951" i="6" s="1"/>
  <c r="A950" i="6"/>
  <c r="B950" i="6" s="1"/>
  <c r="A949" i="6"/>
  <c r="B949" i="6" s="1"/>
  <c r="A948" i="6"/>
  <c r="B948" i="6" s="1"/>
  <c r="A947" i="6"/>
  <c r="B947" i="6" s="1"/>
  <c r="A946" i="6"/>
  <c r="B946" i="6" s="1"/>
  <c r="A945" i="6"/>
  <c r="B945" i="6" s="1"/>
  <c r="A944" i="6"/>
  <c r="B944" i="6" s="1"/>
  <c r="A943" i="6"/>
  <c r="B943" i="6" s="1"/>
  <c r="A942" i="6"/>
  <c r="B942" i="6" s="1"/>
  <c r="A941" i="6"/>
  <c r="B941" i="6" s="1"/>
  <c r="A940" i="6"/>
  <c r="B940" i="6" s="1"/>
  <c r="A939" i="6"/>
  <c r="B939" i="6" s="1"/>
  <c r="A938" i="6"/>
  <c r="B938" i="6" s="1"/>
  <c r="A937" i="6"/>
  <c r="B937" i="6" s="1"/>
  <c r="A936" i="6"/>
  <c r="B936" i="6" s="1"/>
  <c r="A935" i="6"/>
  <c r="B935" i="6" s="1"/>
  <c r="A934" i="6"/>
  <c r="B934" i="6" s="1"/>
  <c r="A933" i="6"/>
  <c r="B933" i="6" s="1"/>
  <c r="A932" i="6"/>
  <c r="B932" i="6" s="1"/>
  <c r="A931" i="6"/>
  <c r="B931" i="6" s="1"/>
  <c r="A930" i="6"/>
  <c r="B930" i="6" s="1"/>
  <c r="A929" i="6"/>
  <c r="B929" i="6" s="1"/>
  <c r="A928" i="6"/>
  <c r="B928" i="6" s="1"/>
  <c r="A927" i="6"/>
  <c r="B927" i="6" s="1"/>
  <c r="A926" i="6"/>
  <c r="B926" i="6" s="1"/>
  <c r="A925" i="6"/>
  <c r="B925" i="6" s="1"/>
  <c r="A924" i="6"/>
  <c r="B924" i="6" s="1"/>
  <c r="A923" i="6"/>
  <c r="B923" i="6" s="1"/>
  <c r="A922" i="6"/>
  <c r="B922" i="6" s="1"/>
  <c r="A921" i="6"/>
  <c r="B921" i="6" s="1"/>
  <c r="A920" i="6"/>
  <c r="B920" i="6" s="1"/>
  <c r="A919" i="6"/>
  <c r="B919" i="6" s="1"/>
  <c r="A918" i="6"/>
  <c r="B918" i="6" s="1"/>
  <c r="A917" i="6"/>
  <c r="B917" i="6" s="1"/>
  <c r="A916" i="6"/>
  <c r="B916" i="6" s="1"/>
  <c r="A915" i="6"/>
  <c r="B915" i="6" s="1"/>
  <c r="A914" i="6"/>
  <c r="B914" i="6" s="1"/>
  <c r="A913" i="6"/>
  <c r="B913" i="6" s="1"/>
  <c r="A912" i="6"/>
  <c r="B912" i="6" s="1"/>
  <c r="A911" i="6"/>
  <c r="B911" i="6" s="1"/>
  <c r="A910" i="6"/>
  <c r="B910" i="6" s="1"/>
  <c r="A909" i="6"/>
  <c r="B909" i="6" s="1"/>
  <c r="A908" i="6"/>
  <c r="B908" i="6" s="1"/>
  <c r="A907" i="6"/>
  <c r="B907" i="6" s="1"/>
  <c r="A906" i="6"/>
  <c r="B906" i="6" s="1"/>
  <c r="A905" i="6"/>
  <c r="B905" i="6" s="1"/>
  <c r="A904" i="6"/>
  <c r="B904" i="6" s="1"/>
  <c r="A903" i="6"/>
  <c r="B903" i="6" s="1"/>
  <c r="A902" i="6"/>
  <c r="B902" i="6" s="1"/>
  <c r="A901" i="6"/>
  <c r="B901" i="6" s="1"/>
  <c r="A900" i="6"/>
  <c r="B900" i="6" s="1"/>
  <c r="A899" i="6"/>
  <c r="B899" i="6" s="1"/>
  <c r="A898" i="6"/>
  <c r="B898" i="6" s="1"/>
  <c r="A897" i="6"/>
  <c r="B897" i="6" s="1"/>
  <c r="A896" i="6"/>
  <c r="B896" i="6" s="1"/>
  <c r="A895" i="6"/>
  <c r="B895" i="6" s="1"/>
  <c r="A894" i="6"/>
  <c r="B894" i="6" s="1"/>
  <c r="A893" i="6"/>
  <c r="B893" i="6" s="1"/>
  <c r="A892" i="6"/>
  <c r="B892" i="6" s="1"/>
  <c r="A891" i="6"/>
  <c r="B891" i="6" s="1"/>
  <c r="A890" i="6"/>
  <c r="B890" i="6" s="1"/>
  <c r="A889" i="6"/>
  <c r="B889" i="6" s="1"/>
  <c r="A888" i="6"/>
  <c r="B888" i="6" s="1"/>
  <c r="A887" i="6"/>
  <c r="B887" i="6" s="1"/>
  <c r="A886" i="6"/>
  <c r="B886" i="6" s="1"/>
  <c r="A885" i="6"/>
  <c r="B885" i="6" s="1"/>
  <c r="A884" i="6"/>
  <c r="B884" i="6" s="1"/>
  <c r="A883" i="6"/>
  <c r="B883" i="6" s="1"/>
  <c r="A882" i="6"/>
  <c r="B882" i="6" s="1"/>
  <c r="A881" i="6"/>
  <c r="B881" i="6" s="1"/>
  <c r="A880" i="6"/>
  <c r="B880" i="6" s="1"/>
  <c r="A879" i="6"/>
  <c r="B879" i="6" s="1"/>
  <c r="A878" i="6"/>
  <c r="B878" i="6" s="1"/>
  <c r="A877" i="6"/>
  <c r="B877" i="6" s="1"/>
  <c r="A876" i="6"/>
  <c r="B876" i="6" s="1"/>
  <c r="A875" i="6"/>
  <c r="B875" i="6" s="1"/>
  <c r="A874" i="6"/>
  <c r="B874" i="6" s="1"/>
  <c r="A873" i="6"/>
  <c r="B873" i="6" s="1"/>
  <c r="A872" i="6"/>
  <c r="B872" i="6" s="1"/>
  <c r="A871" i="6"/>
  <c r="B871" i="6" s="1"/>
  <c r="A870" i="6"/>
  <c r="B870" i="6" s="1"/>
  <c r="A869" i="6"/>
  <c r="B869" i="6" s="1"/>
  <c r="A868" i="6"/>
  <c r="B868" i="6" s="1"/>
  <c r="A867" i="6"/>
  <c r="B867" i="6" s="1"/>
  <c r="A866" i="6"/>
  <c r="B866" i="6" s="1"/>
  <c r="A865" i="6"/>
  <c r="B865" i="6" s="1"/>
  <c r="A864" i="6"/>
  <c r="B864" i="6" s="1"/>
  <c r="A863" i="6"/>
  <c r="B863" i="6" s="1"/>
  <c r="A862" i="6"/>
  <c r="B862" i="6" s="1"/>
  <c r="A861" i="6"/>
  <c r="B861" i="6" s="1"/>
  <c r="A860" i="6"/>
  <c r="B860" i="6" s="1"/>
  <c r="A859" i="6"/>
  <c r="B859" i="6" s="1"/>
  <c r="A858" i="6"/>
  <c r="B858" i="6" s="1"/>
  <c r="A857" i="6"/>
  <c r="B857" i="6" s="1"/>
  <c r="A856" i="6"/>
  <c r="B856" i="6" s="1"/>
  <c r="A855" i="6"/>
  <c r="B855" i="6" s="1"/>
  <c r="A854" i="6"/>
  <c r="B854" i="6" s="1"/>
  <c r="A853" i="6"/>
  <c r="B853" i="6" s="1"/>
  <c r="A852" i="6"/>
  <c r="B852" i="6" s="1"/>
  <c r="A851" i="6"/>
  <c r="B851" i="6" s="1"/>
  <c r="A850" i="6"/>
  <c r="B850" i="6" s="1"/>
  <c r="A849" i="6"/>
  <c r="B849" i="6" s="1"/>
  <c r="A848" i="6"/>
  <c r="B848" i="6" s="1"/>
  <c r="A847" i="6"/>
  <c r="B847" i="6" s="1"/>
  <c r="A846" i="6"/>
  <c r="B846" i="6" s="1"/>
  <c r="A845" i="6"/>
  <c r="B845" i="6" s="1"/>
  <c r="A844" i="6"/>
  <c r="B844" i="6" s="1"/>
  <c r="A843" i="6"/>
  <c r="B843" i="6" s="1"/>
  <c r="A842" i="6"/>
  <c r="B842" i="6" s="1"/>
  <c r="A841" i="6"/>
  <c r="B841" i="6" s="1"/>
  <c r="A840" i="6"/>
  <c r="B840" i="6" s="1"/>
  <c r="A839" i="6"/>
  <c r="B839" i="6" s="1"/>
  <c r="A838" i="6"/>
  <c r="B838" i="6" s="1"/>
  <c r="A837" i="6"/>
  <c r="B837" i="6" s="1"/>
  <c r="A836" i="6"/>
  <c r="B836" i="6" s="1"/>
  <c r="A835" i="6"/>
  <c r="B835" i="6" s="1"/>
  <c r="A834" i="6"/>
  <c r="B834" i="6" s="1"/>
  <c r="A833" i="6"/>
  <c r="B833" i="6" s="1"/>
  <c r="A832" i="6"/>
  <c r="B832" i="6" s="1"/>
  <c r="A831" i="6"/>
  <c r="B831" i="6" s="1"/>
  <c r="A830" i="6"/>
  <c r="B830" i="6" s="1"/>
  <c r="A829" i="6"/>
  <c r="B829" i="6" s="1"/>
  <c r="A828" i="6"/>
  <c r="B828" i="6" s="1"/>
  <c r="A827" i="6"/>
  <c r="B827" i="6" s="1"/>
  <c r="A826" i="6"/>
  <c r="B826" i="6" s="1"/>
  <c r="A825" i="6"/>
  <c r="B825" i="6" s="1"/>
  <c r="A824" i="6"/>
  <c r="B824" i="6" s="1"/>
  <c r="A823" i="6"/>
  <c r="B823" i="6" s="1"/>
  <c r="A822" i="6"/>
  <c r="B822" i="6" s="1"/>
  <c r="A821" i="6"/>
  <c r="B821" i="6" s="1"/>
  <c r="A820" i="6"/>
  <c r="B820" i="6" s="1"/>
  <c r="A819" i="6"/>
  <c r="B819" i="6" s="1"/>
  <c r="A818" i="6"/>
  <c r="B818" i="6" s="1"/>
  <c r="A817" i="6"/>
  <c r="B817" i="6" s="1"/>
  <c r="A816" i="6"/>
  <c r="B816" i="6" s="1"/>
  <c r="A815" i="6"/>
  <c r="B815" i="6" s="1"/>
  <c r="A814" i="6"/>
  <c r="B814" i="6" s="1"/>
  <c r="A813" i="6"/>
  <c r="B813" i="6" s="1"/>
  <c r="A812" i="6"/>
  <c r="B812" i="6" s="1"/>
  <c r="A811" i="6"/>
  <c r="B811" i="6" s="1"/>
  <c r="A810" i="6"/>
  <c r="B810" i="6" s="1"/>
  <c r="A809" i="6"/>
  <c r="B809" i="6" s="1"/>
  <c r="A808" i="6"/>
  <c r="B808" i="6" s="1"/>
  <c r="A807" i="6"/>
  <c r="B807" i="6" s="1"/>
  <c r="A806" i="6"/>
  <c r="B806" i="6" s="1"/>
  <c r="A805" i="6"/>
  <c r="B805" i="6" s="1"/>
  <c r="A804" i="6"/>
  <c r="B804" i="6" s="1"/>
  <c r="A803" i="6"/>
  <c r="B803" i="6" s="1"/>
  <c r="A802" i="6"/>
  <c r="B802" i="6" s="1"/>
  <c r="A801" i="6"/>
  <c r="B801" i="6" s="1"/>
  <c r="A800" i="6"/>
  <c r="B800" i="6" s="1"/>
  <c r="A799" i="6"/>
  <c r="B799" i="6" s="1"/>
  <c r="A798" i="6"/>
  <c r="B798" i="6" s="1"/>
  <c r="A797" i="6"/>
  <c r="B797" i="6" s="1"/>
  <c r="A796" i="6"/>
  <c r="B796" i="6" s="1"/>
  <c r="A795" i="6"/>
  <c r="B795" i="6" s="1"/>
  <c r="A794" i="6"/>
  <c r="B794" i="6" s="1"/>
  <c r="A793" i="6"/>
  <c r="B793" i="6" s="1"/>
  <c r="A792" i="6"/>
  <c r="B792" i="6" s="1"/>
  <c r="A791" i="6"/>
  <c r="B791" i="6" s="1"/>
  <c r="A790" i="6"/>
  <c r="B790" i="6" s="1"/>
  <c r="A789" i="6"/>
  <c r="B789" i="6" s="1"/>
  <c r="A788" i="6"/>
  <c r="B788" i="6" s="1"/>
  <c r="A787" i="6"/>
  <c r="B787" i="6" s="1"/>
  <c r="A786" i="6"/>
  <c r="B786" i="6" s="1"/>
  <c r="A785" i="6"/>
  <c r="B785" i="6" s="1"/>
  <c r="A784" i="6"/>
  <c r="B784" i="6" s="1"/>
  <c r="A783" i="6"/>
  <c r="B783" i="6" s="1"/>
  <c r="A782" i="6"/>
  <c r="B782" i="6" s="1"/>
  <c r="A781" i="6"/>
  <c r="B781" i="6" s="1"/>
  <c r="A780" i="6"/>
  <c r="B780" i="6" s="1"/>
  <c r="A779" i="6"/>
  <c r="B779" i="6" s="1"/>
  <c r="A778" i="6"/>
  <c r="B778" i="6" s="1"/>
  <c r="A777" i="6"/>
  <c r="B777" i="6" s="1"/>
  <c r="A776" i="6"/>
  <c r="B776" i="6" s="1"/>
  <c r="A775" i="6"/>
  <c r="B775" i="6" s="1"/>
  <c r="A774" i="6"/>
  <c r="B774" i="6" s="1"/>
  <c r="A773" i="6"/>
  <c r="B773" i="6" s="1"/>
  <c r="A772" i="6"/>
  <c r="B772" i="6" s="1"/>
  <c r="A771" i="6"/>
  <c r="B771" i="6" s="1"/>
  <c r="A770" i="6"/>
  <c r="B770" i="6" s="1"/>
  <c r="A769" i="6"/>
  <c r="B769" i="6" s="1"/>
  <c r="A768" i="6"/>
  <c r="B768" i="6" s="1"/>
  <c r="A767" i="6"/>
  <c r="B767" i="6" s="1"/>
  <c r="A766" i="6"/>
  <c r="B766" i="6" s="1"/>
  <c r="A765" i="6"/>
  <c r="B765" i="6" s="1"/>
  <c r="A764" i="6"/>
  <c r="B764" i="6" s="1"/>
  <c r="A763" i="6"/>
  <c r="B763" i="6" s="1"/>
  <c r="A762" i="6"/>
  <c r="B762" i="6" s="1"/>
  <c r="A761" i="6"/>
  <c r="B761" i="6" s="1"/>
  <c r="A760" i="6"/>
  <c r="B760" i="6" s="1"/>
  <c r="A759" i="6"/>
  <c r="B759" i="6" s="1"/>
  <c r="A758" i="6"/>
  <c r="B758" i="6" s="1"/>
  <c r="A757" i="6"/>
  <c r="B757" i="6" s="1"/>
  <c r="A756" i="6"/>
  <c r="B756" i="6" s="1"/>
  <c r="A755" i="6"/>
  <c r="B755" i="6" s="1"/>
  <c r="A754" i="6"/>
  <c r="B754" i="6" s="1"/>
  <c r="A753" i="6"/>
  <c r="B753" i="6" s="1"/>
  <c r="A752" i="6"/>
  <c r="B752" i="6" s="1"/>
  <c r="A751" i="6"/>
  <c r="B751" i="6" s="1"/>
  <c r="A750" i="6"/>
  <c r="B750" i="6" s="1"/>
  <c r="A749" i="6"/>
  <c r="B749" i="6" s="1"/>
  <c r="A748" i="6"/>
  <c r="B748" i="6" s="1"/>
  <c r="A747" i="6"/>
  <c r="B747" i="6" s="1"/>
  <c r="A746" i="6"/>
  <c r="B746" i="6" s="1"/>
  <c r="A745" i="6"/>
  <c r="B745" i="6" s="1"/>
  <c r="A744" i="6"/>
  <c r="B744" i="6" s="1"/>
  <c r="A743" i="6"/>
  <c r="B743" i="6" s="1"/>
  <c r="A742" i="6"/>
  <c r="B742" i="6" s="1"/>
  <c r="A741" i="6"/>
  <c r="B741" i="6" s="1"/>
  <c r="A740" i="6"/>
  <c r="B740" i="6" s="1"/>
  <c r="A739" i="6"/>
  <c r="B739" i="6" s="1"/>
  <c r="A738" i="6"/>
  <c r="B738" i="6" s="1"/>
  <c r="A737" i="6"/>
  <c r="B737" i="6" s="1"/>
  <c r="A736" i="6"/>
  <c r="B736" i="6" s="1"/>
  <c r="A735" i="6"/>
  <c r="B735" i="6" s="1"/>
  <c r="A734" i="6"/>
  <c r="B734" i="6" s="1"/>
  <c r="A733" i="6"/>
  <c r="B733" i="6" s="1"/>
  <c r="A732" i="6"/>
  <c r="B732" i="6" s="1"/>
  <c r="A731" i="6"/>
  <c r="B731" i="6" s="1"/>
  <c r="A730" i="6"/>
  <c r="B730" i="6" s="1"/>
  <c r="A729" i="6"/>
  <c r="B729" i="6" s="1"/>
  <c r="A728" i="6"/>
  <c r="B728" i="6" s="1"/>
  <c r="A727" i="6"/>
  <c r="B727" i="6" s="1"/>
  <c r="A726" i="6"/>
  <c r="B726" i="6" s="1"/>
  <c r="A725" i="6"/>
  <c r="B725" i="6" s="1"/>
  <c r="A724" i="6"/>
  <c r="B724" i="6" s="1"/>
  <c r="A723" i="6"/>
  <c r="B723" i="6" s="1"/>
  <c r="A722" i="6"/>
  <c r="B722" i="6" s="1"/>
  <c r="A721" i="6"/>
  <c r="B721" i="6" s="1"/>
  <c r="A720" i="6"/>
  <c r="B720" i="6" s="1"/>
  <c r="A719" i="6"/>
  <c r="B719" i="6" s="1"/>
  <c r="A718" i="6"/>
  <c r="B718" i="6" s="1"/>
  <c r="A717" i="6"/>
  <c r="B717" i="6" s="1"/>
  <c r="A716" i="6"/>
  <c r="B716" i="6" s="1"/>
  <c r="A715" i="6"/>
  <c r="B715" i="6" s="1"/>
  <c r="A714" i="6"/>
  <c r="B714" i="6" s="1"/>
  <c r="A713" i="6"/>
  <c r="B713" i="6" s="1"/>
  <c r="A712" i="6"/>
  <c r="B712" i="6" s="1"/>
  <c r="A711" i="6"/>
  <c r="B711" i="6" s="1"/>
  <c r="A710" i="6"/>
  <c r="B710" i="6" s="1"/>
  <c r="A709" i="6"/>
  <c r="B709" i="6" s="1"/>
  <c r="A708" i="6"/>
  <c r="B708" i="6" s="1"/>
  <c r="A707" i="6"/>
  <c r="B707" i="6" s="1"/>
  <c r="A706" i="6"/>
  <c r="B706" i="6" s="1"/>
  <c r="A705" i="6"/>
  <c r="B705" i="6" s="1"/>
  <c r="A704" i="6"/>
  <c r="B704" i="6" s="1"/>
  <c r="A703" i="6"/>
  <c r="B703" i="6" s="1"/>
  <c r="A702" i="6"/>
  <c r="B702" i="6" s="1"/>
  <c r="A701" i="6"/>
  <c r="B701" i="6" s="1"/>
  <c r="A700" i="6"/>
  <c r="B700" i="6" s="1"/>
  <c r="A699" i="6"/>
  <c r="B699" i="6" s="1"/>
  <c r="A698" i="6"/>
  <c r="B698" i="6" s="1"/>
  <c r="A697" i="6"/>
  <c r="B697" i="6" s="1"/>
  <c r="A696" i="6"/>
  <c r="B696" i="6" s="1"/>
  <c r="A695" i="6"/>
  <c r="B695" i="6" s="1"/>
  <c r="A694" i="6"/>
  <c r="B694" i="6" s="1"/>
  <c r="A693" i="6"/>
  <c r="B693" i="6" s="1"/>
  <c r="A692" i="6"/>
  <c r="B692" i="6" s="1"/>
  <c r="A691" i="6"/>
  <c r="B691" i="6" s="1"/>
  <c r="A690" i="6"/>
  <c r="B690" i="6" s="1"/>
  <c r="A689" i="6"/>
  <c r="B689" i="6" s="1"/>
  <c r="A688" i="6"/>
  <c r="B688" i="6" s="1"/>
  <c r="A687" i="6"/>
  <c r="B687" i="6" s="1"/>
  <c r="A686" i="6"/>
  <c r="B686" i="6" s="1"/>
  <c r="A685" i="6"/>
  <c r="B685" i="6" s="1"/>
  <c r="A684" i="6"/>
  <c r="B684" i="6" s="1"/>
  <c r="A683" i="6"/>
  <c r="B683" i="6" s="1"/>
  <c r="A682" i="6"/>
  <c r="B682" i="6" s="1"/>
  <c r="A681" i="6"/>
  <c r="B681" i="6" s="1"/>
  <c r="A680" i="6"/>
  <c r="B680" i="6" s="1"/>
  <c r="A679" i="6"/>
  <c r="B679" i="6" s="1"/>
  <c r="A678" i="6"/>
  <c r="B678" i="6" s="1"/>
  <c r="A677" i="6"/>
  <c r="B677" i="6" s="1"/>
  <c r="A676" i="6"/>
  <c r="B676" i="6" s="1"/>
  <c r="A675" i="6"/>
  <c r="B675" i="6" s="1"/>
  <c r="A674" i="6"/>
  <c r="B674" i="6" s="1"/>
  <c r="A673" i="6"/>
  <c r="B673" i="6" s="1"/>
  <c r="A672" i="6"/>
  <c r="B672" i="6" s="1"/>
  <c r="A671" i="6"/>
  <c r="B671" i="6" s="1"/>
  <c r="A670" i="6"/>
  <c r="B670" i="6" s="1"/>
  <c r="A669" i="6"/>
  <c r="B669" i="6" s="1"/>
  <c r="A668" i="6"/>
  <c r="B668" i="6" s="1"/>
  <c r="A667" i="6"/>
  <c r="B667" i="6" s="1"/>
  <c r="A666" i="6"/>
  <c r="B666" i="6" s="1"/>
  <c r="A665" i="6"/>
  <c r="B665" i="6" s="1"/>
  <c r="A658" i="6"/>
  <c r="B658" i="6" s="1"/>
  <c r="A657" i="6"/>
  <c r="B657" i="6" s="1"/>
  <c r="A656" i="6"/>
  <c r="B656" i="6" s="1"/>
  <c r="A655" i="6"/>
  <c r="B655" i="6" s="1"/>
  <c r="A654" i="6"/>
  <c r="B654" i="6" s="1"/>
  <c r="A653" i="6"/>
  <c r="B653" i="6" s="1"/>
  <c r="A652" i="6"/>
  <c r="B652" i="6" s="1"/>
  <c r="A651" i="6"/>
  <c r="B651" i="6" s="1"/>
  <c r="A650" i="6"/>
  <c r="B650" i="6" s="1"/>
  <c r="A649" i="6"/>
  <c r="B649" i="6" s="1"/>
  <c r="A648" i="6"/>
  <c r="B648" i="6" s="1"/>
  <c r="A647" i="6"/>
  <c r="B647" i="6" s="1"/>
  <c r="A646" i="6"/>
  <c r="B646" i="6" s="1"/>
  <c r="A645" i="6"/>
  <c r="B645" i="6" s="1"/>
  <c r="A644" i="6"/>
  <c r="B644" i="6" s="1"/>
  <c r="A643" i="6"/>
  <c r="B643" i="6" s="1"/>
  <c r="A642" i="6"/>
  <c r="B642" i="6" s="1"/>
  <c r="A641" i="6"/>
  <c r="B641" i="6" s="1"/>
  <c r="A640" i="6"/>
  <c r="B640" i="6" s="1"/>
  <c r="A639" i="6"/>
  <c r="B639" i="6" s="1"/>
  <c r="A638" i="6"/>
  <c r="B638" i="6" s="1"/>
  <c r="A637" i="6"/>
  <c r="B637" i="6" s="1"/>
  <c r="A636" i="6"/>
  <c r="B636" i="6" s="1"/>
  <c r="A635" i="6"/>
  <c r="B635" i="6" s="1"/>
  <c r="A634" i="6"/>
  <c r="B634" i="6" s="1"/>
  <c r="A633" i="6"/>
  <c r="B633" i="6" s="1"/>
  <c r="A632" i="6"/>
  <c r="B632" i="6" s="1"/>
  <c r="A631" i="6"/>
  <c r="B631" i="6" s="1"/>
  <c r="A630" i="6"/>
  <c r="B630" i="6" s="1"/>
  <c r="A629" i="6"/>
  <c r="B629" i="6" s="1"/>
  <c r="A628" i="6"/>
  <c r="B628" i="6" s="1"/>
  <c r="A627" i="6"/>
  <c r="B627" i="6" s="1"/>
  <c r="A626" i="6"/>
  <c r="B626" i="6" s="1"/>
  <c r="A625" i="6"/>
  <c r="B625" i="6" s="1"/>
  <c r="A624" i="6"/>
  <c r="B624" i="6" s="1"/>
  <c r="A623" i="6"/>
  <c r="B623" i="6" s="1"/>
  <c r="A622" i="6"/>
  <c r="B622" i="6" s="1"/>
  <c r="A621" i="6"/>
  <c r="B621" i="6" s="1"/>
  <c r="A620" i="6"/>
  <c r="B620" i="6" s="1"/>
  <c r="A619" i="6"/>
  <c r="B619" i="6" s="1"/>
  <c r="A618" i="6"/>
  <c r="B618" i="6" s="1"/>
  <c r="A617" i="6"/>
  <c r="B617" i="6" s="1"/>
  <c r="A616" i="6"/>
  <c r="B616" i="6" s="1"/>
  <c r="A615" i="6"/>
  <c r="B615" i="6" s="1"/>
  <c r="A614" i="6"/>
  <c r="B614" i="6" s="1"/>
  <c r="A613" i="6"/>
  <c r="B613" i="6" s="1"/>
  <c r="A612" i="6"/>
  <c r="B612" i="6" s="1"/>
  <c r="A611" i="6"/>
  <c r="B611" i="6" s="1"/>
  <c r="A610" i="6"/>
  <c r="B610" i="6" s="1"/>
  <c r="A609" i="6"/>
  <c r="B609" i="6" s="1"/>
  <c r="A608" i="6"/>
  <c r="B608" i="6" s="1"/>
  <c r="A607" i="6"/>
  <c r="B607" i="6" s="1"/>
  <c r="A606" i="6"/>
  <c r="B606" i="6" s="1"/>
  <c r="A605" i="6"/>
  <c r="B605" i="6" s="1"/>
  <c r="A604" i="6"/>
  <c r="B604" i="6" s="1"/>
  <c r="A603" i="6"/>
  <c r="B603" i="6" s="1"/>
  <c r="A602" i="6"/>
  <c r="B602" i="6" s="1"/>
  <c r="A601" i="6"/>
  <c r="B601" i="6" s="1"/>
  <c r="A600" i="6"/>
  <c r="B600" i="6" s="1"/>
  <c r="A599" i="6"/>
  <c r="B599" i="6" s="1"/>
  <c r="A598" i="6"/>
  <c r="B598" i="6" s="1"/>
  <c r="A597" i="6"/>
  <c r="B597" i="6" s="1"/>
  <c r="A596" i="6"/>
  <c r="B596" i="6" s="1"/>
  <c r="A595" i="6"/>
  <c r="B595" i="6" s="1"/>
  <c r="A594" i="6"/>
  <c r="B594" i="6" s="1"/>
  <c r="A593" i="6"/>
  <c r="B593" i="6" s="1"/>
  <c r="A592" i="6"/>
  <c r="B592" i="6" s="1"/>
  <c r="A591" i="6"/>
  <c r="B591" i="6" s="1"/>
  <c r="A590" i="6"/>
  <c r="B590" i="6" s="1"/>
  <c r="A589" i="6"/>
  <c r="B589" i="6" s="1"/>
  <c r="A588" i="6"/>
  <c r="B588" i="6" s="1"/>
  <c r="A587" i="6"/>
  <c r="B587" i="6" s="1"/>
  <c r="A586" i="6"/>
  <c r="B586" i="6" s="1"/>
  <c r="A585" i="6"/>
  <c r="B585" i="6" s="1"/>
  <c r="A584" i="6"/>
  <c r="B584" i="6" s="1"/>
  <c r="A583" i="6"/>
  <c r="B583" i="6" s="1"/>
  <c r="A582" i="6"/>
  <c r="B582" i="6" s="1"/>
  <c r="A581" i="6"/>
  <c r="B581" i="6" s="1"/>
  <c r="A580" i="6"/>
  <c r="B580" i="6" s="1"/>
  <c r="A579" i="6"/>
  <c r="B579" i="6" s="1"/>
  <c r="A578" i="6"/>
  <c r="B578" i="6" s="1"/>
  <c r="A577" i="6"/>
  <c r="B577" i="6" s="1"/>
  <c r="A576" i="6"/>
  <c r="B576" i="6" s="1"/>
  <c r="A575" i="6"/>
  <c r="B575" i="6" s="1"/>
  <c r="A574" i="6"/>
  <c r="B574" i="6" s="1"/>
  <c r="A573" i="6"/>
  <c r="B573" i="6" s="1"/>
  <c r="A572" i="6"/>
  <c r="B572" i="6" s="1"/>
  <c r="A571" i="6"/>
  <c r="B571" i="6" s="1"/>
  <c r="A570" i="6"/>
  <c r="B570" i="6" s="1"/>
  <c r="A569" i="6"/>
  <c r="B569" i="6" s="1"/>
  <c r="A568" i="6"/>
  <c r="B568" i="6" s="1"/>
  <c r="A567" i="6"/>
  <c r="B567" i="6" s="1"/>
  <c r="A566" i="6"/>
  <c r="B566" i="6" s="1"/>
  <c r="A565" i="6"/>
  <c r="B565" i="6" s="1"/>
  <c r="A564" i="6"/>
  <c r="B564" i="6" s="1"/>
  <c r="A563" i="6"/>
  <c r="B563" i="6" s="1"/>
  <c r="A562" i="6"/>
  <c r="B562" i="6" s="1"/>
  <c r="A561" i="6"/>
  <c r="B561" i="6" s="1"/>
  <c r="A560" i="6"/>
  <c r="B560" i="6" s="1"/>
  <c r="A559" i="6"/>
  <c r="B559" i="6" s="1"/>
  <c r="A558" i="6"/>
  <c r="B558" i="6" s="1"/>
  <c r="A557" i="6"/>
  <c r="B557" i="6" s="1"/>
  <c r="A556" i="6"/>
  <c r="B556" i="6" s="1"/>
  <c r="A555" i="6"/>
  <c r="B555" i="6" s="1"/>
  <c r="A554" i="6"/>
  <c r="B554" i="6" s="1"/>
  <c r="A553" i="6"/>
  <c r="B553" i="6" s="1"/>
  <c r="A552" i="6"/>
  <c r="B552" i="6" s="1"/>
  <c r="A551" i="6"/>
  <c r="B551" i="6" s="1"/>
  <c r="A550" i="6"/>
  <c r="B550" i="6" s="1"/>
  <c r="A549" i="6"/>
  <c r="B549" i="6" s="1"/>
  <c r="A548" i="6"/>
  <c r="B548" i="6" s="1"/>
  <c r="A547" i="6"/>
  <c r="B547" i="6" s="1"/>
  <c r="A546" i="6"/>
  <c r="B546" i="6" s="1"/>
  <c r="A545" i="6"/>
  <c r="B545" i="6" s="1"/>
  <c r="A544" i="6"/>
  <c r="B544" i="6" s="1"/>
  <c r="A543" i="6"/>
  <c r="B543" i="6" s="1"/>
  <c r="A542" i="6"/>
  <c r="B542" i="6" s="1"/>
  <c r="A541" i="6"/>
  <c r="B541" i="6" s="1"/>
  <c r="A540" i="6"/>
  <c r="B540" i="6" s="1"/>
  <c r="A539" i="6"/>
  <c r="B539" i="6" s="1"/>
  <c r="A538" i="6"/>
  <c r="B538" i="6" s="1"/>
  <c r="A537" i="6"/>
  <c r="B537" i="6" s="1"/>
  <c r="A536" i="6"/>
  <c r="B536" i="6" s="1"/>
  <c r="A535" i="6"/>
  <c r="B535" i="6" s="1"/>
  <c r="A534" i="6"/>
  <c r="B534" i="6" s="1"/>
  <c r="A533" i="6"/>
  <c r="B533" i="6" s="1"/>
  <c r="A532" i="6"/>
  <c r="B532" i="6" s="1"/>
  <c r="A531" i="6"/>
  <c r="B531" i="6" s="1"/>
  <c r="A530" i="6"/>
  <c r="B530" i="6" s="1"/>
  <c r="A529" i="6"/>
  <c r="B529" i="6" s="1"/>
  <c r="A528" i="6"/>
  <c r="B528" i="6" s="1"/>
  <c r="A527" i="6"/>
  <c r="B527" i="6" s="1"/>
  <c r="A526" i="6"/>
  <c r="B526" i="6" s="1"/>
  <c r="A525" i="6"/>
  <c r="B525" i="6" s="1"/>
  <c r="A524" i="6"/>
  <c r="B524" i="6" s="1"/>
  <c r="A523" i="6"/>
  <c r="B523" i="6" s="1"/>
  <c r="A522" i="6"/>
  <c r="B522" i="6" s="1"/>
  <c r="A521" i="6"/>
  <c r="B521" i="6" s="1"/>
  <c r="A520" i="6"/>
  <c r="B520" i="6" s="1"/>
  <c r="A519" i="6"/>
  <c r="B519" i="6" s="1"/>
  <c r="A518" i="6"/>
  <c r="B518" i="6" s="1"/>
  <c r="A517" i="6"/>
  <c r="B517" i="6" s="1"/>
  <c r="A516" i="6"/>
  <c r="B516" i="6" s="1"/>
  <c r="A515" i="6"/>
  <c r="B515" i="6" s="1"/>
  <c r="A514" i="6"/>
  <c r="B514" i="6" s="1"/>
  <c r="A513" i="6"/>
  <c r="B513" i="6" s="1"/>
  <c r="A512" i="6"/>
  <c r="B512" i="6" s="1"/>
  <c r="A511" i="6"/>
  <c r="B511" i="6" s="1"/>
  <c r="A510" i="6"/>
  <c r="B510" i="6" s="1"/>
  <c r="A509" i="6"/>
  <c r="B509" i="6" s="1"/>
  <c r="A508" i="6"/>
  <c r="B508" i="6" s="1"/>
  <c r="A507" i="6"/>
  <c r="B507" i="6" s="1"/>
  <c r="A506" i="6"/>
  <c r="B506" i="6" s="1"/>
  <c r="A505" i="6"/>
  <c r="B505" i="6" s="1"/>
  <c r="A504" i="6"/>
  <c r="B504" i="6" s="1"/>
  <c r="A503" i="6"/>
  <c r="B503" i="6" s="1"/>
  <c r="A502" i="6"/>
  <c r="B502" i="6" s="1"/>
  <c r="A501" i="6"/>
  <c r="B501" i="6" s="1"/>
  <c r="A500" i="6"/>
  <c r="B500" i="6" s="1"/>
  <c r="A499" i="6"/>
  <c r="B499" i="6" s="1"/>
  <c r="A498" i="6"/>
  <c r="B498" i="6" s="1"/>
  <c r="A497" i="6"/>
  <c r="B497" i="6" s="1"/>
  <c r="A496" i="6"/>
  <c r="B496" i="6" s="1"/>
  <c r="A495" i="6"/>
  <c r="B495" i="6" s="1"/>
  <c r="A494" i="6"/>
  <c r="B494" i="6" s="1"/>
  <c r="A493" i="6"/>
  <c r="B493" i="6" s="1"/>
  <c r="A492" i="6"/>
  <c r="B492" i="6" s="1"/>
  <c r="A491" i="6"/>
  <c r="B491" i="6" s="1"/>
  <c r="A490" i="6"/>
  <c r="B490" i="6" s="1"/>
  <c r="A489" i="6"/>
  <c r="B489" i="6" s="1"/>
  <c r="A488" i="6"/>
  <c r="B488" i="6" s="1"/>
  <c r="A487" i="6"/>
  <c r="B487" i="6" s="1"/>
  <c r="A486" i="6"/>
  <c r="B486" i="6" s="1"/>
  <c r="A485" i="6"/>
  <c r="B485" i="6" s="1"/>
  <c r="A484" i="6"/>
  <c r="B484" i="6" s="1"/>
  <c r="A483" i="6"/>
  <c r="B483" i="6" s="1"/>
  <c r="A482" i="6"/>
  <c r="B482" i="6" s="1"/>
  <c r="A481" i="6"/>
  <c r="B481" i="6" s="1"/>
  <c r="A480" i="6"/>
  <c r="B480" i="6" s="1"/>
  <c r="A479" i="6"/>
  <c r="B479" i="6" s="1"/>
  <c r="A478" i="6"/>
  <c r="B478" i="6" s="1"/>
  <c r="A477" i="6"/>
  <c r="B477" i="6" s="1"/>
  <c r="A476" i="6"/>
  <c r="B476" i="6" s="1"/>
  <c r="A475" i="6"/>
  <c r="B475" i="6" s="1"/>
  <c r="A474" i="6"/>
  <c r="B474" i="6" s="1"/>
  <c r="A473" i="6"/>
  <c r="B473" i="6" s="1"/>
  <c r="A472" i="6"/>
  <c r="B472" i="6" s="1"/>
  <c r="A471" i="6"/>
  <c r="B471" i="6" s="1"/>
  <c r="A470" i="6"/>
  <c r="B470" i="6" s="1"/>
  <c r="A469" i="6"/>
  <c r="B469" i="6" s="1"/>
  <c r="A468" i="6"/>
  <c r="B468" i="6" s="1"/>
  <c r="A467" i="6"/>
  <c r="B467" i="6" s="1"/>
  <c r="A466" i="6"/>
  <c r="B466" i="6" s="1"/>
  <c r="A465" i="6"/>
  <c r="B465" i="6" s="1"/>
  <c r="A464" i="6"/>
  <c r="B464" i="6" s="1"/>
  <c r="A463" i="6"/>
  <c r="B463" i="6" s="1"/>
  <c r="A462" i="6"/>
  <c r="B462" i="6" s="1"/>
  <c r="A461" i="6"/>
  <c r="B461" i="6" s="1"/>
  <c r="A460" i="6"/>
  <c r="B460" i="6" s="1"/>
  <c r="A459" i="6"/>
  <c r="B459" i="6" s="1"/>
  <c r="A458" i="6"/>
  <c r="B458" i="6" s="1"/>
  <c r="A457" i="6"/>
  <c r="B457" i="6" s="1"/>
  <c r="A456" i="6"/>
  <c r="B456" i="6" s="1"/>
  <c r="A455" i="6"/>
  <c r="B455" i="6" s="1"/>
  <c r="A454" i="6"/>
  <c r="B454" i="6" s="1"/>
  <c r="A453" i="6"/>
  <c r="B453" i="6" s="1"/>
  <c r="A452" i="6"/>
  <c r="B452" i="6" s="1"/>
  <c r="A451" i="6"/>
  <c r="B451" i="6" s="1"/>
  <c r="A450" i="6"/>
  <c r="B450" i="6" s="1"/>
  <c r="A449" i="6"/>
  <c r="B449" i="6" s="1"/>
  <c r="A448" i="6"/>
  <c r="B448" i="6" s="1"/>
  <c r="A447" i="6"/>
  <c r="B447" i="6" s="1"/>
  <c r="A446" i="6"/>
  <c r="B446" i="6" s="1"/>
  <c r="A445" i="6"/>
  <c r="B445" i="6" s="1"/>
  <c r="A444" i="6"/>
  <c r="B444" i="6" s="1"/>
  <c r="A443" i="6"/>
  <c r="B443" i="6" s="1"/>
  <c r="A442" i="6"/>
  <c r="B442" i="6" s="1"/>
  <c r="A441" i="6"/>
  <c r="B441" i="6" s="1"/>
  <c r="A440" i="6"/>
  <c r="B440" i="6" s="1"/>
  <c r="A439" i="6"/>
  <c r="B439" i="6" s="1"/>
  <c r="A438" i="6"/>
  <c r="B438" i="6" s="1"/>
  <c r="A437" i="6"/>
  <c r="B437" i="6" s="1"/>
  <c r="A436" i="6"/>
  <c r="B436" i="6" s="1"/>
  <c r="A435" i="6"/>
  <c r="B435" i="6" s="1"/>
  <c r="A434" i="6"/>
  <c r="B434" i="6" s="1"/>
  <c r="A433" i="6"/>
  <c r="B433" i="6" s="1"/>
  <c r="A432" i="6"/>
  <c r="B432" i="6" s="1"/>
  <c r="A431" i="6"/>
  <c r="B431" i="6" s="1"/>
  <c r="A430" i="6"/>
  <c r="B430" i="6" s="1"/>
  <c r="A429" i="6"/>
  <c r="B429" i="6" s="1"/>
  <c r="A428" i="6"/>
  <c r="B428" i="6" s="1"/>
  <c r="A427" i="6"/>
  <c r="B427" i="6" s="1"/>
  <c r="A426" i="6"/>
  <c r="B426" i="6" s="1"/>
  <c r="A425" i="6"/>
  <c r="B425" i="6" s="1"/>
  <c r="A424" i="6"/>
  <c r="B424" i="6" s="1"/>
  <c r="A423" i="6"/>
  <c r="B423" i="6" s="1"/>
  <c r="A422" i="6"/>
  <c r="B422" i="6" s="1"/>
  <c r="A421" i="6"/>
  <c r="B421" i="6" s="1"/>
  <c r="A420" i="6"/>
  <c r="B420" i="6" s="1"/>
  <c r="A419" i="6"/>
  <c r="B419" i="6" s="1"/>
  <c r="A418" i="6"/>
  <c r="B418" i="6" s="1"/>
  <c r="A417" i="6"/>
  <c r="B417" i="6" s="1"/>
  <c r="A416" i="6"/>
  <c r="B416" i="6" s="1"/>
  <c r="A415" i="6"/>
  <c r="B415" i="6" s="1"/>
  <c r="A414" i="6"/>
  <c r="B414" i="6" s="1"/>
  <c r="A413" i="6"/>
  <c r="B413" i="6" s="1"/>
  <c r="A412" i="6"/>
  <c r="B412" i="6" s="1"/>
  <c r="A411" i="6"/>
  <c r="B411" i="6" s="1"/>
  <c r="A410" i="6"/>
  <c r="B410" i="6" s="1"/>
  <c r="A409" i="6"/>
  <c r="B409" i="6" s="1"/>
  <c r="A408" i="6"/>
  <c r="B408" i="6" s="1"/>
  <c r="A407" i="6"/>
  <c r="B407" i="6" s="1"/>
  <c r="A406" i="6"/>
  <c r="B406" i="6" s="1"/>
  <c r="A405" i="6"/>
  <c r="B405" i="6" s="1"/>
  <c r="A404" i="6"/>
  <c r="B404" i="6" s="1"/>
  <c r="A403" i="6"/>
  <c r="B403" i="6" s="1"/>
  <c r="A402" i="6"/>
  <c r="B402" i="6" s="1"/>
  <c r="A401" i="6"/>
  <c r="B401" i="6" s="1"/>
  <c r="A400" i="6"/>
  <c r="B400" i="6" s="1"/>
  <c r="A399" i="6"/>
  <c r="B399" i="6" s="1"/>
  <c r="A398" i="6"/>
  <c r="B398" i="6" s="1"/>
  <c r="A397" i="6"/>
  <c r="B397" i="6" s="1"/>
  <c r="A396" i="6"/>
  <c r="B396" i="6" s="1"/>
  <c r="A395" i="6"/>
  <c r="B395" i="6" s="1"/>
  <c r="A394" i="6"/>
  <c r="B394" i="6" s="1"/>
  <c r="A393" i="6"/>
  <c r="B393" i="6" s="1"/>
  <c r="A392" i="6"/>
  <c r="B392" i="6" s="1"/>
  <c r="A391" i="6"/>
  <c r="B391" i="6" s="1"/>
  <c r="A390" i="6"/>
  <c r="B390" i="6" s="1"/>
  <c r="A389" i="6"/>
  <c r="B389" i="6" s="1"/>
  <c r="A388" i="6"/>
  <c r="B388" i="6" s="1"/>
  <c r="A387" i="6"/>
  <c r="B387" i="6" s="1"/>
  <c r="A386" i="6"/>
  <c r="B386" i="6" s="1"/>
  <c r="A385" i="6"/>
  <c r="B385" i="6" s="1"/>
  <c r="A384" i="6"/>
  <c r="B384" i="6" s="1"/>
  <c r="A383" i="6"/>
  <c r="B383" i="6" s="1"/>
  <c r="A382" i="6"/>
  <c r="B382" i="6" s="1"/>
  <c r="A381" i="6"/>
  <c r="B381" i="6" s="1"/>
  <c r="A380" i="6"/>
  <c r="B380" i="6" s="1"/>
  <c r="A379" i="6"/>
  <c r="B379" i="6" s="1"/>
  <c r="A378" i="6"/>
  <c r="B378" i="6" s="1"/>
  <c r="A377" i="6"/>
  <c r="B377" i="6" s="1"/>
  <c r="A376" i="6"/>
  <c r="B376" i="6" s="1"/>
  <c r="A375" i="6"/>
  <c r="B375" i="6" s="1"/>
  <c r="A374" i="6"/>
  <c r="B374" i="6" s="1"/>
  <c r="A373" i="6"/>
  <c r="B373" i="6" s="1"/>
  <c r="A372" i="6"/>
  <c r="B372" i="6" s="1"/>
  <c r="A371" i="6"/>
  <c r="B371" i="6" s="1"/>
  <c r="A370" i="6"/>
  <c r="B370" i="6" s="1"/>
  <c r="A369" i="6"/>
  <c r="B369" i="6" s="1"/>
  <c r="A368" i="6"/>
  <c r="B368" i="6" s="1"/>
  <c r="A367" i="6"/>
  <c r="B367" i="6" s="1"/>
  <c r="A366" i="6"/>
  <c r="B366" i="6" s="1"/>
  <c r="A365" i="6"/>
  <c r="B365" i="6" s="1"/>
  <c r="A364" i="6"/>
  <c r="B364" i="6" s="1"/>
  <c r="A363" i="6"/>
  <c r="B363" i="6" s="1"/>
  <c r="A362" i="6"/>
  <c r="B362" i="6" s="1"/>
  <c r="A361" i="6"/>
  <c r="B361" i="6" s="1"/>
  <c r="A360" i="6"/>
  <c r="B360" i="6" s="1"/>
  <c r="A359" i="6"/>
  <c r="B359" i="6" s="1"/>
  <c r="A358" i="6"/>
  <c r="B358" i="6" s="1"/>
  <c r="A357" i="6"/>
  <c r="B357" i="6" s="1"/>
  <c r="A356" i="6"/>
  <c r="B356" i="6" s="1"/>
  <c r="A355" i="6"/>
  <c r="B355" i="6" s="1"/>
  <c r="A354" i="6"/>
  <c r="B354" i="6" s="1"/>
  <c r="A353" i="6"/>
  <c r="B353" i="6" s="1"/>
  <c r="A352" i="6"/>
  <c r="B352" i="6" s="1"/>
  <c r="A351" i="6"/>
  <c r="B351" i="6" s="1"/>
  <c r="A350" i="6"/>
  <c r="B350" i="6" s="1"/>
  <c r="A349" i="6"/>
  <c r="B349" i="6" s="1"/>
  <c r="A348" i="6"/>
  <c r="B348" i="6" s="1"/>
  <c r="A347" i="6"/>
  <c r="B347" i="6" s="1"/>
  <c r="A346" i="6"/>
  <c r="B346" i="6" s="1"/>
  <c r="A345" i="6"/>
  <c r="B345" i="6" s="1"/>
  <c r="A344" i="6"/>
  <c r="B344" i="6" s="1"/>
  <c r="A343" i="6"/>
  <c r="B343" i="6" s="1"/>
  <c r="A342" i="6"/>
  <c r="B342" i="6" s="1"/>
  <c r="A341" i="6"/>
  <c r="B341" i="6" s="1"/>
  <c r="A340" i="6"/>
  <c r="B340" i="6" s="1"/>
  <c r="A339" i="6"/>
  <c r="B339" i="6" s="1"/>
  <c r="A338" i="6"/>
  <c r="B338" i="6" s="1"/>
  <c r="A337" i="6"/>
  <c r="B337" i="6" s="1"/>
  <c r="A336" i="6"/>
  <c r="B336" i="6" s="1"/>
  <c r="A335" i="6"/>
  <c r="B335" i="6" s="1"/>
  <c r="A334" i="6"/>
  <c r="B334" i="6" s="1"/>
  <c r="A333" i="6"/>
  <c r="B333" i="6" s="1"/>
  <c r="A332" i="6"/>
  <c r="B332" i="6" s="1"/>
  <c r="A331" i="6"/>
  <c r="B331" i="6" s="1"/>
  <c r="A330" i="6"/>
  <c r="B330" i="6" s="1"/>
  <c r="A329" i="6"/>
  <c r="B329" i="6" s="1"/>
  <c r="A328" i="6"/>
  <c r="B328" i="6" s="1"/>
  <c r="A327" i="6"/>
  <c r="B327" i="6" s="1"/>
  <c r="A326" i="6"/>
  <c r="B326" i="6" s="1"/>
  <c r="A325" i="6"/>
  <c r="B325" i="6" s="1"/>
  <c r="A324" i="6"/>
  <c r="B324" i="6" s="1"/>
  <c r="A323" i="6"/>
  <c r="B323" i="6" s="1"/>
  <c r="A322" i="6"/>
  <c r="B322" i="6" s="1"/>
  <c r="A321" i="6"/>
  <c r="B321" i="6" s="1"/>
  <c r="A320" i="6"/>
  <c r="B320" i="6" s="1"/>
  <c r="A319" i="6"/>
  <c r="B319" i="6" s="1"/>
  <c r="A318" i="6"/>
  <c r="B318" i="6" s="1"/>
  <c r="A317" i="6"/>
  <c r="B317" i="6" s="1"/>
  <c r="A316" i="6"/>
  <c r="B316" i="6" s="1"/>
  <c r="A315" i="6"/>
  <c r="B315" i="6" s="1"/>
  <c r="A314" i="6"/>
  <c r="B314" i="6" s="1"/>
  <c r="A313" i="6"/>
  <c r="B313" i="6" s="1"/>
  <c r="A312" i="6"/>
  <c r="B312" i="6" s="1"/>
  <c r="A311" i="6"/>
  <c r="B311" i="6" s="1"/>
  <c r="A310" i="6"/>
  <c r="B310" i="6" s="1"/>
  <c r="A309" i="6"/>
  <c r="B309" i="6" s="1"/>
  <c r="A308" i="6"/>
  <c r="B308" i="6" s="1"/>
  <c r="A307" i="6"/>
  <c r="B307" i="6" s="1"/>
  <c r="A306" i="6"/>
  <c r="B306" i="6" s="1"/>
  <c r="A305" i="6"/>
  <c r="B305" i="6" s="1"/>
  <c r="A304" i="6"/>
  <c r="B304" i="6" s="1"/>
  <c r="A303" i="6"/>
  <c r="B303" i="6" s="1"/>
  <c r="A302" i="6"/>
  <c r="B302" i="6" s="1"/>
  <c r="A301" i="6"/>
  <c r="B301" i="6" s="1"/>
  <c r="A300" i="6"/>
  <c r="B300" i="6" s="1"/>
  <c r="A299" i="6"/>
  <c r="B299" i="6" s="1"/>
  <c r="A298" i="6"/>
  <c r="B298" i="6" s="1"/>
  <c r="A297" i="6"/>
  <c r="B297" i="6" s="1"/>
  <c r="A296" i="6"/>
  <c r="B296" i="6" s="1"/>
  <c r="A295" i="6"/>
  <c r="B295" i="6" s="1"/>
  <c r="A294" i="6"/>
  <c r="B294" i="6" s="1"/>
  <c r="A293" i="6"/>
  <c r="B293" i="6" s="1"/>
  <c r="A292" i="6"/>
  <c r="B292" i="6" s="1"/>
  <c r="A291" i="6"/>
  <c r="B291" i="6" s="1"/>
  <c r="A290" i="6"/>
  <c r="B290" i="6" s="1"/>
  <c r="A289" i="6"/>
  <c r="B289" i="6" s="1"/>
  <c r="A288" i="6"/>
  <c r="B288" i="6" s="1"/>
  <c r="A287" i="6"/>
  <c r="B287" i="6" s="1"/>
  <c r="A286" i="6"/>
  <c r="B286" i="6" s="1"/>
  <c r="A285" i="6"/>
  <c r="B285" i="6" s="1"/>
  <c r="A284" i="6"/>
  <c r="B284" i="6" s="1"/>
  <c r="A283" i="6"/>
  <c r="B283" i="6" s="1"/>
  <c r="A282" i="6"/>
  <c r="B282" i="6" s="1"/>
  <c r="A281" i="6"/>
  <c r="B281" i="6" s="1"/>
  <c r="A280" i="6"/>
  <c r="B280" i="6" s="1"/>
  <c r="A279" i="6"/>
  <c r="B279" i="6" s="1"/>
  <c r="A278" i="6"/>
  <c r="B278" i="6" s="1"/>
  <c r="A277" i="6"/>
  <c r="B277" i="6" s="1"/>
  <c r="A276" i="6"/>
  <c r="B276" i="6" s="1"/>
  <c r="A275" i="6"/>
  <c r="B275" i="6" s="1"/>
  <c r="A274" i="6"/>
  <c r="B274" i="6" s="1"/>
  <c r="A273" i="6"/>
  <c r="B273" i="6" s="1"/>
  <c r="A272" i="6"/>
  <c r="B272" i="6" s="1"/>
  <c r="A271" i="6"/>
  <c r="B271" i="6" s="1"/>
  <c r="A270" i="6"/>
  <c r="B270" i="6" s="1"/>
  <c r="A269" i="6"/>
  <c r="B269" i="6" s="1"/>
  <c r="A268" i="6"/>
  <c r="B268" i="6" s="1"/>
  <c r="A267" i="6"/>
  <c r="B267" i="6" s="1"/>
  <c r="A266" i="6"/>
  <c r="B266" i="6" s="1"/>
  <c r="A265" i="6"/>
  <c r="B265" i="6" s="1"/>
  <c r="A264" i="6"/>
  <c r="B264" i="6" s="1"/>
  <c r="A263" i="6"/>
  <c r="B263" i="6" s="1"/>
  <c r="A262" i="6"/>
  <c r="B262" i="6" s="1"/>
  <c r="A261" i="6"/>
  <c r="B261" i="6" s="1"/>
  <c r="A260" i="6"/>
  <c r="B260" i="6" s="1"/>
  <c r="A259" i="6"/>
  <c r="B259" i="6" s="1"/>
  <c r="A258" i="6"/>
  <c r="B258" i="6" s="1"/>
  <c r="A257" i="6"/>
  <c r="B257" i="6" s="1"/>
  <c r="A256" i="6"/>
  <c r="B256" i="6" s="1"/>
  <c r="A255" i="6"/>
  <c r="B255" i="6" s="1"/>
  <c r="A254" i="6"/>
  <c r="B254" i="6" s="1"/>
  <c r="A253" i="6"/>
  <c r="B253" i="6" s="1"/>
  <c r="A252" i="6"/>
  <c r="B252" i="6" s="1"/>
  <c r="A251" i="6"/>
  <c r="B251" i="6" s="1"/>
  <c r="A250" i="6"/>
  <c r="B250" i="6" s="1"/>
  <c r="A249" i="6"/>
  <c r="B249" i="6" s="1"/>
  <c r="A248" i="6"/>
  <c r="B248" i="6" s="1"/>
  <c r="A247" i="6"/>
  <c r="B247" i="6" s="1"/>
  <c r="A246" i="6"/>
  <c r="B246" i="6" s="1"/>
  <c r="A245" i="6"/>
  <c r="B245" i="6" s="1"/>
  <c r="A244" i="6"/>
  <c r="B244" i="6" s="1"/>
  <c r="A243" i="6"/>
  <c r="B243" i="6" s="1"/>
  <c r="A242" i="6"/>
  <c r="B242" i="6" s="1"/>
  <c r="A241" i="6"/>
  <c r="B241" i="6" s="1"/>
  <c r="A240" i="6"/>
  <c r="B240" i="6" s="1"/>
  <c r="A239" i="6"/>
  <c r="B239" i="6" s="1"/>
  <c r="A238" i="6"/>
  <c r="B238" i="6" s="1"/>
  <c r="A237" i="6"/>
  <c r="B237" i="6" s="1"/>
  <c r="A236" i="6"/>
  <c r="B236" i="6" s="1"/>
  <c r="A235" i="6"/>
  <c r="B235" i="6" s="1"/>
  <c r="A234" i="6"/>
  <c r="B234" i="6" s="1"/>
  <c r="A233" i="6"/>
  <c r="B233" i="6" s="1"/>
  <c r="A232" i="6"/>
  <c r="B232" i="6" s="1"/>
  <c r="A231" i="6"/>
  <c r="B231" i="6" s="1"/>
  <c r="A230" i="6"/>
  <c r="B230" i="6" s="1"/>
  <c r="A229" i="6"/>
  <c r="B229" i="6" s="1"/>
  <c r="A228" i="6"/>
  <c r="B228" i="6" s="1"/>
  <c r="A227" i="6"/>
  <c r="B227" i="6" s="1"/>
  <c r="A226" i="6"/>
  <c r="B226" i="6" s="1"/>
  <c r="A225" i="6"/>
  <c r="B225" i="6" s="1"/>
  <c r="A224" i="6"/>
  <c r="B224" i="6" s="1"/>
  <c r="A223" i="6"/>
  <c r="B223" i="6" s="1"/>
  <c r="A222" i="6"/>
  <c r="B222" i="6" s="1"/>
  <c r="A221" i="6"/>
  <c r="B221" i="6" s="1"/>
  <c r="A220" i="6"/>
  <c r="B220" i="6" s="1"/>
  <c r="A219" i="6"/>
  <c r="B219" i="6" s="1"/>
  <c r="A218" i="6"/>
  <c r="B218" i="6" s="1"/>
  <c r="A217" i="6"/>
  <c r="B217" i="6" s="1"/>
  <c r="A216" i="6"/>
  <c r="B216" i="6" s="1"/>
  <c r="A215" i="6"/>
  <c r="B215" i="6" s="1"/>
  <c r="A214" i="6"/>
  <c r="B214" i="6" s="1"/>
  <c r="A213" i="6"/>
  <c r="B213" i="6" s="1"/>
  <c r="A212" i="6"/>
  <c r="B212" i="6" s="1"/>
  <c r="A211" i="6"/>
  <c r="B211" i="6" s="1"/>
  <c r="A210" i="6"/>
  <c r="B210" i="6" s="1"/>
  <c r="A209" i="6"/>
  <c r="B209" i="6" s="1"/>
  <c r="A208" i="6"/>
  <c r="B208" i="6" s="1"/>
  <c r="A207" i="6"/>
  <c r="B207" i="6" s="1"/>
  <c r="A206" i="6"/>
  <c r="B206" i="6" s="1"/>
  <c r="A205" i="6"/>
  <c r="B205" i="6" s="1"/>
  <c r="A204" i="6"/>
  <c r="B204" i="6" s="1"/>
  <c r="A203" i="6"/>
  <c r="B203" i="6" s="1"/>
  <c r="A202" i="6"/>
  <c r="B202" i="6" s="1"/>
  <c r="A201" i="6"/>
  <c r="B201" i="6" s="1"/>
  <c r="A200" i="6"/>
  <c r="B200" i="6" s="1"/>
  <c r="A199" i="6"/>
  <c r="B199" i="6" s="1"/>
  <c r="A198" i="6"/>
  <c r="B198" i="6" s="1"/>
  <c r="A197" i="6"/>
  <c r="B197" i="6" s="1"/>
  <c r="A196" i="6"/>
  <c r="B196" i="6" s="1"/>
  <c r="A195" i="6"/>
  <c r="B195" i="6" s="1"/>
  <c r="A194" i="6"/>
  <c r="B194" i="6" s="1"/>
  <c r="A193" i="6"/>
  <c r="B193" i="6" s="1"/>
  <c r="A192" i="6"/>
  <c r="B192" i="6" s="1"/>
  <c r="A191" i="6"/>
  <c r="B191" i="6" s="1"/>
  <c r="A190" i="6"/>
  <c r="B190" i="6" s="1"/>
  <c r="A189" i="6"/>
  <c r="B189" i="6" s="1"/>
  <c r="A188" i="6"/>
  <c r="B188" i="6" s="1"/>
  <c r="A187" i="6"/>
  <c r="B187" i="6" s="1"/>
  <c r="A186" i="6"/>
  <c r="B186" i="6" s="1"/>
  <c r="A185" i="6"/>
  <c r="B185" i="6" s="1"/>
  <c r="A184" i="6"/>
  <c r="B184" i="6" s="1"/>
  <c r="A183" i="6"/>
  <c r="B183" i="6" s="1"/>
  <c r="A182" i="6"/>
  <c r="B182" i="6" s="1"/>
  <c r="A181" i="6"/>
  <c r="B181" i="6" s="1"/>
  <c r="A180" i="6"/>
  <c r="B180" i="6" s="1"/>
  <c r="A179" i="6"/>
  <c r="B179" i="6" s="1"/>
  <c r="A178" i="6"/>
  <c r="B178" i="6" s="1"/>
  <c r="A177" i="6"/>
  <c r="B177" i="6" s="1"/>
  <c r="A176" i="6"/>
  <c r="B176" i="6" s="1"/>
  <c r="A175" i="6"/>
  <c r="B175" i="6" s="1"/>
  <c r="A174" i="6"/>
  <c r="B174" i="6" s="1"/>
  <c r="A173" i="6"/>
  <c r="B173" i="6" s="1"/>
  <c r="A172" i="6"/>
  <c r="B172" i="6" s="1"/>
  <c r="A171" i="6"/>
  <c r="B171" i="6" s="1"/>
  <c r="A170" i="6"/>
  <c r="B170" i="6" s="1"/>
  <c r="A169" i="6"/>
  <c r="B169" i="6" s="1"/>
  <c r="A168" i="6"/>
  <c r="B168" i="6" s="1"/>
  <c r="A167" i="6"/>
  <c r="B167" i="6" s="1"/>
  <c r="A166" i="6"/>
  <c r="B166" i="6" s="1"/>
  <c r="A165" i="6"/>
  <c r="B165" i="6" s="1"/>
  <c r="A164" i="6"/>
  <c r="B164" i="6" s="1"/>
  <c r="A163" i="6"/>
  <c r="B163" i="6" s="1"/>
  <c r="A162" i="6"/>
  <c r="B162" i="6" s="1"/>
  <c r="A161" i="6"/>
  <c r="B161" i="6" s="1"/>
  <c r="A160" i="6"/>
  <c r="B160" i="6" s="1"/>
  <c r="A159" i="6"/>
  <c r="B159" i="6" s="1"/>
  <c r="A158" i="6"/>
  <c r="B158" i="6" s="1"/>
  <c r="A157" i="6"/>
  <c r="B157" i="6" s="1"/>
  <c r="A156" i="6"/>
  <c r="B156" i="6" s="1"/>
  <c r="A155" i="6"/>
  <c r="B155" i="6" s="1"/>
  <c r="A154" i="6"/>
  <c r="B154" i="6" s="1"/>
  <c r="A153" i="6"/>
  <c r="B153" i="6" s="1"/>
  <c r="A152" i="6"/>
  <c r="B152" i="6" s="1"/>
  <c r="A151" i="6"/>
  <c r="B151" i="6" s="1"/>
  <c r="A150" i="6"/>
  <c r="B150" i="6" s="1"/>
  <c r="A149" i="6"/>
  <c r="B149" i="6" s="1"/>
  <c r="A148" i="6"/>
  <c r="B148" i="6" s="1"/>
  <c r="A147" i="6"/>
  <c r="B147" i="6" s="1"/>
  <c r="A146" i="6"/>
  <c r="B146" i="6" s="1"/>
  <c r="A145" i="6"/>
  <c r="B145" i="6" s="1"/>
  <c r="A144" i="6"/>
  <c r="B144" i="6" s="1"/>
  <c r="A143" i="6"/>
  <c r="B143" i="6" s="1"/>
  <c r="A142" i="6"/>
  <c r="B142" i="6" s="1"/>
  <c r="A141" i="6"/>
  <c r="B141" i="6" s="1"/>
  <c r="A140" i="6"/>
  <c r="B140" i="6" s="1"/>
  <c r="A139" i="6"/>
  <c r="B139" i="6" s="1"/>
  <c r="A138" i="6"/>
  <c r="B138" i="6" s="1"/>
  <c r="A137" i="6"/>
  <c r="B137" i="6" s="1"/>
  <c r="A136" i="6"/>
  <c r="B136" i="6" s="1"/>
  <c r="A135" i="6"/>
  <c r="B135" i="6" s="1"/>
  <c r="A134" i="6"/>
  <c r="B134" i="6" s="1"/>
  <c r="A133" i="6"/>
  <c r="B133" i="6" s="1"/>
  <c r="A132" i="6"/>
  <c r="B132" i="6" s="1"/>
  <c r="A131" i="6"/>
  <c r="B131" i="6" s="1"/>
  <c r="A130" i="6"/>
  <c r="B130" i="6" s="1"/>
  <c r="A129" i="6"/>
  <c r="B129" i="6" s="1"/>
  <c r="A128" i="6"/>
  <c r="B128" i="6" s="1"/>
  <c r="A127" i="6"/>
  <c r="B127" i="6" s="1"/>
  <c r="A126" i="6"/>
  <c r="B126" i="6" s="1"/>
  <c r="A125" i="6"/>
  <c r="B125" i="6" s="1"/>
  <c r="A124" i="6"/>
  <c r="B124" i="6" s="1"/>
  <c r="A123" i="6"/>
  <c r="B123" i="6" s="1"/>
  <c r="A122" i="6"/>
  <c r="B122" i="6" s="1"/>
  <c r="A121" i="6"/>
  <c r="B121" i="6" s="1"/>
  <c r="A120" i="6"/>
  <c r="B120" i="6" s="1"/>
  <c r="A119" i="6"/>
  <c r="B119" i="6" s="1"/>
  <c r="A118" i="6"/>
  <c r="B118" i="6" s="1"/>
  <c r="A117" i="6"/>
  <c r="B117" i="6" s="1"/>
  <c r="A116" i="6"/>
  <c r="B116" i="6" s="1"/>
  <c r="A115" i="6"/>
  <c r="B115" i="6" s="1"/>
  <c r="A114" i="6"/>
  <c r="B114" i="6" s="1"/>
  <c r="A113" i="6"/>
  <c r="B113" i="6" s="1"/>
  <c r="A112" i="6"/>
  <c r="B112" i="6" s="1"/>
  <c r="A111" i="6"/>
  <c r="B111" i="6" s="1"/>
  <c r="A110" i="6"/>
  <c r="B110" i="6" s="1"/>
  <c r="A109" i="6"/>
  <c r="B109" i="6" s="1"/>
  <c r="A108" i="6"/>
  <c r="B108" i="6" s="1"/>
  <c r="A107" i="6"/>
  <c r="B107" i="6" s="1"/>
  <c r="A106" i="6"/>
  <c r="B106" i="6" s="1"/>
  <c r="A105" i="6"/>
  <c r="B105" i="6" s="1"/>
  <c r="A104" i="6"/>
  <c r="B104" i="6" s="1"/>
  <c r="A103" i="6"/>
  <c r="B103" i="6" s="1"/>
  <c r="A102" i="6"/>
  <c r="B102" i="6" s="1"/>
  <c r="A101" i="6"/>
  <c r="B101" i="6" s="1"/>
  <c r="A100" i="6"/>
  <c r="B100" i="6" s="1"/>
  <c r="A99" i="6"/>
  <c r="B99" i="6" s="1"/>
  <c r="A98" i="6"/>
  <c r="B98" i="6" s="1"/>
  <c r="A97" i="6"/>
  <c r="B97" i="6" s="1"/>
  <c r="A96" i="6"/>
  <c r="B96" i="6" s="1"/>
  <c r="A95" i="6"/>
  <c r="B95" i="6" s="1"/>
  <c r="A94" i="6"/>
  <c r="B94" i="6" s="1"/>
  <c r="A93" i="6"/>
  <c r="B93" i="6" s="1"/>
  <c r="A92" i="6"/>
  <c r="B92" i="6" s="1"/>
  <c r="A91" i="6"/>
  <c r="B91" i="6" s="1"/>
  <c r="A90" i="6"/>
  <c r="B90" i="6" s="1"/>
  <c r="A89" i="6"/>
  <c r="B89" i="6" s="1"/>
  <c r="A88" i="6"/>
  <c r="B88" i="6" s="1"/>
  <c r="A87" i="6"/>
  <c r="B87" i="6" s="1"/>
  <c r="A86" i="6"/>
  <c r="B86" i="6" s="1"/>
  <c r="A85" i="6"/>
  <c r="B85" i="6" s="1"/>
  <c r="A84" i="6"/>
  <c r="B84" i="6" s="1"/>
  <c r="A83" i="6"/>
  <c r="B83" i="6" s="1"/>
  <c r="A82" i="6"/>
  <c r="B82" i="6" s="1"/>
  <c r="A81" i="6"/>
  <c r="B81" i="6" s="1"/>
  <c r="A80" i="6"/>
  <c r="B80" i="6" s="1"/>
  <c r="A79" i="6"/>
  <c r="B79" i="6" s="1"/>
  <c r="A78" i="6"/>
  <c r="B78" i="6" s="1"/>
  <c r="A77" i="6"/>
  <c r="B77" i="6" s="1"/>
  <c r="A76" i="6"/>
  <c r="B76" i="6" s="1"/>
  <c r="A75" i="6"/>
  <c r="B75" i="6" s="1"/>
  <c r="A74" i="6"/>
  <c r="B74" i="6" s="1"/>
  <c r="A73" i="6"/>
  <c r="B73" i="6" s="1"/>
  <c r="A72" i="6"/>
  <c r="B72" i="6" s="1"/>
  <c r="A71" i="6"/>
  <c r="B71" i="6" s="1"/>
  <c r="A70" i="6"/>
  <c r="B70" i="6" s="1"/>
  <c r="A69" i="6"/>
  <c r="B69" i="6" s="1"/>
  <c r="A68" i="6"/>
  <c r="B68" i="6" s="1"/>
  <c r="A67" i="6"/>
  <c r="B67" i="6" s="1"/>
  <c r="A66" i="6"/>
  <c r="B66" i="6" s="1"/>
  <c r="A65" i="6"/>
  <c r="B65" i="6" s="1"/>
  <c r="A64" i="6"/>
  <c r="B64" i="6" s="1"/>
  <c r="A63" i="6"/>
  <c r="B63" i="6" s="1"/>
  <c r="A62" i="6"/>
  <c r="B62" i="6" s="1"/>
  <c r="A61" i="6"/>
  <c r="B61" i="6" s="1"/>
  <c r="A60" i="6"/>
  <c r="B60" i="6" s="1"/>
  <c r="A59" i="6"/>
  <c r="B59" i="6" s="1"/>
  <c r="A58" i="6"/>
  <c r="B58" i="6" s="1"/>
  <c r="A57" i="6"/>
  <c r="B57" i="6" s="1"/>
  <c r="A56" i="6"/>
  <c r="B56" i="6" s="1"/>
  <c r="A55" i="6"/>
  <c r="B55" i="6" s="1"/>
  <c r="A54" i="6"/>
  <c r="B54" i="6" s="1"/>
  <c r="A53" i="6"/>
  <c r="B53" i="6" s="1"/>
  <c r="A52" i="6"/>
  <c r="B52" i="6" s="1"/>
  <c r="A51" i="6"/>
  <c r="B51" i="6" s="1"/>
  <c r="A50" i="6"/>
  <c r="B50" i="6" s="1"/>
  <c r="A49" i="6"/>
  <c r="B49" i="6" s="1"/>
  <c r="A48" i="6"/>
  <c r="B48" i="6" s="1"/>
  <c r="A47" i="6"/>
  <c r="B47" i="6" s="1"/>
  <c r="A46" i="6"/>
  <c r="B46" i="6" s="1"/>
  <c r="A45" i="6"/>
  <c r="B45" i="6" s="1"/>
  <c r="A44" i="6"/>
  <c r="B44" i="6" s="1"/>
  <c r="A43" i="6"/>
  <c r="B43" i="6" s="1"/>
  <c r="A42" i="6"/>
  <c r="B42" i="6" s="1"/>
  <c r="A41" i="6"/>
  <c r="B41" i="6" s="1"/>
  <c r="A40" i="6"/>
  <c r="B40" i="6" s="1"/>
  <c r="A39" i="6"/>
  <c r="B39" i="6" s="1"/>
  <c r="A38" i="6"/>
  <c r="B38" i="6" s="1"/>
  <c r="A37" i="6"/>
  <c r="B37" i="6" s="1"/>
  <c r="A36" i="6"/>
  <c r="B36" i="6" s="1"/>
  <c r="A35" i="6"/>
  <c r="B35" i="6" s="1"/>
  <c r="A34" i="6"/>
  <c r="B34" i="6" s="1"/>
  <c r="A33" i="6"/>
  <c r="B33" i="6" s="1"/>
  <c r="A32" i="6"/>
  <c r="B32" i="6" s="1"/>
  <c r="A31" i="6"/>
  <c r="B31" i="6" s="1"/>
  <c r="A30" i="6"/>
  <c r="B30" i="6" s="1"/>
  <c r="A29" i="6"/>
  <c r="B29" i="6" s="1"/>
  <c r="A28" i="6"/>
  <c r="B28" i="6" s="1"/>
  <c r="A27" i="6"/>
  <c r="B27" i="6" s="1"/>
  <c r="A26" i="6"/>
  <c r="B26" i="6" s="1"/>
  <c r="A25" i="6"/>
  <c r="B25" i="6" s="1"/>
  <c r="A24" i="6"/>
  <c r="B24" i="6" s="1"/>
  <c r="A23" i="6"/>
  <c r="B23" i="6" s="1"/>
  <c r="A22" i="6"/>
  <c r="B22" i="6" s="1"/>
  <c r="A21" i="6"/>
  <c r="B21" i="6" s="1"/>
  <c r="A20" i="6"/>
  <c r="B20" i="6" s="1"/>
  <c r="A19" i="6"/>
  <c r="B19" i="6" s="1"/>
  <c r="A18" i="6"/>
  <c r="B18" i="6" s="1"/>
  <c r="A17" i="6"/>
  <c r="B17" i="6" s="1"/>
  <c r="A16" i="6"/>
  <c r="B16" i="6" s="1"/>
  <c r="A15" i="6"/>
  <c r="B15" i="6" s="1"/>
  <c r="A14" i="6"/>
  <c r="B14" i="6" s="1"/>
  <c r="A13" i="6"/>
  <c r="B13" i="6" s="1"/>
  <c r="A12" i="6"/>
  <c r="B12" i="6" s="1"/>
  <c r="A11" i="6"/>
  <c r="B11" i="6" s="1"/>
  <c r="G17" i="4"/>
  <c r="C12" i="4"/>
  <c r="E12" i="4"/>
  <c r="T3" i="4"/>
  <c r="T2" i="4"/>
  <c r="U2" i="4" s="1"/>
  <c r="T1" i="4"/>
  <c r="U1" i="4" s="1"/>
  <c r="AR69" i="8" l="1"/>
  <c r="AR68" i="8" s="1"/>
  <c r="AR46" i="8"/>
  <c r="AR98" i="8" s="1"/>
  <c r="AQ46" i="8"/>
  <c r="O56" i="39"/>
  <c r="Q57" i="39"/>
  <c r="P57" i="39"/>
  <c r="E11" i="12"/>
  <c r="E12" i="12" s="1"/>
  <c r="E13" i="12" s="1"/>
  <c r="E14" i="12" s="1"/>
  <c r="E15" i="12" s="1"/>
  <c r="E16" i="12" s="1"/>
  <c r="E17" i="12" s="1"/>
  <c r="E18" i="12" s="1"/>
  <c r="E19" i="12" s="1"/>
  <c r="E20" i="12" s="1"/>
  <c r="E21" i="12" s="1"/>
  <c r="E22" i="12" s="1"/>
  <c r="E23" i="12" s="1"/>
  <c r="E24" i="12" s="1"/>
  <c r="E25" i="12" s="1"/>
  <c r="E26" i="12" s="1"/>
  <c r="E27" i="12" s="1"/>
  <c r="E28" i="12" s="1"/>
  <c r="E29" i="12" s="1"/>
  <c r="E30" i="12" s="1"/>
  <c r="E31" i="12" s="1"/>
  <c r="E32" i="12" s="1"/>
  <c r="E33" i="12" s="1"/>
  <c r="E34" i="12" s="1"/>
  <c r="E35" i="12" s="1"/>
  <c r="E36" i="12" s="1"/>
  <c r="E37" i="12" s="1"/>
  <c r="E38" i="12" s="1"/>
  <c r="E39" i="12" s="1"/>
  <c r="E40" i="12" s="1"/>
  <c r="E41" i="12" s="1"/>
  <c r="E42" i="12" s="1"/>
  <c r="E43" i="12" s="1"/>
  <c r="E44" i="12" s="1"/>
  <c r="E45" i="12" s="1"/>
  <c r="E46" i="12" s="1"/>
  <c r="E47" i="12" s="1"/>
  <c r="E48" i="12" s="1"/>
  <c r="E49" i="12" s="1"/>
  <c r="AR227" i="7"/>
  <c r="AR225" i="7" s="1"/>
  <c r="H59" i="7"/>
  <c r="AH227" i="7"/>
  <c r="AH225" i="7" s="1"/>
  <c r="V1" i="46"/>
  <c r="A230" i="44"/>
  <c r="A234" i="44"/>
  <c r="A179" i="44"/>
  <c r="A224" i="44"/>
  <c r="A240" i="44"/>
  <c r="AC55" i="10"/>
  <c r="K46" i="10"/>
  <c r="D22" i="45" a="1"/>
  <c r="D22" i="45" s="1"/>
  <c r="A20" i="45" a="1"/>
  <c r="A20" i="45" s="1"/>
  <c r="C17" i="45" a="1"/>
  <c r="C17" i="45" s="1"/>
  <c r="D14" i="45" a="1"/>
  <c r="D14" i="45" s="1"/>
  <c r="A12" i="45" a="1"/>
  <c r="A12" i="45" s="1"/>
  <c r="C22" i="45" a="1"/>
  <c r="C22" i="45" s="1"/>
  <c r="D19" i="45" a="1"/>
  <c r="D19" i="45" s="1"/>
  <c r="A17" i="45" a="1"/>
  <c r="A17" i="45" s="1"/>
  <c r="C14" i="45" a="1"/>
  <c r="C14" i="45" s="1"/>
  <c r="D16" i="45" a="1"/>
  <c r="D16" i="45" s="1"/>
  <c r="A14" i="45" a="1"/>
  <c r="A14" i="45" s="1"/>
  <c r="D15" i="45" a="1"/>
  <c r="D15" i="45" s="1"/>
  <c r="C15" i="45" a="1"/>
  <c r="C15" i="45" s="1"/>
  <c r="C20" i="45" a="1"/>
  <c r="C20" i="45" s="1"/>
  <c r="D17" i="45" a="1"/>
  <c r="D17" i="45" s="1"/>
  <c r="A15" i="45" a="1"/>
  <c r="A15" i="45" s="1"/>
  <c r="A22" i="45"/>
  <c r="C19" i="45" a="1"/>
  <c r="C19" i="45" s="1"/>
  <c r="D21" i="45" a="1"/>
  <c r="D21" i="45" s="1"/>
  <c r="A19" i="45" a="1"/>
  <c r="A19" i="45" s="1"/>
  <c r="C16" i="45" a="1"/>
  <c r="C16" i="45" s="1"/>
  <c r="D13" i="45" a="1"/>
  <c r="D13" i="45" s="1"/>
  <c r="C21" i="45" a="1"/>
  <c r="C21" i="45" s="1"/>
  <c r="D18" i="45" a="1"/>
  <c r="D18" i="45" s="1"/>
  <c r="A16" i="45" a="1"/>
  <c r="A16" i="45" s="1"/>
  <c r="C13" i="45" a="1"/>
  <c r="C13" i="45" s="1"/>
  <c r="A21" i="45" a="1"/>
  <c r="A21" i="45" s="1"/>
  <c r="C18" i="45" a="1"/>
  <c r="C18" i="45" s="1"/>
  <c r="A13" i="45" a="1"/>
  <c r="A13" i="45" s="1"/>
  <c r="D20" i="45" a="1"/>
  <c r="D20" i="45" s="1"/>
  <c r="A18" i="45" a="1"/>
  <c r="A18" i="45" s="1"/>
  <c r="D12" i="45" a="1"/>
  <c r="D12" i="45" s="1"/>
  <c r="A23" i="45"/>
  <c r="C12" i="45" a="1"/>
  <c r="C12" i="45" s="1"/>
  <c r="A188" i="44"/>
  <c r="A204" i="44"/>
  <c r="A236" i="44"/>
  <c r="B52" i="42"/>
  <c r="A232" i="44"/>
  <c r="A214" i="44"/>
  <c r="Y75" i="10"/>
  <c r="C21" i="37" a="1"/>
  <c r="C21" i="37" s="1"/>
  <c r="A21" i="37" a="1"/>
  <c r="A21" i="37" s="1"/>
  <c r="C18" i="37" a="1"/>
  <c r="C18" i="37" s="1"/>
  <c r="D15" i="37" a="1"/>
  <c r="D15" i="37" s="1"/>
  <c r="A13" i="37" a="1"/>
  <c r="A13" i="37" s="1"/>
  <c r="D20" i="37" a="1"/>
  <c r="D20" i="37" s="1"/>
  <c r="A18" i="37" a="1"/>
  <c r="A18" i="37" s="1"/>
  <c r="C15" i="37" a="1"/>
  <c r="C15" i="37" s="1"/>
  <c r="D12" i="37" a="1"/>
  <c r="D12" i="37" s="1"/>
  <c r="A23" i="37"/>
  <c r="C20" i="37" a="1"/>
  <c r="C20" i="37" s="1"/>
  <c r="D17" i="37" a="1"/>
  <c r="D17" i="37" s="1"/>
  <c r="A15" i="37" a="1"/>
  <c r="A15" i="37" s="1"/>
  <c r="C12" i="37" a="1"/>
  <c r="C12" i="37" s="1"/>
  <c r="A20" i="37" a="1"/>
  <c r="A20" i="37" s="1"/>
  <c r="C17" i="37" a="1"/>
  <c r="C17" i="37" s="1"/>
  <c r="D14" i="37" a="1"/>
  <c r="D14" i="37" s="1"/>
  <c r="A12" i="37" a="1"/>
  <c r="A12" i="37" s="1"/>
  <c r="D18" i="37" a="1"/>
  <c r="D18" i="37" s="1"/>
  <c r="C13" i="37" a="1"/>
  <c r="C13" i="37" s="1"/>
  <c r="D22" i="37" a="1"/>
  <c r="D22" i="37" s="1"/>
  <c r="C22" i="37" a="1"/>
  <c r="C22" i="37" s="1"/>
  <c r="D19" i="37" a="1"/>
  <c r="D19" i="37" s="1"/>
  <c r="A17" i="37" a="1"/>
  <c r="A17" i="37" s="1"/>
  <c r="C14" i="37" a="1"/>
  <c r="C14" i="37" s="1"/>
  <c r="A22" i="37"/>
  <c r="C19" i="37" a="1"/>
  <c r="C19" i="37" s="1"/>
  <c r="D16" i="37" a="1"/>
  <c r="D16" i="37" s="1"/>
  <c r="A14" i="37" a="1"/>
  <c r="A14" i="37" s="1"/>
  <c r="D21" i="37" a="1"/>
  <c r="D21" i="37" s="1"/>
  <c r="A19" i="37" a="1"/>
  <c r="A19" i="37" s="1"/>
  <c r="C16" i="37" a="1"/>
  <c r="C16" i="37" s="1"/>
  <c r="D13" i="37" a="1"/>
  <c r="D13" i="37" s="1"/>
  <c r="A16" i="37" a="1"/>
  <c r="A16" i="37" s="1"/>
  <c r="AG55" i="8"/>
  <c r="C20" i="22" a="1"/>
  <c r="C20" i="22" s="1"/>
  <c r="D17" i="22" a="1"/>
  <c r="D17" i="22" s="1"/>
  <c r="A15" i="22" a="1"/>
  <c r="A15" i="22" s="1"/>
  <c r="C12" i="22" a="1"/>
  <c r="C12" i="22" s="1"/>
  <c r="D16" i="22" a="1"/>
  <c r="D16" i="22" s="1"/>
  <c r="A13" i="22" a="1"/>
  <c r="A13" i="22" s="1"/>
  <c r="C15" i="22" a="1"/>
  <c r="C15" i="22" s="1"/>
  <c r="A20" i="22" a="1"/>
  <c r="A20" i="22" s="1"/>
  <c r="C17" i="22" a="1"/>
  <c r="C17" i="22" s="1"/>
  <c r="D14" i="22" a="1"/>
  <c r="D14" i="22" s="1"/>
  <c r="A12" i="22" a="1"/>
  <c r="A12" i="22" s="1"/>
  <c r="A25" i="22" s="1"/>
  <c r="C19" i="22" a="1"/>
  <c r="C19" i="22" s="1"/>
  <c r="A14" i="22" a="1"/>
  <c r="A14" i="22" s="1"/>
  <c r="D20" i="22" a="1"/>
  <c r="D20" i="22" s="1"/>
  <c r="D22" i="22" a="1"/>
  <c r="D22" i="22" s="1"/>
  <c r="D19" i="22" a="1"/>
  <c r="D19" i="22" s="1"/>
  <c r="A17" i="22" a="1"/>
  <c r="A17" i="22" s="1"/>
  <c r="C14" i="22" a="1"/>
  <c r="C14" i="22" s="1"/>
  <c r="C22" i="22" a="1"/>
  <c r="C22" i="22" s="1"/>
  <c r="D21" i="22" a="1"/>
  <c r="D21" i="22" s="1"/>
  <c r="A19" i="22" a="1"/>
  <c r="A19" i="22" s="1"/>
  <c r="C16" i="22" a="1"/>
  <c r="C16" i="22" s="1"/>
  <c r="D13" i="22" a="1"/>
  <c r="D13" i="22" s="1"/>
  <c r="A16" i="22" a="1"/>
  <c r="A16" i="22" s="1"/>
  <c r="C13" i="22" a="1"/>
  <c r="C13" i="22" s="1"/>
  <c r="C18" i="22" a="1"/>
  <c r="C18" i="22" s="1"/>
  <c r="D12" i="22" a="1"/>
  <c r="D12" i="22" s="1"/>
  <c r="C21" i="22" a="1"/>
  <c r="C21" i="22" s="1"/>
  <c r="D18" i="22" a="1"/>
  <c r="D18" i="22" s="1"/>
  <c r="D15" i="22" a="1"/>
  <c r="D15" i="22" s="1"/>
  <c r="A18" i="22" a="1"/>
  <c r="A18" i="22" s="1"/>
  <c r="A21" i="22" a="1"/>
  <c r="A21" i="22" s="1"/>
  <c r="AI46" i="10"/>
  <c r="B38" i="19"/>
  <c r="F40" i="19"/>
  <c r="D43" i="19"/>
  <c r="B46" i="19"/>
  <c r="F48" i="19"/>
  <c r="D51" i="19"/>
  <c r="V20" i="19" s="1"/>
  <c r="B54" i="19"/>
  <c r="D50" i="19"/>
  <c r="F53" i="19"/>
  <c r="D38" i="19"/>
  <c r="B41" i="19"/>
  <c r="F43" i="19"/>
  <c r="D46" i="19"/>
  <c r="B49" i="19"/>
  <c r="F51" i="19"/>
  <c r="D54" i="19"/>
  <c r="F47" i="19"/>
  <c r="F38" i="19"/>
  <c r="D41" i="19"/>
  <c r="B44" i="19"/>
  <c r="F46" i="19"/>
  <c r="D49" i="19"/>
  <c r="V18" i="19" s="1"/>
  <c r="B52" i="19"/>
  <c r="F54" i="19"/>
  <c r="X23" i="19" s="1"/>
  <c r="B45" i="19"/>
  <c r="D48" i="19"/>
  <c r="B39" i="19"/>
  <c r="F41" i="19"/>
  <c r="D44" i="19"/>
  <c r="B47" i="19"/>
  <c r="F49" i="19"/>
  <c r="D52" i="19"/>
  <c r="V21" i="19" s="1"/>
  <c r="D42" i="19"/>
  <c r="F45" i="19"/>
  <c r="D39" i="19"/>
  <c r="B42" i="19"/>
  <c r="F44" i="19"/>
  <c r="D47" i="19"/>
  <c r="B50" i="19"/>
  <c r="F52" i="19"/>
  <c r="F39" i="19"/>
  <c r="B53" i="19"/>
  <c r="B40" i="19"/>
  <c r="F42" i="19"/>
  <c r="D45" i="19"/>
  <c r="B48" i="19"/>
  <c r="T17" i="19" s="1"/>
  <c r="F50" i="19"/>
  <c r="D53" i="19"/>
  <c r="D40" i="19"/>
  <c r="B43" i="19"/>
  <c r="B51" i="19"/>
  <c r="G11" i="42"/>
  <c r="AN227" i="7"/>
  <c r="AN225" i="7" s="1"/>
  <c r="X227" i="7"/>
  <c r="X225" i="7" s="1"/>
  <c r="L145" i="7"/>
  <c r="AX227" i="7"/>
  <c r="AX225" i="7" s="1"/>
  <c r="AL227" i="7"/>
  <c r="AL225" i="7" s="1"/>
  <c r="AT227" i="7"/>
  <c r="AT225" i="7" s="1"/>
  <c r="AB227" i="7"/>
  <c r="AB225" i="7" s="1"/>
  <c r="R227" i="7"/>
  <c r="R225" i="7" s="1"/>
  <c r="V227" i="7"/>
  <c r="V225" i="7" s="1"/>
  <c r="A23" i="33"/>
  <c r="D22" i="33" a="1"/>
  <c r="D22" i="33" s="1"/>
  <c r="A20" i="33" a="1"/>
  <c r="A20" i="33" s="1"/>
  <c r="C17" i="33" a="1"/>
  <c r="C17" i="33" s="1"/>
  <c r="D14" i="33" a="1"/>
  <c r="D14" i="33" s="1"/>
  <c r="A12" i="33" a="1"/>
  <c r="A12" i="33" s="1"/>
  <c r="D13" i="33" a="1"/>
  <c r="D13" i="33" s="1"/>
  <c r="C22" i="33" a="1"/>
  <c r="C22" i="33" s="1"/>
  <c r="D19" i="33" a="1"/>
  <c r="D19" i="33" s="1"/>
  <c r="A17" i="33" a="1"/>
  <c r="A17" i="33" s="1"/>
  <c r="C14" i="33" a="1"/>
  <c r="C14" i="33" s="1"/>
  <c r="A22" i="33"/>
  <c r="C19" i="33" a="1"/>
  <c r="C19" i="33" s="1"/>
  <c r="D16" i="33" a="1"/>
  <c r="D16" i="33" s="1"/>
  <c r="A14" i="33" a="1"/>
  <c r="A14" i="33" s="1"/>
  <c r="A19" i="33" a="1"/>
  <c r="A19" i="33" s="1"/>
  <c r="C16" i="33" a="1"/>
  <c r="C16" i="33" s="1"/>
  <c r="A15" i="33" a="1"/>
  <c r="A15" i="33" s="1"/>
  <c r="C12" i="33" a="1"/>
  <c r="C12" i="33" s="1"/>
  <c r="D21" i="33" a="1"/>
  <c r="D21" i="33" s="1"/>
  <c r="C21" i="33" a="1"/>
  <c r="C21" i="33" s="1"/>
  <c r="D18" i="33" a="1"/>
  <c r="D18" i="33" s="1"/>
  <c r="A16" i="33" a="1"/>
  <c r="A16" i="33" s="1"/>
  <c r="C13" i="33" a="1"/>
  <c r="C13" i="33" s="1"/>
  <c r="A18" i="33" a="1"/>
  <c r="A18" i="33" s="1"/>
  <c r="C15" i="33" a="1"/>
  <c r="C15" i="33" s="1"/>
  <c r="C20" i="33" a="1"/>
  <c r="C20" i="33" s="1"/>
  <c r="A21" i="33" a="1"/>
  <c r="A21" i="33" s="1"/>
  <c r="C18" i="33" a="1"/>
  <c r="C18" i="33" s="1"/>
  <c r="D15" i="33" a="1"/>
  <c r="D15" i="33" s="1"/>
  <c r="A13" i="33" a="1"/>
  <c r="A13" i="33" s="1"/>
  <c r="D20" i="33" a="1"/>
  <c r="D20" i="33" s="1"/>
  <c r="D12" i="33" a="1"/>
  <c r="D12" i="33" s="1"/>
  <c r="D17" i="33" a="1"/>
  <c r="D17" i="33" s="1"/>
  <c r="A18" i="30"/>
  <c r="C15" i="30" a="1"/>
  <c r="C15" i="30" s="1"/>
  <c r="D12" i="30" a="1"/>
  <c r="D12" i="30" s="1"/>
  <c r="D13" i="30" a="1"/>
  <c r="D13" i="30" s="1"/>
  <c r="C13" i="30" a="1"/>
  <c r="C13" i="30" s="1"/>
  <c r="A13" i="30" a="1"/>
  <c r="A13" i="30" s="1"/>
  <c r="D17" i="30" a="1"/>
  <c r="D17" i="30" s="1"/>
  <c r="A15" i="30" a="1"/>
  <c r="A15" i="30" s="1"/>
  <c r="C12" i="30" a="1"/>
  <c r="C12" i="30" s="1"/>
  <c r="C17" i="30" a="1"/>
  <c r="C17" i="30" s="1"/>
  <c r="D14" i="30" a="1"/>
  <c r="D14" i="30" s="1"/>
  <c r="A12" i="30" a="1"/>
  <c r="A12" i="30" s="1"/>
  <c r="A20" i="30" s="1"/>
  <c r="A16" i="30" a="1"/>
  <c r="A16" i="30" s="1"/>
  <c r="A17" i="30"/>
  <c r="C14" i="30" a="1"/>
  <c r="C14" i="30" s="1"/>
  <c r="D16" i="30" a="1"/>
  <c r="D16" i="30" s="1"/>
  <c r="A14" i="30" a="1"/>
  <c r="A14" i="30" s="1"/>
  <c r="C16" i="30" a="1"/>
  <c r="C16" i="30" s="1"/>
  <c r="D15" i="30" a="1"/>
  <c r="D15" i="30" s="1"/>
  <c r="A15" i="26" a="1"/>
  <c r="A15" i="26" s="1"/>
  <c r="C12" i="26" a="1"/>
  <c r="C12" i="26" s="1"/>
  <c r="D17" i="26" a="1"/>
  <c r="D17" i="26" s="1"/>
  <c r="D14" i="26" a="1"/>
  <c r="D14" i="26" s="1"/>
  <c r="A12" i="26" a="1"/>
  <c r="A12" i="26" s="1"/>
  <c r="A20" i="26" s="1"/>
  <c r="C17" i="26" a="1"/>
  <c r="C17" i="26" s="1"/>
  <c r="C14" i="26" a="1"/>
  <c r="C14" i="26" s="1"/>
  <c r="D16" i="26" a="1"/>
  <c r="D16" i="26" s="1"/>
  <c r="A14" i="26" a="1"/>
  <c r="A14" i="26" s="1"/>
  <c r="C16" i="26" a="1"/>
  <c r="C16" i="26" s="1"/>
  <c r="D13" i="26" a="1"/>
  <c r="D13" i="26" s="1"/>
  <c r="A16" i="26" a="1"/>
  <c r="A16" i="26" s="1"/>
  <c r="C13" i="26" a="1"/>
  <c r="C13" i="26" s="1"/>
  <c r="D12" i="26" a="1"/>
  <c r="D12" i="26" s="1"/>
  <c r="D15" i="26" a="1"/>
  <c r="D15" i="26" s="1"/>
  <c r="A13" i="26" a="1"/>
  <c r="A13" i="26" s="1"/>
  <c r="C15" i="26" a="1"/>
  <c r="C15" i="26" s="1"/>
  <c r="A23" i="22"/>
  <c r="A22" i="22"/>
  <c r="D18" i="18" a="1"/>
  <c r="D18" i="18" s="1"/>
  <c r="D17" i="18" a="1"/>
  <c r="D17" i="18" s="1"/>
  <c r="D16" i="18" a="1"/>
  <c r="D16" i="18" s="1"/>
  <c r="D15" i="18" a="1"/>
  <c r="D15" i="18" s="1"/>
  <c r="D22" i="18" a="1"/>
  <c r="D22" i="18" s="1"/>
  <c r="D14" i="18" a="1"/>
  <c r="D14" i="18" s="1"/>
  <c r="D21" i="18" a="1"/>
  <c r="D21" i="18" s="1"/>
  <c r="D13" i="18" a="1"/>
  <c r="D13" i="18" s="1"/>
  <c r="D20" i="18" a="1"/>
  <c r="D20" i="18" s="1"/>
  <c r="D12" i="18" a="1"/>
  <c r="D12" i="18" s="1"/>
  <c r="D19" i="18" a="1"/>
  <c r="D19" i="18" s="1"/>
  <c r="C21" i="18" a="1"/>
  <c r="C21" i="18" s="1"/>
  <c r="C13" i="18" a="1"/>
  <c r="C13" i="18" s="1"/>
  <c r="A15" i="18" a="1"/>
  <c r="A15" i="18" s="1"/>
  <c r="C20" i="18" a="1"/>
  <c r="C20" i="18" s="1"/>
  <c r="C12" i="18" a="1"/>
  <c r="C12" i="18" s="1"/>
  <c r="A14" i="18" a="1"/>
  <c r="A14" i="18" s="1"/>
  <c r="C19" i="18" a="1"/>
  <c r="C19" i="18" s="1"/>
  <c r="A21" i="18" a="1"/>
  <c r="A21" i="18" s="1"/>
  <c r="A13" i="18" a="1"/>
  <c r="A13" i="18" s="1"/>
  <c r="C14" i="18" a="1"/>
  <c r="C14" i="18" s="1"/>
  <c r="C18" i="18" a="1"/>
  <c r="C18" i="18" s="1"/>
  <c r="A20" i="18" a="1"/>
  <c r="A20" i="18" s="1"/>
  <c r="A12" i="18" a="1"/>
  <c r="A12" i="18" s="1"/>
  <c r="C17" i="18" a="1"/>
  <c r="C17" i="18" s="1"/>
  <c r="A19" i="18" a="1"/>
  <c r="A19" i="18" s="1"/>
  <c r="C16" i="18" a="1"/>
  <c r="C16" i="18" s="1"/>
  <c r="A18" i="18" a="1"/>
  <c r="A18" i="18" s="1"/>
  <c r="C15" i="18" a="1"/>
  <c r="C15" i="18" s="1"/>
  <c r="A17" i="18" a="1"/>
  <c r="A17" i="18" s="1"/>
  <c r="A16" i="18" a="1"/>
  <c r="A16" i="18" s="1"/>
  <c r="C22" i="18" a="1"/>
  <c r="C22" i="18" s="1"/>
  <c r="A22" i="18"/>
  <c r="N55" i="10"/>
  <c r="AT57" i="8"/>
  <c r="AS78" i="10"/>
  <c r="AT77" i="10"/>
  <c r="AS77" i="10"/>
  <c r="AT76" i="10"/>
  <c r="AS76" i="10"/>
  <c r="AT78" i="10"/>
  <c r="B42" i="47"/>
  <c r="B43" i="47"/>
  <c r="Q20" i="47" s="1"/>
  <c r="B44" i="47"/>
  <c r="B54" i="42"/>
  <c r="B51" i="42"/>
  <c r="AL74" i="8"/>
  <c r="F75" i="8"/>
  <c r="Q75" i="10"/>
  <c r="AS74" i="10"/>
  <c r="AT75" i="10"/>
  <c r="AT74" i="10"/>
  <c r="AS75" i="10"/>
  <c r="B68" i="46"/>
  <c r="P21" i="46" s="1"/>
  <c r="B67" i="46"/>
  <c r="P20" i="46" s="1"/>
  <c r="B66" i="46"/>
  <c r="AS71" i="10"/>
  <c r="AT71" i="10"/>
  <c r="B66" i="38"/>
  <c r="AT69" i="10"/>
  <c r="AT68" i="10" s="1"/>
  <c r="D69" i="8"/>
  <c r="T69" i="8"/>
  <c r="T68" i="8" s="1"/>
  <c r="AJ69" i="8"/>
  <c r="AJ68" i="8" s="1"/>
  <c r="AD69" i="8"/>
  <c r="AD68" i="8" s="1"/>
  <c r="F69" i="8"/>
  <c r="F68" i="8" s="1"/>
  <c r="V69" i="8"/>
  <c r="V68" i="8" s="1"/>
  <c r="AL69" i="8"/>
  <c r="AL68" i="8" s="1"/>
  <c r="AT69" i="8"/>
  <c r="AT68" i="8" s="1"/>
  <c r="H69" i="8"/>
  <c r="H68" i="8" s="1"/>
  <c r="X69" i="8"/>
  <c r="AN69" i="8"/>
  <c r="AN68" i="8" s="1"/>
  <c r="AH69" i="8"/>
  <c r="AH68" i="8" s="1"/>
  <c r="J69" i="8"/>
  <c r="J68" i="8" s="1"/>
  <c r="Z69" i="8"/>
  <c r="Z68" i="8" s="1"/>
  <c r="AP69" i="8"/>
  <c r="AP68" i="8" s="1"/>
  <c r="AB69" i="8"/>
  <c r="AB68" i="8" s="1"/>
  <c r="L69" i="8"/>
  <c r="L68" i="8" s="1"/>
  <c r="N69" i="8"/>
  <c r="N68" i="8" s="1"/>
  <c r="P69" i="8"/>
  <c r="P68" i="8" s="1"/>
  <c r="AF69" i="8"/>
  <c r="R69" i="8"/>
  <c r="R68" i="8" s="1"/>
  <c r="X55" i="8"/>
  <c r="Y55" i="8"/>
  <c r="H55" i="8"/>
  <c r="I55" i="8"/>
  <c r="E55" i="10"/>
  <c r="AK55" i="10"/>
  <c r="AD55" i="10"/>
  <c r="P55" i="8"/>
  <c r="F55" i="10"/>
  <c r="AL55" i="10"/>
  <c r="AL57" i="10" s="1"/>
  <c r="AN55" i="8"/>
  <c r="AN57" i="8" s="1"/>
  <c r="Q55" i="8"/>
  <c r="M55" i="10"/>
  <c r="AT55" i="10"/>
  <c r="AT57" i="10" s="1"/>
  <c r="AS55" i="10"/>
  <c r="U55" i="10"/>
  <c r="AF55" i="8"/>
  <c r="V55" i="10"/>
  <c r="AT50" i="10"/>
  <c r="AS50" i="10"/>
  <c r="B83" i="27"/>
  <c r="J50" i="8"/>
  <c r="AS46" i="10"/>
  <c r="AT46" i="10"/>
  <c r="B143" i="23"/>
  <c r="AS21" i="10"/>
  <c r="AT20" i="10"/>
  <c r="AS20" i="10"/>
  <c r="AT19" i="10"/>
  <c r="AS19" i="10"/>
  <c r="AT21" i="10"/>
  <c r="C14" i="8"/>
  <c r="AT15" i="10"/>
  <c r="AS15" i="10"/>
  <c r="AT14" i="10"/>
  <c r="AS14" i="10"/>
  <c r="B73" i="15"/>
  <c r="E11" i="41"/>
  <c r="F11" i="41" s="1"/>
  <c r="E11" i="40"/>
  <c r="F11" i="40" s="1"/>
  <c r="E10" i="35"/>
  <c r="E11" i="35" s="1"/>
  <c r="E12" i="35" s="1"/>
  <c r="E10" i="20"/>
  <c r="F10" i="20" s="1"/>
  <c r="F11" i="16"/>
  <c r="G11" i="16" s="1"/>
  <c r="F11" i="12"/>
  <c r="AP78" i="8"/>
  <c r="AO78" i="8"/>
  <c r="AP76" i="8"/>
  <c r="AP77" i="8"/>
  <c r="AO76" i="8"/>
  <c r="AO77" i="8"/>
  <c r="AM75" i="10"/>
  <c r="AP74" i="8"/>
  <c r="AO74" i="8"/>
  <c r="AP75" i="8"/>
  <c r="AO75" i="8"/>
  <c r="AP75" i="10"/>
  <c r="AO75" i="10"/>
  <c r="AP74" i="10"/>
  <c r="AO74" i="10"/>
  <c r="AP71" i="8"/>
  <c r="AO71" i="8"/>
  <c r="AP71" i="10"/>
  <c r="AO71" i="10"/>
  <c r="H71" i="10"/>
  <c r="P71" i="10"/>
  <c r="F69" i="10"/>
  <c r="V69" i="10"/>
  <c r="AP69" i="10"/>
  <c r="AP68" i="10" s="1"/>
  <c r="AL69" i="10"/>
  <c r="AD69" i="10"/>
  <c r="AD68" i="10" s="1"/>
  <c r="AJ55" i="10"/>
  <c r="AJ57" i="10" s="1"/>
  <c r="AO55" i="8"/>
  <c r="AP55" i="8"/>
  <c r="AP57" i="8" s="1"/>
  <c r="AP55" i="10"/>
  <c r="AP57" i="10" s="1"/>
  <c r="AO55" i="10"/>
  <c r="R50" i="8"/>
  <c r="AR50" i="10"/>
  <c r="AP50" i="8"/>
  <c r="AO50" i="8"/>
  <c r="AP50" i="10"/>
  <c r="AO50" i="10"/>
  <c r="AH46" i="8"/>
  <c r="AG46" i="8"/>
  <c r="D46" i="10"/>
  <c r="AJ46" i="10"/>
  <c r="L46" i="10"/>
  <c r="J46" i="8"/>
  <c r="S46" i="10"/>
  <c r="B126" i="23"/>
  <c r="Q46" i="8"/>
  <c r="T46" i="10"/>
  <c r="R46" i="8"/>
  <c r="AA46" i="10"/>
  <c r="AP46" i="8"/>
  <c r="AO46" i="8"/>
  <c r="AO46" i="10"/>
  <c r="AP46" i="10"/>
  <c r="Y46" i="8"/>
  <c r="AB46" i="10"/>
  <c r="I46" i="8"/>
  <c r="Z46" i="8"/>
  <c r="C46" i="10"/>
  <c r="Z46" i="10"/>
  <c r="F21" i="10"/>
  <c r="AO21" i="8"/>
  <c r="AP19" i="8"/>
  <c r="AP21" i="8"/>
  <c r="AP20" i="8"/>
  <c r="AO19" i="8"/>
  <c r="AO20" i="8"/>
  <c r="AO21" i="10"/>
  <c r="AP20" i="10"/>
  <c r="AO20" i="10"/>
  <c r="AP19" i="10"/>
  <c r="AO19" i="10"/>
  <c r="AP21" i="10"/>
  <c r="AP15" i="8"/>
  <c r="AO15" i="8"/>
  <c r="AO14" i="8"/>
  <c r="AP14" i="8"/>
  <c r="AR14" i="10"/>
  <c r="AQ14" i="10"/>
  <c r="AO14" i="10"/>
  <c r="AO15" i="10"/>
  <c r="AP15" i="10"/>
  <c r="AP14" i="10"/>
  <c r="AM15" i="8"/>
  <c r="AI15" i="8"/>
  <c r="AE15" i="8"/>
  <c r="AA15" i="8"/>
  <c r="W15" i="8"/>
  <c r="S15" i="8"/>
  <c r="AL15" i="8"/>
  <c r="Z15" i="8"/>
  <c r="AK15" i="8"/>
  <c r="Y15" i="8"/>
  <c r="Q15" i="8"/>
  <c r="Y14" i="8"/>
  <c r="AB15" i="8"/>
  <c r="AN14" i="8"/>
  <c r="AJ14" i="8"/>
  <c r="AF14" i="8"/>
  <c r="AB14" i="8"/>
  <c r="X14" i="8"/>
  <c r="T14" i="8"/>
  <c r="R15" i="8"/>
  <c r="AC15" i="8"/>
  <c r="Q14" i="8"/>
  <c r="AF15" i="8"/>
  <c r="AM14" i="8"/>
  <c r="AI14" i="8"/>
  <c r="AE14" i="8"/>
  <c r="AA14" i="8"/>
  <c r="W14" i="8"/>
  <c r="S14" i="8"/>
  <c r="AT15" i="8"/>
  <c r="AH15" i="8"/>
  <c r="AD15" i="8"/>
  <c r="V15" i="8"/>
  <c r="AS15" i="8"/>
  <c r="AG15" i="8"/>
  <c r="U15" i="8"/>
  <c r="AN15" i="8"/>
  <c r="X15" i="8"/>
  <c r="U14" i="8"/>
  <c r="AT14" i="8"/>
  <c r="AL14" i="8"/>
  <c r="AH14" i="8"/>
  <c r="AD14" i="8"/>
  <c r="Z14" i="8"/>
  <c r="V14" i="8"/>
  <c r="R14" i="8"/>
  <c r="AS14" i="8"/>
  <c r="AK14" i="8"/>
  <c r="AG14" i="8"/>
  <c r="AC14" i="8"/>
  <c r="AJ15" i="8"/>
  <c r="T15" i="8"/>
  <c r="E15" i="8"/>
  <c r="AV38" i="8"/>
  <c r="E11" i="31"/>
  <c r="E12" i="31" s="1"/>
  <c r="E11" i="24"/>
  <c r="F11" i="24" s="1"/>
  <c r="F24" i="4"/>
  <c r="F22" i="4"/>
  <c r="F20" i="4"/>
  <c r="F18" i="4"/>
  <c r="E19" i="4"/>
  <c r="E18" i="4"/>
  <c r="F19" i="4"/>
  <c r="E23" i="4"/>
  <c r="E24" i="4"/>
  <c r="E22" i="4"/>
  <c r="E20" i="4"/>
  <c r="F21" i="4"/>
  <c r="F23" i="4"/>
  <c r="E21" i="4"/>
  <c r="E15" i="4"/>
  <c r="F16" i="4"/>
  <c r="F14" i="4"/>
  <c r="E14" i="4"/>
  <c r="E16" i="4"/>
  <c r="F15" i="4"/>
  <c r="D23" i="4"/>
  <c r="C19" i="4"/>
  <c r="D24" i="4"/>
  <c r="D22" i="4"/>
  <c r="D20" i="4"/>
  <c r="D18" i="4"/>
  <c r="D19" i="4"/>
  <c r="C23" i="4"/>
  <c r="C24" i="4"/>
  <c r="C22" i="4"/>
  <c r="C20" i="4"/>
  <c r="C18" i="4"/>
  <c r="D21" i="4"/>
  <c r="C21" i="4"/>
  <c r="C15" i="4"/>
  <c r="C14" i="4"/>
  <c r="D15" i="4"/>
  <c r="D16" i="4"/>
  <c r="D14" i="4"/>
  <c r="C16" i="4"/>
  <c r="C27" i="41"/>
  <c r="B20" i="41"/>
  <c r="E11" i="28"/>
  <c r="F11" i="28" s="1"/>
  <c r="A25" i="37"/>
  <c r="A238" i="44"/>
  <c r="A144" i="44"/>
  <c r="A152" i="44"/>
  <c r="A176" i="44"/>
  <c r="A148" i="44"/>
  <c r="A164" i="44"/>
  <c r="A154" i="44"/>
  <c r="A104" i="44"/>
  <c r="A120" i="44"/>
  <c r="A128" i="44"/>
  <c r="A107" i="44"/>
  <c r="A115" i="44"/>
  <c r="A123" i="44"/>
  <c r="A131" i="44"/>
  <c r="A42" i="44"/>
  <c r="A80" i="44"/>
  <c r="A88" i="44"/>
  <c r="A83" i="44"/>
  <c r="A91" i="44"/>
  <c r="A16" i="44"/>
  <c r="A68" i="44"/>
  <c r="A51" i="44"/>
  <c r="AO76" i="10"/>
  <c r="AP76" i="10"/>
  <c r="AP78" i="10"/>
  <c r="AO78" i="10"/>
  <c r="AP77" i="10"/>
  <c r="AO77" i="10"/>
  <c r="A85" i="44"/>
  <c r="A93" i="44"/>
  <c r="A96" i="44"/>
  <c r="A36" i="44"/>
  <c r="A58" i="44"/>
  <c r="A75" i="44"/>
  <c r="A99" i="44"/>
  <c r="A17" i="26"/>
  <c r="A18" i="26"/>
  <c r="C44" i="16"/>
  <c r="C52" i="28"/>
  <c r="B43" i="16"/>
  <c r="B31" i="24"/>
  <c r="C65" i="31"/>
  <c r="B24" i="20"/>
  <c r="C55" i="20"/>
  <c r="B70" i="28"/>
  <c r="B22" i="31"/>
  <c r="B12" i="31"/>
  <c r="C57" i="16"/>
  <c r="B44" i="28"/>
  <c r="C46" i="35"/>
  <c r="B32" i="24"/>
  <c r="C12" i="41"/>
  <c r="B29" i="41"/>
  <c r="C36" i="31"/>
  <c r="B62" i="16"/>
  <c r="B69" i="20"/>
  <c r="B46" i="41"/>
  <c r="B31" i="40"/>
  <c r="C71" i="16"/>
  <c r="C60" i="24"/>
  <c r="B67" i="24"/>
  <c r="C12" i="28"/>
  <c r="C12" i="35"/>
  <c r="D71" i="16"/>
  <c r="C36" i="35"/>
  <c r="B15" i="16"/>
  <c r="D43" i="16"/>
  <c r="C68" i="16"/>
  <c r="C41" i="20"/>
  <c r="B48" i="20"/>
  <c r="C20" i="24"/>
  <c r="B52" i="41"/>
  <c r="C50" i="12"/>
  <c r="D68" i="16"/>
  <c r="D44" i="16"/>
  <c r="D57" i="16"/>
  <c r="B37" i="20"/>
  <c r="B70" i="20"/>
  <c r="B30" i="31"/>
  <c r="C44" i="31"/>
  <c r="C59" i="31"/>
  <c r="B31" i="16"/>
  <c r="C18" i="20"/>
  <c r="B54" i="20"/>
  <c r="B65" i="20"/>
  <c r="C35" i="24"/>
  <c r="C42" i="24"/>
  <c r="B47" i="24"/>
  <c r="B70" i="24"/>
  <c r="C24" i="28"/>
  <c r="B51" i="31"/>
  <c r="C45" i="41"/>
  <c r="C66" i="41"/>
  <c r="C28" i="16"/>
  <c r="C41" i="16"/>
  <c r="C66" i="20"/>
  <c r="B63" i="24"/>
  <c r="C68" i="28"/>
  <c r="B48" i="31"/>
  <c r="B45" i="24"/>
  <c r="B43" i="31"/>
  <c r="C43" i="41"/>
  <c r="B68" i="41"/>
  <c r="D28" i="16"/>
  <c r="B24" i="16"/>
  <c r="B28" i="20"/>
  <c r="B52" i="20"/>
  <c r="B23" i="24"/>
  <c r="C64" i="24"/>
  <c r="B69" i="24"/>
  <c r="B28" i="28"/>
  <c r="B38" i="31"/>
  <c r="C49" i="31"/>
  <c r="B68" i="31"/>
  <c r="D41" i="16"/>
  <c r="B33" i="20"/>
  <c r="B62" i="20"/>
  <c r="C24" i="16"/>
  <c r="C65" i="16"/>
  <c r="C57" i="20"/>
  <c r="C12" i="24"/>
  <c r="B34" i="24"/>
  <c r="B36" i="28"/>
  <c r="C56" i="28"/>
  <c r="C34" i="31"/>
  <c r="C57" i="31"/>
  <c r="C50" i="41"/>
  <c r="B61" i="41"/>
  <c r="C67" i="41"/>
  <c r="B18" i="31"/>
  <c r="C40" i="31"/>
  <c r="C55" i="16"/>
  <c r="B44" i="20"/>
  <c r="C64" i="16"/>
  <c r="C65" i="28"/>
  <c r="B23" i="16"/>
  <c r="D45" i="16"/>
  <c r="C50" i="16"/>
  <c r="B15" i="20"/>
  <c r="B25" i="20"/>
  <c r="B29" i="20"/>
  <c r="B59" i="20"/>
  <c r="C24" i="24"/>
  <c r="B39" i="24"/>
  <c r="C55" i="24"/>
  <c r="B66" i="24"/>
  <c r="C37" i="28"/>
  <c r="B43" i="28"/>
  <c r="B54" i="28"/>
  <c r="C60" i="28"/>
  <c r="B26" i="31"/>
  <c r="C46" i="31"/>
  <c r="B67" i="31"/>
  <c r="C34" i="41"/>
  <c r="C58" i="41"/>
  <c r="B50" i="16"/>
  <c r="C29" i="24"/>
  <c r="C25" i="28"/>
  <c r="C31" i="28"/>
  <c r="B47" i="28"/>
  <c r="C33" i="31"/>
  <c r="C26" i="16"/>
  <c r="C30" i="16"/>
  <c r="D64" i="16"/>
  <c r="B18" i="41"/>
  <c r="C59" i="41"/>
  <c r="Z63" i="43"/>
  <c r="B14" i="41"/>
  <c r="B30" i="41"/>
  <c r="B36" i="41"/>
  <c r="B16" i="16"/>
  <c r="B30" i="16"/>
  <c r="C15" i="16"/>
  <c r="B17" i="20"/>
  <c r="C42" i="20"/>
  <c r="O62" i="21"/>
  <c r="Q62" i="21" s="1"/>
  <c r="C16" i="24"/>
  <c r="C27" i="24"/>
  <c r="B41" i="24"/>
  <c r="C40" i="28"/>
  <c r="C63" i="28"/>
  <c r="C11" i="10"/>
  <c r="E10" i="5" a="1"/>
  <c r="E10" i="5" s="1"/>
  <c r="F66" i="5" s="1"/>
  <c r="C10" i="5" a="1"/>
  <c r="C10" i="5" s="1"/>
  <c r="D66" i="5" s="1"/>
  <c r="N75" i="8"/>
  <c r="I74" i="10"/>
  <c r="AG75" i="10"/>
  <c r="X58" i="43"/>
  <c r="V75" i="8"/>
  <c r="Q74" i="10"/>
  <c r="AQ75" i="10"/>
  <c r="F74" i="8"/>
  <c r="AD75" i="8"/>
  <c r="Y74" i="10"/>
  <c r="N74" i="8"/>
  <c r="AL75" i="8"/>
  <c r="AG74" i="10"/>
  <c r="V74" i="8"/>
  <c r="AQ74" i="10"/>
  <c r="AD74" i="8"/>
  <c r="I75" i="10"/>
  <c r="C33" i="40"/>
  <c r="B30" i="40"/>
  <c r="C35" i="40"/>
  <c r="B57" i="40"/>
  <c r="B45" i="40"/>
  <c r="B60" i="40"/>
  <c r="B14" i="40"/>
  <c r="B11" i="40"/>
  <c r="B27" i="40"/>
  <c r="B22" i="40"/>
  <c r="B28" i="40"/>
  <c r="C37" i="40"/>
  <c r="B43" i="40"/>
  <c r="C56" i="40"/>
  <c r="B68" i="40"/>
  <c r="B38" i="40"/>
  <c r="B44" i="40"/>
  <c r="B13" i="40"/>
  <c r="B18" i="40"/>
  <c r="B51" i="40"/>
  <c r="C58" i="35"/>
  <c r="B42" i="35"/>
  <c r="C47" i="35"/>
  <c r="C23" i="35"/>
  <c r="B24" i="35"/>
  <c r="B16" i="35"/>
  <c r="C20" i="35"/>
  <c r="C25" i="35"/>
  <c r="C32" i="35"/>
  <c r="C52" i="35"/>
  <c r="C61" i="35"/>
  <c r="C33" i="35"/>
  <c r="C44" i="35"/>
  <c r="B40" i="35"/>
  <c r="B54" i="35"/>
  <c r="B63" i="35"/>
  <c r="B18" i="35"/>
  <c r="C70" i="35"/>
  <c r="B10" i="35"/>
  <c r="C60" i="35"/>
  <c r="B64" i="35"/>
  <c r="H71" i="8"/>
  <c r="AF71" i="10"/>
  <c r="AM71" i="10"/>
  <c r="P71" i="8"/>
  <c r="AN71" i="10"/>
  <c r="X71" i="10"/>
  <c r="X71" i="8"/>
  <c r="AF71" i="8"/>
  <c r="AN71" i="8"/>
  <c r="AF69" i="10"/>
  <c r="AF68" i="10" s="1"/>
  <c r="R69" i="10"/>
  <c r="AH69" i="10"/>
  <c r="P69" i="10"/>
  <c r="D69" i="10"/>
  <c r="T69" i="10"/>
  <c r="AJ69" i="10"/>
  <c r="X69" i="10"/>
  <c r="AN69" i="10"/>
  <c r="AN68" i="10" s="1"/>
  <c r="J69" i="10"/>
  <c r="Z69" i="10"/>
  <c r="Z68" i="10" s="1"/>
  <c r="AR69" i="10"/>
  <c r="H69" i="10"/>
  <c r="L69" i="10"/>
  <c r="AB69" i="10"/>
  <c r="AB68" i="10" s="1"/>
  <c r="N69" i="10"/>
  <c r="Z55" i="8"/>
  <c r="W55" i="10"/>
  <c r="X55" i="10"/>
  <c r="R55" i="8"/>
  <c r="O55" i="10"/>
  <c r="C55" i="8"/>
  <c r="H55" i="10"/>
  <c r="D55" i="8"/>
  <c r="L55" i="8"/>
  <c r="T55" i="8"/>
  <c r="AB55" i="8"/>
  <c r="AJ55" i="8"/>
  <c r="AJ57" i="8" s="1"/>
  <c r="I55" i="10"/>
  <c r="Q55" i="10"/>
  <c r="Y55" i="10"/>
  <c r="AG55" i="10"/>
  <c r="AQ55" i="10"/>
  <c r="AH55" i="8"/>
  <c r="AH57" i="8" s="1"/>
  <c r="G55" i="10"/>
  <c r="AM55" i="10"/>
  <c r="AA55" i="8"/>
  <c r="AN55" i="10"/>
  <c r="E55" i="8"/>
  <c r="M55" i="8"/>
  <c r="U55" i="8"/>
  <c r="AC55" i="8"/>
  <c r="AK55" i="8"/>
  <c r="J55" i="10"/>
  <c r="R55" i="10"/>
  <c r="Z55" i="10"/>
  <c r="AH55" i="10"/>
  <c r="AH57" i="10" s="1"/>
  <c r="AR55" i="10"/>
  <c r="AR57" i="10" s="1"/>
  <c r="S55" i="8"/>
  <c r="AI55" i="8"/>
  <c r="AF55" i="10"/>
  <c r="F55" i="8"/>
  <c r="N55" i="8"/>
  <c r="V55" i="8"/>
  <c r="AD55" i="8"/>
  <c r="AL55" i="8"/>
  <c r="AL57" i="8" s="1"/>
  <c r="C55" i="10"/>
  <c r="K55" i="10"/>
  <c r="S55" i="10"/>
  <c r="AA55" i="10"/>
  <c r="AI55" i="10"/>
  <c r="J55" i="8"/>
  <c r="AE55" i="10"/>
  <c r="K55" i="8"/>
  <c r="P55" i="10"/>
  <c r="G55" i="8"/>
  <c r="O55" i="8"/>
  <c r="W55" i="8"/>
  <c r="AE55" i="8"/>
  <c r="AM55" i="8"/>
  <c r="D55" i="10"/>
  <c r="L55" i="10"/>
  <c r="T55" i="10"/>
  <c r="AB55" i="10"/>
  <c r="G77" i="10"/>
  <c r="E74" i="8"/>
  <c r="M74" i="8"/>
  <c r="U74" i="8"/>
  <c r="AC74" i="8"/>
  <c r="AK74" i="8"/>
  <c r="E75" i="8"/>
  <c r="M75" i="8"/>
  <c r="U75" i="8"/>
  <c r="AC75" i="8"/>
  <c r="AK75" i="8"/>
  <c r="H74" i="10"/>
  <c r="P74" i="10"/>
  <c r="X74" i="10"/>
  <c r="AF74" i="10"/>
  <c r="AN74" i="10"/>
  <c r="H75" i="10"/>
  <c r="P75" i="10"/>
  <c r="X75" i="10"/>
  <c r="AF75" i="10"/>
  <c r="AN75" i="10"/>
  <c r="U58" i="43"/>
  <c r="G74" i="8"/>
  <c r="O74" i="8"/>
  <c r="W74" i="8"/>
  <c r="AE74" i="8"/>
  <c r="AM74" i="8"/>
  <c r="G75" i="8"/>
  <c r="O75" i="8"/>
  <c r="W75" i="8"/>
  <c r="AE75" i="8"/>
  <c r="AM75" i="8"/>
  <c r="J74" i="10"/>
  <c r="R74" i="10"/>
  <c r="Z74" i="10"/>
  <c r="AH74" i="10"/>
  <c r="AR74" i="10"/>
  <c r="J75" i="10"/>
  <c r="R75" i="10"/>
  <c r="Z75" i="10"/>
  <c r="AH75" i="10"/>
  <c r="AR75" i="10"/>
  <c r="H74" i="8"/>
  <c r="P74" i="8"/>
  <c r="X74" i="8"/>
  <c r="AF74" i="8"/>
  <c r="AN74" i="8"/>
  <c r="H75" i="8"/>
  <c r="P75" i="8"/>
  <c r="X75" i="8"/>
  <c r="AF75" i="8"/>
  <c r="AN75" i="8"/>
  <c r="C74" i="10"/>
  <c r="K74" i="10"/>
  <c r="S74" i="10"/>
  <c r="AA74" i="10"/>
  <c r="AI74" i="10"/>
  <c r="C75" i="10"/>
  <c r="K75" i="10"/>
  <c r="S75" i="10"/>
  <c r="AA75" i="10"/>
  <c r="AI75" i="10"/>
  <c r="I74" i="8"/>
  <c r="Q74" i="8"/>
  <c r="Y74" i="8"/>
  <c r="AG74" i="8"/>
  <c r="AS74" i="8"/>
  <c r="I75" i="8"/>
  <c r="Q75" i="8"/>
  <c r="Y75" i="8"/>
  <c r="AG75" i="8"/>
  <c r="AS75" i="8"/>
  <c r="D74" i="10"/>
  <c r="L74" i="10"/>
  <c r="T74" i="10"/>
  <c r="AB74" i="10"/>
  <c r="AJ74" i="10"/>
  <c r="D75" i="10"/>
  <c r="L75" i="10"/>
  <c r="T75" i="10"/>
  <c r="AB75" i="10"/>
  <c r="AJ75" i="10"/>
  <c r="J74" i="8"/>
  <c r="R74" i="8"/>
  <c r="Z74" i="8"/>
  <c r="AH74" i="8"/>
  <c r="AT74" i="8"/>
  <c r="J75" i="8"/>
  <c r="R75" i="8"/>
  <c r="Z75" i="8"/>
  <c r="AH75" i="8"/>
  <c r="AT75" i="8"/>
  <c r="E74" i="10"/>
  <c r="M74" i="10"/>
  <c r="U74" i="10"/>
  <c r="AC74" i="10"/>
  <c r="AK74" i="10"/>
  <c r="E75" i="10"/>
  <c r="M75" i="10"/>
  <c r="U75" i="10"/>
  <c r="AC75" i="10"/>
  <c r="AK75" i="10"/>
  <c r="C74" i="8"/>
  <c r="K74" i="8"/>
  <c r="S74" i="8"/>
  <c r="AA74" i="8"/>
  <c r="AI74" i="8"/>
  <c r="C75" i="8"/>
  <c r="K75" i="8"/>
  <c r="S75" i="8"/>
  <c r="AA75" i="8"/>
  <c r="AI75" i="8"/>
  <c r="F74" i="10"/>
  <c r="N74" i="10"/>
  <c r="V74" i="10"/>
  <c r="AD74" i="10"/>
  <c r="AL74" i="10"/>
  <c r="F75" i="10"/>
  <c r="N75" i="10"/>
  <c r="V75" i="10"/>
  <c r="AD75" i="10"/>
  <c r="AL75" i="10"/>
  <c r="D74" i="8"/>
  <c r="L74" i="8"/>
  <c r="T74" i="8"/>
  <c r="AB74" i="8"/>
  <c r="AJ74" i="8"/>
  <c r="D75" i="8"/>
  <c r="L75" i="8"/>
  <c r="T75" i="8"/>
  <c r="AB75" i="8"/>
  <c r="AJ75" i="8"/>
  <c r="G74" i="10"/>
  <c r="O74" i="10"/>
  <c r="W74" i="10"/>
  <c r="AE74" i="10"/>
  <c r="AM74" i="10"/>
  <c r="G75" i="10"/>
  <c r="O75" i="10"/>
  <c r="W75" i="10"/>
  <c r="AE75" i="10"/>
  <c r="I71" i="8"/>
  <c r="Q71" i="8"/>
  <c r="Y71" i="8"/>
  <c r="AG71" i="8"/>
  <c r="AS71" i="8"/>
  <c r="I71" i="10"/>
  <c r="Q71" i="10"/>
  <c r="Y71" i="10"/>
  <c r="AG71" i="10"/>
  <c r="AQ71" i="10"/>
  <c r="J71" i="8"/>
  <c r="R71" i="8"/>
  <c r="Z71" i="8"/>
  <c r="AH71" i="8"/>
  <c r="AT71" i="8"/>
  <c r="J71" i="10"/>
  <c r="R71" i="10"/>
  <c r="Z71" i="10"/>
  <c r="AH71" i="10"/>
  <c r="AR71" i="10"/>
  <c r="C71" i="8"/>
  <c r="K71" i="8"/>
  <c r="S71" i="8"/>
  <c r="AA71" i="8"/>
  <c r="AI71" i="8"/>
  <c r="C71" i="10"/>
  <c r="K71" i="10"/>
  <c r="S71" i="10"/>
  <c r="AA71" i="10"/>
  <c r="AI71" i="10"/>
  <c r="D71" i="8"/>
  <c r="L71" i="8"/>
  <c r="T71" i="8"/>
  <c r="AB71" i="8"/>
  <c r="AJ71" i="8"/>
  <c r="D71" i="10"/>
  <c r="L71" i="10"/>
  <c r="T71" i="10"/>
  <c r="AB71" i="10"/>
  <c r="AJ71" i="10"/>
  <c r="E71" i="8"/>
  <c r="M71" i="8"/>
  <c r="U71" i="8"/>
  <c r="AC71" i="8"/>
  <c r="AK71" i="8"/>
  <c r="E71" i="10"/>
  <c r="M71" i="10"/>
  <c r="U71" i="10"/>
  <c r="AC71" i="10"/>
  <c r="AK71" i="10"/>
  <c r="F71" i="8"/>
  <c r="N71" i="8"/>
  <c r="V71" i="8"/>
  <c r="AD71" i="8"/>
  <c r="AL71" i="8"/>
  <c r="F71" i="10"/>
  <c r="N71" i="10"/>
  <c r="V71" i="10"/>
  <c r="AD71" i="10"/>
  <c r="AL71" i="10"/>
  <c r="G71" i="8"/>
  <c r="O71" i="8"/>
  <c r="W71" i="8"/>
  <c r="AE71" i="8"/>
  <c r="AM71" i="8"/>
  <c r="G71" i="10"/>
  <c r="O71" i="10"/>
  <c r="W71" i="10"/>
  <c r="AE71" i="10"/>
  <c r="P49" i="29"/>
  <c r="Q49" i="29" s="1"/>
  <c r="Z50" i="8"/>
  <c r="AH50" i="8"/>
  <c r="D50" i="10"/>
  <c r="AT50" i="8"/>
  <c r="L50" i="10"/>
  <c r="T50" i="10"/>
  <c r="AB50" i="10"/>
  <c r="AJ50" i="10"/>
  <c r="I50" i="8"/>
  <c r="Q50" i="8"/>
  <c r="Y50" i="8"/>
  <c r="AG50" i="8"/>
  <c r="AS50" i="8"/>
  <c r="C50" i="10"/>
  <c r="K50" i="10"/>
  <c r="S50" i="10"/>
  <c r="AA50" i="10"/>
  <c r="AI50" i="10"/>
  <c r="C50" i="8"/>
  <c r="K50" i="8"/>
  <c r="S50" i="8"/>
  <c r="AA50" i="8"/>
  <c r="AI50" i="8"/>
  <c r="E50" i="10"/>
  <c r="M50" i="10"/>
  <c r="U50" i="10"/>
  <c r="AC50" i="10"/>
  <c r="AK50" i="10"/>
  <c r="R56" i="25"/>
  <c r="D50" i="8"/>
  <c r="L50" i="8"/>
  <c r="T50" i="8"/>
  <c r="AB50" i="8"/>
  <c r="AJ50" i="8"/>
  <c r="F50" i="10"/>
  <c r="N50" i="10"/>
  <c r="V50" i="10"/>
  <c r="AD50" i="10"/>
  <c r="AL50" i="10"/>
  <c r="E50" i="8"/>
  <c r="M50" i="8"/>
  <c r="U50" i="8"/>
  <c r="AC50" i="8"/>
  <c r="AK50" i="8"/>
  <c r="G50" i="10"/>
  <c r="O50" i="10"/>
  <c r="W50" i="10"/>
  <c r="AE50" i="10"/>
  <c r="AM50" i="10"/>
  <c r="F50" i="8"/>
  <c r="N50" i="8"/>
  <c r="V50" i="8"/>
  <c r="AD50" i="8"/>
  <c r="AL50" i="8"/>
  <c r="H50" i="10"/>
  <c r="P50" i="10"/>
  <c r="X50" i="10"/>
  <c r="AF50" i="10"/>
  <c r="AN50" i="10"/>
  <c r="G50" i="8"/>
  <c r="O50" i="8"/>
  <c r="W50" i="8"/>
  <c r="AE50" i="8"/>
  <c r="AM50" i="8"/>
  <c r="I50" i="10"/>
  <c r="Q50" i="10"/>
  <c r="Y50" i="10"/>
  <c r="AG50" i="10"/>
  <c r="AQ50" i="10"/>
  <c r="H50" i="8"/>
  <c r="P50" i="8"/>
  <c r="X50" i="8"/>
  <c r="AF50" i="8"/>
  <c r="AN50" i="8"/>
  <c r="J50" i="10"/>
  <c r="R50" i="10"/>
  <c r="Z50" i="10"/>
  <c r="AH50" i="10"/>
  <c r="B82" i="27"/>
  <c r="P61" i="21"/>
  <c r="P16" i="21"/>
  <c r="K46" i="8"/>
  <c r="S46" i="8"/>
  <c r="AA46" i="8"/>
  <c r="AI46" i="8"/>
  <c r="E46" i="10"/>
  <c r="M46" i="10"/>
  <c r="U46" i="10"/>
  <c r="AC46" i="10"/>
  <c r="AK46" i="10"/>
  <c r="P18" i="21"/>
  <c r="AM46" i="8"/>
  <c r="AL46" i="8"/>
  <c r="AN46" i="8"/>
  <c r="AS46" i="8"/>
  <c r="AT46" i="8"/>
  <c r="AK46" i="8"/>
  <c r="L46" i="8"/>
  <c r="T46" i="8"/>
  <c r="AB46" i="8"/>
  <c r="AJ46" i="8"/>
  <c r="F46" i="10"/>
  <c r="N46" i="10"/>
  <c r="V46" i="10"/>
  <c r="AD46" i="10"/>
  <c r="AL46" i="10"/>
  <c r="E46" i="8"/>
  <c r="M46" i="8"/>
  <c r="U46" i="8"/>
  <c r="AC46" i="8"/>
  <c r="G46" i="10"/>
  <c r="O46" i="10"/>
  <c r="W46" i="10"/>
  <c r="AE46" i="10"/>
  <c r="AM46" i="10"/>
  <c r="B128" i="23"/>
  <c r="F46" i="8"/>
  <c r="N46" i="8"/>
  <c r="V46" i="8"/>
  <c r="AD46" i="8"/>
  <c r="H46" i="10"/>
  <c r="P46" i="10"/>
  <c r="X46" i="10"/>
  <c r="AF46" i="10"/>
  <c r="AN46" i="10"/>
  <c r="G46" i="8"/>
  <c r="O46" i="8"/>
  <c r="W46" i="8"/>
  <c r="AE46" i="8"/>
  <c r="I46" i="10"/>
  <c r="Q46" i="10"/>
  <c r="Y46" i="10"/>
  <c r="AG46" i="10"/>
  <c r="AQ46" i="10"/>
  <c r="H46" i="8"/>
  <c r="P46" i="8"/>
  <c r="X46" i="8"/>
  <c r="AF46" i="8"/>
  <c r="J46" i="10"/>
  <c r="R46" i="10"/>
  <c r="AH46" i="10"/>
  <c r="AR46" i="10"/>
  <c r="P13" i="21"/>
  <c r="G19" i="8"/>
  <c r="L20" i="8"/>
  <c r="AM20" i="8"/>
  <c r="AM21" i="8"/>
  <c r="AN20" i="8"/>
  <c r="AS20" i="8"/>
  <c r="AT20" i="8"/>
  <c r="AS19" i="8"/>
  <c r="AM19" i="8"/>
  <c r="AN19" i="8"/>
  <c r="AN21" i="8"/>
  <c r="AS21" i="8"/>
  <c r="AT19" i="8"/>
  <c r="AT21" i="8"/>
  <c r="AK14" i="10"/>
  <c r="S15" i="10"/>
  <c r="AG15" i="10"/>
  <c r="U21" i="13"/>
  <c r="V17" i="13"/>
  <c r="Y15" i="10"/>
  <c r="V14" i="13"/>
  <c r="V16" i="13"/>
  <c r="D13" i="42"/>
  <c r="E12" i="42"/>
  <c r="F12" i="42" s="1"/>
  <c r="G12" i="42" s="1"/>
  <c r="A69" i="44"/>
  <c r="A169" i="44"/>
  <c r="A185" i="44"/>
  <c r="A26" i="44"/>
  <c r="A34" i="44"/>
  <c r="A47" i="44"/>
  <c r="A55" i="44"/>
  <c r="A57" i="44"/>
  <c r="O78" i="10"/>
  <c r="A38" i="44"/>
  <c r="A59" i="44"/>
  <c r="A74" i="44"/>
  <c r="A79" i="44"/>
  <c r="A82" i="44"/>
  <c r="A90" i="44"/>
  <c r="A98" i="44"/>
  <c r="A106" i="44"/>
  <c r="A114" i="44"/>
  <c r="A122" i="44"/>
  <c r="A130" i="44"/>
  <c r="A138" i="44"/>
  <c r="A180" i="44"/>
  <c r="A196" i="44"/>
  <c r="A222" i="44"/>
  <c r="A225" i="44"/>
  <c r="A212" i="44"/>
  <c r="A228" i="44"/>
  <c r="A27" i="44"/>
  <c r="A29" i="44"/>
  <c r="A31" i="44"/>
  <c r="A33" i="44"/>
  <c r="A101" i="44"/>
  <c r="A109" i="44"/>
  <c r="A117" i="44"/>
  <c r="A125" i="44"/>
  <c r="A133" i="44"/>
  <c r="A168" i="44"/>
  <c r="A194" i="44"/>
  <c r="A218" i="44"/>
  <c r="A246" i="44"/>
  <c r="A73" i="44"/>
  <c r="A137" i="44"/>
  <c r="A142" i="44"/>
  <c r="AE78" i="10"/>
  <c r="Q77" i="8"/>
  <c r="AS78" i="8"/>
  <c r="I77" i="8"/>
  <c r="AG78" i="8"/>
  <c r="AM76" i="10"/>
  <c r="W78" i="10"/>
  <c r="Y77" i="8"/>
  <c r="O77" i="10"/>
  <c r="AM78" i="10"/>
  <c r="I76" i="8"/>
  <c r="AG77" i="8"/>
  <c r="W77" i="10"/>
  <c r="Q76" i="8"/>
  <c r="AS77" i="8"/>
  <c r="G76" i="10"/>
  <c r="AE77" i="10"/>
  <c r="A112" i="44"/>
  <c r="Y76" i="8"/>
  <c r="I78" i="8"/>
  <c r="O76" i="10"/>
  <c r="AM77" i="10"/>
  <c r="AG76" i="8"/>
  <c r="Q78" i="8"/>
  <c r="W76" i="10"/>
  <c r="G78" i="10"/>
  <c r="AS76" i="8"/>
  <c r="Y78" i="8"/>
  <c r="AE76" i="10"/>
  <c r="AB67" i="44"/>
  <c r="A72" i="44"/>
  <c r="A77" i="44"/>
  <c r="A250" i="44"/>
  <c r="A19" i="44"/>
  <c r="A40" i="44"/>
  <c r="A52" i="44"/>
  <c r="A62" i="44"/>
  <c r="A70" i="44"/>
  <c r="A182" i="44"/>
  <c r="A192" i="44"/>
  <c r="A200" i="44"/>
  <c r="A215" i="44"/>
  <c r="A248" i="44"/>
  <c r="AA46" i="44"/>
  <c r="AA64" i="44"/>
  <c r="A198" i="44"/>
  <c r="A183" i="44"/>
  <c r="A221" i="44"/>
  <c r="A25" i="44"/>
  <c r="A28" i="44"/>
  <c r="A244" i="44"/>
  <c r="A249" i="44"/>
  <c r="AA39" i="44"/>
  <c r="A65" i="44"/>
  <c r="AB69" i="44"/>
  <c r="A160" i="44"/>
  <c r="A163" i="44"/>
  <c r="A173" i="44"/>
  <c r="A199" i="44"/>
  <c r="A252" i="44"/>
  <c r="AJ78" i="10"/>
  <c r="AB14" i="44"/>
  <c r="A24" i="44"/>
  <c r="A135" i="44"/>
  <c r="A153" i="44"/>
  <c r="A184" i="44"/>
  <c r="A242" i="44"/>
  <c r="A247" i="44"/>
  <c r="G76" i="8"/>
  <c r="O76" i="8"/>
  <c r="W76" i="8"/>
  <c r="AE76" i="8"/>
  <c r="AM76" i="8"/>
  <c r="G77" i="8"/>
  <c r="O77" i="8"/>
  <c r="W77" i="8"/>
  <c r="AE77" i="8"/>
  <c r="AM77" i="8"/>
  <c r="G78" i="8"/>
  <c r="O78" i="8"/>
  <c r="W78" i="8"/>
  <c r="AE78" i="8"/>
  <c r="AM78" i="8"/>
  <c r="E76" i="10"/>
  <c r="M76" i="10"/>
  <c r="U76" i="10"/>
  <c r="AC76" i="10"/>
  <c r="AK76" i="10"/>
  <c r="E77" i="10"/>
  <c r="M77" i="10"/>
  <c r="U77" i="10"/>
  <c r="AC77" i="10"/>
  <c r="AK77" i="10"/>
  <c r="E78" i="10"/>
  <c r="M78" i="10"/>
  <c r="U78" i="10"/>
  <c r="AC78" i="10"/>
  <c r="AK78" i="10"/>
  <c r="A23" i="44"/>
  <c r="A44" i="44"/>
  <c r="H76" i="8"/>
  <c r="P76" i="8"/>
  <c r="X76" i="8"/>
  <c r="AF76" i="8"/>
  <c r="AN76" i="8"/>
  <c r="H77" i="8"/>
  <c r="P77" i="8"/>
  <c r="X77" i="8"/>
  <c r="AF77" i="8"/>
  <c r="AN77" i="8"/>
  <c r="H78" i="8"/>
  <c r="P78" i="8"/>
  <c r="X78" i="8"/>
  <c r="AF78" i="8"/>
  <c r="AN78" i="8"/>
  <c r="F76" i="10"/>
  <c r="N76" i="10"/>
  <c r="V76" i="10"/>
  <c r="AD76" i="10"/>
  <c r="AL76" i="10"/>
  <c r="F77" i="10"/>
  <c r="N77" i="10"/>
  <c r="V77" i="10"/>
  <c r="AD77" i="10"/>
  <c r="AL77" i="10"/>
  <c r="F78" i="10"/>
  <c r="N78" i="10"/>
  <c r="V78" i="10"/>
  <c r="AD78" i="10"/>
  <c r="AL78" i="10"/>
  <c r="A18" i="44"/>
  <c r="A39" i="44"/>
  <c r="AA66" i="44"/>
  <c r="A87" i="44"/>
  <c r="A95" i="44"/>
  <c r="A103" i="44"/>
  <c r="A111" i="44"/>
  <c r="A119" i="44"/>
  <c r="A127" i="44"/>
  <c r="A158" i="44"/>
  <c r="A178" i="44"/>
  <c r="A190" i="44"/>
  <c r="A217" i="44"/>
  <c r="A227" i="44"/>
  <c r="AA70" i="44"/>
  <c r="A71" i="44"/>
  <c r="A141" i="44"/>
  <c r="A146" i="44"/>
  <c r="A151" i="44"/>
  <c r="A161" i="44"/>
  <c r="A166" i="44"/>
  <c r="A193" i="44"/>
  <c r="A205" i="44"/>
  <c r="A237" i="44"/>
  <c r="J76" i="8"/>
  <c r="R76" i="8"/>
  <c r="Z76" i="8"/>
  <c r="AH76" i="8"/>
  <c r="AT76" i="8"/>
  <c r="J77" i="8"/>
  <c r="R77" i="8"/>
  <c r="Z77" i="8"/>
  <c r="AH77" i="8"/>
  <c r="AT77" i="8"/>
  <c r="J78" i="8"/>
  <c r="R78" i="8"/>
  <c r="Z78" i="8"/>
  <c r="AH78" i="8"/>
  <c r="AT78" i="8"/>
  <c r="H76" i="10"/>
  <c r="P76" i="10"/>
  <c r="X76" i="10"/>
  <c r="AF76" i="10"/>
  <c r="AN76" i="10"/>
  <c r="H77" i="10"/>
  <c r="P77" i="10"/>
  <c r="X77" i="10"/>
  <c r="AF77" i="10"/>
  <c r="AN77" i="10"/>
  <c r="H78" i="10"/>
  <c r="P78" i="10"/>
  <c r="X78" i="10"/>
  <c r="AF78" i="10"/>
  <c r="AN78" i="10"/>
  <c r="A22" i="44"/>
  <c r="A32" i="44"/>
  <c r="A43" i="44"/>
  <c r="AA45" i="44"/>
  <c r="A54" i="44"/>
  <c r="AM63" i="44"/>
  <c r="C76" i="8"/>
  <c r="K76" i="8"/>
  <c r="S76" i="8"/>
  <c r="AA76" i="8"/>
  <c r="AI76" i="8"/>
  <c r="C77" i="8"/>
  <c r="K77" i="8"/>
  <c r="S77" i="8"/>
  <c r="AA77" i="8"/>
  <c r="AI77" i="8"/>
  <c r="C78" i="8"/>
  <c r="K78" i="8"/>
  <c r="S78" i="8"/>
  <c r="AA78" i="8"/>
  <c r="AI78" i="8"/>
  <c r="I76" i="10"/>
  <c r="Q76" i="10"/>
  <c r="Y76" i="10"/>
  <c r="AG76" i="10"/>
  <c r="AQ76" i="10"/>
  <c r="I77" i="10"/>
  <c r="Q77" i="10"/>
  <c r="Y77" i="10"/>
  <c r="AG77" i="10"/>
  <c r="AQ77" i="10"/>
  <c r="I78" i="10"/>
  <c r="Q78" i="10"/>
  <c r="Y78" i="10"/>
  <c r="AG78" i="10"/>
  <c r="AQ78" i="10"/>
  <c r="A76" i="44"/>
  <c r="A136" i="44"/>
  <c r="A174" i="44"/>
  <c r="A220" i="44"/>
  <c r="D76" i="8"/>
  <c r="L76" i="8"/>
  <c r="T76" i="8"/>
  <c r="AB76" i="8"/>
  <c r="AJ76" i="8"/>
  <c r="D77" i="8"/>
  <c r="L77" i="8"/>
  <c r="T77" i="8"/>
  <c r="AB77" i="8"/>
  <c r="AJ77" i="8"/>
  <c r="D78" i="8"/>
  <c r="L78" i="8"/>
  <c r="T78" i="8"/>
  <c r="AB78" i="8"/>
  <c r="AJ78" i="8"/>
  <c r="J76" i="10"/>
  <c r="R76" i="10"/>
  <c r="Z76" i="10"/>
  <c r="AH76" i="10"/>
  <c r="AR76" i="10"/>
  <c r="J77" i="10"/>
  <c r="R77" i="10"/>
  <c r="Z77" i="10"/>
  <c r="AH77" i="10"/>
  <c r="AR77" i="10"/>
  <c r="J78" i="10"/>
  <c r="R78" i="10"/>
  <c r="Z78" i="10"/>
  <c r="AH78" i="10"/>
  <c r="AR78" i="10"/>
  <c r="A15" i="44"/>
  <c r="A21" i="44"/>
  <c r="A35" i="44"/>
  <c r="A37" i="44"/>
  <c r="A50" i="44"/>
  <c r="A66" i="44"/>
  <c r="A67" i="44"/>
  <c r="A78" i="44"/>
  <c r="A86" i="44"/>
  <c r="A94" i="44"/>
  <c r="A102" i="44"/>
  <c r="A110" i="44"/>
  <c r="A118" i="44"/>
  <c r="A126" i="44"/>
  <c r="A134" i="44"/>
  <c r="A147" i="44"/>
  <c r="A157" i="44"/>
  <c r="A162" i="44"/>
  <c r="A167" i="44"/>
  <c r="A172" i="44"/>
  <c r="A177" i="44"/>
  <c r="A189" i="44"/>
  <c r="A201" i="44"/>
  <c r="A211" i="44"/>
  <c r="A233" i="44"/>
  <c r="E76" i="8"/>
  <c r="M76" i="8"/>
  <c r="U76" i="8"/>
  <c r="AC76" i="8"/>
  <c r="AK76" i="8"/>
  <c r="E77" i="8"/>
  <c r="M77" i="8"/>
  <c r="U77" i="8"/>
  <c r="AC77" i="8"/>
  <c r="AK77" i="8"/>
  <c r="E78" i="8"/>
  <c r="M78" i="8"/>
  <c r="U78" i="8"/>
  <c r="AC78" i="8"/>
  <c r="AK78" i="8"/>
  <c r="C76" i="10"/>
  <c r="K76" i="10"/>
  <c r="S76" i="10"/>
  <c r="AA76" i="10"/>
  <c r="AI76" i="10"/>
  <c r="C77" i="10"/>
  <c r="K77" i="10"/>
  <c r="S77" i="10"/>
  <c r="AA77" i="10"/>
  <c r="AI77" i="10"/>
  <c r="C78" i="10"/>
  <c r="K78" i="10"/>
  <c r="S78" i="10"/>
  <c r="AA78" i="10"/>
  <c r="AI78" i="10"/>
  <c r="A46" i="44"/>
  <c r="A61" i="44"/>
  <c r="A63" i="44"/>
  <c r="F76" i="8"/>
  <c r="N76" i="8"/>
  <c r="V76" i="8"/>
  <c r="AD76" i="8"/>
  <c r="AL76" i="8"/>
  <c r="F77" i="8"/>
  <c r="N77" i="8"/>
  <c r="V77" i="8"/>
  <c r="AD77" i="8"/>
  <c r="AL77" i="8"/>
  <c r="F78" i="8"/>
  <c r="N78" i="8"/>
  <c r="V78" i="8"/>
  <c r="AD78" i="8"/>
  <c r="AL78" i="8"/>
  <c r="D76" i="10"/>
  <c r="L76" i="10"/>
  <c r="T76" i="10"/>
  <c r="AB76" i="10"/>
  <c r="AJ76" i="10"/>
  <c r="D77" i="10"/>
  <c r="L77" i="10"/>
  <c r="T77" i="10"/>
  <c r="AB77" i="10"/>
  <c r="AJ77" i="10"/>
  <c r="D78" i="10"/>
  <c r="L78" i="10"/>
  <c r="T78" i="10"/>
  <c r="AB78" i="10"/>
  <c r="A13" i="44"/>
  <c r="AB16" i="44"/>
  <c r="AB17" i="44"/>
  <c r="A20" i="44"/>
  <c r="AA42" i="44"/>
  <c r="A45" i="44"/>
  <c r="A49" i="44"/>
  <c r="A60" i="44"/>
  <c r="A64" i="44"/>
  <c r="A81" i="44"/>
  <c r="A84" i="44"/>
  <c r="A89" i="44"/>
  <c r="A92" i="44"/>
  <c r="A97" i="44"/>
  <c r="A100" i="44"/>
  <c r="A105" i="44"/>
  <c r="A108" i="44"/>
  <c r="A113" i="44"/>
  <c r="A116" i="44"/>
  <c r="A121" i="44"/>
  <c r="A124" i="44"/>
  <c r="A129" i="44"/>
  <c r="A132" i="44"/>
  <c r="A140" i="44"/>
  <c r="A145" i="44"/>
  <c r="A150" i="44"/>
  <c r="A170" i="44"/>
  <c r="A209" i="44"/>
  <c r="A216" i="44"/>
  <c r="A226" i="44"/>
  <c r="A231" i="44"/>
  <c r="A241" i="44"/>
  <c r="C68" i="35"/>
  <c r="C41" i="40"/>
  <c r="C49" i="40"/>
  <c r="C66" i="40"/>
  <c r="C21" i="41"/>
  <c r="C53" i="41"/>
  <c r="B62" i="41"/>
  <c r="Y63" i="43"/>
  <c r="AJ63" i="44"/>
  <c r="AD64" i="44"/>
  <c r="AL64" i="44" s="1"/>
  <c r="B30" i="28"/>
  <c r="B69" i="28"/>
  <c r="B16" i="31"/>
  <c r="B20" i="31"/>
  <c r="B24" i="31"/>
  <c r="B28" i="31"/>
  <c r="B32" i="31"/>
  <c r="B35" i="31"/>
  <c r="C17" i="35"/>
  <c r="B34" i="35"/>
  <c r="C39" i="35"/>
  <c r="B69" i="35"/>
  <c r="B15" i="40"/>
  <c r="B39" i="40"/>
  <c r="B42" i="40"/>
  <c r="C50" i="40"/>
  <c r="B55" i="40"/>
  <c r="B59" i="40"/>
  <c r="B67" i="40"/>
  <c r="B71" i="40"/>
  <c r="B22" i="41"/>
  <c r="B54" i="41"/>
  <c r="B66" i="16"/>
  <c r="C36" i="24"/>
  <c r="R61" i="25"/>
  <c r="B53" i="28"/>
  <c r="B47" i="31"/>
  <c r="B14" i="16"/>
  <c r="C29" i="16"/>
  <c r="C32" i="16"/>
  <c r="C37" i="16"/>
  <c r="C49" i="16"/>
  <c r="D52" i="16"/>
  <c r="B56" i="16"/>
  <c r="D59" i="16"/>
  <c r="C66" i="16"/>
  <c r="B12" i="20"/>
  <c r="C19" i="20"/>
  <c r="C23" i="20"/>
  <c r="C34" i="20"/>
  <c r="C38" i="20"/>
  <c r="B45" i="20"/>
  <c r="C53" i="20"/>
  <c r="B67" i="20"/>
  <c r="B14" i="24"/>
  <c r="B18" i="24"/>
  <c r="C30" i="24"/>
  <c r="B33" i="24"/>
  <c r="C44" i="24"/>
  <c r="B53" i="24"/>
  <c r="C68" i="24"/>
  <c r="B71" i="24"/>
  <c r="B27" i="28"/>
  <c r="C34" i="28"/>
  <c r="B50" i="28"/>
  <c r="B66" i="28"/>
  <c r="B42" i="31"/>
  <c r="B50" i="31"/>
  <c r="B26" i="35"/>
  <c r="C31" i="35"/>
  <c r="B55" i="35"/>
  <c r="C59" i="35"/>
  <c r="B62" i="35"/>
  <c r="C19" i="40"/>
  <c r="B29" i="40"/>
  <c r="B32" i="40"/>
  <c r="C64" i="40"/>
  <c r="B16" i="41"/>
  <c r="C19" i="41"/>
  <c r="B28" i="41"/>
  <c r="B37" i="41"/>
  <c r="C42" i="41"/>
  <c r="C51" i="41"/>
  <c r="B60" i="41"/>
  <c r="B69" i="41"/>
  <c r="B22" i="16"/>
  <c r="D32" i="16"/>
  <c r="D37" i="16"/>
  <c r="C45" i="16"/>
  <c r="C31" i="20"/>
  <c r="C50" i="20"/>
  <c r="C60" i="20"/>
  <c r="B37" i="24"/>
  <c r="B57" i="24"/>
  <c r="C62" i="24"/>
  <c r="B65" i="24"/>
  <c r="B38" i="28"/>
  <c r="B42" i="28"/>
  <c r="B58" i="28"/>
  <c r="B39" i="31"/>
  <c r="B45" i="31"/>
  <c r="B55" i="31"/>
  <c r="B58" i="31"/>
  <c r="C62" i="31"/>
  <c r="C70" i="31"/>
  <c r="C15" i="35"/>
  <c r="B22" i="28"/>
  <c r="C41" i="28"/>
  <c r="C57" i="28"/>
  <c r="R62" i="25"/>
  <c r="C67" i="35"/>
  <c r="B16" i="40"/>
  <c r="B20" i="40"/>
  <c r="B40" i="40"/>
  <c r="C48" i="40"/>
  <c r="B65" i="40"/>
  <c r="B11" i="41"/>
  <c r="AE63" i="44"/>
  <c r="C21" i="16"/>
  <c r="C21" i="24"/>
  <c r="B25" i="24"/>
  <c r="C13" i="16"/>
  <c r="B21" i="20"/>
  <c r="B32" i="20"/>
  <c r="B36" i="20"/>
  <c r="B40" i="20"/>
  <c r="C51" i="20"/>
  <c r="B61" i="20"/>
  <c r="B38" i="24"/>
  <c r="B50" i="24"/>
  <c r="B38" i="41"/>
  <c r="B70" i="41"/>
  <c r="U63" i="43"/>
  <c r="T64" i="43"/>
  <c r="Y64" i="43" s="1"/>
  <c r="AF63" i="44"/>
  <c r="C52" i="16"/>
  <c r="C59" i="16"/>
  <c r="C56" i="24"/>
  <c r="B54" i="12"/>
  <c r="D13" i="16"/>
  <c r="D61" i="16"/>
  <c r="C11" i="20"/>
  <c r="B58" i="20"/>
  <c r="C28" i="24"/>
  <c r="C59" i="24"/>
  <c r="C20" i="28"/>
  <c r="C32" i="28"/>
  <c r="C64" i="28"/>
  <c r="C56" i="31"/>
  <c r="C64" i="31"/>
  <c r="C28" i="35"/>
  <c r="C41" i="35"/>
  <c r="B48" i="35"/>
  <c r="C17" i="40"/>
  <c r="B53" i="40"/>
  <c r="B61" i="40"/>
  <c r="B69" i="40"/>
  <c r="C26" i="41"/>
  <c r="C35" i="41"/>
  <c r="B44" i="41"/>
  <c r="W63" i="43"/>
  <c r="AH63" i="44"/>
  <c r="U17" i="19"/>
  <c r="W17" i="19"/>
  <c r="U23" i="19"/>
  <c r="U14" i="19"/>
  <c r="Y18" i="19"/>
  <c r="W14" i="19"/>
  <c r="U21" i="19"/>
  <c r="W21" i="19"/>
  <c r="W23" i="19"/>
  <c r="W15" i="19"/>
  <c r="U22" i="19"/>
  <c r="Y16" i="19"/>
  <c r="W22" i="19"/>
  <c r="U20" i="19"/>
  <c r="L21" i="17"/>
  <c r="R21" i="8"/>
  <c r="K46" i="17"/>
  <c r="P46" i="17" s="1"/>
  <c r="L48" i="17"/>
  <c r="AH20" i="10"/>
  <c r="Q21" i="17"/>
  <c r="X21" i="10"/>
  <c r="L52" i="17"/>
  <c r="O19" i="8"/>
  <c r="U20" i="8"/>
  <c r="AF21" i="8"/>
  <c r="AL21" i="10"/>
  <c r="O52" i="17"/>
  <c r="V19" i="8"/>
  <c r="AC20" i="8"/>
  <c r="AH21" i="8"/>
  <c r="M21" i="17"/>
  <c r="L22" i="17"/>
  <c r="P52" i="17"/>
  <c r="AD19" i="8"/>
  <c r="AH20" i="8"/>
  <c r="L19" i="10"/>
  <c r="N21" i="17"/>
  <c r="O22" i="17"/>
  <c r="AE19" i="8"/>
  <c r="AK20" i="8"/>
  <c r="Z19" i="10"/>
  <c r="O21" i="17"/>
  <c r="P22" i="17"/>
  <c r="L19" i="8"/>
  <c r="R20" i="8"/>
  <c r="X21" i="8"/>
  <c r="AL19" i="8"/>
  <c r="J21" i="8"/>
  <c r="P20" i="10"/>
  <c r="Q22" i="17"/>
  <c r="J20" i="8"/>
  <c r="K21" i="8"/>
  <c r="AN20" i="10"/>
  <c r="A25" i="14"/>
  <c r="C15" i="8"/>
  <c r="AI14" i="10"/>
  <c r="AA15" i="10"/>
  <c r="U19" i="13"/>
  <c r="E14" i="8"/>
  <c r="F15" i="8"/>
  <c r="C14" i="10"/>
  <c r="C15" i="10"/>
  <c r="AI15" i="10"/>
  <c r="K15" i="8"/>
  <c r="E14" i="10"/>
  <c r="I15" i="10"/>
  <c r="AQ15" i="10"/>
  <c r="K14" i="8"/>
  <c r="M15" i="8"/>
  <c r="S14" i="10"/>
  <c r="K15" i="10"/>
  <c r="F14" i="8"/>
  <c r="M14" i="8"/>
  <c r="N15" i="8"/>
  <c r="U14" i="10"/>
  <c r="Q15" i="10"/>
  <c r="N14" i="8"/>
  <c r="AA14" i="10"/>
  <c r="U17" i="13"/>
  <c r="V21" i="13"/>
  <c r="B57" i="15"/>
  <c r="AC14" i="10"/>
  <c r="C51" i="12"/>
  <c r="C58" i="12"/>
  <c r="B32" i="12"/>
  <c r="B40" i="12"/>
  <c r="C59" i="12"/>
  <c r="B60" i="12"/>
  <c r="B28" i="12"/>
  <c r="C11" i="12"/>
  <c r="C16" i="12"/>
  <c r="B36" i="12"/>
  <c r="B24" i="12"/>
  <c r="B61" i="12"/>
  <c r="C46" i="12"/>
  <c r="C20" i="12"/>
  <c r="B55" i="12"/>
  <c r="B62" i="12"/>
  <c r="C67" i="12"/>
  <c r="C52" i="12"/>
  <c r="B68" i="12"/>
  <c r="B14" i="12"/>
  <c r="B18" i="12"/>
  <c r="B22" i="12"/>
  <c r="B26" i="12"/>
  <c r="B30" i="12"/>
  <c r="B34" i="12"/>
  <c r="B38" i="12"/>
  <c r="C49" i="12"/>
  <c r="B53" i="12"/>
  <c r="C12" i="12"/>
  <c r="B57" i="12"/>
  <c r="B64" i="12"/>
  <c r="B70" i="12"/>
  <c r="B19" i="12"/>
  <c r="A7" i="4"/>
  <c r="N39" i="4"/>
  <c r="E10" i="4"/>
  <c r="J145" i="7"/>
  <c r="D227" i="7"/>
  <c r="D225" i="7" s="1"/>
  <c r="T227" i="7"/>
  <c r="T225" i="7" s="1"/>
  <c r="AJ227" i="7"/>
  <c r="AJ225" i="7" s="1"/>
  <c r="AZ227" i="7"/>
  <c r="AZ225" i="7" s="1"/>
  <c r="T19" i="8"/>
  <c r="T20" i="8"/>
  <c r="S21" i="8"/>
  <c r="J19" i="10"/>
  <c r="AR19" i="10"/>
  <c r="AF20" i="10"/>
  <c r="V21" i="10"/>
  <c r="C65" i="12"/>
  <c r="B65" i="12"/>
  <c r="J15" i="10"/>
  <c r="J14" i="10"/>
  <c r="I14" i="10"/>
  <c r="D19" i="8"/>
  <c r="W19" i="8"/>
  <c r="Z20" i="8"/>
  <c r="C21" i="8"/>
  <c r="Z21" i="8"/>
  <c r="R19" i="10"/>
  <c r="Z227" i="7"/>
  <c r="Z225" i="7" s="1"/>
  <c r="G145" i="7"/>
  <c r="N15" i="10"/>
  <c r="M15" i="10"/>
  <c r="N14" i="10"/>
  <c r="AM21" i="10"/>
  <c r="AE21" i="10"/>
  <c r="W21" i="10"/>
  <c r="O21" i="10"/>
  <c r="G21" i="10"/>
  <c r="AQ20" i="10"/>
  <c r="AG20" i="10"/>
  <c r="Y20" i="10"/>
  <c r="Q20" i="10"/>
  <c r="I20" i="10"/>
  <c r="AI19" i="10"/>
  <c r="AA19" i="10"/>
  <c r="S19" i="10"/>
  <c r="K19" i="10"/>
  <c r="C19" i="10"/>
  <c r="AG21" i="8"/>
  <c r="Y21" i="8"/>
  <c r="Q21" i="8"/>
  <c r="I21" i="8"/>
  <c r="AI20" i="8"/>
  <c r="AA20" i="8"/>
  <c r="S20" i="8"/>
  <c r="K20" i="8"/>
  <c r="C20" i="8"/>
  <c r="AK19" i="8"/>
  <c r="AC19" i="8"/>
  <c r="U19" i="8"/>
  <c r="M19" i="8"/>
  <c r="E19" i="8"/>
  <c r="AK21" i="10"/>
  <c r="AC21" i="10"/>
  <c r="U21" i="10"/>
  <c r="M21" i="10"/>
  <c r="E21" i="10"/>
  <c r="AM20" i="10"/>
  <c r="AE20" i="10"/>
  <c r="W20" i="10"/>
  <c r="O20" i="10"/>
  <c r="G20" i="10"/>
  <c r="AQ19" i="10"/>
  <c r="AG19" i="10"/>
  <c r="Y19" i="10"/>
  <c r="Q19" i="10"/>
  <c r="I19" i="10"/>
  <c r="AE21" i="8"/>
  <c r="W21" i="8"/>
  <c r="O21" i="8"/>
  <c r="G21" i="8"/>
  <c r="AG20" i="8"/>
  <c r="Y20" i="8"/>
  <c r="Q20" i="8"/>
  <c r="I20" i="8"/>
  <c r="AI19" i="8"/>
  <c r="AA19" i="8"/>
  <c r="S19" i="8"/>
  <c r="K19" i="8"/>
  <c r="C19" i="8"/>
  <c r="Q48" i="17"/>
  <c r="AJ21" i="10"/>
  <c r="AB21" i="10"/>
  <c r="T21" i="10"/>
  <c r="L21" i="10"/>
  <c r="D21" i="10"/>
  <c r="AL20" i="10"/>
  <c r="AD20" i="10"/>
  <c r="V20" i="10"/>
  <c r="N20" i="10"/>
  <c r="F20" i="10"/>
  <c r="AN19" i="10"/>
  <c r="AF19" i="10"/>
  <c r="X19" i="10"/>
  <c r="P19" i="10"/>
  <c r="H19" i="10"/>
  <c r="AL21" i="8"/>
  <c r="AD21" i="8"/>
  <c r="V21" i="8"/>
  <c r="N21" i="8"/>
  <c r="F21" i="8"/>
  <c r="AF20" i="8"/>
  <c r="X20" i="8"/>
  <c r="P20" i="8"/>
  <c r="H20" i="8"/>
  <c r="AH19" i="8"/>
  <c r="Z19" i="8"/>
  <c r="R19" i="8"/>
  <c r="J19" i="8"/>
  <c r="AK21" i="8"/>
  <c r="AC21" i="8"/>
  <c r="U21" i="8"/>
  <c r="E21" i="8"/>
  <c r="AE20" i="8"/>
  <c r="W20" i="8"/>
  <c r="G20" i="8"/>
  <c r="AG19" i="8"/>
  <c r="Q19" i="8"/>
  <c r="AJ21" i="8"/>
  <c r="AB21" i="8"/>
  <c r="L21" i="8"/>
  <c r="AD20" i="8"/>
  <c r="N20" i="8"/>
  <c r="P19" i="8"/>
  <c r="AI21" i="10"/>
  <c r="AA21" i="10"/>
  <c r="S21" i="10"/>
  <c r="K21" i="10"/>
  <c r="C21" i="10"/>
  <c r="AK20" i="10"/>
  <c r="AC20" i="10"/>
  <c r="U20" i="10"/>
  <c r="M20" i="10"/>
  <c r="E20" i="10"/>
  <c r="AM19" i="10"/>
  <c r="AE19" i="10"/>
  <c r="W19" i="10"/>
  <c r="O19" i="10"/>
  <c r="G19" i="10"/>
  <c r="M21" i="8"/>
  <c r="O20" i="8"/>
  <c r="Y19" i="8"/>
  <c r="I19" i="8"/>
  <c r="D21" i="8"/>
  <c r="V20" i="8"/>
  <c r="AF19" i="8"/>
  <c r="H19" i="8"/>
  <c r="AR21" i="10"/>
  <c r="AH21" i="10"/>
  <c r="Z21" i="10"/>
  <c r="R21" i="10"/>
  <c r="J21" i="10"/>
  <c r="AJ20" i="10"/>
  <c r="AB20" i="10"/>
  <c r="T20" i="10"/>
  <c r="L20" i="10"/>
  <c r="D20" i="10"/>
  <c r="AL19" i="10"/>
  <c r="AD19" i="10"/>
  <c r="V19" i="10"/>
  <c r="N19" i="10"/>
  <c r="F19" i="10"/>
  <c r="T21" i="8"/>
  <c r="AL20" i="8"/>
  <c r="F20" i="8"/>
  <c r="X19" i="8"/>
  <c r="AQ21" i="10"/>
  <c r="AG21" i="10"/>
  <c r="Y21" i="10"/>
  <c r="Q21" i="10"/>
  <c r="I21" i="10"/>
  <c r="AI20" i="10"/>
  <c r="AA20" i="10"/>
  <c r="S20" i="10"/>
  <c r="K20" i="10"/>
  <c r="C20" i="10"/>
  <c r="AK19" i="10"/>
  <c r="AC19" i="10"/>
  <c r="U19" i="10"/>
  <c r="M19" i="10"/>
  <c r="E19" i="10"/>
  <c r="D20" i="8"/>
  <c r="H20" i="10"/>
  <c r="AD21" i="10"/>
  <c r="AP227" i="7"/>
  <c r="AP225" i="7" s="1"/>
  <c r="L59" i="7"/>
  <c r="F19" i="8"/>
  <c r="AB19" i="8"/>
  <c r="E20" i="8"/>
  <c r="AB20" i="8"/>
  <c r="H21" i="8"/>
  <c r="AA21" i="8"/>
  <c r="T19" i="10"/>
  <c r="J20" i="10"/>
  <c r="AR20" i="10"/>
  <c r="AF21" i="10"/>
  <c r="AR15" i="10"/>
  <c r="AH15" i="10"/>
  <c r="Z15" i="10"/>
  <c r="R15" i="10"/>
  <c r="AJ14" i="10"/>
  <c r="AB14" i="10"/>
  <c r="T14" i="10"/>
  <c r="D14" i="10"/>
  <c r="L15" i="8"/>
  <c r="D15" i="8"/>
  <c r="L14" i="8"/>
  <c r="D14" i="8"/>
  <c r="AN15" i="10"/>
  <c r="AF15" i="10"/>
  <c r="X15" i="10"/>
  <c r="P15" i="10"/>
  <c r="H15" i="10"/>
  <c r="AH14" i="10"/>
  <c r="Z14" i="10"/>
  <c r="R14" i="10"/>
  <c r="J15" i="8"/>
  <c r="J14" i="8"/>
  <c r="AM15" i="10"/>
  <c r="AE15" i="10"/>
  <c r="W15" i="10"/>
  <c r="O15" i="10"/>
  <c r="G15" i="10"/>
  <c r="AG14" i="10"/>
  <c r="Y14" i="10"/>
  <c r="Q14" i="10"/>
  <c r="I15" i="8"/>
  <c r="I14" i="8"/>
  <c r="H15" i="8"/>
  <c r="H14" i="8"/>
  <c r="O15" i="8"/>
  <c r="G14" i="8"/>
  <c r="AL15" i="10"/>
  <c r="AD15" i="10"/>
  <c r="V15" i="10"/>
  <c r="AN14" i="10"/>
  <c r="AF14" i="10"/>
  <c r="X14" i="10"/>
  <c r="P14" i="10"/>
  <c r="H14" i="10"/>
  <c r="P15" i="8"/>
  <c r="P14" i="8"/>
  <c r="O14" i="8"/>
  <c r="AK15" i="10"/>
  <c r="AC15" i="10"/>
  <c r="U15" i="10"/>
  <c r="AM14" i="10"/>
  <c r="AE14" i="10"/>
  <c r="W14" i="10"/>
  <c r="O14" i="10"/>
  <c r="G14" i="10"/>
  <c r="G15" i="8"/>
  <c r="AJ15" i="10"/>
  <c r="AB15" i="10"/>
  <c r="T15" i="10"/>
  <c r="D15" i="10"/>
  <c r="AL14" i="10"/>
  <c r="AD14" i="10"/>
  <c r="V14" i="10"/>
  <c r="L14" i="10"/>
  <c r="L15" i="10"/>
  <c r="U56" i="13"/>
  <c r="AD227" i="7"/>
  <c r="AD225" i="7" s="1"/>
  <c r="AV227" i="7"/>
  <c r="AV225" i="7" s="1"/>
  <c r="AB19" i="10"/>
  <c r="R20" i="10"/>
  <c r="H21" i="10"/>
  <c r="AN21" i="10"/>
  <c r="F15" i="10"/>
  <c r="E15" i="10"/>
  <c r="F14" i="10"/>
  <c r="AF227" i="7"/>
  <c r="AF225" i="7" s="1"/>
  <c r="I142" i="7"/>
  <c r="I145" i="7" s="1"/>
  <c r="N19" i="8"/>
  <c r="AJ19" i="8"/>
  <c r="M20" i="8"/>
  <c r="AJ20" i="8"/>
  <c r="P21" i="8"/>
  <c r="AI21" i="8"/>
  <c r="P173" i="9"/>
  <c r="P171" i="9" s="1"/>
  <c r="K14" i="10"/>
  <c r="AH19" i="10"/>
  <c r="X20" i="10"/>
  <c r="N21" i="10"/>
  <c r="B47" i="15"/>
  <c r="V55" i="13"/>
  <c r="T54" i="13"/>
  <c r="U55" i="13"/>
  <c r="AA10" i="4"/>
  <c r="M14" i="10"/>
  <c r="D19" i="10"/>
  <c r="AJ19" i="10"/>
  <c r="Z20" i="10"/>
  <c r="P21" i="10"/>
  <c r="V56" i="13"/>
  <c r="B63" i="15"/>
  <c r="U12" i="15" s="1"/>
  <c r="D12" i="16"/>
  <c r="C12" i="16"/>
  <c r="B12" i="16"/>
  <c r="C47" i="12"/>
  <c r="B47" i="12"/>
  <c r="D19" i="16"/>
  <c r="B19" i="16"/>
  <c r="D48" i="16"/>
  <c r="C48" i="16"/>
  <c r="B48" i="16"/>
  <c r="B23" i="12"/>
  <c r="B31" i="12"/>
  <c r="B39" i="12"/>
  <c r="B42" i="12"/>
  <c r="C71" i="12"/>
  <c r="B71" i="12"/>
  <c r="B17" i="16"/>
  <c r="C17" i="16"/>
  <c r="C19" i="16"/>
  <c r="D36" i="16"/>
  <c r="B36" i="16"/>
  <c r="B51" i="16"/>
  <c r="C51" i="16"/>
  <c r="D51" i="16"/>
  <c r="D27" i="16"/>
  <c r="C27" i="16"/>
  <c r="B27" i="16"/>
  <c r="D34" i="16"/>
  <c r="B34" i="16"/>
  <c r="D38" i="16"/>
  <c r="C38" i="16"/>
  <c r="B38" i="16"/>
  <c r="B15" i="12"/>
  <c r="B44" i="12"/>
  <c r="B56" i="12"/>
  <c r="U16" i="13"/>
  <c r="B25" i="16"/>
  <c r="D25" i="16"/>
  <c r="C25" i="16"/>
  <c r="C34" i="16"/>
  <c r="B63" i="16"/>
  <c r="D63" i="16"/>
  <c r="C63" i="16"/>
  <c r="B69" i="16"/>
  <c r="D69" i="16"/>
  <c r="C69" i="16"/>
  <c r="D11" i="16"/>
  <c r="B11" i="16"/>
  <c r="D70" i="16"/>
  <c r="C70" i="16"/>
  <c r="B70" i="16"/>
  <c r="B27" i="12"/>
  <c r="B35" i="12"/>
  <c r="B71" i="15"/>
  <c r="U20" i="15" s="1"/>
  <c r="B60" i="15"/>
  <c r="B49" i="15"/>
  <c r="B69" i="15"/>
  <c r="B64" i="15"/>
  <c r="B56" i="15"/>
  <c r="V15" i="13"/>
  <c r="U15" i="13"/>
  <c r="W1" i="14"/>
  <c r="A23" i="14"/>
  <c r="B55" i="15"/>
  <c r="C11" i="16"/>
  <c r="D39" i="16"/>
  <c r="C39" i="16"/>
  <c r="B39" i="16"/>
  <c r="D47" i="16"/>
  <c r="B47" i="16"/>
  <c r="C60" i="16"/>
  <c r="B60" i="16"/>
  <c r="C54" i="16"/>
  <c r="B54" i="16"/>
  <c r="Q15" i="17"/>
  <c r="P15" i="17"/>
  <c r="O15" i="17"/>
  <c r="N15" i="17"/>
  <c r="L15" i="17"/>
  <c r="O17" i="17"/>
  <c r="Q17" i="17"/>
  <c r="P17" i="17"/>
  <c r="N17" i="17"/>
  <c r="L17" i="17"/>
  <c r="M19" i="17"/>
  <c r="Q19" i="17"/>
  <c r="P19" i="17"/>
  <c r="O19" i="17"/>
  <c r="L19" i="17"/>
  <c r="D31" i="19"/>
  <c r="C39" i="20"/>
  <c r="B39" i="20"/>
  <c r="B35" i="28"/>
  <c r="C35" i="28"/>
  <c r="B41" i="31"/>
  <c r="C41" i="31"/>
  <c r="F32" i="19"/>
  <c r="B66" i="15"/>
  <c r="B53" i="15"/>
  <c r="B48" i="15"/>
  <c r="B59" i="15"/>
  <c r="B65" i="15"/>
  <c r="U14" i="15" s="1"/>
  <c r="B70" i="15"/>
  <c r="U19" i="15" s="1"/>
  <c r="D21" i="16"/>
  <c r="C23" i="16"/>
  <c r="D42" i="16"/>
  <c r="C42" i="16"/>
  <c r="D58" i="16"/>
  <c r="B58" i="16"/>
  <c r="B67" i="16"/>
  <c r="C67" i="16"/>
  <c r="O48" i="17"/>
  <c r="D34" i="19"/>
  <c r="B42" i="16"/>
  <c r="Q14" i="17"/>
  <c r="P14" i="17"/>
  <c r="O14" i="17"/>
  <c r="M14" i="17"/>
  <c r="F35" i="19"/>
  <c r="B63" i="12"/>
  <c r="B66" i="12"/>
  <c r="B69" i="12"/>
  <c r="B51" i="15"/>
  <c r="B61" i="15"/>
  <c r="B72" i="15"/>
  <c r="C14" i="16"/>
  <c r="C16" i="16"/>
  <c r="B18" i="16"/>
  <c r="B20" i="16"/>
  <c r="D29" i="16"/>
  <c r="C31" i="16"/>
  <c r="C33" i="16"/>
  <c r="B35" i="16"/>
  <c r="B40" i="16"/>
  <c r="D55" i="16"/>
  <c r="L14" i="17"/>
  <c r="P16" i="17"/>
  <c r="Q16" i="17"/>
  <c r="O16" i="17"/>
  <c r="N16" i="17"/>
  <c r="L16" i="17"/>
  <c r="N18" i="17"/>
  <c r="Q18" i="17"/>
  <c r="P18" i="17"/>
  <c r="O18" i="17"/>
  <c r="L18" i="17"/>
  <c r="L20" i="17"/>
  <c r="Q20" i="17"/>
  <c r="P20" i="17"/>
  <c r="O20" i="17"/>
  <c r="M20" i="17"/>
  <c r="D37" i="19"/>
  <c r="C13" i="20"/>
  <c r="B13" i="20"/>
  <c r="O55" i="21"/>
  <c r="Q56" i="21"/>
  <c r="P56" i="21"/>
  <c r="B13" i="12"/>
  <c r="B17" i="12"/>
  <c r="B21" i="12"/>
  <c r="B25" i="12"/>
  <c r="B29" i="12"/>
  <c r="B33" i="12"/>
  <c r="B37" i="12"/>
  <c r="B41" i="12"/>
  <c r="B43" i="12"/>
  <c r="B45" i="12"/>
  <c r="C48" i="12"/>
  <c r="U13" i="13"/>
  <c r="V20" i="13"/>
  <c r="B52" i="15"/>
  <c r="B62" i="15"/>
  <c r="B67" i="15"/>
  <c r="U16" i="15" s="1"/>
  <c r="C18" i="16"/>
  <c r="C20" i="16"/>
  <c r="D33" i="16"/>
  <c r="C35" i="16"/>
  <c r="C40" i="16"/>
  <c r="D46" i="16"/>
  <c r="C46" i="16"/>
  <c r="N14" i="17"/>
  <c r="C24" i="18"/>
  <c r="A23" i="18"/>
  <c r="C22" i="20"/>
  <c r="B22" i="20"/>
  <c r="C49" i="20"/>
  <c r="B49" i="20"/>
  <c r="B58" i="15"/>
  <c r="B54" i="15"/>
  <c r="B68" i="15"/>
  <c r="C22" i="16"/>
  <c r="B26" i="16"/>
  <c r="B46" i="16"/>
  <c r="B53" i="16"/>
  <c r="D53" i="16"/>
  <c r="C62" i="16"/>
  <c r="N48" i="17"/>
  <c r="C16" i="20"/>
  <c r="B16" i="20"/>
  <c r="T14" i="19"/>
  <c r="B36" i="19"/>
  <c r="D33" i="19"/>
  <c r="F30" i="19"/>
  <c r="K53" i="17"/>
  <c r="U19" i="19"/>
  <c r="W20" i="19"/>
  <c r="B31" i="19"/>
  <c r="B34" i="19"/>
  <c r="B37" i="19"/>
  <c r="T23" i="19"/>
  <c r="C14" i="20"/>
  <c r="C26" i="20"/>
  <c r="C56" i="20"/>
  <c r="C64" i="20"/>
  <c r="B64" i="20"/>
  <c r="P15" i="21"/>
  <c r="R12" i="23"/>
  <c r="D49" i="16"/>
  <c r="C56" i="16"/>
  <c r="D65" i="16"/>
  <c r="M22" i="17"/>
  <c r="P48" i="17"/>
  <c r="M52" i="17"/>
  <c r="U18" i="19"/>
  <c r="W19" i="19"/>
  <c r="F31" i="19"/>
  <c r="F34" i="19"/>
  <c r="F37" i="19"/>
  <c r="S14" i="25"/>
  <c r="R14" i="25"/>
  <c r="C61" i="16"/>
  <c r="N52" i="17"/>
  <c r="B32" i="19"/>
  <c r="B35" i="19"/>
  <c r="C11" i="24"/>
  <c r="B11" i="24"/>
  <c r="C40" i="24"/>
  <c r="B40" i="24"/>
  <c r="C48" i="24"/>
  <c r="B48" i="24"/>
  <c r="M48" i="17"/>
  <c r="D32" i="19"/>
  <c r="D35" i="19"/>
  <c r="X14" i="19"/>
  <c r="B10" i="20"/>
  <c r="C10" i="20"/>
  <c r="C43" i="20"/>
  <c r="B43" i="20"/>
  <c r="C46" i="20"/>
  <c r="B46" i="20"/>
  <c r="R20" i="23"/>
  <c r="B30" i="19"/>
  <c r="B33" i="19"/>
  <c r="D36" i="19"/>
  <c r="B17" i="24"/>
  <c r="C17" i="24"/>
  <c r="U15" i="19"/>
  <c r="W16" i="19"/>
  <c r="D30" i="19"/>
  <c r="F33" i="19"/>
  <c r="F36" i="19"/>
  <c r="B20" i="20"/>
  <c r="C27" i="20"/>
  <c r="C30" i="20"/>
  <c r="C35" i="20"/>
  <c r="C63" i="20"/>
  <c r="B63" i="20"/>
  <c r="B136" i="23"/>
  <c r="P20" i="21"/>
  <c r="R16" i="23"/>
  <c r="B124" i="23"/>
  <c r="C15" i="24"/>
  <c r="P46" i="29"/>
  <c r="R47" i="29"/>
  <c r="Q47" i="29"/>
  <c r="S61" i="32"/>
  <c r="R62" i="32"/>
  <c r="T61" i="32"/>
  <c r="R16" i="29"/>
  <c r="Q16" i="29"/>
  <c r="B132" i="23"/>
  <c r="C71" i="28"/>
  <c r="B71" i="28"/>
  <c r="B134" i="23"/>
  <c r="C54" i="24"/>
  <c r="B54" i="24"/>
  <c r="B67" i="27"/>
  <c r="B47" i="20"/>
  <c r="P12" i="21"/>
  <c r="C13" i="24"/>
  <c r="S19" i="25"/>
  <c r="R19" i="25"/>
  <c r="C21" i="28"/>
  <c r="B21" i="28"/>
  <c r="B141" i="23"/>
  <c r="B133" i="23"/>
  <c r="B125" i="23"/>
  <c r="B139" i="23"/>
  <c r="B131" i="23"/>
  <c r="B123" i="23"/>
  <c r="B138" i="23"/>
  <c r="B130" i="23"/>
  <c r="B122" i="23"/>
  <c r="B137" i="23"/>
  <c r="B129" i="23"/>
  <c r="B121" i="23"/>
  <c r="B135" i="23"/>
  <c r="B127" i="23"/>
  <c r="B119" i="23"/>
  <c r="Q14" i="21"/>
  <c r="P14" i="21"/>
  <c r="R14" i="23"/>
  <c r="B118" i="23"/>
  <c r="B140" i="23"/>
  <c r="C19" i="24"/>
  <c r="B68" i="20"/>
  <c r="B120" i="23"/>
  <c r="B142" i="23"/>
  <c r="Q21" i="23" s="1"/>
  <c r="C51" i="24"/>
  <c r="B51" i="24"/>
  <c r="C17" i="28"/>
  <c r="B17" i="28"/>
  <c r="B78" i="27"/>
  <c r="B70" i="27"/>
  <c r="B62" i="27"/>
  <c r="B81" i="27"/>
  <c r="B72" i="27"/>
  <c r="B63" i="27"/>
  <c r="B79" i="27"/>
  <c r="B68" i="27"/>
  <c r="B75" i="27"/>
  <c r="B65" i="27"/>
  <c r="B58" i="27"/>
  <c r="B69" i="27"/>
  <c r="L20" i="28"/>
  <c r="B25" i="31"/>
  <c r="C25" i="31"/>
  <c r="S15" i="27"/>
  <c r="B59" i="27"/>
  <c r="B71" i="27"/>
  <c r="C11" i="28"/>
  <c r="B11" i="28"/>
  <c r="C16" i="28"/>
  <c r="B39" i="28"/>
  <c r="B46" i="28"/>
  <c r="C61" i="28"/>
  <c r="C13" i="31"/>
  <c r="B13" i="31"/>
  <c r="B43" i="24"/>
  <c r="B46" i="24"/>
  <c r="S61" i="25"/>
  <c r="B73" i="27"/>
  <c r="C15" i="28"/>
  <c r="B15" i="28"/>
  <c r="C51" i="28"/>
  <c r="B51" i="28"/>
  <c r="B50" i="15"/>
  <c r="B22" i="24"/>
  <c r="B26" i="24"/>
  <c r="B49" i="24"/>
  <c r="C52" i="24"/>
  <c r="B58" i="24"/>
  <c r="B61" i="24"/>
  <c r="B60" i="27"/>
  <c r="B74" i="27"/>
  <c r="B14" i="28"/>
  <c r="B26" i="28"/>
  <c r="C29" i="28"/>
  <c r="B33" i="28"/>
  <c r="C33" i="28"/>
  <c r="B62" i="28"/>
  <c r="R17" i="29"/>
  <c r="Q17" i="29"/>
  <c r="S56" i="25"/>
  <c r="Q55" i="25"/>
  <c r="B61" i="27"/>
  <c r="B76" i="27"/>
  <c r="B13" i="28"/>
  <c r="C19" i="28"/>
  <c r="C23" i="28"/>
  <c r="B23" i="28"/>
  <c r="B55" i="28"/>
  <c r="B59" i="28"/>
  <c r="Q48" i="29"/>
  <c r="Q15" i="29"/>
  <c r="S13" i="27"/>
  <c r="B64" i="27"/>
  <c r="B77" i="27"/>
  <c r="C48" i="28"/>
  <c r="B48" i="28"/>
  <c r="C69" i="31"/>
  <c r="B69" i="31"/>
  <c r="B66" i="27"/>
  <c r="B80" i="27"/>
  <c r="C18" i="28"/>
  <c r="B18" i="28"/>
  <c r="B49" i="28"/>
  <c r="C49" i="28"/>
  <c r="B67" i="28"/>
  <c r="C67" i="28"/>
  <c r="C66" i="31"/>
  <c r="B66" i="31"/>
  <c r="C14" i="31"/>
  <c r="B14" i="31"/>
  <c r="C45" i="28"/>
  <c r="B45" i="28"/>
  <c r="B11" i="35"/>
  <c r="C11" i="35"/>
  <c r="C19" i="31"/>
  <c r="B31" i="31"/>
  <c r="C52" i="31"/>
  <c r="B52" i="31"/>
  <c r="B63" i="31"/>
  <c r="R54" i="32"/>
  <c r="S55" i="32"/>
  <c r="T55" i="32"/>
  <c r="B71" i="31"/>
  <c r="C71" i="31"/>
  <c r="C17" i="31"/>
  <c r="B17" i="31"/>
  <c r="C23" i="31"/>
  <c r="B29" i="31"/>
  <c r="B37" i="31"/>
  <c r="B53" i="31"/>
  <c r="C60" i="31"/>
  <c r="B60" i="31"/>
  <c r="B66" i="34"/>
  <c r="B58" i="34"/>
  <c r="B64" i="34"/>
  <c r="B56" i="34"/>
  <c r="B65" i="34"/>
  <c r="B54" i="34"/>
  <c r="B63" i="34"/>
  <c r="B53" i="34"/>
  <c r="B62" i="34"/>
  <c r="B52" i="34"/>
  <c r="B61" i="34"/>
  <c r="B51" i="34"/>
  <c r="B59" i="34"/>
  <c r="B55" i="34"/>
  <c r="B57" i="34"/>
  <c r="B54" i="31"/>
  <c r="C54" i="31"/>
  <c r="T56" i="32"/>
  <c r="B60" i="34"/>
  <c r="B11" i="31"/>
  <c r="B15" i="31"/>
  <c r="C21" i="31"/>
  <c r="B21" i="31"/>
  <c r="B27" i="31"/>
  <c r="B61" i="31"/>
  <c r="S56" i="32"/>
  <c r="B51" i="35"/>
  <c r="C51" i="35"/>
  <c r="B13" i="35"/>
  <c r="C13" i="35"/>
  <c r="B37" i="35"/>
  <c r="C37" i="35"/>
  <c r="B65" i="38"/>
  <c r="Q21" i="38" s="1"/>
  <c r="B56" i="38"/>
  <c r="B47" i="38"/>
  <c r="S49" i="36"/>
  <c r="C38" i="35"/>
  <c r="B38" i="35"/>
  <c r="C57" i="35"/>
  <c r="B57" i="35"/>
  <c r="C23" i="40"/>
  <c r="B23" i="40"/>
  <c r="R48" i="29"/>
  <c r="T17" i="32"/>
  <c r="S17" i="32"/>
  <c r="B21" i="35"/>
  <c r="C21" i="35"/>
  <c r="C14" i="35"/>
  <c r="B14" i="35"/>
  <c r="B29" i="35"/>
  <c r="C29" i="35"/>
  <c r="B19" i="35"/>
  <c r="C19" i="35"/>
  <c r="C22" i="35"/>
  <c r="B22" i="35"/>
  <c r="C30" i="35"/>
  <c r="B30" i="35"/>
  <c r="C27" i="35"/>
  <c r="C35" i="35"/>
  <c r="C50" i="35"/>
  <c r="C53" i="35"/>
  <c r="B56" i="35"/>
  <c r="R18" i="38"/>
  <c r="T19" i="36"/>
  <c r="S19" i="36"/>
  <c r="C70" i="40"/>
  <c r="B70" i="40"/>
  <c r="B63" i="38"/>
  <c r="R55" i="36"/>
  <c r="T54" i="36"/>
  <c r="S54" i="36"/>
  <c r="R21" i="38"/>
  <c r="C63" i="40"/>
  <c r="B63" i="40"/>
  <c r="C49" i="35"/>
  <c r="B49" i="35"/>
  <c r="C65" i="35"/>
  <c r="B65" i="35"/>
  <c r="O55" i="39"/>
  <c r="C36" i="40"/>
  <c r="B36" i="40"/>
  <c r="B15" i="41"/>
  <c r="C15" i="41"/>
  <c r="C49" i="41"/>
  <c r="B49" i="41"/>
  <c r="C43" i="35"/>
  <c r="C45" i="35"/>
  <c r="C66" i="35"/>
  <c r="T18" i="36"/>
  <c r="S18" i="36"/>
  <c r="C26" i="40"/>
  <c r="B26" i="40"/>
  <c r="C52" i="40"/>
  <c r="B52" i="40"/>
  <c r="U16" i="43"/>
  <c r="V16" i="43"/>
  <c r="T49" i="36"/>
  <c r="B48" i="38"/>
  <c r="B57" i="38"/>
  <c r="C31" i="41"/>
  <c r="B31" i="41"/>
  <c r="C40" i="41"/>
  <c r="B40" i="41"/>
  <c r="V19" i="43"/>
  <c r="U19" i="43"/>
  <c r="B49" i="38"/>
  <c r="B59" i="38"/>
  <c r="O64" i="39"/>
  <c r="C23" i="41"/>
  <c r="B23" i="41"/>
  <c r="C32" i="41"/>
  <c r="B32" i="41"/>
  <c r="C41" i="41"/>
  <c r="B41" i="41"/>
  <c r="AJ58" i="44"/>
  <c r="A12" i="44"/>
  <c r="B41" i="38"/>
  <c r="B51" i="38"/>
  <c r="B60" i="38"/>
  <c r="C24" i="41"/>
  <c r="B24" i="41"/>
  <c r="C64" i="41"/>
  <c r="B64" i="41"/>
  <c r="U22" i="43"/>
  <c r="V22" i="43"/>
  <c r="AA22" i="44"/>
  <c r="AB22" i="44"/>
  <c r="AA38" i="44"/>
  <c r="AB38" i="44"/>
  <c r="AB62" i="44"/>
  <c r="AA62" i="44"/>
  <c r="R48" i="36"/>
  <c r="B43" i="38"/>
  <c r="B52" i="38"/>
  <c r="B61" i="38"/>
  <c r="B21" i="40"/>
  <c r="B24" i="40"/>
  <c r="C46" i="40"/>
  <c r="C13" i="41"/>
  <c r="C33" i="41"/>
  <c r="C65" i="41"/>
  <c r="B65" i="41"/>
  <c r="U14" i="43"/>
  <c r="V14" i="43"/>
  <c r="B44" i="38"/>
  <c r="B53" i="38"/>
  <c r="B62" i="38"/>
  <c r="C25" i="41"/>
  <c r="C56" i="41"/>
  <c r="B56" i="41"/>
  <c r="R14" i="38"/>
  <c r="B45" i="38"/>
  <c r="B54" i="38"/>
  <c r="P63" i="39"/>
  <c r="B12" i="40"/>
  <c r="B25" i="40"/>
  <c r="B34" i="40"/>
  <c r="B47" i="40"/>
  <c r="C54" i="40"/>
  <c r="C17" i="41"/>
  <c r="C57" i="41"/>
  <c r="B57" i="41"/>
  <c r="AB20" i="44"/>
  <c r="AA20" i="44"/>
  <c r="AE58" i="44"/>
  <c r="B58" i="38"/>
  <c r="B50" i="38"/>
  <c r="B42" i="38"/>
  <c r="B46" i="38"/>
  <c r="B55" i="38"/>
  <c r="B64" i="38"/>
  <c r="C58" i="40"/>
  <c r="C62" i="40"/>
  <c r="B62" i="40"/>
  <c r="C48" i="41"/>
  <c r="B48" i="41"/>
  <c r="Z58" i="43"/>
  <c r="AA19" i="44"/>
  <c r="AB19" i="44"/>
  <c r="B49" i="46"/>
  <c r="B60" i="46"/>
  <c r="B56" i="46"/>
  <c r="C56" i="46" s="1"/>
  <c r="B48" i="46"/>
  <c r="B55" i="46"/>
  <c r="B47" i="46"/>
  <c r="B65" i="46"/>
  <c r="P19" i="46" s="1"/>
  <c r="B59" i="46"/>
  <c r="C59" i="46" s="1"/>
  <c r="B54" i="46"/>
  <c r="B46" i="46"/>
  <c r="B63" i="46"/>
  <c r="B58" i="46"/>
  <c r="B52" i="46"/>
  <c r="B44" i="46"/>
  <c r="B62" i="46"/>
  <c r="B51" i="46"/>
  <c r="B43" i="46"/>
  <c r="B64" i="46"/>
  <c r="B61" i="46"/>
  <c r="B53" i="46"/>
  <c r="B50" i="46"/>
  <c r="B57" i="46"/>
  <c r="C57" i="46" s="1"/>
  <c r="B45" i="46"/>
  <c r="V58" i="43"/>
  <c r="E13" i="42"/>
  <c r="W58" i="43"/>
  <c r="Q21" i="47"/>
  <c r="B35" i="47"/>
  <c r="B27" i="47"/>
  <c r="B34" i="47"/>
  <c r="B26" i="47"/>
  <c r="B41" i="47"/>
  <c r="B33" i="47"/>
  <c r="B25" i="47"/>
  <c r="B40" i="47"/>
  <c r="B32" i="47"/>
  <c r="B24" i="47"/>
  <c r="B19" i="47"/>
  <c r="B38" i="47"/>
  <c r="B30" i="47"/>
  <c r="B22" i="47"/>
  <c r="B37" i="47"/>
  <c r="B29" i="47"/>
  <c r="B21" i="47"/>
  <c r="B39" i="47"/>
  <c r="B36" i="47"/>
  <c r="B31" i="47"/>
  <c r="B28" i="47"/>
  <c r="B20" i="47"/>
  <c r="B23" i="47"/>
  <c r="AM58" i="44"/>
  <c r="A11" i="44"/>
  <c r="AB15" i="44"/>
  <c r="AB18" i="44"/>
  <c r="AB21" i="44"/>
  <c r="AB41" i="44"/>
  <c r="A41" i="44"/>
  <c r="AA43" i="44"/>
  <c r="AA68" i="44"/>
  <c r="AA44" i="44"/>
  <c r="AB44" i="44"/>
  <c r="AH58" i="44"/>
  <c r="B39" i="41"/>
  <c r="B47" i="41"/>
  <c r="B55" i="41"/>
  <c r="B63" i="41"/>
  <c r="B71" i="41"/>
  <c r="AA40" i="44"/>
  <c r="AL58" i="44"/>
  <c r="U17" i="43"/>
  <c r="Y58" i="43"/>
  <c r="T57" i="43"/>
  <c r="A14" i="44"/>
  <c r="A17" i="44"/>
  <c r="A30" i="44"/>
  <c r="A53" i="44"/>
  <c r="A156" i="44"/>
  <c r="AK58" i="44"/>
  <c r="AG58" i="44"/>
  <c r="AA65" i="44"/>
  <c r="V63" i="43"/>
  <c r="A48" i="44"/>
  <c r="A56" i="44"/>
  <c r="AF58" i="44"/>
  <c r="AI58" i="44"/>
  <c r="A195" i="44"/>
  <c r="A243" i="44"/>
  <c r="AG63" i="44"/>
  <c r="A143" i="44"/>
  <c r="A159" i="44"/>
  <c r="A175" i="44"/>
  <c r="A191" i="44"/>
  <c r="A207" i="44"/>
  <c r="A223" i="44"/>
  <c r="A239" i="44"/>
  <c r="AI63" i="44"/>
  <c r="A139" i="44"/>
  <c r="A155" i="44"/>
  <c r="A171" i="44"/>
  <c r="A187" i="44"/>
  <c r="A203" i="44"/>
  <c r="A219" i="44"/>
  <c r="A235" i="44"/>
  <c r="A251" i="44"/>
  <c r="Y21" i="45"/>
  <c r="Y22" i="45" s="1"/>
  <c r="Y23" i="45" s="1"/>
  <c r="Y24" i="45" s="1"/>
  <c r="Y25" i="45" s="1"/>
  <c r="Y26" i="45" s="1"/>
  <c r="Y27" i="45" s="1"/>
  <c r="Q19" i="46"/>
  <c r="Q20" i="46"/>
  <c r="AK63" i="44"/>
  <c r="A149" i="44"/>
  <c r="A165" i="44"/>
  <c r="A181" i="44"/>
  <c r="A197" i="44"/>
  <c r="A213" i="44"/>
  <c r="A229" i="44"/>
  <c r="A245" i="44"/>
  <c r="F17" i="4" l="1"/>
  <c r="Q55" i="39"/>
  <c r="P55" i="39"/>
  <c r="Q56" i="39"/>
  <c r="P56" i="39"/>
  <c r="Q19" i="47"/>
  <c r="R21" i="34"/>
  <c r="C23" i="45"/>
  <c r="W1" i="45" s="1"/>
  <c r="G49" i="12"/>
  <c r="F49" i="12"/>
  <c r="E50" i="12"/>
  <c r="H20" i="4"/>
  <c r="C23" i="22"/>
  <c r="W1" i="22" s="1"/>
  <c r="D20" i="5"/>
  <c r="R21" i="27"/>
  <c r="I59" i="27" s="1"/>
  <c r="K59" i="27" s="1"/>
  <c r="F38" i="5"/>
  <c r="Q16" i="47"/>
  <c r="F13" i="42"/>
  <c r="G13" i="42" s="1"/>
  <c r="Q15" i="38"/>
  <c r="C23" i="37"/>
  <c r="W1" i="37" s="1"/>
  <c r="R18" i="27"/>
  <c r="AU14" i="10"/>
  <c r="AU83" i="10"/>
  <c r="AV56" i="10"/>
  <c r="AU44" i="10"/>
  <c r="AU26" i="10"/>
  <c r="AV42" i="10"/>
  <c r="AU63" i="10"/>
  <c r="AV96" i="10"/>
  <c r="AV63" i="10"/>
  <c r="AV48" i="10"/>
  <c r="AU56" i="10"/>
  <c r="AU35" i="10"/>
  <c r="AV34" i="10"/>
  <c r="AU95" i="10"/>
  <c r="AU64" i="10"/>
  <c r="AV89" i="10"/>
  <c r="AV44" i="10"/>
  <c r="AU24" i="10"/>
  <c r="AU59" i="10"/>
  <c r="AU62" i="10"/>
  <c r="AU42" i="10"/>
  <c r="AU67" i="10"/>
  <c r="AU36" i="10"/>
  <c r="AU65" i="10"/>
  <c r="AU48" i="10"/>
  <c r="AV65" i="10"/>
  <c r="AU66" i="10"/>
  <c r="AV35" i="10"/>
  <c r="AV33" i="10"/>
  <c r="AV36" i="10"/>
  <c r="AV66" i="10"/>
  <c r="AU34" i="10"/>
  <c r="AU33" i="10"/>
  <c r="AV52" i="10"/>
  <c r="AV64" i="10"/>
  <c r="AU85" i="10"/>
  <c r="AU52" i="10"/>
  <c r="AV37" i="10"/>
  <c r="AU89" i="10"/>
  <c r="AV67" i="10"/>
  <c r="AV38" i="10"/>
  <c r="D18" i="5"/>
  <c r="C23" i="33"/>
  <c r="W1" i="33" s="1"/>
  <c r="C18" i="30"/>
  <c r="W1" i="30" s="1"/>
  <c r="C18" i="26"/>
  <c r="W1" i="26" s="1"/>
  <c r="C23" i="18"/>
  <c r="W1" i="18" s="1"/>
  <c r="C72" i="5"/>
  <c r="C38" i="5"/>
  <c r="Q18" i="47"/>
  <c r="Q13" i="47"/>
  <c r="Q12" i="47"/>
  <c r="Q17" i="47"/>
  <c r="AV77" i="10"/>
  <c r="AU77" i="10"/>
  <c r="Q14" i="47"/>
  <c r="AV78" i="10"/>
  <c r="AU78" i="10"/>
  <c r="Q15" i="47"/>
  <c r="AV76" i="10"/>
  <c r="AU76" i="10"/>
  <c r="AT79" i="10"/>
  <c r="P18" i="46"/>
  <c r="P15" i="46"/>
  <c r="P16" i="46"/>
  <c r="AV74" i="10"/>
  <c r="AU74" i="10"/>
  <c r="AV75" i="10"/>
  <c r="AU75" i="10"/>
  <c r="P17" i="46"/>
  <c r="AV30" i="10"/>
  <c r="AU30" i="10"/>
  <c r="AU40" i="10"/>
  <c r="AV40" i="10"/>
  <c r="AV87" i="10"/>
  <c r="AU87" i="10"/>
  <c r="AU28" i="10"/>
  <c r="AV28" i="10"/>
  <c r="AV81" i="10"/>
  <c r="AU81" i="10"/>
  <c r="AV91" i="10"/>
  <c r="AU91" i="10"/>
  <c r="Q20" i="38"/>
  <c r="Q18" i="38"/>
  <c r="Q13" i="38"/>
  <c r="Q17" i="38"/>
  <c r="Q16" i="38"/>
  <c r="Q14" i="38"/>
  <c r="Q12" i="38"/>
  <c r="Q19" i="38"/>
  <c r="AV71" i="10"/>
  <c r="AU71" i="10"/>
  <c r="R17" i="34"/>
  <c r="R14" i="34"/>
  <c r="R20" i="34"/>
  <c r="R16" i="34"/>
  <c r="R13" i="34"/>
  <c r="AV69" i="10"/>
  <c r="R19" i="34"/>
  <c r="R18" i="34"/>
  <c r="R15" i="34"/>
  <c r="R12" i="34"/>
  <c r="AU55" i="10"/>
  <c r="AV55" i="10"/>
  <c r="R20" i="27"/>
  <c r="R16" i="27"/>
  <c r="R12" i="27"/>
  <c r="R14" i="27"/>
  <c r="R19" i="27"/>
  <c r="AU50" i="10"/>
  <c r="AV50" i="10"/>
  <c r="R17" i="27"/>
  <c r="R15" i="27"/>
  <c r="R13" i="27"/>
  <c r="Q14" i="23"/>
  <c r="Q19" i="23"/>
  <c r="Q16" i="23"/>
  <c r="Q13" i="23"/>
  <c r="Q12" i="23"/>
  <c r="Q20" i="23"/>
  <c r="AV46" i="10"/>
  <c r="AU46" i="10"/>
  <c r="Q17" i="23"/>
  <c r="Q15" i="23"/>
  <c r="Q18" i="23"/>
  <c r="V15" i="19"/>
  <c r="X21" i="19"/>
  <c r="V23" i="19"/>
  <c r="X19" i="19"/>
  <c r="T22" i="19"/>
  <c r="T20" i="19"/>
  <c r="X16" i="19"/>
  <c r="X18" i="19"/>
  <c r="AT22" i="10"/>
  <c r="AU19" i="10"/>
  <c r="AV19" i="10"/>
  <c r="X17" i="19"/>
  <c r="T16" i="19"/>
  <c r="V19" i="19"/>
  <c r="T22" i="10"/>
  <c r="AV21" i="10"/>
  <c r="AU21" i="10"/>
  <c r="X22" i="19"/>
  <c r="X20" i="19"/>
  <c r="V16" i="19"/>
  <c r="AU20" i="10"/>
  <c r="AV20" i="10"/>
  <c r="T19" i="19"/>
  <c r="V17" i="19"/>
  <c r="T18" i="19"/>
  <c r="X15" i="19"/>
  <c r="T21" i="19"/>
  <c r="V14" i="19"/>
  <c r="T15" i="19"/>
  <c r="V22" i="19"/>
  <c r="AD16" i="8"/>
  <c r="Z16" i="8"/>
  <c r="C14" i="5"/>
  <c r="AT16" i="10"/>
  <c r="D13" i="5"/>
  <c r="I17" i="5" s="1"/>
  <c r="AV15" i="10"/>
  <c r="AU15" i="10"/>
  <c r="AV14" i="10"/>
  <c r="V16" i="8"/>
  <c r="D44" i="5"/>
  <c r="I15" i="5" s="1"/>
  <c r="D72" i="5"/>
  <c r="I18" i="5" s="1"/>
  <c r="D19" i="5"/>
  <c r="D76" i="5"/>
  <c r="I20" i="5" s="1"/>
  <c r="F22" i="10"/>
  <c r="F10" i="35"/>
  <c r="G10" i="35"/>
  <c r="G24" i="4"/>
  <c r="F69" i="5"/>
  <c r="K23" i="5" s="1"/>
  <c r="E38" i="5"/>
  <c r="F44" i="5"/>
  <c r="K15" i="5" s="1"/>
  <c r="E44" i="5"/>
  <c r="F20" i="5"/>
  <c r="E74" i="5"/>
  <c r="E19" i="5"/>
  <c r="H14" i="4"/>
  <c r="F11" i="31"/>
  <c r="P62" i="21"/>
  <c r="D85" i="5"/>
  <c r="D14" i="5"/>
  <c r="C19" i="5"/>
  <c r="D74" i="5"/>
  <c r="I16" i="5" s="1"/>
  <c r="D67" i="5"/>
  <c r="I22" i="5" s="1"/>
  <c r="E14" i="5"/>
  <c r="F75" i="5"/>
  <c r="E75" i="5"/>
  <c r="E13" i="5"/>
  <c r="C13" i="5"/>
  <c r="C18" i="5"/>
  <c r="C20" i="5"/>
  <c r="E76" i="5"/>
  <c r="E53" i="5"/>
  <c r="AP79" i="8"/>
  <c r="AP103" i="8" s="1"/>
  <c r="F73" i="5"/>
  <c r="K21" i="5" s="1"/>
  <c r="E89" i="5"/>
  <c r="E29" i="5"/>
  <c r="F29" i="5"/>
  <c r="AV57" i="8"/>
  <c r="F18" i="5"/>
  <c r="AP22" i="10"/>
  <c r="AP22" i="8"/>
  <c r="Z22" i="10"/>
  <c r="E18" i="5"/>
  <c r="R16" i="8"/>
  <c r="E85" i="5"/>
  <c r="AP16" i="8"/>
  <c r="AN16" i="8"/>
  <c r="T16" i="8"/>
  <c r="AH16" i="8"/>
  <c r="X16" i="8"/>
  <c r="AL16" i="8"/>
  <c r="AB16" i="8"/>
  <c r="AT16" i="8"/>
  <c r="AF16" i="8"/>
  <c r="AP16" i="10"/>
  <c r="AJ16" i="8"/>
  <c r="F55" i="5"/>
  <c r="F48" i="5"/>
  <c r="K14" i="5" s="1"/>
  <c r="E48" i="5"/>
  <c r="E69" i="5"/>
  <c r="E20" i="5"/>
  <c r="F19" i="5"/>
  <c r="F76" i="5"/>
  <c r="K20" i="5" s="1"/>
  <c r="F74" i="5"/>
  <c r="K16" i="5" s="1"/>
  <c r="F53" i="5"/>
  <c r="K19" i="5" s="1"/>
  <c r="F72" i="5"/>
  <c r="K18" i="5" s="1"/>
  <c r="F67" i="5"/>
  <c r="K22" i="5" s="1"/>
  <c r="F79" i="5"/>
  <c r="AU14" i="8"/>
  <c r="AV46" i="8"/>
  <c r="C44" i="5"/>
  <c r="AU46" i="8"/>
  <c r="D48" i="5"/>
  <c r="I14" i="5" s="1"/>
  <c r="AU50" i="8"/>
  <c r="D69" i="5"/>
  <c r="I23" i="5" s="1"/>
  <c r="C73" i="5"/>
  <c r="C75" i="5"/>
  <c r="AV55" i="8"/>
  <c r="H79" i="8"/>
  <c r="C48" i="5"/>
  <c r="C69" i="5"/>
  <c r="AU71" i="8"/>
  <c r="AU55" i="8"/>
  <c r="D68" i="8"/>
  <c r="AV69" i="8"/>
  <c r="AV68" i="8" s="1"/>
  <c r="D73" i="5"/>
  <c r="I21" i="5" s="1"/>
  <c r="C76" i="5"/>
  <c r="AV50" i="8"/>
  <c r="AV71" i="8"/>
  <c r="C53" i="5"/>
  <c r="D29" i="5"/>
  <c r="D53" i="5"/>
  <c r="I19" i="5" s="1"/>
  <c r="D38" i="5"/>
  <c r="D89" i="5"/>
  <c r="H22" i="4"/>
  <c r="G18" i="4"/>
  <c r="G11" i="41"/>
  <c r="G11" i="35"/>
  <c r="F11" i="35"/>
  <c r="E13" i="31"/>
  <c r="F12" i="31"/>
  <c r="I11" i="16"/>
  <c r="H11" i="16"/>
  <c r="G11" i="24"/>
  <c r="G10" i="20"/>
  <c r="E13" i="35"/>
  <c r="F12" i="35"/>
  <c r="G12" i="35"/>
  <c r="F14" i="5"/>
  <c r="AR16" i="10"/>
  <c r="AU15" i="8"/>
  <c r="AV15" i="8"/>
  <c r="AV14" i="8"/>
  <c r="F85" i="5"/>
  <c r="E79" i="5"/>
  <c r="E72" i="5"/>
  <c r="E73" i="5"/>
  <c r="F27" i="5"/>
  <c r="E27" i="5"/>
  <c r="C74" i="5"/>
  <c r="W64" i="43"/>
  <c r="X79" i="8"/>
  <c r="AP79" i="10"/>
  <c r="D75" i="5"/>
  <c r="AV91" i="8"/>
  <c r="AU91" i="8"/>
  <c r="AU30" i="8"/>
  <c r="AV81" i="8"/>
  <c r="AU81" i="8"/>
  <c r="AV30" i="8"/>
  <c r="Z64" i="43"/>
  <c r="U64" i="43"/>
  <c r="A27" i="37"/>
  <c r="D79" i="5"/>
  <c r="C89" i="5"/>
  <c r="D27" i="5"/>
  <c r="F89" i="5"/>
  <c r="C27" i="5"/>
  <c r="C79" i="5"/>
  <c r="C34" i="5"/>
  <c r="D40" i="5"/>
  <c r="C23" i="5"/>
  <c r="C57" i="5"/>
  <c r="C92" i="5"/>
  <c r="C33" i="5"/>
  <c r="C42" i="5"/>
  <c r="D64" i="5"/>
  <c r="D36" i="5"/>
  <c r="C50" i="5"/>
  <c r="D25" i="5"/>
  <c r="D42" i="5"/>
  <c r="C61" i="5"/>
  <c r="D34" i="5"/>
  <c r="C63" i="5"/>
  <c r="D33" i="5"/>
  <c r="D62" i="5"/>
  <c r="I12" i="5"/>
  <c r="C54" i="5"/>
  <c r="C83" i="5"/>
  <c r="D57" i="5"/>
  <c r="C93" i="5"/>
  <c r="C64" i="5"/>
  <c r="D54" i="5"/>
  <c r="D94" i="5"/>
  <c r="C60" i="5"/>
  <c r="D46" i="5"/>
  <c r="D35" i="5"/>
  <c r="D50" i="5"/>
  <c r="D93" i="5"/>
  <c r="D92" i="5"/>
  <c r="C87" i="5"/>
  <c r="D61" i="5"/>
  <c r="D63" i="5"/>
  <c r="D87" i="5"/>
  <c r="C65" i="5"/>
  <c r="D32" i="5"/>
  <c r="D83" i="5"/>
  <c r="C32" i="5"/>
  <c r="C35" i="5"/>
  <c r="D23" i="5"/>
  <c r="C25" i="5"/>
  <c r="D60" i="5"/>
  <c r="C46" i="5"/>
  <c r="C81" i="5"/>
  <c r="D65" i="5"/>
  <c r="C40" i="5"/>
  <c r="D81" i="5"/>
  <c r="C62" i="5"/>
  <c r="P16" i="10"/>
  <c r="F50" i="5"/>
  <c r="E65" i="5"/>
  <c r="F94" i="5"/>
  <c r="F46" i="5"/>
  <c r="E57" i="5"/>
  <c r="E62" i="5"/>
  <c r="F25" i="5"/>
  <c r="F33" i="5"/>
  <c r="E60" i="5"/>
  <c r="F93" i="5"/>
  <c r="F23" i="5"/>
  <c r="F54" i="5"/>
  <c r="E63" i="5"/>
  <c r="F87" i="5"/>
  <c r="F57" i="5"/>
  <c r="F83" i="5"/>
  <c r="F35" i="5"/>
  <c r="F32" i="5"/>
  <c r="F81" i="5"/>
  <c r="K12" i="5"/>
  <c r="F92" i="5"/>
  <c r="F34" i="5"/>
  <c r="F60" i="5"/>
  <c r="E46" i="5"/>
  <c r="E50" i="5"/>
  <c r="F63" i="5"/>
  <c r="F64" i="5"/>
  <c r="E23" i="5"/>
  <c r="E54" i="5"/>
  <c r="E83" i="5"/>
  <c r="E92" i="5"/>
  <c r="E93" i="5"/>
  <c r="E32" i="5"/>
  <c r="F61" i="5"/>
  <c r="E40" i="5"/>
  <c r="F42" i="5"/>
  <c r="E35" i="5"/>
  <c r="F36" i="5"/>
  <c r="F65" i="5"/>
  <c r="E25" i="5"/>
  <c r="F62" i="5"/>
  <c r="E34" i="5"/>
  <c r="F40" i="5"/>
  <c r="E42" i="5"/>
  <c r="E64" i="5"/>
  <c r="E61" i="5"/>
  <c r="E87" i="5"/>
  <c r="E33" i="5"/>
  <c r="E81" i="5"/>
  <c r="C29" i="5"/>
  <c r="O46" i="17"/>
  <c r="P47" i="17"/>
  <c r="K45" i="17"/>
  <c r="N45" i="17" s="1"/>
  <c r="Q47" i="17"/>
  <c r="M47" i="17"/>
  <c r="O47" i="17"/>
  <c r="N47" i="17"/>
  <c r="L47" i="17"/>
  <c r="Q46" i="17"/>
  <c r="L46" i="17"/>
  <c r="M46" i="17"/>
  <c r="N46" i="17"/>
  <c r="AV20" i="8"/>
  <c r="AU20" i="8"/>
  <c r="AV19" i="8"/>
  <c r="AV21" i="8"/>
  <c r="AU19" i="8"/>
  <c r="AU21" i="8"/>
  <c r="AH79" i="10"/>
  <c r="AU78" i="8"/>
  <c r="AF79" i="8"/>
  <c r="AF103" i="8" s="1"/>
  <c r="R79" i="10"/>
  <c r="AV76" i="8"/>
  <c r="AB79" i="8"/>
  <c r="AU76" i="8"/>
  <c r="AV77" i="8"/>
  <c r="AU77" i="8"/>
  <c r="L79" i="8"/>
  <c r="AD79" i="10"/>
  <c r="AV78" i="8"/>
  <c r="P79" i="8"/>
  <c r="T79" i="8"/>
  <c r="P13" i="46"/>
  <c r="AU74" i="8"/>
  <c r="AV75" i="8"/>
  <c r="AU75" i="8"/>
  <c r="AV74" i="8"/>
  <c r="E12" i="41"/>
  <c r="E12" i="40"/>
  <c r="F12" i="40" s="1"/>
  <c r="E12" i="28"/>
  <c r="E12" i="24"/>
  <c r="E11" i="20"/>
  <c r="F12" i="16"/>
  <c r="AV87" i="8"/>
  <c r="AV28" i="8"/>
  <c r="AV40" i="8"/>
  <c r="AU40" i="8"/>
  <c r="AU28" i="8"/>
  <c r="AU87" i="8"/>
  <c r="J22" i="8"/>
  <c r="AF22" i="8"/>
  <c r="T12" i="15"/>
  <c r="F16" i="8"/>
  <c r="C85" i="5"/>
  <c r="AR68" i="10"/>
  <c r="AN57" i="10"/>
  <c r="D55" i="5" s="1"/>
  <c r="D79" i="8"/>
  <c r="Z79" i="10"/>
  <c r="N79" i="10"/>
  <c r="AN79" i="8"/>
  <c r="AN103" i="8" s="1"/>
  <c r="R49" i="29"/>
  <c r="P50" i="29"/>
  <c r="Q50" i="29" s="1"/>
  <c r="AL22" i="10"/>
  <c r="AL22" i="8"/>
  <c r="AN22" i="8"/>
  <c r="AT22" i="8"/>
  <c r="AB22" i="10"/>
  <c r="L22" i="8"/>
  <c r="L22" i="10"/>
  <c r="X16" i="10"/>
  <c r="T20" i="15"/>
  <c r="AL16" i="10"/>
  <c r="AH16" i="10"/>
  <c r="H16" i="8"/>
  <c r="N16" i="8"/>
  <c r="N79" i="8"/>
  <c r="AD79" i="8"/>
  <c r="AD103" i="8" s="1"/>
  <c r="F79" i="8"/>
  <c r="D14" i="42"/>
  <c r="AJ64" i="44"/>
  <c r="AI64" i="44"/>
  <c r="J79" i="10"/>
  <c r="AJ79" i="8"/>
  <c r="AJ103" i="8" s="1"/>
  <c r="AL79" i="8"/>
  <c r="AL103" i="8" s="1"/>
  <c r="AR79" i="10"/>
  <c r="V79" i="8"/>
  <c r="L79" i="10"/>
  <c r="AF79" i="10"/>
  <c r="AJ79" i="10"/>
  <c r="X79" i="10"/>
  <c r="F79" i="10"/>
  <c r="AF64" i="44"/>
  <c r="P79" i="10"/>
  <c r="AH79" i="8"/>
  <c r="AH103" i="8" s="1"/>
  <c r="J79" i="8"/>
  <c r="H79" i="10"/>
  <c r="AK64" i="44"/>
  <c r="R79" i="8"/>
  <c r="AB79" i="10"/>
  <c r="D79" i="10"/>
  <c r="AL79" i="10"/>
  <c r="AE64" i="44"/>
  <c r="AG64" i="44"/>
  <c r="T79" i="10"/>
  <c r="Z79" i="8"/>
  <c r="AT79" i="8"/>
  <c r="AT103" i="8" s="1"/>
  <c r="AH64" i="44"/>
  <c r="AM64" i="44"/>
  <c r="V79" i="10"/>
  <c r="AN79" i="10"/>
  <c r="G22" i="4"/>
  <c r="H15" i="4"/>
  <c r="H18" i="4"/>
  <c r="V64" i="43"/>
  <c r="X64" i="43"/>
  <c r="R22" i="8"/>
  <c r="V22" i="10"/>
  <c r="R22" i="10"/>
  <c r="AH22" i="8"/>
  <c r="N22" i="8"/>
  <c r="AB22" i="8"/>
  <c r="X22" i="8"/>
  <c r="AF16" i="10"/>
  <c r="R16" i="10"/>
  <c r="AD16" i="10"/>
  <c r="F13" i="5"/>
  <c r="K17" i="5" s="1"/>
  <c r="G21" i="4"/>
  <c r="G23" i="4"/>
  <c r="H21" i="4"/>
  <c r="G15" i="4"/>
  <c r="G14" i="4"/>
  <c r="AJ22" i="8"/>
  <c r="V22" i="8"/>
  <c r="Z22" i="8"/>
  <c r="AD22" i="8"/>
  <c r="V57" i="43"/>
  <c r="W57" i="43"/>
  <c r="U57" i="43"/>
  <c r="T56" i="43"/>
  <c r="Z57" i="43"/>
  <c r="Y57" i="43"/>
  <c r="X57" i="43"/>
  <c r="C58" i="46"/>
  <c r="Q12" i="46" s="1"/>
  <c r="P12" i="46"/>
  <c r="A22" i="30"/>
  <c r="A27" i="22"/>
  <c r="R47" i="36"/>
  <c r="T48" i="36"/>
  <c r="S48" i="36"/>
  <c r="AH22" i="10"/>
  <c r="P16" i="8"/>
  <c r="AN16" i="10"/>
  <c r="J16" i="8"/>
  <c r="N16" i="10"/>
  <c r="G19" i="4"/>
  <c r="R46" i="29"/>
  <c r="P45" i="29"/>
  <c r="Q46" i="29"/>
  <c r="P53" i="17"/>
  <c r="O53" i="17"/>
  <c r="N53" i="17"/>
  <c r="M53" i="17"/>
  <c r="K54" i="17"/>
  <c r="L53" i="17"/>
  <c r="Q53" i="17"/>
  <c r="T17" i="15"/>
  <c r="U17" i="15"/>
  <c r="A27" i="18"/>
  <c r="A25" i="18"/>
  <c r="U15" i="15"/>
  <c r="T15" i="15"/>
  <c r="T14" i="15"/>
  <c r="U13" i="15"/>
  <c r="T13" i="15"/>
  <c r="Z16" i="10"/>
  <c r="D16" i="8"/>
  <c r="F22" i="8"/>
  <c r="G20" i="4"/>
  <c r="U18" i="15"/>
  <c r="T18" i="15"/>
  <c r="T16" i="15"/>
  <c r="V54" i="13"/>
  <c r="T53" i="13"/>
  <c r="U54" i="13"/>
  <c r="V16" i="10"/>
  <c r="L16" i="8"/>
  <c r="H22" i="8"/>
  <c r="H22" i="10"/>
  <c r="AL57" i="44"/>
  <c r="AH57" i="44"/>
  <c r="AJ57" i="44"/>
  <c r="AF57" i="44"/>
  <c r="AK57" i="44"/>
  <c r="AD56" i="44"/>
  <c r="AM57" i="44"/>
  <c r="AG57" i="44"/>
  <c r="AE57" i="44"/>
  <c r="AI57" i="44"/>
  <c r="Q64" i="39"/>
  <c r="P64" i="39"/>
  <c r="O54" i="39"/>
  <c r="A22" i="26"/>
  <c r="F16" i="10"/>
  <c r="L16" i="10"/>
  <c r="H16" i="10"/>
  <c r="D16" i="10"/>
  <c r="P22" i="8"/>
  <c r="P22" i="10"/>
  <c r="T22" i="8"/>
  <c r="C60" i="46"/>
  <c r="Q14" i="46" s="1"/>
  <c r="P14" i="46"/>
  <c r="T55" i="36"/>
  <c r="S55" i="36"/>
  <c r="Q54" i="25"/>
  <c r="S55" i="25"/>
  <c r="R55" i="25"/>
  <c r="T62" i="32"/>
  <c r="S62" i="32"/>
  <c r="Q55" i="21"/>
  <c r="P55" i="21"/>
  <c r="O54" i="21"/>
  <c r="U21" i="15"/>
  <c r="T21" i="15"/>
  <c r="AJ22" i="10"/>
  <c r="T16" i="10"/>
  <c r="H16" i="4"/>
  <c r="H23" i="4"/>
  <c r="N22" i="10"/>
  <c r="X22" i="10"/>
  <c r="J16" i="10"/>
  <c r="H19" i="4"/>
  <c r="H24" i="4"/>
  <c r="A27" i="45"/>
  <c r="A25" i="45"/>
  <c r="A27" i="33"/>
  <c r="A25" i="33"/>
  <c r="D22" i="10"/>
  <c r="AB16" i="10"/>
  <c r="AF22" i="10"/>
  <c r="AR22" i="10"/>
  <c r="T54" i="32"/>
  <c r="R53" i="32"/>
  <c r="S54" i="32"/>
  <c r="T19" i="15"/>
  <c r="AJ16" i="10"/>
  <c r="G16" i="4"/>
  <c r="AD22" i="10"/>
  <c r="AN22" i="10"/>
  <c r="D22" i="8"/>
  <c r="J22" i="10"/>
  <c r="Q54" i="39" l="1"/>
  <c r="P54" i="39"/>
  <c r="P45" i="17"/>
  <c r="L45" i="17"/>
  <c r="K44" i="17"/>
  <c r="L44" i="17" s="1"/>
  <c r="G50" i="12"/>
  <c r="F50" i="12"/>
  <c r="M45" i="17"/>
  <c r="Q45" i="17"/>
  <c r="O45" i="17"/>
  <c r="F15" i="5"/>
  <c r="AV68" i="10"/>
  <c r="AT98" i="8"/>
  <c r="AV79" i="10"/>
  <c r="Q13" i="46"/>
  <c r="AV57" i="10"/>
  <c r="AT98" i="10"/>
  <c r="AT103" i="10" s="1"/>
  <c r="AN98" i="8"/>
  <c r="AV22" i="10"/>
  <c r="AF98" i="8"/>
  <c r="AP98" i="8"/>
  <c r="AD98" i="8"/>
  <c r="AL98" i="8"/>
  <c r="AH98" i="8"/>
  <c r="AJ98" i="8"/>
  <c r="D15" i="5"/>
  <c r="AV16" i="10"/>
  <c r="AL98" i="10"/>
  <c r="AL103" i="10" s="1"/>
  <c r="D77" i="5"/>
  <c r="I25" i="5" s="1"/>
  <c r="F12" i="12"/>
  <c r="P103" i="10"/>
  <c r="P101" i="10" s="1"/>
  <c r="F21" i="5"/>
  <c r="F77" i="5"/>
  <c r="K25" i="5" s="1"/>
  <c r="E13" i="41"/>
  <c r="F12" i="41"/>
  <c r="G12" i="41"/>
  <c r="E14" i="31"/>
  <c r="F13" i="31"/>
  <c r="G13" i="31"/>
  <c r="E13" i="28"/>
  <c r="F12" i="28"/>
  <c r="G12" i="16"/>
  <c r="H12" i="16"/>
  <c r="I12" i="16"/>
  <c r="E13" i="24"/>
  <c r="G12" i="24"/>
  <c r="F12" i="24"/>
  <c r="G11" i="20"/>
  <c r="F11" i="20"/>
  <c r="E14" i="35"/>
  <c r="F13" i="35"/>
  <c r="G13" i="35"/>
  <c r="AV16" i="8"/>
  <c r="L103" i="8"/>
  <c r="L101" i="8" s="1"/>
  <c r="AB103" i="8"/>
  <c r="AB101" i="8" s="1"/>
  <c r="F13" i="16"/>
  <c r="R103" i="10"/>
  <c r="R101" i="10" s="1"/>
  <c r="AV22" i="8"/>
  <c r="F103" i="10"/>
  <c r="F101" i="10" s="1"/>
  <c r="AB103" i="10"/>
  <c r="D103" i="8"/>
  <c r="D101" i="8" s="1"/>
  <c r="X103" i="10"/>
  <c r="X101" i="10" s="1"/>
  <c r="Z103" i="10"/>
  <c r="V103" i="8"/>
  <c r="V101" i="8" s="1"/>
  <c r="N103" i="10"/>
  <c r="N101" i="10" s="1"/>
  <c r="N103" i="8"/>
  <c r="N101" i="8" s="1"/>
  <c r="AV79" i="8"/>
  <c r="E13" i="40"/>
  <c r="F13" i="40" s="1"/>
  <c r="E12" i="20"/>
  <c r="X103" i="8"/>
  <c r="X101" i="8" s="1"/>
  <c r="T103" i="10"/>
  <c r="T101" i="10" s="1"/>
  <c r="Z103" i="8"/>
  <c r="Z101" i="8" s="1"/>
  <c r="P51" i="29"/>
  <c r="R51" i="29" s="1"/>
  <c r="R50" i="29"/>
  <c r="L103" i="10"/>
  <c r="L101" i="10" s="1"/>
  <c r="R103" i="8"/>
  <c r="R101" i="8" s="1"/>
  <c r="V103" i="10"/>
  <c r="V101" i="10" s="1"/>
  <c r="J103" i="10"/>
  <c r="J101" i="10" s="1"/>
  <c r="AF103" i="10"/>
  <c r="H103" i="8"/>
  <c r="H101" i="8" s="1"/>
  <c r="AD103" i="10"/>
  <c r="AH103" i="10"/>
  <c r="F103" i="8"/>
  <c r="F101" i="8" s="1"/>
  <c r="D15" i="42"/>
  <c r="E14" i="42"/>
  <c r="F14" i="42" s="1"/>
  <c r="G14" i="42" s="1"/>
  <c r="J103" i="8"/>
  <c r="J101" i="8" s="1"/>
  <c r="T103" i="8"/>
  <c r="T101" i="8" s="1"/>
  <c r="D21" i="5"/>
  <c r="H103" i="10"/>
  <c r="H101" i="10" s="1"/>
  <c r="P103" i="8"/>
  <c r="P101" i="8" s="1"/>
  <c r="O53" i="39"/>
  <c r="S54" i="25"/>
  <c r="R54" i="25"/>
  <c r="Q53" i="25"/>
  <c r="Q44" i="17"/>
  <c r="N44" i="17"/>
  <c r="R46" i="36"/>
  <c r="T47" i="36"/>
  <c r="S47" i="36"/>
  <c r="Y56" i="43"/>
  <c r="T55" i="43"/>
  <c r="W56" i="43"/>
  <c r="V56" i="43"/>
  <c r="U56" i="43"/>
  <c r="Z56" i="43"/>
  <c r="X56" i="43"/>
  <c r="R52" i="32"/>
  <c r="T53" i="32"/>
  <c r="S53" i="32"/>
  <c r="O53" i="21"/>
  <c r="Q54" i="21"/>
  <c r="P54" i="21"/>
  <c r="D103" i="10"/>
  <c r="O54" i="17"/>
  <c r="P54" i="17"/>
  <c r="N54" i="17"/>
  <c r="M54" i="17"/>
  <c r="Q54" i="17"/>
  <c r="L54" i="17"/>
  <c r="R45" i="29"/>
  <c r="P44" i="29"/>
  <c r="Q45" i="29"/>
  <c r="V53" i="13"/>
  <c r="U53" i="13"/>
  <c r="T52" i="13"/>
  <c r="AJ103" i="10"/>
  <c r="AM56" i="44"/>
  <c r="AE56" i="44"/>
  <c r="AI56" i="44"/>
  <c r="AG56" i="44"/>
  <c r="AD55" i="44"/>
  <c r="AK56" i="44"/>
  <c r="AH56" i="44"/>
  <c r="AL56" i="44"/>
  <c r="AJ56" i="44"/>
  <c r="AF56" i="44"/>
  <c r="P44" i="17" l="1"/>
  <c r="K43" i="17"/>
  <c r="P53" i="39"/>
  <c r="Q53" i="39"/>
  <c r="M44" i="17"/>
  <c r="O44" i="17"/>
  <c r="AV101" i="8"/>
  <c r="F13" i="12"/>
  <c r="E14" i="41"/>
  <c r="F13" i="41"/>
  <c r="G13" i="41"/>
  <c r="E15" i="31"/>
  <c r="F14" i="31"/>
  <c r="G14" i="31"/>
  <c r="E14" i="28"/>
  <c r="F13" i="28"/>
  <c r="G13" i="28"/>
  <c r="H13" i="16"/>
  <c r="G13" i="16"/>
  <c r="I13" i="16"/>
  <c r="E14" i="24"/>
  <c r="F13" i="24"/>
  <c r="G13" i="24"/>
  <c r="G12" i="20"/>
  <c r="F12" i="20"/>
  <c r="E15" i="35"/>
  <c r="F14" i="35"/>
  <c r="G14" i="35"/>
  <c r="F14" i="16"/>
  <c r="E14" i="40"/>
  <c r="F14" i="40" s="1"/>
  <c r="E13" i="20"/>
  <c r="Q51" i="29"/>
  <c r="P52" i="29"/>
  <c r="Q52" i="29" s="1"/>
  <c r="E15" i="42"/>
  <c r="F15" i="42" s="1"/>
  <c r="G15" i="42" s="1"/>
  <c r="D16" i="42"/>
  <c r="S46" i="36"/>
  <c r="R45" i="36"/>
  <c r="T46" i="36"/>
  <c r="M43" i="17"/>
  <c r="Q43" i="17"/>
  <c r="O43" i="17"/>
  <c r="N43" i="17"/>
  <c r="L43" i="17"/>
  <c r="K42" i="17"/>
  <c r="P43" i="17"/>
  <c r="V52" i="13"/>
  <c r="T51" i="13"/>
  <c r="U52" i="13"/>
  <c r="O52" i="39"/>
  <c r="AF55" i="44"/>
  <c r="AJ55" i="44"/>
  <c r="AK55" i="44"/>
  <c r="AH55" i="44"/>
  <c r="AE55" i="44"/>
  <c r="AD54" i="44"/>
  <c r="AI55" i="44"/>
  <c r="AG55" i="44"/>
  <c r="AM55" i="44"/>
  <c r="AL55" i="44"/>
  <c r="T52" i="32"/>
  <c r="R51" i="32"/>
  <c r="S52" i="32"/>
  <c r="P43" i="29"/>
  <c r="R44" i="29"/>
  <c r="Q44" i="29"/>
  <c r="D101" i="10"/>
  <c r="AV101" i="10" s="1"/>
  <c r="AV98" i="10" s="1"/>
  <c r="Z55" i="43"/>
  <c r="X55" i="43"/>
  <c r="W55" i="43"/>
  <c r="V55" i="43"/>
  <c r="U55" i="43"/>
  <c r="T54" i="43"/>
  <c r="Y55" i="43"/>
  <c r="O52" i="21"/>
  <c r="Q53" i="21"/>
  <c r="P53" i="21"/>
  <c r="R53" i="25"/>
  <c r="S53" i="25"/>
  <c r="Q52" i="25"/>
  <c r="Q52" i="39" l="1"/>
  <c r="P52" i="39"/>
  <c r="F14" i="12"/>
  <c r="E15" i="41"/>
  <c r="F14" i="41"/>
  <c r="G14" i="41"/>
  <c r="E16" i="31"/>
  <c r="G15" i="31"/>
  <c r="F15" i="31"/>
  <c r="E15" i="28"/>
  <c r="G14" i="28"/>
  <c r="F14" i="28"/>
  <c r="H14" i="16"/>
  <c r="I14" i="16"/>
  <c r="G14" i="16"/>
  <c r="E15" i="24"/>
  <c r="F14" i="24"/>
  <c r="G14" i="24"/>
  <c r="G13" i="20"/>
  <c r="F13" i="20"/>
  <c r="E16" i="35"/>
  <c r="F15" i="35"/>
  <c r="G15" i="35"/>
  <c r="F15" i="16"/>
  <c r="E15" i="40"/>
  <c r="F15" i="40" s="1"/>
  <c r="E14" i="20"/>
  <c r="R52" i="29"/>
  <c r="P53" i="29"/>
  <c r="Q53" i="29" s="1"/>
  <c r="E16" i="42"/>
  <c r="F16" i="42" s="1"/>
  <c r="G16" i="42" s="1"/>
  <c r="D17" i="42"/>
  <c r="Q51" i="25"/>
  <c r="S52" i="25"/>
  <c r="R52" i="25"/>
  <c r="AG54" i="44"/>
  <c r="AK54" i="44"/>
  <c r="AD53" i="44"/>
  <c r="AM54" i="44"/>
  <c r="AI54" i="44"/>
  <c r="AF54" i="44"/>
  <c r="AL54" i="44"/>
  <c r="AJ54" i="44"/>
  <c r="AH54" i="44"/>
  <c r="AE54" i="44"/>
  <c r="S45" i="36"/>
  <c r="R44" i="36"/>
  <c r="T45" i="36"/>
  <c r="W54" i="43"/>
  <c r="U54" i="43"/>
  <c r="Z54" i="43"/>
  <c r="Y54" i="43"/>
  <c r="X54" i="43"/>
  <c r="V54" i="43"/>
  <c r="T53" i="43"/>
  <c r="O51" i="39"/>
  <c r="Q43" i="29"/>
  <c r="P42" i="29"/>
  <c r="R43" i="29"/>
  <c r="V51" i="13"/>
  <c r="T50" i="13"/>
  <c r="U51" i="13"/>
  <c r="P52" i="21"/>
  <c r="O51" i="21"/>
  <c r="Q52" i="21"/>
  <c r="N42" i="17"/>
  <c r="Q42" i="17"/>
  <c r="O42" i="17"/>
  <c r="M42" i="17"/>
  <c r="L42" i="17"/>
  <c r="P42" i="17"/>
  <c r="K41" i="17"/>
  <c r="T51" i="32"/>
  <c r="S51" i="32"/>
  <c r="R50" i="32"/>
  <c r="Q51" i="39" l="1"/>
  <c r="P51" i="39"/>
  <c r="F15" i="12"/>
  <c r="E16" i="41"/>
  <c r="F15" i="41"/>
  <c r="G15" i="41"/>
  <c r="E17" i="31"/>
  <c r="G16" i="31"/>
  <c r="F16" i="31"/>
  <c r="E16" i="28"/>
  <c r="E17" i="28" s="1"/>
  <c r="G15" i="28"/>
  <c r="F15" i="28"/>
  <c r="G15" i="16"/>
  <c r="I15" i="16"/>
  <c r="H15" i="16"/>
  <c r="E16" i="24"/>
  <c r="F15" i="24"/>
  <c r="G15" i="24"/>
  <c r="G14" i="20"/>
  <c r="F14" i="20"/>
  <c r="E17" i="35"/>
  <c r="F16" i="35"/>
  <c r="G16" i="35"/>
  <c r="F16" i="16"/>
  <c r="E16" i="40"/>
  <c r="E15" i="20"/>
  <c r="R53" i="29"/>
  <c r="P54" i="29"/>
  <c r="R54" i="29" s="1"/>
  <c r="D18" i="42"/>
  <c r="E17" i="42"/>
  <c r="F17" i="42" s="1"/>
  <c r="G17" i="42" s="1"/>
  <c r="Q50" i="25"/>
  <c r="S51" i="25"/>
  <c r="R51" i="25"/>
  <c r="A49" i="42"/>
  <c r="Z53" i="43"/>
  <c r="X53" i="43"/>
  <c r="Y53" i="43"/>
  <c r="W53" i="43"/>
  <c r="V53" i="43"/>
  <c r="U53" i="43"/>
  <c r="T52" i="43"/>
  <c r="R43" i="36"/>
  <c r="T44" i="36"/>
  <c r="S44" i="36"/>
  <c r="O41" i="17"/>
  <c r="Q41" i="17"/>
  <c r="N41" i="17"/>
  <c r="M41" i="17"/>
  <c r="L41" i="17"/>
  <c r="K40" i="17"/>
  <c r="P41" i="17"/>
  <c r="O50" i="21"/>
  <c r="P51" i="21"/>
  <c r="Q51" i="21"/>
  <c r="T50" i="32"/>
  <c r="R49" i="32"/>
  <c r="S50" i="32"/>
  <c r="Q42" i="29"/>
  <c r="R42" i="29"/>
  <c r="P41" i="29"/>
  <c r="O50" i="39"/>
  <c r="AH53" i="44"/>
  <c r="AL53" i="44"/>
  <c r="AJ53" i="44"/>
  <c r="AF53" i="44"/>
  <c r="AK53" i="44"/>
  <c r="AM53" i="44"/>
  <c r="AI53" i="44"/>
  <c r="AE53" i="44"/>
  <c r="AG53" i="44"/>
  <c r="AD52" i="44"/>
  <c r="U50" i="13"/>
  <c r="T49" i="13"/>
  <c r="V50" i="13"/>
  <c r="P50" i="39" l="1"/>
  <c r="Q50" i="39"/>
  <c r="F16" i="12"/>
  <c r="F17" i="28"/>
  <c r="E18" i="28"/>
  <c r="E19" i="28" s="1"/>
  <c r="G17" i="28"/>
  <c r="E17" i="41"/>
  <c r="E18" i="41" s="1"/>
  <c r="G16" i="41"/>
  <c r="F16" i="41"/>
  <c r="F16" i="40"/>
  <c r="G16" i="40"/>
  <c r="E18" i="31"/>
  <c r="F17" i="31"/>
  <c r="G17" i="31"/>
  <c r="G16" i="28"/>
  <c r="F16" i="28"/>
  <c r="G16" i="16"/>
  <c r="I16" i="16"/>
  <c r="H16" i="16"/>
  <c r="E17" i="24"/>
  <c r="F16" i="24"/>
  <c r="G16" i="24"/>
  <c r="F15" i="20"/>
  <c r="G15" i="20"/>
  <c r="E18" i="35"/>
  <c r="G17" i="35"/>
  <c r="F17" i="35"/>
  <c r="F17" i="16"/>
  <c r="E17" i="40"/>
  <c r="E16" i="20"/>
  <c r="Q54" i="29"/>
  <c r="D19" i="42"/>
  <c r="E18" i="42"/>
  <c r="F18" i="42" s="1"/>
  <c r="G18" i="42" s="1"/>
  <c r="S49" i="32"/>
  <c r="R48" i="32"/>
  <c r="T49" i="32"/>
  <c r="O49" i="21"/>
  <c r="Q50" i="21"/>
  <c r="P50" i="21"/>
  <c r="T48" i="13"/>
  <c r="V49" i="13"/>
  <c r="U49" i="13"/>
  <c r="P40" i="17"/>
  <c r="Q40" i="17"/>
  <c r="N40" i="17"/>
  <c r="M40" i="17"/>
  <c r="L40" i="17"/>
  <c r="O40" i="17"/>
  <c r="K39" i="17"/>
  <c r="T43" i="36"/>
  <c r="S43" i="36"/>
  <c r="R42" i="36"/>
  <c r="B49" i="42"/>
  <c r="A48" i="42"/>
  <c r="Q49" i="25"/>
  <c r="S50" i="25"/>
  <c r="R50" i="25"/>
  <c r="O49" i="39"/>
  <c r="R41" i="29"/>
  <c r="Q41" i="29"/>
  <c r="P40" i="29"/>
  <c r="U52" i="43"/>
  <c r="T51" i="43"/>
  <c r="Z52" i="43"/>
  <c r="Y52" i="43"/>
  <c r="W52" i="43"/>
  <c r="V52" i="43"/>
  <c r="X52" i="43"/>
  <c r="AI52" i="44"/>
  <c r="AM52" i="44"/>
  <c r="AE52" i="44"/>
  <c r="AG52" i="44"/>
  <c r="AD51" i="44"/>
  <c r="AK52" i="44"/>
  <c r="AH52" i="44"/>
  <c r="AJ52" i="44"/>
  <c r="AF52" i="44"/>
  <c r="AL52" i="44"/>
  <c r="P49" i="39" l="1"/>
  <c r="Q49" i="39"/>
  <c r="E20" i="28"/>
  <c r="G19" i="28"/>
  <c r="F19" i="28"/>
  <c r="E19" i="41"/>
  <c r="F18" i="41"/>
  <c r="G18" i="41"/>
  <c r="F17" i="12"/>
  <c r="F18" i="28"/>
  <c r="G18" i="28"/>
  <c r="G17" i="41"/>
  <c r="F17" i="41"/>
  <c r="G17" i="40"/>
  <c r="F17" i="40"/>
  <c r="E19" i="31"/>
  <c r="F18" i="31"/>
  <c r="G18" i="31"/>
  <c r="G17" i="16"/>
  <c r="H17" i="16"/>
  <c r="I17" i="16"/>
  <c r="E18" i="24"/>
  <c r="F17" i="24"/>
  <c r="G17" i="24"/>
  <c r="F16" i="20"/>
  <c r="G16" i="20"/>
  <c r="E19" i="35"/>
  <c r="G18" i="35"/>
  <c r="F18" i="35"/>
  <c r="F18" i="16"/>
  <c r="E18" i="40"/>
  <c r="E17" i="20"/>
  <c r="D20" i="42"/>
  <c r="E19" i="42"/>
  <c r="F19" i="42" s="1"/>
  <c r="G19" i="42" s="1"/>
  <c r="Q48" i="25"/>
  <c r="R49" i="25"/>
  <c r="S49" i="25"/>
  <c r="AJ51" i="44"/>
  <c r="AF51" i="44"/>
  <c r="AK51" i="44"/>
  <c r="AH51" i="44"/>
  <c r="AE51" i="44"/>
  <c r="AD50" i="44"/>
  <c r="AG51" i="44"/>
  <c r="AM51" i="44"/>
  <c r="AL51" i="44"/>
  <c r="AI51" i="44"/>
  <c r="B48" i="42"/>
  <c r="A47" i="42"/>
  <c r="O48" i="21"/>
  <c r="Q49" i="21"/>
  <c r="P49" i="21"/>
  <c r="X51" i="43"/>
  <c r="V51" i="43"/>
  <c r="T50" i="43"/>
  <c r="Y51" i="43"/>
  <c r="W51" i="43"/>
  <c r="Z51" i="43"/>
  <c r="U51" i="43"/>
  <c r="R41" i="36"/>
  <c r="S42" i="36"/>
  <c r="T42" i="36"/>
  <c r="P39" i="29"/>
  <c r="R40" i="29"/>
  <c r="Q40" i="29"/>
  <c r="O48" i="39"/>
  <c r="R47" i="32"/>
  <c r="T48" i="32"/>
  <c r="S48" i="32"/>
  <c r="V48" i="13"/>
  <c r="U48" i="13"/>
  <c r="T47" i="13"/>
  <c r="Q39" i="17"/>
  <c r="P39" i="17"/>
  <c r="N39" i="17"/>
  <c r="M39" i="17"/>
  <c r="L39" i="17"/>
  <c r="K38" i="17"/>
  <c r="O39" i="17"/>
  <c r="P48" i="39" l="1"/>
  <c r="Q48" i="39"/>
  <c r="G20" i="28"/>
  <c r="F20" i="28"/>
  <c r="F19" i="41"/>
  <c r="G19" i="41"/>
  <c r="F18" i="12"/>
  <c r="F18" i="40"/>
  <c r="G18" i="40"/>
  <c r="E20" i="31"/>
  <c r="G19" i="31"/>
  <c r="F19" i="31"/>
  <c r="I18" i="16"/>
  <c r="H18" i="16"/>
  <c r="G18" i="16"/>
  <c r="E19" i="24"/>
  <c r="F18" i="24"/>
  <c r="G18" i="24"/>
  <c r="F17" i="20"/>
  <c r="G17" i="20"/>
  <c r="E20" i="35"/>
  <c r="F19" i="35"/>
  <c r="G19" i="35"/>
  <c r="F19" i="16"/>
  <c r="E19" i="40"/>
  <c r="E18" i="20"/>
  <c r="D17" i="4"/>
  <c r="H17" i="4" s="1"/>
  <c r="E20" i="42"/>
  <c r="F20" i="42" s="1"/>
  <c r="G20" i="42" s="1"/>
  <c r="D21" i="42"/>
  <c r="K37" i="17"/>
  <c r="Q38" i="17"/>
  <c r="O38" i="17"/>
  <c r="N38" i="17"/>
  <c r="M38" i="17"/>
  <c r="P38" i="17"/>
  <c r="L38" i="17"/>
  <c r="T41" i="36"/>
  <c r="R40" i="36"/>
  <c r="S41" i="36"/>
  <c r="O47" i="21"/>
  <c r="Q48" i="21"/>
  <c r="P48" i="21"/>
  <c r="R46" i="32"/>
  <c r="S47" i="32"/>
  <c r="T47" i="32"/>
  <c r="AK50" i="44"/>
  <c r="AD49" i="44"/>
  <c r="AG50" i="44"/>
  <c r="AM50" i="44"/>
  <c r="AI50" i="44"/>
  <c r="AF50" i="44"/>
  <c r="AL50" i="44"/>
  <c r="AJ50" i="44"/>
  <c r="AH50" i="44"/>
  <c r="AE50" i="44"/>
  <c r="V47" i="13"/>
  <c r="U47" i="13"/>
  <c r="T46" i="13"/>
  <c r="P38" i="29"/>
  <c r="R39" i="29"/>
  <c r="Q39" i="29"/>
  <c r="A46" i="42"/>
  <c r="B47" i="42"/>
  <c r="O47" i="39"/>
  <c r="Y50" i="43"/>
  <c r="T49" i="43"/>
  <c r="V50" i="43"/>
  <c r="U50" i="43"/>
  <c r="Z50" i="43"/>
  <c r="X50" i="43"/>
  <c r="W50" i="43"/>
  <c r="S48" i="25"/>
  <c r="Q47" i="25"/>
  <c r="R48" i="25"/>
  <c r="Q47" i="39" l="1"/>
  <c r="P47" i="39"/>
  <c r="F19" i="12"/>
  <c r="F19" i="40"/>
  <c r="G19" i="40"/>
  <c r="E21" i="31"/>
  <c r="G20" i="31"/>
  <c r="F20" i="31"/>
  <c r="G19" i="16"/>
  <c r="I19" i="16"/>
  <c r="H19" i="16"/>
  <c r="E20" i="24"/>
  <c r="E21" i="24" s="1"/>
  <c r="E22" i="24" s="1"/>
  <c r="G19" i="24"/>
  <c r="F19" i="24"/>
  <c r="F18" i="20"/>
  <c r="G18" i="20"/>
  <c r="E21" i="35"/>
  <c r="F20" i="35"/>
  <c r="G20" i="35"/>
  <c r="F20" i="16"/>
  <c r="E20" i="40"/>
  <c r="E19" i="20"/>
  <c r="D22" i="42"/>
  <c r="E21" i="42"/>
  <c r="F21" i="42" s="1"/>
  <c r="G21" i="42" s="1"/>
  <c r="V46" i="13"/>
  <c r="U46" i="13"/>
  <c r="T45" i="13"/>
  <c r="R47" i="25"/>
  <c r="Q46" i="25"/>
  <c r="S47" i="25"/>
  <c r="A45" i="42"/>
  <c r="B46" i="42"/>
  <c r="AL49" i="44"/>
  <c r="AH49" i="44"/>
  <c r="AJ49" i="44"/>
  <c r="AF49" i="44"/>
  <c r="AK49" i="44"/>
  <c r="AM49" i="44"/>
  <c r="AI49" i="44"/>
  <c r="AG49" i="44"/>
  <c r="AD48" i="44"/>
  <c r="AE49" i="44"/>
  <c r="T40" i="36"/>
  <c r="S40" i="36"/>
  <c r="R39" i="36"/>
  <c r="V49" i="43"/>
  <c r="Y49" i="43"/>
  <c r="X49" i="43"/>
  <c r="W49" i="43"/>
  <c r="U49" i="43"/>
  <c r="T48" i="43"/>
  <c r="Z49" i="43"/>
  <c r="Q38" i="29"/>
  <c r="R38" i="29"/>
  <c r="P37" i="29"/>
  <c r="P37" i="17"/>
  <c r="O37" i="17"/>
  <c r="N37" i="17"/>
  <c r="L37" i="17"/>
  <c r="K36" i="17"/>
  <c r="Q37" i="17"/>
  <c r="M37" i="17"/>
  <c r="R45" i="32"/>
  <c r="T46" i="32"/>
  <c r="S46" i="32"/>
  <c r="Q47" i="21"/>
  <c r="P47" i="21"/>
  <c r="O46" i="21"/>
  <c r="O46" i="39"/>
  <c r="P46" i="39" l="1"/>
  <c r="Q46" i="39"/>
  <c r="F20" i="12"/>
  <c r="E23" i="24"/>
  <c r="E24" i="24" s="1"/>
  <c r="F22" i="24"/>
  <c r="G22" i="24"/>
  <c r="F21" i="24"/>
  <c r="G21" i="24"/>
  <c r="G20" i="40"/>
  <c r="F20" i="40"/>
  <c r="E22" i="31"/>
  <c r="F21" i="31"/>
  <c r="G21" i="31"/>
  <c r="G20" i="16"/>
  <c r="I20" i="16"/>
  <c r="H20" i="16"/>
  <c r="F20" i="24"/>
  <c r="G20" i="24"/>
  <c r="G19" i="20"/>
  <c r="F19" i="20"/>
  <c r="E22" i="35"/>
  <c r="F21" i="35"/>
  <c r="G21" i="35"/>
  <c r="F21" i="16"/>
  <c r="E21" i="40"/>
  <c r="E20" i="20"/>
  <c r="E22" i="42"/>
  <c r="F22" i="42" s="1"/>
  <c r="G22" i="42" s="1"/>
  <c r="D23" i="42"/>
  <c r="R44" i="32"/>
  <c r="S45" i="32"/>
  <c r="T45" i="32"/>
  <c r="AM48" i="44"/>
  <c r="AE48" i="44"/>
  <c r="AI48" i="44"/>
  <c r="AG48" i="44"/>
  <c r="AD47" i="44"/>
  <c r="AK48" i="44"/>
  <c r="AH48" i="44"/>
  <c r="AL48" i="44"/>
  <c r="AF48" i="44"/>
  <c r="AJ48" i="44"/>
  <c r="R38" i="36"/>
  <c r="T39" i="36"/>
  <c r="S39" i="36"/>
  <c r="O45" i="39"/>
  <c r="Q46" i="21"/>
  <c r="P46" i="21"/>
  <c r="O45" i="21"/>
  <c r="A44" i="42"/>
  <c r="B45" i="42"/>
  <c r="S46" i="25"/>
  <c r="Q45" i="25"/>
  <c r="R46" i="25"/>
  <c r="V45" i="13"/>
  <c r="U45" i="13"/>
  <c r="T44" i="13"/>
  <c r="Y48" i="43"/>
  <c r="T47" i="43"/>
  <c r="W48" i="43"/>
  <c r="Z48" i="43"/>
  <c r="X48" i="43"/>
  <c r="V48" i="43"/>
  <c r="U48" i="43"/>
  <c r="L36" i="17"/>
  <c r="P36" i="17"/>
  <c r="O36" i="17"/>
  <c r="N36" i="17"/>
  <c r="K35" i="17"/>
  <c r="Q36" i="17"/>
  <c r="M36" i="17"/>
  <c r="R37" i="29"/>
  <c r="P36" i="29"/>
  <c r="Q37" i="29"/>
  <c r="P45" i="39" l="1"/>
  <c r="Q45" i="39"/>
  <c r="E25" i="24"/>
  <c r="G24" i="24"/>
  <c r="F24" i="24"/>
  <c r="F21" i="12"/>
  <c r="G23" i="24"/>
  <c r="F23" i="24"/>
  <c r="G21" i="40"/>
  <c r="F21" i="40"/>
  <c r="E23" i="31"/>
  <c r="F22" i="31"/>
  <c r="G22" i="31"/>
  <c r="G21" i="16"/>
  <c r="I21" i="16"/>
  <c r="H21" i="16"/>
  <c r="G20" i="20"/>
  <c r="F20" i="20"/>
  <c r="E23" i="35"/>
  <c r="F22" i="35"/>
  <c r="G22" i="35"/>
  <c r="F22" i="16"/>
  <c r="E22" i="40"/>
  <c r="E21" i="20"/>
  <c r="D24" i="42"/>
  <c r="E23" i="42"/>
  <c r="F23" i="42" s="1"/>
  <c r="G23" i="42" s="1"/>
  <c r="M35" i="17"/>
  <c r="P35" i="17"/>
  <c r="O35" i="17"/>
  <c r="N35" i="17"/>
  <c r="K34" i="17"/>
  <c r="Q35" i="17"/>
  <c r="L35" i="17"/>
  <c r="R45" i="25"/>
  <c r="S45" i="25"/>
  <c r="Q44" i="25"/>
  <c r="O44" i="39"/>
  <c r="U44" i="13"/>
  <c r="T43" i="13"/>
  <c r="V44" i="13"/>
  <c r="Q36" i="29"/>
  <c r="P35" i="29"/>
  <c r="R36" i="29"/>
  <c r="Z47" i="43"/>
  <c r="Y47" i="43"/>
  <c r="X47" i="43"/>
  <c r="W47" i="43"/>
  <c r="U47" i="43"/>
  <c r="T46" i="43"/>
  <c r="V47" i="43"/>
  <c r="A43" i="42"/>
  <c r="B44" i="42"/>
  <c r="O44" i="21"/>
  <c r="Q45" i="21"/>
  <c r="P45" i="21"/>
  <c r="S38" i="36"/>
  <c r="T38" i="36"/>
  <c r="R37" i="36"/>
  <c r="AF47" i="44"/>
  <c r="AJ47" i="44"/>
  <c r="AK47" i="44"/>
  <c r="AH47" i="44"/>
  <c r="AE47" i="44"/>
  <c r="AD46" i="44"/>
  <c r="AL47" i="44"/>
  <c r="AI47" i="44"/>
  <c r="AM47" i="44"/>
  <c r="AG47" i="44"/>
  <c r="T44" i="32"/>
  <c r="S44" i="32"/>
  <c r="R43" i="32"/>
  <c r="P44" i="39" l="1"/>
  <c r="Q44" i="39"/>
  <c r="G25" i="24"/>
  <c r="F25" i="24"/>
  <c r="F22" i="12"/>
  <c r="G22" i="40"/>
  <c r="F22" i="40"/>
  <c r="E24" i="31"/>
  <c r="G23" i="31"/>
  <c r="F23" i="31"/>
  <c r="H22" i="16"/>
  <c r="G22" i="16"/>
  <c r="I22" i="16"/>
  <c r="F21" i="20"/>
  <c r="G21" i="20"/>
  <c r="E24" i="35"/>
  <c r="F23" i="35"/>
  <c r="G23" i="35"/>
  <c r="F23" i="16"/>
  <c r="E23" i="40"/>
  <c r="E22" i="20"/>
  <c r="E24" i="42"/>
  <c r="F24" i="42" s="1"/>
  <c r="G24" i="42" s="1"/>
  <c r="D25" i="42"/>
  <c r="P44" i="21"/>
  <c r="Q44" i="21"/>
  <c r="O43" i="21"/>
  <c r="R36" i="36"/>
  <c r="T37" i="36"/>
  <c r="S37" i="36"/>
  <c r="Q35" i="29"/>
  <c r="P34" i="29"/>
  <c r="R35" i="29"/>
  <c r="S43" i="32"/>
  <c r="T43" i="32"/>
  <c r="R42" i="32"/>
  <c r="AG46" i="44"/>
  <c r="AK46" i="44"/>
  <c r="AD45" i="44"/>
  <c r="AM46" i="44"/>
  <c r="AI46" i="44"/>
  <c r="AF46" i="44"/>
  <c r="AJ46" i="44"/>
  <c r="AH46" i="44"/>
  <c r="AE46" i="44"/>
  <c r="AL46" i="44"/>
  <c r="V43" i="13"/>
  <c r="U43" i="13"/>
  <c r="T42" i="13"/>
  <c r="O43" i="39"/>
  <c r="N34" i="17"/>
  <c r="P34" i="17"/>
  <c r="O34" i="17"/>
  <c r="M34" i="17"/>
  <c r="K33" i="17"/>
  <c r="Q34" i="17"/>
  <c r="L34" i="17"/>
  <c r="W46" i="43"/>
  <c r="U46" i="43"/>
  <c r="Z46" i="43"/>
  <c r="Y46" i="43"/>
  <c r="V46" i="43"/>
  <c r="T45" i="43"/>
  <c r="X46" i="43"/>
  <c r="B43" i="42"/>
  <c r="A42" i="42"/>
  <c r="Q43" i="25"/>
  <c r="S44" i="25"/>
  <c r="R44" i="25"/>
  <c r="P43" i="39" l="1"/>
  <c r="Q43" i="39"/>
  <c r="F23" i="12"/>
  <c r="G23" i="40"/>
  <c r="F23" i="40"/>
  <c r="E25" i="31"/>
  <c r="G24" i="31"/>
  <c r="F24" i="31"/>
  <c r="I23" i="16"/>
  <c r="H23" i="16"/>
  <c r="G23" i="16"/>
  <c r="G22" i="20"/>
  <c r="F22" i="20"/>
  <c r="E25" i="35"/>
  <c r="F24" i="35"/>
  <c r="G24" i="35"/>
  <c r="F24" i="16"/>
  <c r="E24" i="40"/>
  <c r="E23" i="20"/>
  <c r="D26" i="42"/>
  <c r="E25" i="42"/>
  <c r="F25" i="42" s="1"/>
  <c r="G25" i="42" s="1"/>
  <c r="A41" i="42"/>
  <c r="B42" i="42"/>
  <c r="U42" i="13"/>
  <c r="T41" i="13"/>
  <c r="V42" i="13"/>
  <c r="T42" i="32"/>
  <c r="R41" i="32"/>
  <c r="S42" i="32"/>
  <c r="Q34" i="29"/>
  <c r="R34" i="29"/>
  <c r="P33" i="29"/>
  <c r="R35" i="36"/>
  <c r="T36" i="36"/>
  <c r="S36" i="36"/>
  <c r="O42" i="21"/>
  <c r="Q43" i="21"/>
  <c r="P43" i="21"/>
  <c r="Q42" i="25"/>
  <c r="S43" i="25"/>
  <c r="R43" i="25"/>
  <c r="Z45" i="43"/>
  <c r="X45" i="43"/>
  <c r="T44" i="43"/>
  <c r="Y45" i="43"/>
  <c r="V45" i="43"/>
  <c r="U45" i="43"/>
  <c r="W45" i="43"/>
  <c r="O42" i="39"/>
  <c r="AH45" i="44"/>
  <c r="AD44" i="44"/>
  <c r="AL45" i="44"/>
  <c r="AJ45" i="44"/>
  <c r="AF45" i="44"/>
  <c r="AK45" i="44"/>
  <c r="AM45" i="44"/>
  <c r="AI45" i="44"/>
  <c r="AG45" i="44"/>
  <c r="AE45" i="44"/>
  <c r="O33" i="17"/>
  <c r="P33" i="17"/>
  <c r="N33" i="17"/>
  <c r="M33" i="17"/>
  <c r="K32" i="17"/>
  <c r="Q33" i="17"/>
  <c r="L33" i="17"/>
  <c r="Q42" i="39" l="1"/>
  <c r="P42" i="39"/>
  <c r="F24" i="12"/>
  <c r="F24" i="40"/>
  <c r="G24" i="40"/>
  <c r="E26" i="31"/>
  <c r="F25" i="31"/>
  <c r="G25" i="31"/>
  <c r="H24" i="16"/>
  <c r="I24" i="16"/>
  <c r="G24" i="16"/>
  <c r="G23" i="20"/>
  <c r="F23" i="20"/>
  <c r="E26" i="35"/>
  <c r="G25" i="35"/>
  <c r="F25" i="35"/>
  <c r="F25" i="16"/>
  <c r="E25" i="40"/>
  <c r="E24" i="20"/>
  <c r="D27" i="42"/>
  <c r="E26" i="42"/>
  <c r="F26" i="42" s="1"/>
  <c r="G26" i="42" s="1"/>
  <c r="O41" i="21"/>
  <c r="Q42" i="21"/>
  <c r="P42" i="21"/>
  <c r="S41" i="32"/>
  <c r="T41" i="32"/>
  <c r="R40" i="32"/>
  <c r="O41" i="39"/>
  <c r="V41" i="13"/>
  <c r="T40" i="13"/>
  <c r="U41" i="13"/>
  <c r="Q41" i="25"/>
  <c r="S42" i="25"/>
  <c r="R42" i="25"/>
  <c r="R34" i="36"/>
  <c r="T35" i="36"/>
  <c r="S35" i="36"/>
  <c r="P32" i="17"/>
  <c r="O32" i="17"/>
  <c r="N32" i="17"/>
  <c r="M32" i="17"/>
  <c r="K31" i="17"/>
  <c r="Q32" i="17"/>
  <c r="L32" i="17"/>
  <c r="AL44" i="44"/>
  <c r="AH44" i="44"/>
  <c r="AJ44" i="44"/>
  <c r="AF44" i="44"/>
  <c r="AK44" i="44"/>
  <c r="AD43" i="44"/>
  <c r="AM44" i="44"/>
  <c r="AG44" i="44"/>
  <c r="AE44" i="44"/>
  <c r="AI44" i="44"/>
  <c r="R33" i="29"/>
  <c r="P32" i="29"/>
  <c r="Q33" i="29"/>
  <c r="B41" i="42"/>
  <c r="A40" i="42"/>
  <c r="U44" i="43"/>
  <c r="V44" i="43"/>
  <c r="T43" i="43"/>
  <c r="Y44" i="43"/>
  <c r="X44" i="43"/>
  <c r="Z44" i="43"/>
  <c r="W44" i="43"/>
  <c r="Q41" i="39" l="1"/>
  <c r="P41" i="39"/>
  <c r="F25" i="12"/>
  <c r="G25" i="40"/>
  <c r="F25" i="40"/>
  <c r="E27" i="31"/>
  <c r="G26" i="31"/>
  <c r="F26" i="31"/>
  <c r="H25" i="16"/>
  <c r="I25" i="16"/>
  <c r="G25" i="16"/>
  <c r="G24" i="20"/>
  <c r="F24" i="20"/>
  <c r="E27" i="35"/>
  <c r="G26" i="35"/>
  <c r="F26" i="35"/>
  <c r="F26" i="16"/>
  <c r="E26" i="40"/>
  <c r="E25" i="20"/>
  <c r="E27" i="42"/>
  <c r="F27" i="42" s="1"/>
  <c r="G27" i="42" s="1"/>
  <c r="D28" i="42"/>
  <c r="A39" i="42"/>
  <c r="B40" i="42"/>
  <c r="R41" i="25"/>
  <c r="S41" i="25"/>
  <c r="Q40" i="25"/>
  <c r="V40" i="13"/>
  <c r="U40" i="13"/>
  <c r="T39" i="13"/>
  <c r="O40" i="21"/>
  <c r="P41" i="21"/>
  <c r="Q41" i="21"/>
  <c r="X43" i="43"/>
  <c r="V43" i="43"/>
  <c r="W43" i="43"/>
  <c r="U43" i="43"/>
  <c r="Z43" i="43"/>
  <c r="T42" i="43"/>
  <c r="Y43" i="43"/>
  <c r="S40" i="32"/>
  <c r="R39" i="32"/>
  <c r="T40" i="32"/>
  <c r="AH43" i="44"/>
  <c r="AD42" i="44"/>
  <c r="AK43" i="44"/>
  <c r="AG43" i="44"/>
  <c r="AE43" i="44"/>
  <c r="AL43" i="44"/>
  <c r="AI43" i="44"/>
  <c r="AF43" i="44"/>
  <c r="AM43" i="44"/>
  <c r="AJ43" i="44"/>
  <c r="Q31" i="17"/>
  <c r="O31" i="17"/>
  <c r="N31" i="17"/>
  <c r="M31" i="17"/>
  <c r="K30" i="17"/>
  <c r="P31" i="17"/>
  <c r="L31" i="17"/>
  <c r="P31" i="29"/>
  <c r="Q32" i="29"/>
  <c r="R32" i="29"/>
  <c r="R33" i="36"/>
  <c r="S34" i="36"/>
  <c r="T34" i="36"/>
  <c r="O40" i="39"/>
  <c r="Q40" i="39" l="1"/>
  <c r="P40" i="39"/>
  <c r="F26" i="12"/>
  <c r="G26" i="40"/>
  <c r="F26" i="40"/>
  <c r="E28" i="31"/>
  <c r="G27" i="31"/>
  <c r="F27" i="31"/>
  <c r="G26" i="16"/>
  <c r="I26" i="16"/>
  <c r="H26" i="16"/>
  <c r="F25" i="20"/>
  <c r="G25" i="20"/>
  <c r="E28" i="35"/>
  <c r="F27" i="35"/>
  <c r="G27" i="35"/>
  <c r="F27" i="16"/>
  <c r="E27" i="40"/>
  <c r="E26" i="20"/>
  <c r="D29" i="42"/>
  <c r="E28" i="42"/>
  <c r="F28" i="42" s="1"/>
  <c r="G28" i="42" s="1"/>
  <c r="Q31" i="29"/>
  <c r="P30" i="29"/>
  <c r="R31" i="29"/>
  <c r="O39" i="39"/>
  <c r="U39" i="13"/>
  <c r="T38" i="13"/>
  <c r="V39" i="13"/>
  <c r="AL42" i="44"/>
  <c r="AM42" i="44"/>
  <c r="AI42" i="44"/>
  <c r="AG42" i="44"/>
  <c r="AE42" i="44"/>
  <c r="AK42" i="44"/>
  <c r="AD41" i="44"/>
  <c r="AJ42" i="44"/>
  <c r="AH42" i="44"/>
  <c r="AF42" i="44"/>
  <c r="T33" i="36"/>
  <c r="R32" i="36"/>
  <c r="S33" i="36"/>
  <c r="K29" i="17"/>
  <c r="P30" i="17"/>
  <c r="O30" i="17"/>
  <c r="N30" i="17"/>
  <c r="L30" i="17"/>
  <c r="Q30" i="17"/>
  <c r="M30" i="17"/>
  <c r="R38" i="32"/>
  <c r="S39" i="32"/>
  <c r="T39" i="32"/>
  <c r="O39" i="21"/>
  <c r="Q40" i="21"/>
  <c r="P40" i="21"/>
  <c r="S40" i="25"/>
  <c r="Q39" i="25"/>
  <c r="R40" i="25"/>
  <c r="Y42" i="43"/>
  <c r="T41" i="43"/>
  <c r="X42" i="43"/>
  <c r="W42" i="43"/>
  <c r="V42" i="43"/>
  <c r="U42" i="43"/>
  <c r="Z42" i="43"/>
  <c r="A38" i="42"/>
  <c r="B39" i="42"/>
  <c r="P39" i="39" l="1"/>
  <c r="Q39" i="39"/>
  <c r="F27" i="12"/>
  <c r="F27" i="40"/>
  <c r="G27" i="40"/>
  <c r="E29" i="31"/>
  <c r="G28" i="31"/>
  <c r="F28" i="31"/>
  <c r="G27" i="16"/>
  <c r="H27" i="16"/>
  <c r="I27" i="16"/>
  <c r="G26" i="20"/>
  <c r="F26" i="20"/>
  <c r="E29" i="35"/>
  <c r="F28" i="35"/>
  <c r="G28" i="35"/>
  <c r="F28" i="16"/>
  <c r="E28" i="40"/>
  <c r="E27" i="20"/>
  <c r="E29" i="42"/>
  <c r="F29" i="42" s="1"/>
  <c r="G29" i="42" s="1"/>
  <c r="D30" i="42"/>
  <c r="V41" i="43"/>
  <c r="Z41" i="43"/>
  <c r="Y41" i="43"/>
  <c r="X41" i="43"/>
  <c r="U41" i="43"/>
  <c r="T40" i="43"/>
  <c r="W41" i="43"/>
  <c r="AH41" i="44"/>
  <c r="AD40" i="44"/>
  <c r="AF41" i="44"/>
  <c r="AL41" i="44"/>
  <c r="AJ41" i="44"/>
  <c r="AG41" i="44"/>
  <c r="AE41" i="44"/>
  <c r="AM41" i="44"/>
  <c r="AK41" i="44"/>
  <c r="AI41" i="44"/>
  <c r="T38" i="32"/>
  <c r="R37" i="32"/>
  <c r="S38" i="32"/>
  <c r="V38" i="13"/>
  <c r="T37" i="13"/>
  <c r="U38" i="13"/>
  <c r="Q39" i="21"/>
  <c r="P39" i="21"/>
  <c r="O38" i="21"/>
  <c r="Q29" i="17"/>
  <c r="P29" i="17"/>
  <c r="O29" i="17"/>
  <c r="M29" i="17"/>
  <c r="L29" i="17"/>
  <c r="N29" i="17"/>
  <c r="A37" i="42"/>
  <c r="B38" i="42"/>
  <c r="T32" i="36"/>
  <c r="S32" i="36"/>
  <c r="R31" i="36"/>
  <c r="P29" i="29"/>
  <c r="Q30" i="29"/>
  <c r="R30" i="29"/>
  <c r="S39" i="25"/>
  <c r="R39" i="25"/>
  <c r="Q38" i="25"/>
  <c r="F28" i="12" l="1"/>
  <c r="G28" i="40"/>
  <c r="F28" i="40"/>
  <c r="E30" i="31"/>
  <c r="F29" i="31"/>
  <c r="G29" i="31"/>
  <c r="H28" i="16"/>
  <c r="G28" i="16"/>
  <c r="I28" i="16"/>
  <c r="G27" i="20"/>
  <c r="F27" i="20"/>
  <c r="E30" i="35"/>
  <c r="F29" i="35"/>
  <c r="G29" i="35"/>
  <c r="F29" i="16"/>
  <c r="E29" i="40"/>
  <c r="E28" i="20"/>
  <c r="D31" i="42"/>
  <c r="E30" i="42"/>
  <c r="F30" i="42" s="1"/>
  <c r="G30" i="42" s="1"/>
  <c r="Q37" i="25"/>
  <c r="S38" i="25"/>
  <c r="R38" i="25"/>
  <c r="Y40" i="43"/>
  <c r="T39" i="43"/>
  <c r="W40" i="43"/>
  <c r="Z40" i="43"/>
  <c r="X40" i="43"/>
  <c r="U40" i="43"/>
  <c r="V40" i="43"/>
  <c r="T31" i="36"/>
  <c r="S31" i="36"/>
  <c r="R30" i="36"/>
  <c r="Q38" i="21"/>
  <c r="P38" i="21"/>
  <c r="O37" i="21"/>
  <c r="B37" i="42"/>
  <c r="A36" i="42"/>
  <c r="R29" i="29"/>
  <c r="Q29" i="29"/>
  <c r="V37" i="13"/>
  <c r="U37" i="13"/>
  <c r="AL40" i="44"/>
  <c r="AH40" i="44"/>
  <c r="AE40" i="44"/>
  <c r="AK40" i="44"/>
  <c r="AI40" i="44"/>
  <c r="AD39" i="44"/>
  <c r="AM40" i="44"/>
  <c r="AJ40" i="44"/>
  <c r="AG40" i="44"/>
  <c r="AF40" i="44"/>
  <c r="T37" i="32"/>
  <c r="S37" i="32"/>
  <c r="F29" i="12" l="1"/>
  <c r="G29" i="40"/>
  <c r="F29" i="40"/>
  <c r="E31" i="31"/>
  <c r="F30" i="31"/>
  <c r="G30" i="31"/>
  <c r="I29" i="16"/>
  <c r="H29" i="16"/>
  <c r="G29" i="16"/>
  <c r="G28" i="20"/>
  <c r="F28" i="20"/>
  <c r="E31" i="35"/>
  <c r="F30" i="35"/>
  <c r="G30" i="35"/>
  <c r="F30" i="16"/>
  <c r="E30" i="40"/>
  <c r="E29" i="20"/>
  <c r="E31" i="42"/>
  <c r="F31" i="42" s="1"/>
  <c r="G31" i="42" s="1"/>
  <c r="D32" i="42"/>
  <c r="AH39" i="44"/>
  <c r="AK39" i="44"/>
  <c r="AG39" i="44"/>
  <c r="AE39" i="44"/>
  <c r="AL39" i="44"/>
  <c r="AJ39" i="44"/>
  <c r="AI39" i="44"/>
  <c r="AM39" i="44"/>
  <c r="AF39" i="44"/>
  <c r="S30" i="36"/>
  <c r="T30" i="36"/>
  <c r="Z39" i="43"/>
  <c r="Y39" i="43"/>
  <c r="W39" i="43"/>
  <c r="V39" i="43"/>
  <c r="X39" i="43"/>
  <c r="U39" i="43"/>
  <c r="B36" i="42"/>
  <c r="A35" i="42"/>
  <c r="R37" i="25"/>
  <c r="S37" i="25"/>
  <c r="Q37" i="21"/>
  <c r="P37" i="21"/>
  <c r="F30" i="12" l="1"/>
  <c r="G30" i="40"/>
  <c r="F30" i="40"/>
  <c r="E32" i="31"/>
  <c r="G31" i="31"/>
  <c r="F31" i="31"/>
  <c r="G30" i="16"/>
  <c r="H30" i="16"/>
  <c r="I30" i="16"/>
  <c r="G29" i="20"/>
  <c r="F29" i="20"/>
  <c r="E32" i="35"/>
  <c r="F31" i="35"/>
  <c r="G31" i="35"/>
  <c r="F31" i="16"/>
  <c r="E31" i="40"/>
  <c r="E30" i="20"/>
  <c r="E32" i="42"/>
  <c r="F32" i="42" s="1"/>
  <c r="G32" i="42" s="1"/>
  <c r="D33" i="42"/>
  <c r="B35" i="42"/>
  <c r="A34" i="42"/>
  <c r="F31" i="12" l="1"/>
  <c r="G31" i="40"/>
  <c r="F31" i="40"/>
  <c r="E33" i="31"/>
  <c r="G32" i="31"/>
  <c r="F32" i="31"/>
  <c r="G31" i="16"/>
  <c r="H31" i="16"/>
  <c r="I31" i="16"/>
  <c r="G30" i="20"/>
  <c r="F30" i="20"/>
  <c r="E33" i="35"/>
  <c r="F32" i="35"/>
  <c r="G32" i="35"/>
  <c r="F32" i="16"/>
  <c r="E32" i="40"/>
  <c r="E31" i="20"/>
  <c r="D34" i="42"/>
  <c r="E33" i="42"/>
  <c r="F33" i="42" s="1"/>
  <c r="G33" i="42" s="1"/>
  <c r="B34" i="42"/>
  <c r="A33" i="42"/>
  <c r="F32" i="12" l="1"/>
  <c r="F32" i="40"/>
  <c r="G32" i="40"/>
  <c r="E34" i="31"/>
  <c r="F33" i="31"/>
  <c r="G33" i="31"/>
  <c r="H32" i="16"/>
  <c r="G32" i="16"/>
  <c r="I32" i="16"/>
  <c r="G31" i="20"/>
  <c r="F31" i="20"/>
  <c r="E34" i="35"/>
  <c r="G33" i="35"/>
  <c r="F33" i="35"/>
  <c r="F33" i="16"/>
  <c r="E33" i="40"/>
  <c r="E32" i="20"/>
  <c r="E34" i="42"/>
  <c r="F34" i="42" s="1"/>
  <c r="G34" i="42" s="1"/>
  <c r="D35" i="42"/>
  <c r="B33" i="42"/>
  <c r="A32" i="42"/>
  <c r="F33" i="12" l="1"/>
  <c r="G33" i="40"/>
  <c r="F33" i="40"/>
  <c r="E35" i="31"/>
  <c r="G34" i="31"/>
  <c r="F34" i="31"/>
  <c r="G33" i="16"/>
  <c r="H33" i="16"/>
  <c r="I33" i="16"/>
  <c r="F32" i="20"/>
  <c r="G32" i="20"/>
  <c r="E35" i="35"/>
  <c r="G34" i="35"/>
  <c r="F34" i="35"/>
  <c r="F34" i="16"/>
  <c r="E34" i="40"/>
  <c r="E33" i="20"/>
  <c r="E35" i="42"/>
  <c r="F35" i="42" s="1"/>
  <c r="G35" i="42" s="1"/>
  <c r="D36" i="42"/>
  <c r="A31" i="42"/>
  <c r="B32" i="42"/>
  <c r="F34" i="12" l="1"/>
  <c r="F34" i="40"/>
  <c r="G34" i="40"/>
  <c r="E36" i="31"/>
  <c r="G35" i="31"/>
  <c r="F35" i="31"/>
  <c r="I34" i="16"/>
  <c r="H34" i="16"/>
  <c r="G34" i="16"/>
  <c r="G33" i="20"/>
  <c r="F33" i="20"/>
  <c r="E36" i="35"/>
  <c r="F35" i="35"/>
  <c r="G35" i="35"/>
  <c r="F35" i="16"/>
  <c r="E35" i="40"/>
  <c r="E34" i="20"/>
  <c r="D37" i="42"/>
  <c r="E36" i="42"/>
  <c r="F36" i="42" s="1"/>
  <c r="G36" i="42" s="1"/>
  <c r="B31" i="42"/>
  <c r="A30" i="42"/>
  <c r="F35" i="12" l="1"/>
  <c r="F35" i="40"/>
  <c r="G35" i="40"/>
  <c r="E37" i="31"/>
  <c r="G36" i="31"/>
  <c r="F36" i="31"/>
  <c r="I35" i="16"/>
  <c r="G35" i="16"/>
  <c r="H35" i="16"/>
  <c r="F34" i="20"/>
  <c r="G34" i="20"/>
  <c r="E37" i="35"/>
  <c r="F36" i="35"/>
  <c r="G36" i="35"/>
  <c r="F36" i="16"/>
  <c r="E36" i="40"/>
  <c r="E35" i="20"/>
  <c r="E37" i="42"/>
  <c r="F37" i="42" s="1"/>
  <c r="G37" i="42" s="1"/>
  <c r="D38" i="42"/>
  <c r="B30" i="42"/>
  <c r="A29" i="42"/>
  <c r="F36" i="12" l="1"/>
  <c r="G36" i="40"/>
  <c r="F36" i="40"/>
  <c r="E38" i="31"/>
  <c r="F37" i="31"/>
  <c r="G37" i="31"/>
  <c r="H36" i="16"/>
  <c r="G36" i="16"/>
  <c r="I36" i="16"/>
  <c r="F35" i="20"/>
  <c r="G35" i="20"/>
  <c r="E38" i="35"/>
  <c r="F37" i="35"/>
  <c r="G37" i="35"/>
  <c r="F37" i="16"/>
  <c r="E37" i="40"/>
  <c r="E36" i="20"/>
  <c r="D39" i="42"/>
  <c r="E38" i="42"/>
  <c r="F38" i="42" s="1"/>
  <c r="G38" i="42" s="1"/>
  <c r="A28" i="42"/>
  <c r="B29" i="42"/>
  <c r="F37" i="12" l="1"/>
  <c r="G37" i="40"/>
  <c r="F37" i="40"/>
  <c r="E39" i="31"/>
  <c r="F38" i="31"/>
  <c r="G38" i="31"/>
  <c r="H37" i="16"/>
  <c r="G37" i="16"/>
  <c r="I37" i="16"/>
  <c r="F36" i="20"/>
  <c r="G36" i="20"/>
  <c r="E39" i="35"/>
  <c r="F38" i="35"/>
  <c r="G38" i="35"/>
  <c r="F38" i="16"/>
  <c r="E38" i="40"/>
  <c r="E37" i="20"/>
  <c r="E39" i="42"/>
  <c r="F39" i="42" s="1"/>
  <c r="G39" i="42" s="1"/>
  <c r="D40" i="42"/>
  <c r="B28" i="42"/>
  <c r="A27" i="42"/>
  <c r="F38" i="12" l="1"/>
  <c r="G38" i="40"/>
  <c r="F38" i="40"/>
  <c r="E40" i="31"/>
  <c r="G39" i="31"/>
  <c r="F39" i="31"/>
  <c r="G38" i="16"/>
  <c r="I38" i="16"/>
  <c r="H38" i="16"/>
  <c r="G37" i="20"/>
  <c r="F37" i="20"/>
  <c r="E40" i="35"/>
  <c r="G39" i="35"/>
  <c r="F39" i="35"/>
  <c r="F39" i="16"/>
  <c r="E39" i="40"/>
  <c r="E38" i="20"/>
  <c r="E40" i="42"/>
  <c r="F40" i="42" s="1"/>
  <c r="G40" i="42" s="1"/>
  <c r="D41" i="42"/>
  <c r="A26" i="42"/>
  <c r="B27" i="42"/>
  <c r="F39" i="12" l="1"/>
  <c r="G39" i="40"/>
  <c r="F39" i="40"/>
  <c r="E41" i="31"/>
  <c r="G40" i="31"/>
  <c r="F40" i="31"/>
  <c r="I39" i="16"/>
  <c r="H39" i="16"/>
  <c r="G39" i="16"/>
  <c r="G38" i="20"/>
  <c r="F38" i="20"/>
  <c r="E41" i="35"/>
  <c r="F40" i="35"/>
  <c r="G40" i="35"/>
  <c r="F40" i="16"/>
  <c r="E40" i="40"/>
  <c r="E39" i="20"/>
  <c r="D42" i="42"/>
  <c r="E41" i="42"/>
  <c r="F41" i="42" s="1"/>
  <c r="G41" i="42" s="1"/>
  <c r="A25" i="42"/>
  <c r="B26" i="42"/>
  <c r="F40" i="12" l="1"/>
  <c r="G40" i="12"/>
  <c r="F40" i="40"/>
  <c r="G40" i="40"/>
  <c r="E42" i="31"/>
  <c r="F41" i="31"/>
  <c r="G41" i="31"/>
  <c r="G40" i="16"/>
  <c r="I40" i="16"/>
  <c r="H40" i="16"/>
  <c r="F39" i="20"/>
  <c r="G39" i="20"/>
  <c r="E42" i="35"/>
  <c r="G41" i="35"/>
  <c r="F41" i="35"/>
  <c r="F41" i="16"/>
  <c r="E41" i="40"/>
  <c r="E40" i="20"/>
  <c r="D43" i="42"/>
  <c r="E42" i="42"/>
  <c r="F42" i="42" s="1"/>
  <c r="G42" i="42" s="1"/>
  <c r="B25" i="42"/>
  <c r="A24" i="42"/>
  <c r="F41" i="12" l="1"/>
  <c r="G41" i="12"/>
  <c r="E42" i="40"/>
  <c r="E43" i="40" s="1"/>
  <c r="G41" i="40"/>
  <c r="F41" i="40"/>
  <c r="E43" i="31"/>
  <c r="F42" i="31"/>
  <c r="G42" i="31"/>
  <c r="G41" i="16"/>
  <c r="H41" i="16"/>
  <c r="I41" i="16"/>
  <c r="F40" i="20"/>
  <c r="G40" i="20"/>
  <c r="E43" i="35"/>
  <c r="G42" i="35"/>
  <c r="F42" i="35"/>
  <c r="F42" i="16"/>
  <c r="E41" i="20"/>
  <c r="E43" i="42"/>
  <c r="F43" i="42" s="1"/>
  <c r="G43" i="42" s="1"/>
  <c r="B24" i="42"/>
  <c r="A23" i="42"/>
  <c r="F42" i="12" l="1"/>
  <c r="G42" i="12"/>
  <c r="F43" i="40"/>
  <c r="G43" i="40"/>
  <c r="G42" i="40"/>
  <c r="F42" i="40"/>
  <c r="E44" i="31"/>
  <c r="G43" i="31"/>
  <c r="F43" i="31"/>
  <c r="H42" i="16"/>
  <c r="G42" i="16"/>
  <c r="I42" i="16"/>
  <c r="G41" i="20"/>
  <c r="F41" i="20"/>
  <c r="E44" i="35"/>
  <c r="F43" i="35"/>
  <c r="G43" i="35"/>
  <c r="F43" i="16"/>
  <c r="E44" i="40"/>
  <c r="E42" i="20"/>
  <c r="B23" i="42"/>
  <c r="A22" i="42"/>
  <c r="G43" i="12" l="1"/>
  <c r="F43" i="12"/>
  <c r="F44" i="40"/>
  <c r="G44" i="40"/>
  <c r="E45" i="31"/>
  <c r="E46" i="31" s="1"/>
  <c r="G44" i="31"/>
  <c r="F44" i="31"/>
  <c r="H43" i="16"/>
  <c r="G43" i="16"/>
  <c r="I43" i="16"/>
  <c r="F42" i="20"/>
  <c r="G42" i="20"/>
  <c r="E45" i="35"/>
  <c r="E46" i="35" s="1"/>
  <c r="F44" i="35"/>
  <c r="G44" i="35"/>
  <c r="F44" i="16"/>
  <c r="F45" i="16" s="1"/>
  <c r="E45" i="40"/>
  <c r="E43" i="20"/>
  <c r="B22" i="42"/>
  <c r="A21" i="42"/>
  <c r="F46" i="16" l="1"/>
  <c r="H45" i="16"/>
  <c r="G45" i="16"/>
  <c r="I45" i="16"/>
  <c r="F44" i="12"/>
  <c r="G44" i="12"/>
  <c r="G46" i="35"/>
  <c r="F46" i="35"/>
  <c r="E47" i="35"/>
  <c r="F46" i="31"/>
  <c r="G46" i="31"/>
  <c r="E47" i="31"/>
  <c r="G45" i="40"/>
  <c r="F45" i="40"/>
  <c r="F45" i="31"/>
  <c r="G45" i="31"/>
  <c r="I44" i="16"/>
  <c r="H44" i="16"/>
  <c r="G44" i="16"/>
  <c r="F43" i="20"/>
  <c r="G43" i="20"/>
  <c r="F45" i="35"/>
  <c r="G45" i="35"/>
  <c r="E46" i="40"/>
  <c r="E44" i="20"/>
  <c r="B21" i="42"/>
  <c r="A20" i="42"/>
  <c r="I46" i="16" l="1"/>
  <c r="H46" i="16"/>
  <c r="F47" i="16"/>
  <c r="G46" i="16"/>
  <c r="F45" i="12"/>
  <c r="G45" i="12"/>
  <c r="G47" i="35"/>
  <c r="F47" i="35"/>
  <c r="E48" i="35"/>
  <c r="E48" i="31"/>
  <c r="E49" i="31" s="1"/>
  <c r="G47" i="31"/>
  <c r="F47" i="31"/>
  <c r="G46" i="40"/>
  <c r="F46" i="40"/>
  <c r="G44" i="20"/>
  <c r="F44" i="20"/>
  <c r="E47" i="40"/>
  <c r="E45" i="20"/>
  <c r="B20" i="42"/>
  <c r="A19" i="42"/>
  <c r="E50" i="31" l="1"/>
  <c r="G49" i="31"/>
  <c r="F49" i="31"/>
  <c r="F48" i="16"/>
  <c r="F49" i="16" s="1"/>
  <c r="I47" i="16"/>
  <c r="G47" i="16"/>
  <c r="H47" i="16"/>
  <c r="G46" i="12"/>
  <c r="F46" i="12"/>
  <c r="G48" i="35"/>
  <c r="E49" i="35"/>
  <c r="F48" i="35"/>
  <c r="F48" i="31"/>
  <c r="G48" i="31"/>
  <c r="G47" i="40"/>
  <c r="F47" i="40"/>
  <c r="G45" i="20"/>
  <c r="F45" i="20"/>
  <c r="E48" i="40"/>
  <c r="E46" i="20"/>
  <c r="B19" i="42"/>
  <c r="A18" i="42"/>
  <c r="G50" i="31" l="1"/>
  <c r="F50" i="31"/>
  <c r="G49" i="16"/>
  <c r="F50" i="16"/>
  <c r="I49" i="16"/>
  <c r="H49" i="16"/>
  <c r="G48" i="16"/>
  <c r="H48" i="16"/>
  <c r="I48" i="16"/>
  <c r="G47" i="12"/>
  <c r="F47" i="12"/>
  <c r="G49" i="35"/>
  <c r="F49" i="35"/>
  <c r="G48" i="40"/>
  <c r="F48" i="40"/>
  <c r="G46" i="20"/>
  <c r="F46" i="20"/>
  <c r="E49" i="40"/>
  <c r="E47" i="20"/>
  <c r="B18" i="42"/>
  <c r="A17" i="42"/>
  <c r="I50" i="16" l="1"/>
  <c r="H50" i="16"/>
  <c r="G50" i="16"/>
  <c r="F48" i="12"/>
  <c r="G48" i="12"/>
  <c r="G49" i="40"/>
  <c r="F49" i="40"/>
  <c r="F47" i="20"/>
  <c r="G47" i="20"/>
  <c r="E50" i="35"/>
  <c r="E51" i="35" s="1"/>
  <c r="E50" i="40"/>
  <c r="E48" i="20"/>
  <c r="B17" i="42"/>
  <c r="A16" i="42"/>
  <c r="G51" i="35" l="1"/>
  <c r="F51" i="35"/>
  <c r="F50" i="40"/>
  <c r="G50" i="40"/>
  <c r="G48" i="20"/>
  <c r="F48" i="20"/>
  <c r="F50" i="35"/>
  <c r="G50" i="35"/>
  <c r="E51" i="40"/>
  <c r="E52" i="40" s="1"/>
  <c r="E49" i="20"/>
  <c r="B16" i="42"/>
  <c r="A15" i="42"/>
  <c r="E53" i="40" l="1"/>
  <c r="F52" i="40"/>
  <c r="G52" i="40"/>
  <c r="F51" i="40"/>
  <c r="G51" i="40"/>
  <c r="F49" i="20"/>
  <c r="G49" i="20"/>
  <c r="E50" i="20"/>
  <c r="B15" i="42"/>
  <c r="A14" i="42"/>
  <c r="G53" i="40" l="1"/>
  <c r="F53" i="40"/>
  <c r="F50" i="20"/>
  <c r="G50" i="20"/>
  <c r="E51" i="20"/>
  <c r="B14" i="42"/>
  <c r="A13" i="42"/>
  <c r="F51" i="20" l="1"/>
  <c r="G51" i="20"/>
  <c r="E52" i="20"/>
  <c r="A12" i="42"/>
  <c r="B13" i="42"/>
  <c r="G52" i="20" l="1"/>
  <c r="F52" i="20"/>
  <c r="E53" i="20"/>
  <c r="A11" i="42"/>
  <c r="B12" i="42"/>
  <c r="F53" i="20" l="1"/>
  <c r="G53" i="20"/>
  <c r="E54" i="20"/>
  <c r="B11" i="42"/>
  <c r="G54" i="20" l="1"/>
  <c r="F54" i="20"/>
  <c r="E55" i="20"/>
  <c r="F55" i="20" l="1"/>
  <c r="G55" i="20"/>
  <c r="E56" i="20"/>
  <c r="G56" i="20" l="1"/>
  <c r="F56" i="20"/>
  <c r="E57" i="20"/>
  <c r="F57" i="20" l="1"/>
  <c r="G57" i="20"/>
  <c r="E58" i="20"/>
  <c r="E59" i="20" s="1"/>
  <c r="E60" i="20" l="1"/>
  <c r="G59" i="20"/>
  <c r="F59" i="20"/>
  <c r="G58" i="20"/>
  <c r="F58" i="20"/>
  <c r="G60" i="20" l="1"/>
  <c r="E61" i="20"/>
  <c r="F60" i="20"/>
  <c r="AV103" i="8"/>
  <c r="G61" i="20" l="1"/>
  <c r="F61" i="20"/>
  <c r="E62" i="20"/>
  <c r="E63" i="20" s="1"/>
  <c r="AV98" i="8"/>
  <c r="E64" i="20" l="1"/>
  <c r="G63" i="20"/>
  <c r="F63" i="20"/>
  <c r="F62" i="20"/>
  <c r="G62" i="20"/>
  <c r="D99" i="5"/>
  <c r="I24" i="5" s="1"/>
  <c r="F99" i="5"/>
  <c r="K24" i="5" s="1"/>
  <c r="AN98" i="10"/>
  <c r="AN103" i="10" s="1"/>
  <c r="AR98" i="10"/>
  <c r="AP98" i="10"/>
  <c r="AP103" i="10" s="1"/>
  <c r="G64" i="20" l="1"/>
  <c r="F64" i="20"/>
  <c r="AR103" i="10"/>
  <c r="F101" i="5" s="1"/>
  <c r="K26" i="5" s="1"/>
  <c r="L21" i="5" s="1"/>
  <c r="D96" i="5"/>
  <c r="F96" i="5"/>
  <c r="D101" i="5" l="1"/>
  <c r="I26" i="5" s="1"/>
  <c r="J23" i="5" s="1"/>
  <c r="AV103" i="10"/>
  <c r="L23" i="5"/>
  <c r="L26" i="5"/>
  <c r="L18" i="5"/>
  <c r="L19" i="5"/>
  <c r="L24" i="5"/>
  <c r="L20" i="5"/>
  <c r="L17" i="5"/>
  <c r="L16" i="5"/>
  <c r="L22" i="5"/>
  <c r="L14" i="5"/>
  <c r="L15" i="5"/>
  <c r="L25" i="5"/>
  <c r="J21" i="5" l="1"/>
  <c r="J24" i="5"/>
  <c r="J26" i="5"/>
  <c r="J25" i="5"/>
  <c r="J17" i="5"/>
  <c r="J22" i="5"/>
  <c r="J16" i="5"/>
  <c r="J20" i="5"/>
  <c r="J14" i="5"/>
  <c r="J15" i="5"/>
  <c r="J19" i="5"/>
  <c r="J18" i="5"/>
  <c r="A27"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Jill GREGORY</author>
    <author>SAMSON, Elliot</author>
    <author>Dept of Minerals and Energy</author>
    <author>Gregory</author>
  </authors>
  <commentList>
    <comment ref="BF9" authorId="0" shapeId="0" xr:uid="{D75CFC4F-8111-44E1-BFFA-8244BA72CE02}">
      <text>
        <r>
          <rPr>
            <b/>
            <sz val="10"/>
            <color indexed="81"/>
            <rFont val="Tahoma"/>
            <family val="2"/>
          </rPr>
          <t>Note:  2005 data has been revised.  Revised data is displayed on Historic from 2006 sheet.</t>
        </r>
        <r>
          <rPr>
            <sz val="10"/>
            <color indexed="81"/>
            <rFont val="Tahoma"/>
            <family val="2"/>
          </rPr>
          <t xml:space="preserve">
</t>
        </r>
      </text>
    </comment>
    <comment ref="A14" authorId="1" shapeId="0" xr:uid="{A728D704-65DE-4006-AB52-87B6BAFCE2B7}">
      <text>
        <r>
          <rPr>
            <b/>
            <sz val="9"/>
            <color indexed="81"/>
            <rFont val="Tahoma"/>
            <family val="2"/>
          </rPr>
          <t>Incomplete</t>
        </r>
      </text>
    </comment>
    <comment ref="B36" authorId="2" shapeId="0" xr:uid="{E10A43F4-728F-41BC-9E30-DC9FD9D6F1B9}">
      <text>
        <r>
          <rPr>
            <b/>
            <sz val="8"/>
            <color indexed="81"/>
            <rFont val="Tahoma"/>
            <family val="2"/>
          </rPr>
          <t>Contained metal</t>
        </r>
      </text>
    </comment>
    <comment ref="A171" authorId="2" shapeId="0" xr:uid="{A38A3591-6EF0-4AC6-9361-687F66F3DD8E}">
      <text>
        <r>
          <rPr>
            <sz val="8"/>
            <color indexed="81"/>
            <rFont val="Tahoma"/>
            <family val="2"/>
          </rPr>
          <t xml:space="preserve">Minor minerals of low value
</t>
        </r>
      </text>
    </comment>
    <comment ref="D227" authorId="3" shapeId="0" xr:uid="{BDB545CA-FF1E-4130-8642-36389A8FA8D3}">
      <text>
        <r>
          <rPr>
            <sz val="8"/>
            <color indexed="81"/>
            <rFont val="Tahoma"/>
            <family val="2"/>
          </rPr>
          <t>Note that this figure is different from the sum of previously reported Annual Report figures as this includes previously unavailable data for Condensate and Talc.</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<sst xmlns="http://schemas.openxmlformats.org/spreadsheetml/2006/main" count="10267" uniqueCount="659">
  <si>
    <t>Snapshot</t>
  </si>
  <si>
    <t>:</t>
  </si>
  <si>
    <t>Commodity Prices Comparison</t>
  </si>
  <si>
    <t>Comparison of average prices for key Western Australian commodities over the last two years.</t>
  </si>
  <si>
    <t>Q&amp;V 2-years</t>
  </si>
  <si>
    <t>All Commodities</t>
  </si>
  <si>
    <t>Commodity Prices</t>
  </si>
  <si>
    <t>Average monthly prices for key Western Australian commodities.</t>
  </si>
  <si>
    <t>Q&amp;V Calendar Year 1886 to 2003</t>
  </si>
  <si>
    <t>Historic quantity and sales value of mineral and petroleum sales - calendar year (1886 to 2003).</t>
  </si>
  <si>
    <t>Q&amp;V Calendar Year 2004 to Now</t>
  </si>
  <si>
    <t>Historic quantity and sales value of mineral and petroleum sales - calendar year (post 2003).</t>
  </si>
  <si>
    <t>Q&amp;V Financial Year 1984-85 to 2002-03</t>
  </si>
  <si>
    <t>Historic quantity and sales value of mineral and petroleum sales - financial year (1984-85 to 2002-03).</t>
  </si>
  <si>
    <t>Q&amp;V Financial Year 2003-04 to Now</t>
  </si>
  <si>
    <t>Historic quantity and sales value of mineral and petroleum sales - financial year (post 2003-04)</t>
  </si>
  <si>
    <t>WA vs Rest of Australia vs Rest of the World</t>
  </si>
  <si>
    <t>Alumina and Bauxite</t>
  </si>
  <si>
    <t>Alumina and Bauxite - Prices</t>
  </si>
  <si>
    <t>Historic average annual and monthly alumina and bauxite prices.</t>
  </si>
  <si>
    <t>Alumina and Bauxite - Quantity and Value</t>
  </si>
  <si>
    <t>Annual and quarterly quantity and values for alumina sales in Western Australia.</t>
  </si>
  <si>
    <t>Alumina and Bauxite - Exports</t>
  </si>
  <si>
    <t>Annual value of alumina exports from Western Australia by destination.</t>
  </si>
  <si>
    <t>Alumina and Bauxite - WA vs Rest of Australia</t>
  </si>
  <si>
    <t>Copper-Lead-Zinc</t>
  </si>
  <si>
    <t>Copper-Lead-Zinc - Prices</t>
  </si>
  <si>
    <t>Historic average annual and monthly copper, lead and zinc prices.</t>
  </si>
  <si>
    <t>Copper-Lead-Zinc - Quantity and Value</t>
  </si>
  <si>
    <t>Annual and quarterly quantity and values for copper-lead-zinc sales in Western Australia.</t>
  </si>
  <si>
    <t>Copper-Lead-Zinc - Exports</t>
  </si>
  <si>
    <t>Copper-Lead-Zinc - WA vs Rest of Australia</t>
  </si>
  <si>
    <t>Gold</t>
  </si>
  <si>
    <t>Gold - Prices</t>
  </si>
  <si>
    <t>Historic average annual and monthly gold prices.</t>
  </si>
  <si>
    <t>Gold - Quantity and Value</t>
  </si>
  <si>
    <t>Annual and quarterly quantity and values for gold sales in Western Australia.</t>
  </si>
  <si>
    <t>Gold - Exports</t>
  </si>
  <si>
    <t>Annual value of gold exports from Western Australia by destination.</t>
  </si>
  <si>
    <t>Gold - WA vs Rest of Australia</t>
  </si>
  <si>
    <t>Iron Ore</t>
  </si>
  <si>
    <t>Iron Ore - Prices</t>
  </si>
  <si>
    <t>Historic average annual and monthly iron ore prices.</t>
  </si>
  <si>
    <t>Iron Ore - Quantity and Value</t>
  </si>
  <si>
    <t>Annual and quarterly quantity and values for iron ore sales in Western Australia.</t>
  </si>
  <si>
    <t>Iron Ore - Exports</t>
  </si>
  <si>
    <t>Annual value of iron ore exports from Western Australia by destination.</t>
  </si>
  <si>
    <t>Iron Ore - WA vs Rest of Australia</t>
  </si>
  <si>
    <t>Lithium</t>
  </si>
  <si>
    <t>Lithium - Prices</t>
  </si>
  <si>
    <t>Historic average annual and monthly  lithium hydroxide and spodumene concentrate prices.</t>
  </si>
  <si>
    <t>Lithium - Quantity &amp; Value</t>
  </si>
  <si>
    <t>Annual and quarterly quantity and values for spodumene concentrate sales in Western Australia.</t>
  </si>
  <si>
    <t>Lithium - Exports</t>
  </si>
  <si>
    <t>Mineral Sands</t>
  </si>
  <si>
    <t>Mineral Sands - Prices</t>
  </si>
  <si>
    <t>Historic average annual and monthly mineral sands (zircon and titanium dioxide pigment) prices.</t>
  </si>
  <si>
    <t>Mineral Sands - Quantity and Value</t>
  </si>
  <si>
    <t>Annual and quarterly quantity and values for mineral sands sales in Western Australia.</t>
  </si>
  <si>
    <t>Mineral Sands - Exports</t>
  </si>
  <si>
    <t>Mineral Sands - WA vs Rest of Australia</t>
  </si>
  <si>
    <t>Nickel</t>
  </si>
  <si>
    <t>Nickel - Prices</t>
  </si>
  <si>
    <t>Historic average annual and monthly nickel prices.</t>
  </si>
  <si>
    <t>Nickel - Quantity and Value</t>
  </si>
  <si>
    <t>Annual and quarterly quantity and values for nickel sales in Western Australia.</t>
  </si>
  <si>
    <t>Nickel - Exports</t>
  </si>
  <si>
    <t>Nickel - WA vs Rest of Australia</t>
  </si>
  <si>
    <t>Other Minerals</t>
  </si>
  <si>
    <t>Other Minerals - Quantity and Value</t>
  </si>
  <si>
    <t>Annual and quarterly quantity and values for coal, silver, salt, diamonds, cobalt, and platinum group elements sales in Western Australia.</t>
  </si>
  <si>
    <t>Petroleum</t>
  </si>
  <si>
    <t>Petroleum - Oil - Prices</t>
  </si>
  <si>
    <t>Historic average annual and monthly Brent and Tapis crude oil prices.</t>
  </si>
  <si>
    <t>Petroleum - LNG - Prices</t>
  </si>
  <si>
    <t>Historic average annual and monthly LNG prices.</t>
  </si>
  <si>
    <t>Petroleum - Domestic Gas - Prices</t>
  </si>
  <si>
    <t>Historic average annual and quarterly domestic gas prices.</t>
  </si>
  <si>
    <t>Petroleum - Crude Oil and Condensate - Quantity and Value</t>
  </si>
  <si>
    <t>Annual and quarterly quantity and values for crude oil and condensate sales in Western Australia.</t>
  </si>
  <si>
    <t>Petroleum - LNG, LPG - Butane and Propane, and Domestic Gas - Quantity and Value</t>
  </si>
  <si>
    <t>Annual and quarterly quantity and values for LNG, LPG - butane and propane, and domestic gas sales in Western Australia.</t>
  </si>
  <si>
    <t>Petroleum - Exports</t>
  </si>
  <si>
    <t>Petroleum - Crude Oil and Condensate - WA vs Rest of Australia</t>
  </si>
  <si>
    <t>Petroleum - LNG - WA vs Rest of Australia</t>
  </si>
  <si>
    <t>Data</t>
  </si>
  <si>
    <t>Sources</t>
  </si>
  <si>
    <t>Sources for data used in this document.</t>
  </si>
  <si>
    <t>How to Use</t>
  </si>
  <si>
    <t>Details about how to use this file, and access the information held within it.</t>
  </si>
  <si>
    <t>Source</t>
  </si>
  <si>
    <t>Link</t>
  </si>
  <si>
    <t>Prices</t>
  </si>
  <si>
    <t>Exchange Rate</t>
  </si>
  <si>
    <t>Reserve Bank of Australia</t>
  </si>
  <si>
    <t>https://www.rba.gov.au/</t>
  </si>
  <si>
    <t>Alumina - Pre Jun 99, ABARE, Report #39. From Jun 99, Australian Bureau of Statistics (ABS).</t>
  </si>
  <si>
    <t>https://www.abs.gov.au/</t>
  </si>
  <si>
    <t>Bauxite - ABS</t>
  </si>
  <si>
    <t>Copper - London Metal Exchange average monthly cash official via Argus Metals</t>
  </si>
  <si>
    <t>https://metals.argusmedia.com/</t>
  </si>
  <si>
    <t>Lead - London Metal Exchange average monthly cash official via Argus Metals</t>
  </si>
  <si>
    <t>Zinc - London Metal Exchange average monthly cash official via Argus Metals</t>
  </si>
  <si>
    <t>US$ - London Bullion Market Association via Argus Metals</t>
  </si>
  <si>
    <t>AU$ - Perth mint selling price</t>
  </si>
  <si>
    <t>https://www.perthmint.com/</t>
  </si>
  <si>
    <t>Pre Oct 2014, The Steel Index spot prices for CFR China. From Oct 2014, Argus Metals CFR China.</t>
  </si>
  <si>
    <t>Lithium Hydroxide - Asian Metal</t>
  </si>
  <si>
    <t>http://www.asianmetal.com/</t>
  </si>
  <si>
    <t>Spodumene Concentrate - Asian Metal</t>
  </si>
  <si>
    <t>Mineral Sands (Zircon and Titanium Dioxide Pigment)</t>
  </si>
  <si>
    <t>ABS</t>
  </si>
  <si>
    <t>London Metal Exchange average monthly cash official via Argus Metals</t>
  </si>
  <si>
    <t>Silver</t>
  </si>
  <si>
    <t>Cobalt</t>
  </si>
  <si>
    <t>Platinum</t>
  </si>
  <si>
    <t>Palladium</t>
  </si>
  <si>
    <t>AU$ - Pre May 2022, Perth mint selling price. From May 2022, London Bullion Market Association via Argus Metals</t>
  </si>
  <si>
    <t>Quantity, Value and Exports</t>
  </si>
  <si>
    <t>WA quantity and value of all mineral sales</t>
  </si>
  <si>
    <t>WA quantity and value of all petroleum production</t>
  </si>
  <si>
    <t>WA alumina and bauxite exports</t>
  </si>
  <si>
    <t>Australia alumina production</t>
  </si>
  <si>
    <t>Resources and Energy Quarterly</t>
  </si>
  <si>
    <t>World alumina production</t>
  </si>
  <si>
    <t>Mineral Commodity Summaries</t>
  </si>
  <si>
    <t>WA copper-lead-zinc exports</t>
  </si>
  <si>
    <t>Australia copper-lead-zinc production</t>
  </si>
  <si>
    <t>World copper-lead-zinc production</t>
  </si>
  <si>
    <t>WA gold exports</t>
  </si>
  <si>
    <t>Australia gold production</t>
  </si>
  <si>
    <t>World gold production</t>
  </si>
  <si>
    <t>WA iron ore exports</t>
  </si>
  <si>
    <t>Australia iron ore production</t>
  </si>
  <si>
    <t>World iron ore production</t>
  </si>
  <si>
    <t>WA spodumene concentrate exports</t>
  </si>
  <si>
    <t>World lithium production</t>
  </si>
  <si>
    <t>WA mineral sands exports</t>
  </si>
  <si>
    <t>Australia mineral sands value</t>
  </si>
  <si>
    <t>Australia garnet, ilmenite, rutile, and zircon production</t>
  </si>
  <si>
    <t>World garnet ilmenite, rutile, and zircon production</t>
  </si>
  <si>
    <t>WA nickel exports</t>
  </si>
  <si>
    <t>Australia nickel production</t>
  </si>
  <si>
    <t>World nickel production</t>
  </si>
  <si>
    <t>WA petroleum exports</t>
  </si>
  <si>
    <t>Australia crude oil and condensate and LNG production</t>
  </si>
  <si>
    <t>http://www.energyquest.com.au/</t>
  </si>
  <si>
    <t>World crude oil and LNG production</t>
  </si>
  <si>
    <t>Australia cobalt, garnet, lithium, manganese, and rare earth oxides production</t>
  </si>
  <si>
    <t>Australia diamonds production</t>
  </si>
  <si>
    <t>Australia salt production</t>
  </si>
  <si>
    <t>World cobalt, diamonds, manganese, rare earth oxides, and salt production</t>
  </si>
  <si>
    <t>USGS</t>
  </si>
  <si>
    <t>Click here to select an option</t>
  </si>
  <si>
    <t>A menu will drop down showing your choices</t>
  </si>
  <si>
    <t>Click to Select: Click anywhere in this tab to bring up the menu</t>
  </si>
  <si>
    <t>Chart Data</t>
  </si>
  <si>
    <t>Click above to change chart data</t>
  </si>
  <si>
    <t>Select:</t>
  </si>
  <si>
    <t>% difference</t>
  </si>
  <si>
    <t>US$ v A$</t>
  </si>
  <si>
    <t>% Difference</t>
  </si>
  <si>
    <t>Unit</t>
  </si>
  <si>
    <t>US$</t>
  </si>
  <si>
    <t>A$</t>
  </si>
  <si>
    <t>Alumina</t>
  </si>
  <si>
    <t>t</t>
  </si>
  <si>
    <t>Brent Crude Oil</t>
  </si>
  <si>
    <t>bbl</t>
  </si>
  <si>
    <t>Copper</t>
  </si>
  <si>
    <t>Domestic Gas</t>
  </si>
  <si>
    <t>GJ</t>
  </si>
  <si>
    <t>n/a</t>
  </si>
  <si>
    <t>oz</t>
  </si>
  <si>
    <t>Mmbtu</t>
  </si>
  <si>
    <t>Spodumene Concentrate</t>
  </si>
  <si>
    <t>Titanium Dioxide Pigment</t>
  </si>
  <si>
    <t>Zircon</t>
  </si>
  <si>
    <t>Calendar Year</t>
  </si>
  <si>
    <t>Financial Year</t>
  </si>
  <si>
    <t>Quantity And Value Of Minerals And Petroleum</t>
  </si>
  <si>
    <t>COMMODITY</t>
  </si>
  <si>
    <t>UNIT</t>
  </si>
  <si>
    <t>ALUMINA AND BAUXITE</t>
  </si>
  <si>
    <t>Bauxite</t>
  </si>
  <si>
    <t>$ Millions</t>
  </si>
  <si>
    <t>Share</t>
  </si>
  <si>
    <t>TOTAL ALUMINA AND BAUXITE</t>
  </si>
  <si>
    <t>Iron ore</t>
  </si>
  <si>
    <t>LNG</t>
  </si>
  <si>
    <t>COPPER-LEAD-ZINC</t>
  </si>
  <si>
    <t>Copper Metal</t>
  </si>
  <si>
    <t>Lead Metal</t>
  </si>
  <si>
    <t>Condensate</t>
  </si>
  <si>
    <t>Zinc Metal</t>
  </si>
  <si>
    <t>TOTAL COPPER-LEAD-ZINC</t>
  </si>
  <si>
    <t>Crude Oil</t>
  </si>
  <si>
    <t>CHROMITE</t>
  </si>
  <si>
    <t>CLAYS</t>
  </si>
  <si>
    <t>Total Minerals</t>
  </si>
  <si>
    <t>Total Petroleum</t>
  </si>
  <si>
    <t>COAL</t>
  </si>
  <si>
    <t>Total Minerals and Petroleum</t>
  </si>
  <si>
    <t>COBALT</t>
  </si>
  <si>
    <t>CONSTRUCTION MATERIALS</t>
  </si>
  <si>
    <t>Aggregate</t>
  </si>
  <si>
    <t>Gravel</t>
  </si>
  <si>
    <t>Rock</t>
  </si>
  <si>
    <t>Sand</t>
  </si>
  <si>
    <t>TOTAL CONSTRUCTION MATERIALS</t>
  </si>
  <si>
    <t>DIAMONDS</t>
  </si>
  <si>
    <t>ct</t>
  </si>
  <si>
    <t>DIMENSION STONE</t>
  </si>
  <si>
    <t>GEM &amp; SEMI-PRECIOUS STONES</t>
  </si>
  <si>
    <t>kg</t>
  </si>
  <si>
    <t>GOLD</t>
  </si>
  <si>
    <t>GYPSUM</t>
  </si>
  <si>
    <t>IRON ORE</t>
  </si>
  <si>
    <t>LIMESAND-LIMESTONE-DOLOMITE</t>
  </si>
  <si>
    <t>LITHIUM</t>
  </si>
  <si>
    <t>Spodumene</t>
  </si>
  <si>
    <t>Lithium Hydroxide</t>
  </si>
  <si>
    <t>TOTAL LITHIUM</t>
  </si>
  <si>
    <t>MANGANESE</t>
  </si>
  <si>
    <t>MINERAL SANDS</t>
  </si>
  <si>
    <t>Garnet</t>
  </si>
  <si>
    <t>Ilmenite</t>
  </si>
  <si>
    <t>Leucoxene</t>
  </si>
  <si>
    <t>Rutile</t>
  </si>
  <si>
    <t>Synthetic Rutile</t>
  </si>
  <si>
    <t>TOTAL MINERAL SANDS</t>
  </si>
  <si>
    <t>NICKEL</t>
  </si>
  <si>
    <t xml:space="preserve">PETROLEUM </t>
  </si>
  <si>
    <t>kl</t>
  </si>
  <si>
    <t>LPG - Butane and Propane</t>
  </si>
  <si>
    <t>'000m3</t>
  </si>
  <si>
    <t>TOTAL PETROLEUM</t>
  </si>
  <si>
    <t>PLATINUM GROUP ELEMENTS</t>
  </si>
  <si>
    <t xml:space="preserve"> </t>
  </si>
  <si>
    <t>POTASH</t>
  </si>
  <si>
    <t>RARE EARTHS</t>
  </si>
  <si>
    <t>SALT</t>
  </si>
  <si>
    <t>SILICA SANDS</t>
  </si>
  <si>
    <t>SILVER</t>
  </si>
  <si>
    <t>TIN AND TANTALUM</t>
  </si>
  <si>
    <t>Tantalum</t>
  </si>
  <si>
    <t>Tin Metal</t>
  </si>
  <si>
    <t>TOTAL TIN AND TANTALUM</t>
  </si>
  <si>
    <t>OTHER</t>
  </si>
  <si>
    <t>(May include Rare Earths, Manganese, Spongolite, Talc, and Cesium)</t>
  </si>
  <si>
    <t>TOTAL MINERALS</t>
  </si>
  <si>
    <t>TOTAL MINERALS AND PETROLEUM</t>
  </si>
  <si>
    <t>US Exchange Rate</t>
  </si>
  <si>
    <t>Lead</t>
  </si>
  <si>
    <t>Zinc</t>
  </si>
  <si>
    <t>Export Data (Calendar Year)</t>
  </si>
  <si>
    <t>Export Data (Financial Year)</t>
  </si>
  <si>
    <t>US$ vs A$</t>
  </si>
  <si>
    <t>US$ per tonne</t>
  </si>
  <si>
    <t>A$ per tonne</t>
  </si>
  <si>
    <t>US$ per oz</t>
  </si>
  <si>
    <t>A$ per oz</t>
  </si>
  <si>
    <t>Tapis Crude Oil</t>
  </si>
  <si>
    <t>62% Fines Spot</t>
  </si>
  <si>
    <t>US$ per barrel</t>
  </si>
  <si>
    <t>A$ per barrel</t>
  </si>
  <si>
    <t>US$ per mmbtu</t>
  </si>
  <si>
    <t>A$ per mmbtu</t>
  </si>
  <si>
    <t xml:space="preserve">Australian $ </t>
  </si>
  <si>
    <t>Month</t>
  </si>
  <si>
    <t>CFR China</t>
  </si>
  <si>
    <t>Commodity</t>
  </si>
  <si>
    <t>Year</t>
  </si>
  <si>
    <t>Nation</t>
  </si>
  <si>
    <t>Rank</t>
  </si>
  <si>
    <t>Export Value</t>
  </si>
  <si>
    <t>% Of Total</t>
  </si>
  <si>
    <t>Fin. Year</t>
  </si>
  <si>
    <t>FY H1</t>
  </si>
  <si>
    <t>United Arab Emirates</t>
  </si>
  <si>
    <t>2015-16</t>
  </si>
  <si>
    <t>China</t>
  </si>
  <si>
    <t>Bahrain</t>
  </si>
  <si>
    <t>South Africa</t>
  </si>
  <si>
    <t>Mozambique</t>
  </si>
  <si>
    <t>Malaysia</t>
  </si>
  <si>
    <t>United States Of America</t>
  </si>
  <si>
    <t>India</t>
  </si>
  <si>
    <t>Qatar</t>
  </si>
  <si>
    <t>Indonesia</t>
  </si>
  <si>
    <t>Saudi Arabia</t>
  </si>
  <si>
    <t>Other</t>
  </si>
  <si>
    <t>TOTAL</t>
  </si>
  <si>
    <t>2014-15</t>
  </si>
  <si>
    <t>2013-14</t>
  </si>
  <si>
    <t>2012-13</t>
  </si>
  <si>
    <t>Argentina</t>
  </si>
  <si>
    <t>2011-12</t>
  </si>
  <si>
    <t>United States of America</t>
  </si>
  <si>
    <t>New Zealand</t>
  </si>
  <si>
    <t>Russia</t>
  </si>
  <si>
    <t>2010-11</t>
  </si>
  <si>
    <t>2009-10</t>
  </si>
  <si>
    <t>2008-09</t>
  </si>
  <si>
    <t>Iceland</t>
  </si>
  <si>
    <t>Canada</t>
  </si>
  <si>
    <t>Singapore</t>
  </si>
  <si>
    <t>2007-08</t>
  </si>
  <si>
    <t>Japan</t>
  </si>
  <si>
    <t>Finland</t>
  </si>
  <si>
    <t>Norway</t>
  </si>
  <si>
    <t>Brazil</t>
  </si>
  <si>
    <t>Netherlands</t>
  </si>
  <si>
    <t>2006-07</t>
  </si>
  <si>
    <t>United Kingdom</t>
  </si>
  <si>
    <t>Taiwan</t>
  </si>
  <si>
    <t>2005-06</t>
  </si>
  <si>
    <t>2004-05</t>
  </si>
  <si>
    <t>Egypt</t>
  </si>
  <si>
    <t>Belgium</t>
  </si>
  <si>
    <t>Korea, Republic of (South)</t>
  </si>
  <si>
    <t>Italy</t>
  </si>
  <si>
    <t>Spain</t>
  </si>
  <si>
    <t>Thailand</t>
  </si>
  <si>
    <t>Mexico</t>
  </si>
  <si>
    <t>Europe</t>
  </si>
  <si>
    <t>North America</t>
  </si>
  <si>
    <t>Hong Kong</t>
  </si>
  <si>
    <t>Switzerland</t>
  </si>
  <si>
    <t>Turkey</t>
  </si>
  <si>
    <t>Vietnam</t>
  </si>
  <si>
    <t>Total</t>
  </si>
  <si>
    <t>Sri Lanka</t>
  </si>
  <si>
    <t>Asia</t>
  </si>
  <si>
    <t>Nepal</t>
  </si>
  <si>
    <t>Germany</t>
  </si>
  <si>
    <t>Middle East</t>
  </si>
  <si>
    <t>France</t>
  </si>
  <si>
    <t>2002-03</t>
  </si>
  <si>
    <t>2003-04</t>
  </si>
  <si>
    <t>Laos</t>
  </si>
  <si>
    <t>Macao</t>
  </si>
  <si>
    <t>Papua New Guinea</t>
  </si>
  <si>
    <t>Slovenia</t>
  </si>
  <si>
    <t>Base Metals Contained Gold/Silver</t>
  </si>
  <si>
    <t>Base Metals</t>
  </si>
  <si>
    <t>Philippines</t>
  </si>
  <si>
    <t>Bulgaria</t>
  </si>
  <si>
    <t>Mauritania</t>
  </si>
  <si>
    <t>Montenegro</t>
  </si>
  <si>
    <t>Morocco</t>
  </si>
  <si>
    <t>2016-17</t>
  </si>
  <si>
    <t>Sweden</t>
  </si>
  <si>
    <t>2017-18</t>
  </si>
  <si>
    <t xml:space="preserve">  Japan</t>
  </si>
  <si>
    <t xml:space="preserve">  India</t>
  </si>
  <si>
    <t>2018-19</t>
  </si>
  <si>
    <t xml:space="preserve">  Singapore</t>
  </si>
  <si>
    <t xml:space="preserve">  Thailand</t>
  </si>
  <si>
    <t xml:space="preserve">  Turkey</t>
  </si>
  <si>
    <t>Korea, Republic Of (South)</t>
  </si>
  <si>
    <t xml:space="preserve">TOTAL </t>
  </si>
  <si>
    <t>Brunei Darussalam</t>
  </si>
  <si>
    <t>2019-20</t>
  </si>
  <si>
    <t>Russian Federation</t>
  </si>
  <si>
    <t>2020-21</t>
  </si>
  <si>
    <t>2021-22</t>
  </si>
  <si>
    <t>United States</t>
  </si>
  <si>
    <t>Oman</t>
  </si>
  <si>
    <t>2022-23</t>
  </si>
  <si>
    <t>Taiwan, Province Of China</t>
  </si>
  <si>
    <t>Korea, Republic Of</t>
  </si>
  <si>
    <t>Brunei</t>
  </si>
  <si>
    <t>Historic Quantity And Value Of Minerals And Petroleum Calendar Year</t>
  </si>
  <si>
    <t>1886 to 1980</t>
  </si>
  <si>
    <t>Bauxite (Crude Ore) (b)</t>
  </si>
  <si>
    <t>Gallium</t>
  </si>
  <si>
    <t>ALUNITE</t>
  </si>
  <si>
    <t>ARSENIC</t>
  </si>
  <si>
    <t>ANTIMONY</t>
  </si>
  <si>
    <t>ASBESTOS</t>
  </si>
  <si>
    <t>Anthophyllite</t>
  </si>
  <si>
    <t>Chrysotile</t>
  </si>
  <si>
    <t>Crocidolite</t>
  </si>
  <si>
    <t>Tremolite</t>
  </si>
  <si>
    <t>TOTAL ASBESTOS</t>
  </si>
  <si>
    <t>BARYTES</t>
  </si>
  <si>
    <t>Copper By-Product</t>
  </si>
  <si>
    <t>Copper Cathode</t>
  </si>
  <si>
    <t>Copper Ore &amp; Concentrates</t>
  </si>
  <si>
    <t>Copper (contained)</t>
  </si>
  <si>
    <t>Cupreous Ore &amp; Concentrates</t>
  </si>
  <si>
    <t xml:space="preserve">Lead </t>
  </si>
  <si>
    <t>Zinc Ore (Fertiliser)</t>
  </si>
  <si>
    <t>BISMUTH</t>
  </si>
  <si>
    <t>Alunite</t>
  </si>
  <si>
    <t>Attapulgite</t>
  </si>
  <si>
    <t>Bentonite</t>
  </si>
  <si>
    <t>Cement Clay</t>
  </si>
  <si>
    <t>Clay Shale</t>
  </si>
  <si>
    <t>Fire Clay</t>
  </si>
  <si>
    <t>Fullers Earth</t>
  </si>
  <si>
    <t>Kaolin</t>
  </si>
  <si>
    <t>Saponite</t>
  </si>
  <si>
    <t>White Clay</t>
  </si>
  <si>
    <t>TOTAL CLAYS</t>
  </si>
  <si>
    <t>Sandstone</t>
  </si>
  <si>
    <t>DIATOMITE</t>
  </si>
  <si>
    <t>Beryl</t>
  </si>
  <si>
    <t>Black Granite</t>
  </si>
  <si>
    <t>Granite</t>
  </si>
  <si>
    <t>Jasper</t>
  </si>
  <si>
    <t>Lepidolite</t>
  </si>
  <si>
    <t>Marble</t>
  </si>
  <si>
    <t>Quartz</t>
  </si>
  <si>
    <t>Quartzite</t>
  </si>
  <si>
    <t>Slate</t>
  </si>
  <si>
    <t>TOTAL DIMENSION STONE</t>
  </si>
  <si>
    <t>Agate</t>
  </si>
  <si>
    <t>Amethyst</t>
  </si>
  <si>
    <t>Chalcedony/Mookaite</t>
  </si>
  <si>
    <t>Chrysoprase</t>
  </si>
  <si>
    <t>Dravite</t>
  </si>
  <si>
    <t>Emerald</t>
  </si>
  <si>
    <t>Emerald (Cut and Rough)</t>
  </si>
  <si>
    <t>Magnesite</t>
  </si>
  <si>
    <t>Malachite</t>
  </si>
  <si>
    <t>Moss Opal</t>
  </si>
  <si>
    <t>Opal</t>
  </si>
  <si>
    <t>Opalite</t>
  </si>
  <si>
    <t>Prase</t>
  </si>
  <si>
    <t>Serpentinite</t>
  </si>
  <si>
    <t>Tiger Eye</t>
  </si>
  <si>
    <t>Tourmaline</t>
  </si>
  <si>
    <t>Variscite</t>
  </si>
  <si>
    <t>Zebra Rock</t>
  </si>
  <si>
    <t>TOTAL GEM &amp; SEMI-PRECIOUS STONES</t>
  </si>
  <si>
    <t>GLAUCONITE</t>
  </si>
  <si>
    <t>GRAPHITE</t>
  </si>
  <si>
    <t>HEAVY MINERAL SANDS</t>
  </si>
  <si>
    <t>Reduced Ilmenite</t>
  </si>
  <si>
    <t xml:space="preserve">Upgraded Ilmenite (a) </t>
  </si>
  <si>
    <t>Kyanite</t>
  </si>
  <si>
    <t>Mineral Sands Concentrate</t>
  </si>
  <si>
    <t>Monazite</t>
  </si>
  <si>
    <t>Staurolite</t>
  </si>
  <si>
    <t>Xenotime</t>
  </si>
  <si>
    <t>INDUSTRIAL PEGMATITE MINERALS</t>
  </si>
  <si>
    <t>Feldspar</t>
  </si>
  <si>
    <t>Mica</t>
  </si>
  <si>
    <t>TOTAL INDUSTRIAL PEGMATITE MINERALS</t>
  </si>
  <si>
    <t>Domestic</t>
  </si>
  <si>
    <t>Exported</t>
  </si>
  <si>
    <t>Pellets</t>
  </si>
  <si>
    <t>Pig Iron</t>
  </si>
  <si>
    <t>TOTAL IRON ORE</t>
  </si>
  <si>
    <t xml:space="preserve"> Dolomite</t>
  </si>
  <si>
    <t xml:space="preserve"> Limesand-Limestone</t>
  </si>
  <si>
    <t>TOTAL LIMESAND-LIMESTONE-DOLOMITE</t>
  </si>
  <si>
    <t>MAGNESITE</t>
  </si>
  <si>
    <t>MANGANESE ORE</t>
  </si>
  <si>
    <t>MOLYBDENITE</t>
  </si>
  <si>
    <t>NICKEL INDUSTRY</t>
  </si>
  <si>
    <t>Cobalt By-Product</t>
  </si>
  <si>
    <t>Cobalt Metal</t>
  </si>
  <si>
    <t>Cobalt Sulphide</t>
  </si>
  <si>
    <t>TOTAL COBALT</t>
  </si>
  <si>
    <t>Nickel Concentrate</t>
  </si>
  <si>
    <t>Nickel Metal</t>
  </si>
  <si>
    <t>Nickel Ore</t>
  </si>
  <si>
    <t>Palladium By-Product</t>
  </si>
  <si>
    <t>Platinum By-Product</t>
  </si>
  <si>
    <t>Ruthenium By-Product</t>
  </si>
  <si>
    <t>TOTAL NICKEL INDUSTRY</t>
  </si>
  <si>
    <t>PEAT</t>
  </si>
  <si>
    <t>LPG - Butane</t>
  </si>
  <si>
    <t>LPG - Propane</t>
  </si>
  <si>
    <t>Natural Gas</t>
  </si>
  <si>
    <r>
      <t>'000m</t>
    </r>
    <r>
      <rPr>
        <vertAlign val="superscript"/>
        <sz val="11"/>
        <rFont val="Calibri"/>
        <family val="2"/>
        <scheme val="minor"/>
      </rPr>
      <t>3</t>
    </r>
  </si>
  <si>
    <t xml:space="preserve">TOTAL PETROLEUM </t>
  </si>
  <si>
    <t>PHOSPHATE</t>
  </si>
  <si>
    <t>PIGMENTS</t>
  </si>
  <si>
    <t>Ochre</t>
  </si>
  <si>
    <t>Red Oxide</t>
  </si>
  <si>
    <t>TOTAL PIGMENTS</t>
  </si>
  <si>
    <t>PYRITES (Gold By-Product)</t>
  </si>
  <si>
    <t>SILICA-SILICA SAND</t>
  </si>
  <si>
    <t>Glass Sand</t>
  </si>
  <si>
    <t>Silica</t>
  </si>
  <si>
    <t>Silica Sand</t>
  </si>
  <si>
    <t>TOTAL SILICA-SILICA SAND</t>
  </si>
  <si>
    <t>SOAPSTONE</t>
  </si>
  <si>
    <t>SPONGOLITE</t>
  </si>
  <si>
    <t>TALC</t>
  </si>
  <si>
    <t>TIN-TANTALUM-LITHIUM</t>
  </si>
  <si>
    <t>Petalite</t>
  </si>
  <si>
    <t>Tantalite</t>
  </si>
  <si>
    <t>Tin</t>
  </si>
  <si>
    <t>TOTAL TIN-TANTALUM-LITHIUM</t>
  </si>
  <si>
    <t>TUNGSTEN</t>
  </si>
  <si>
    <t>Scheelite</t>
  </si>
  <si>
    <t>Wolfram</t>
  </si>
  <si>
    <t>TOTAL TUNGSTEN</t>
  </si>
  <si>
    <t>VANADIUM</t>
  </si>
  <si>
    <t>VERMICULITE</t>
  </si>
  <si>
    <t>Quantity And Value Of Minerals And Petroleum Calendar Year</t>
  </si>
  <si>
    <t>Cumulative Total</t>
  </si>
  <si>
    <t>Cumulative Quantity</t>
  </si>
  <si>
    <t>Cumulative Value $</t>
  </si>
  <si>
    <t>nfp</t>
  </si>
  <si>
    <t>GEMS &amp; SEMI-PRECIOUS STONES</t>
  </si>
  <si>
    <t xml:space="preserve"> n/a </t>
  </si>
  <si>
    <t xml:space="preserve">nfp </t>
  </si>
  <si>
    <t>n/a, nfp</t>
  </si>
  <si>
    <t>(May include Manganese, Potash, Rare Earths, Spongolite, Talc, Vanadium, Magnesite, Chromite, Cesium and Feldspar)</t>
  </si>
  <si>
    <t>Historic Quantity And Value Of Minerals And Petroleum Financial Year</t>
  </si>
  <si>
    <t>1984-85</t>
  </si>
  <si>
    <t>1985-86</t>
  </si>
  <si>
    <t>1986-87</t>
  </si>
  <si>
    <t>1987-88</t>
  </si>
  <si>
    <t>1988-89</t>
  </si>
  <si>
    <t>1989-90</t>
  </si>
  <si>
    <t>1990-91</t>
  </si>
  <si>
    <t>1991-92</t>
  </si>
  <si>
    <t>1992-93</t>
  </si>
  <si>
    <t>1993-94</t>
  </si>
  <si>
    <t>1994-95</t>
  </si>
  <si>
    <t>1995-96</t>
  </si>
  <si>
    <t>1996-97</t>
  </si>
  <si>
    <t>1997-98</t>
  </si>
  <si>
    <t>1998-99</t>
  </si>
  <si>
    <t>1999-00</t>
  </si>
  <si>
    <t>2000-01</t>
  </si>
  <si>
    <t>2001-02</t>
  </si>
  <si>
    <t>n.a.</t>
  </si>
  <si>
    <t>Dolomite</t>
  </si>
  <si>
    <t>Limesand-Limestone</t>
  </si>
  <si>
    <t xml:space="preserve">Nickel </t>
  </si>
  <si>
    <t>n.a</t>
  </si>
  <si>
    <t>Quantity And Value Of Minerals And Petroleum Financial Year</t>
  </si>
  <si>
    <t>(May include Manganese, Rare Earths, Potash, Spongolite, Talc, Vanadium, Magnesite, Chromite, Cesium and Feldspar)</t>
  </si>
  <si>
    <t>Western Australia</t>
  </si>
  <si>
    <t>Rest of Australia</t>
  </si>
  <si>
    <t>Rest of World</t>
  </si>
  <si>
    <t>Global Ranking</t>
  </si>
  <si>
    <t>&gt;13</t>
  </si>
  <si>
    <t>Diamonds</t>
  </si>
  <si>
    <t>Manganese</t>
  </si>
  <si>
    <t>Rare Earth Oxides</t>
  </si>
  <si>
    <t>Salt</t>
  </si>
  <si>
    <t>&gt;11</t>
  </si>
  <si>
    <t>Historic Calendar Year</t>
  </si>
  <si>
    <t>Historic Financial Year</t>
  </si>
  <si>
    <t>Annual Prices</t>
  </si>
  <si>
    <t xml:space="preserve">Click above to change chart data    </t>
  </si>
  <si>
    <t>Quantity And Value By Quarter</t>
  </si>
  <si>
    <t/>
  </si>
  <si>
    <t>Quarter</t>
  </si>
  <si>
    <t>Quantity (Mt)</t>
  </si>
  <si>
    <t>Value ($ Million)</t>
  </si>
  <si>
    <t>Alumina And Bauxite Quantity And Value</t>
  </si>
  <si>
    <t>Last 2 Years By Quarter</t>
  </si>
  <si>
    <t>Destination</t>
  </si>
  <si>
    <t>Value ($)</t>
  </si>
  <si>
    <t>Quantity</t>
  </si>
  <si>
    <t>Western Australia (Mt)</t>
  </si>
  <si>
    <t>Rest of Australia (Mt)</t>
  </si>
  <si>
    <t>Last 10 Years</t>
  </si>
  <si>
    <t>Monthly Prices</t>
  </si>
  <si>
    <t>Last 5 Years</t>
  </si>
  <si>
    <t>Quantity And Value</t>
  </si>
  <si>
    <t>Quantity (Kt)</t>
  </si>
  <si>
    <t>Total Contained Gold/Silver</t>
  </si>
  <si>
    <t>Western Australia (Kt)</t>
  </si>
  <si>
    <t>Rest of Australia (Kt)</t>
  </si>
  <si>
    <t>US$ per ounce</t>
  </si>
  <si>
    <t>A$ per ounce</t>
  </si>
  <si>
    <t>Quantity (t)</t>
  </si>
  <si>
    <t>Gold Quantity And Value</t>
  </si>
  <si>
    <t>Western Australia (t)</t>
  </si>
  <si>
    <t>Rest of Australia (t)</t>
  </si>
  <si>
    <t>62% Fines Spot CFR China</t>
  </si>
  <si>
    <t>Iron Ore Quantity And Value</t>
  </si>
  <si>
    <t>Period</t>
  </si>
  <si>
    <t>Value</t>
  </si>
  <si>
    <t>Western Australia ($)</t>
  </si>
  <si>
    <t>Rest of Australia ($)</t>
  </si>
  <si>
    <t>Quantity By Year</t>
  </si>
  <si>
    <t>Coal</t>
  </si>
  <si>
    <t>Platinum Group Elements</t>
  </si>
  <si>
    <t>Quantity (Million ct)</t>
  </si>
  <si>
    <t>Quantity (kg)</t>
  </si>
  <si>
    <t>Select Commodity:</t>
  </si>
  <si>
    <t>Select Period:</t>
  </si>
  <si>
    <t>Last 5 years</t>
  </si>
  <si>
    <t>Brent Crude</t>
  </si>
  <si>
    <t>Tapis Crude</t>
  </si>
  <si>
    <t>Annual Price</t>
  </si>
  <si>
    <t>A$ per GJ</t>
  </si>
  <si>
    <t>Crude Oil And Condensate</t>
  </si>
  <si>
    <t>Combined Total</t>
  </si>
  <si>
    <t>Quantity (GL)</t>
  </si>
  <si>
    <t>Crude Oil And Condensate Quantity And Value</t>
  </si>
  <si>
    <t>LPG - Butane And Propane</t>
  </si>
  <si>
    <t>Quantity (PJ)</t>
  </si>
  <si>
    <t>Quantity (000 cubic metres)</t>
  </si>
  <si>
    <t>Price ($/GJ)</t>
  </si>
  <si>
    <t>LNG Quantity and Value</t>
  </si>
  <si>
    <t>.</t>
  </si>
  <si>
    <t>LPG - Butane and Propane Quantity And Value</t>
  </si>
  <si>
    <t>Domestic Gas Quantity And Value</t>
  </si>
  <si>
    <t>Western Australia (GL)</t>
  </si>
  <si>
    <t>Rest of Australia (GL)</t>
  </si>
  <si>
    <t>Value $</t>
  </si>
  <si>
    <t>Fin Year</t>
  </si>
  <si>
    <t>2023-24</t>
  </si>
  <si>
    <t>Dom Gas</t>
  </si>
  <si>
    <t>Energy Institute Statistical Review of World Energy</t>
  </si>
  <si>
    <t>Annual value of copper-lead-zinc exports from Western Australia by destination (to 2023).</t>
  </si>
  <si>
    <t>Annual value of mineral sands exports from Western Australia by destination (to 2023).</t>
  </si>
  <si>
    <t>Annual value of nickel exports from Western Australia by destination (to 2023).</t>
  </si>
  <si>
    <t>Annual value of exports of petroleum products from Western Australia by destination (to 2023).</t>
  </si>
  <si>
    <t>US$ - London Metal Exchange average monthly cash official via Argus Metals</t>
  </si>
  <si>
    <t>Other Construcion Materials</t>
  </si>
  <si>
    <t>Western Australia Global Production Share And Ranking 2024</t>
  </si>
  <si>
    <r>
      <t>Brent and Tapis Crude Oi</t>
    </r>
    <r>
      <rPr>
        <sz val="11"/>
        <rFont val="Calibri"/>
        <family val="2"/>
        <scheme val="minor"/>
      </rPr>
      <t>l - WA Treasury Corporation</t>
    </r>
  </si>
  <si>
    <t>2024-25</t>
  </si>
  <si>
    <t>China (excludes SARs and Taiwan)</t>
  </si>
  <si>
    <t>Hong Kong (SAR of China)</t>
  </si>
  <si>
    <t>Switzerland (includes Liechtenstein)</t>
  </si>
  <si>
    <t>United Kingdom, Channel Islands and Isle of Man, nfd</t>
  </si>
  <si>
    <t>DMPE</t>
  </si>
  <si>
    <t>Pre 2016, DMPE and National Offshore Petroleum Titles Administrator. From 2016, DMPE, EnergyQuest, Woodside, and Santos</t>
  </si>
  <si>
    <t>Pre 2023-24, DMPE. From 2023-24, ABS</t>
  </si>
  <si>
    <t>DMPE and Office of the Chief Economist (OoCE), Department of Industry, Science and Resources (DISR)</t>
  </si>
  <si>
    <t>DMPE and United States Geological Survey (USGS)</t>
  </si>
  <si>
    <t>Pre 2019-20, DMPE. From 2019-20, ABS and DMPE</t>
  </si>
  <si>
    <t>DMPE and OoCE, DISR</t>
  </si>
  <si>
    <t>DMPE and USGS</t>
  </si>
  <si>
    <t>DMPE and EnergyQuest</t>
  </si>
  <si>
    <t>&gt;6</t>
  </si>
  <si>
    <t>WA Domestic Gas - Department of Treasury and Finance (DTF), DMPE, Woodside, Santos</t>
  </si>
  <si>
    <t>Department of Treasury and Finance (DTF) and DMPE</t>
  </si>
  <si>
    <t>Other (may include Garnet, Monazite, Rutile, Staurolite, Synthetic Rutile, and Heavy Mineral Concentrates)</t>
  </si>
  <si>
    <t>Calendar year commodity production in Western Australia compared to the rest of Australia and the rest of the world (to 2024).</t>
  </si>
  <si>
    <t>Calendar year alumina production in Western Australia compared to the rest of Australia (to 2024).</t>
  </si>
  <si>
    <t>Calendar year copper-lead-zinc production in Western Australia compared to the rest of Australia (to 2024).</t>
  </si>
  <si>
    <t>Calendar year gold production in Western Australia compared to the rest of Australia (to 2024).</t>
  </si>
  <si>
    <t>Calendar year iron ore production in Western Australia compared to the rest of Australia (to 2024).</t>
  </si>
  <si>
    <t>Calendar year nickel production in Western Australia compared to the rest of Australia (to 2024).</t>
  </si>
  <si>
    <t>Calendar year crude oil and condensate production in Western Australia to the rest of Australia (to 2024).</t>
  </si>
  <si>
    <t>Calendar year LNG production in Western Australia compared to the rest of Australia (to 2024).</t>
  </si>
  <si>
    <t>Annual historic mineral sands production in Western Australia compared to the rest of Australia (to 2014).</t>
  </si>
  <si>
    <t>Comparison of the quantity and value of mineral and petroleum sales over the last two years</t>
  </si>
  <si>
    <t>Annual value of spodumene concentrate exports from Western Australia by destination.</t>
  </si>
  <si>
    <t>Liquefied Natural Gas - ABS</t>
  </si>
  <si>
    <t>DMPE, EnergyQuest, BP and Energy Institue</t>
  </si>
  <si>
    <t>Liquefied Natural Gas</t>
  </si>
  <si>
    <t>Liquefied Natural Gas, Liquefied Petroleum Gas - Butane and Propane, and Domestic Gas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</si>
</sst>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0.0000"/>
    <numFmt numFmtId="165" formatCode="0.0%"/>
    <numFmt numFmtId="166" formatCode="_(&quot;$&quot;* #,##0.00_);_(&quot;$&quot;* \(#,##0.00\);_(&quot;$&quot;* &quot;-&quot;??_);_(@_)"/>
    <numFmt numFmtId="167" formatCode="0.0_ ;[Red]\-0.0\ "/>
    <numFmt numFmtId="168" formatCode="0.0"/>
    <numFmt numFmtId="169" formatCode="0_ ;\-0\ "/>
    <numFmt numFmtId="170" formatCode="_-&quot;$&quot;* #,##0_-;\-&quot;$&quot;* #,##0_-;_-&quot;$&quot;* &quot;-&quot;??_-;_-@_-"/>
    <numFmt numFmtId="171" formatCode="_-[$$-C09]* #,##0_-;\-[$$-C09]* #,##0_-;_-[$$-C09]* &quot;-&quot;_-;_-@_-"/>
    <numFmt numFmtId="172" formatCode="&quot;$&quot;#,##0.00"/>
    <numFmt numFmtId="173" formatCode="[$-C09]d\ mmmm\ yyyy;@"/>
    <numFmt numFmtId="174" formatCode="_(* #,##0.00_);_(* \(#,##0.00\);_(* &quot;-&quot;??_);_(@_)"/>
    <numFmt numFmtId="175" formatCode="&quot;$&quot;#,##0"/>
    <numFmt numFmtId="176" formatCode="&quot;$&quot;#,##0_);[Red]\(&quot;$&quot;#,##0\)"/>
    <numFmt numFmtId="177" formatCode="_-* #,##0_-;\-* #,##0_-;_-* &quot;-&quot;??_-;_-@_-"/>
    <numFmt numFmtId="178" formatCode="#,##0.000"/>
    <numFmt numFmtId="179" formatCode="#,##0.0000"/>
    <numFmt numFmtId="180" formatCode="0.000"/>
    <numFmt numFmtId="181" formatCode="yyyy"/>
    <numFmt numFmtId="182" formatCode="&quot;$&quot;#,##0.00_);[Red]\(&quot;$&quot;#,##0.00\)"/>
    <numFmt numFmtId="183" formatCode="#,##0.0%;[Red]\-#,##0.0%"/>
  </numFmts>
  <fonts count="90" x14ac:knownFonts="1">
    <font>
      <sz val="11"/>
      <color theme="1"/>
      <name val="Calibri"/>
      <family val="2"/>
      <scheme val="minor"/>
    </font>
    <font>
      <sz val="11"/>
      <color theme="1"/>
      <name val="Calibri"/>
      <family val="2"/>
      <scheme val="minor"/>
    </font>
    <font>
      <b/>
      <sz val="11"/>
      <color theme="3"/>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0"/>
      <color theme="10"/>
      <name val="Arial"/>
      <family val="2"/>
    </font>
    <font>
      <u/>
      <sz val="11"/>
      <color theme="3" tint="0.39997558519241921"/>
      <name val="Calibri"/>
      <family val="2"/>
      <scheme val="minor"/>
    </font>
    <font>
      <sz val="11"/>
      <name val="Calibri"/>
      <family val="2"/>
      <scheme val="minor"/>
    </font>
    <font>
      <b/>
      <sz val="11"/>
      <name val="Calibri"/>
      <family val="2"/>
      <scheme val="minor"/>
    </font>
    <font>
      <sz val="11"/>
      <color theme="3" tint="0.39997558519241921"/>
      <name val="Calibri"/>
      <family val="2"/>
      <scheme val="minor"/>
    </font>
    <font>
      <sz val="11"/>
      <color rgb="FF0000FF"/>
      <name val="Calibri"/>
      <family val="2"/>
      <scheme val="minor"/>
    </font>
    <font>
      <sz val="2"/>
      <color theme="0"/>
      <name val="Calibri"/>
      <family val="2"/>
      <scheme val="minor"/>
    </font>
    <font>
      <b/>
      <sz val="10"/>
      <color theme="0"/>
      <name val="Arial"/>
      <family val="2"/>
    </font>
    <font>
      <sz val="10"/>
      <name val="Arial"/>
      <family val="2"/>
    </font>
    <font>
      <i/>
      <sz val="11"/>
      <color theme="1"/>
      <name val="Calibri"/>
      <family val="2"/>
      <scheme val="minor"/>
    </font>
    <font>
      <i/>
      <sz val="11"/>
      <color theme="0"/>
      <name val="Calibri"/>
      <family val="2"/>
      <scheme val="minor"/>
    </font>
    <font>
      <b/>
      <sz val="10"/>
      <color rgb="FFFF0000"/>
      <name val="Arial"/>
      <family val="2"/>
    </font>
    <font>
      <sz val="10"/>
      <color theme="0"/>
      <name val="Arial"/>
      <family val="2"/>
    </font>
    <font>
      <sz val="2"/>
      <color theme="1"/>
      <name val="Calibri"/>
      <family val="2"/>
      <scheme val="minor"/>
    </font>
    <font>
      <sz val="2"/>
      <color theme="0"/>
      <name val="Arial"/>
      <family val="2"/>
    </font>
    <font>
      <sz val="2"/>
      <name val="Arial"/>
      <family val="2"/>
    </font>
    <font>
      <b/>
      <sz val="10"/>
      <name val="Arial"/>
      <family val="2"/>
    </font>
    <font>
      <sz val="10"/>
      <name val="MS Sans Serif"/>
      <family val="2"/>
    </font>
    <font>
      <sz val="10"/>
      <color indexed="10"/>
      <name val="Arial"/>
      <family val="2"/>
    </font>
    <font>
      <sz val="9"/>
      <color rgb="FFFF0000"/>
      <name val="Calibri"/>
      <family val="2"/>
      <scheme val="minor"/>
    </font>
    <font>
      <sz val="12"/>
      <color rgb="FFFF0000"/>
      <name val="Calibri"/>
      <family val="2"/>
      <scheme val="minor"/>
    </font>
    <font>
      <b/>
      <sz val="22"/>
      <color rgb="FFFF0000"/>
      <name val="Calibri"/>
      <family val="2"/>
      <scheme val="minor"/>
    </font>
    <font>
      <b/>
      <sz val="9"/>
      <name val="Calibri"/>
      <family val="2"/>
      <scheme val="minor"/>
    </font>
    <font>
      <b/>
      <sz val="9"/>
      <color indexed="12"/>
      <name val="Calibri"/>
      <family val="2"/>
      <scheme val="minor"/>
    </font>
    <font>
      <sz val="9"/>
      <name val="Calibri"/>
      <family val="2"/>
      <scheme val="minor"/>
    </font>
    <font>
      <sz val="9"/>
      <color rgb="FF002060"/>
      <name val="Calibri"/>
      <family val="2"/>
      <scheme val="minor"/>
    </font>
    <font>
      <sz val="9"/>
      <color indexed="16"/>
      <name val="Calibri"/>
      <family val="2"/>
      <scheme val="minor"/>
    </font>
    <font>
      <sz val="9"/>
      <color indexed="12"/>
      <name val="Calibri"/>
      <family val="2"/>
      <scheme val="minor"/>
    </font>
    <font>
      <sz val="9"/>
      <color indexed="21"/>
      <name val="Calibri"/>
      <family val="2"/>
      <scheme val="minor"/>
    </font>
    <font>
      <b/>
      <i/>
      <sz val="11"/>
      <color theme="0"/>
      <name val="Calibri"/>
      <family val="2"/>
      <scheme val="minor"/>
    </font>
    <font>
      <sz val="8"/>
      <color theme="0"/>
      <name val="Calibri"/>
      <family val="2"/>
      <scheme val="minor"/>
    </font>
    <font>
      <sz val="12"/>
      <color theme="0"/>
      <name val="Calibri"/>
      <family val="2"/>
      <scheme val="minor"/>
    </font>
    <font>
      <sz val="11"/>
      <color theme="3"/>
      <name val="Calibri"/>
      <family val="2"/>
      <scheme val="minor"/>
    </font>
    <font>
      <sz val="18"/>
      <color rgb="FFFF0000"/>
      <name val="Calibri"/>
      <family val="2"/>
      <scheme val="minor"/>
    </font>
    <font>
      <sz val="8"/>
      <color rgb="FFFF0000"/>
      <name val="Calibri"/>
      <family val="2"/>
      <scheme val="minor"/>
    </font>
    <font>
      <b/>
      <i/>
      <sz val="11"/>
      <color rgb="FFFF0000"/>
      <name val="Calibri"/>
      <family val="2"/>
      <scheme val="minor"/>
    </font>
    <font>
      <b/>
      <sz val="11"/>
      <color rgb="FF0070C0"/>
      <name val="Calibri"/>
      <family val="2"/>
      <scheme val="minor"/>
    </font>
    <font>
      <sz val="11"/>
      <color rgb="FF000000"/>
      <name val="Calibri"/>
      <family val="2"/>
      <scheme val="minor"/>
    </font>
    <font>
      <sz val="11"/>
      <color indexed="10"/>
      <name val="Calibri"/>
      <family val="2"/>
      <scheme val="minor"/>
    </font>
    <font>
      <b/>
      <sz val="11"/>
      <color indexed="10"/>
      <name val="Calibri"/>
      <family val="2"/>
      <scheme val="minor"/>
    </font>
    <font>
      <b/>
      <sz val="11"/>
      <color indexed="12"/>
      <name val="Calibri"/>
      <family val="2"/>
      <scheme val="minor"/>
    </font>
    <font>
      <sz val="11"/>
      <color indexed="17"/>
      <name val="Calibri"/>
      <family val="2"/>
      <scheme val="minor"/>
    </font>
    <font>
      <sz val="11"/>
      <color indexed="8"/>
      <name val="Calibri"/>
      <family val="2"/>
      <scheme val="minor"/>
    </font>
    <font>
      <sz val="11"/>
      <color indexed="21"/>
      <name val="Calibri"/>
      <family val="2"/>
      <scheme val="minor"/>
    </font>
    <font>
      <b/>
      <sz val="11"/>
      <color indexed="8"/>
      <name val="Calibri"/>
      <family val="2"/>
      <scheme val="minor"/>
    </font>
    <font>
      <sz val="11"/>
      <color indexed="12"/>
      <name val="Calibri"/>
      <family val="2"/>
      <scheme val="minor"/>
    </font>
    <font>
      <vertAlign val="superscript"/>
      <sz val="11"/>
      <name val="Calibri"/>
      <family val="2"/>
      <scheme val="minor"/>
    </font>
    <font>
      <b/>
      <sz val="10"/>
      <color indexed="81"/>
      <name val="Tahoma"/>
      <family val="2"/>
    </font>
    <font>
      <sz val="10"/>
      <color indexed="81"/>
      <name val="Tahoma"/>
      <family val="2"/>
    </font>
    <font>
      <b/>
      <sz val="9"/>
      <color indexed="81"/>
      <name val="Tahoma"/>
      <family val="2"/>
    </font>
    <font>
      <b/>
      <sz val="8"/>
      <color indexed="81"/>
      <name val="Tahoma"/>
      <family val="2"/>
    </font>
    <font>
      <sz val="8"/>
      <color indexed="81"/>
      <name val="Tahoma"/>
      <family val="2"/>
    </font>
    <font>
      <sz val="11"/>
      <color indexed="16"/>
      <name val="Calibri"/>
      <family val="2"/>
      <scheme val="minor"/>
    </font>
    <font>
      <sz val="11"/>
      <name val="Calibri"/>
      <family val="2"/>
    </font>
    <font>
      <sz val="10"/>
      <color theme="1"/>
      <name val="Arial"/>
      <family val="2"/>
    </font>
    <font>
      <b/>
      <sz val="11"/>
      <color rgb="FFFF0000"/>
      <name val="Calibri"/>
      <family val="2"/>
      <scheme val="minor"/>
    </font>
    <font>
      <b/>
      <sz val="11"/>
      <color theme="9" tint="-0.499984740745262"/>
      <name val="Calibri"/>
      <family val="2"/>
      <scheme val="minor"/>
    </font>
    <font>
      <sz val="11"/>
      <color theme="9" tint="-0.249977111117893"/>
      <name val="Calibri"/>
      <family val="2"/>
      <scheme val="minor"/>
    </font>
    <font>
      <sz val="11"/>
      <color theme="5" tint="-0.499984740745262"/>
      <name val="Calibri"/>
      <family val="2"/>
      <scheme val="minor"/>
    </font>
    <font>
      <sz val="11"/>
      <color rgb="FF00B050"/>
      <name val="Calibri"/>
      <family val="2"/>
      <scheme val="minor"/>
    </font>
    <font>
      <b/>
      <sz val="11"/>
      <color rgb="FF00B050"/>
      <name val="Calibri"/>
      <family val="2"/>
      <scheme val="minor"/>
    </font>
    <font>
      <b/>
      <sz val="11"/>
      <color rgb="FFFFFFCC"/>
      <name val="Calibri"/>
      <family val="2"/>
      <scheme val="minor"/>
    </font>
    <font>
      <sz val="11"/>
      <color theme="2" tint="-0.499984740745262"/>
      <name val="Calibri"/>
      <family val="2"/>
      <scheme val="minor"/>
    </font>
    <font>
      <b/>
      <sz val="11"/>
      <color theme="2" tint="-0.499984740745262"/>
      <name val="Calibri"/>
      <family val="2"/>
      <scheme val="minor"/>
    </font>
    <font>
      <sz val="3"/>
      <color theme="0"/>
      <name val="Calibri"/>
      <family val="2"/>
      <scheme val="minor"/>
    </font>
    <font>
      <sz val="11"/>
      <color theme="5"/>
      <name val="Calibri"/>
      <family val="2"/>
      <scheme val="minor"/>
    </font>
    <font>
      <sz val="9"/>
      <color theme="1"/>
      <name val="Calibri"/>
      <family val="2"/>
      <scheme val="minor"/>
    </font>
    <font>
      <sz val="12"/>
      <name val="Calibri"/>
      <family val="2"/>
      <scheme val="minor"/>
    </font>
    <font>
      <b/>
      <sz val="12"/>
      <color rgb="FFFF0000"/>
      <name val="Calibri"/>
      <family val="2"/>
      <scheme val="minor"/>
    </font>
    <font>
      <i/>
      <sz val="9"/>
      <color theme="5"/>
      <name val="Calibri"/>
      <family val="2"/>
      <scheme val="minor"/>
    </font>
    <font>
      <sz val="8"/>
      <color theme="1"/>
      <name val="Calibri"/>
      <family val="2"/>
      <scheme val="minor"/>
    </font>
    <font>
      <sz val="10"/>
      <color rgb="FFFF0000"/>
      <name val="Calibri"/>
      <family val="2"/>
      <scheme val="minor"/>
    </font>
    <font>
      <i/>
      <sz val="10"/>
      <color rgb="FFFF0000"/>
      <name val="Calibri"/>
      <family val="2"/>
      <scheme val="minor"/>
    </font>
    <font>
      <sz val="11"/>
      <color rgb="FF33CC33"/>
      <name val="Calibri"/>
      <family val="2"/>
      <scheme val="minor"/>
    </font>
    <font>
      <sz val="11"/>
      <color theme="0" tint="-4.9989318521683403E-2"/>
      <name val="Calibri"/>
      <family val="2"/>
      <scheme val="minor"/>
    </font>
    <font>
      <b/>
      <sz val="11"/>
      <color theme="0" tint="-4.9989318521683403E-2"/>
      <name val="Calibri"/>
      <family val="2"/>
      <scheme val="minor"/>
    </font>
    <font>
      <sz val="10"/>
      <color theme="0"/>
      <name val="Calibri"/>
      <family val="2"/>
      <scheme val="minor"/>
    </font>
    <font>
      <sz val="11"/>
      <color rgb="FFFFFF00"/>
      <name val="Calibri"/>
      <family val="2"/>
      <scheme val="minor"/>
    </font>
    <font>
      <b/>
      <sz val="16"/>
      <color rgb="FFFF0000"/>
      <name val="Calibri"/>
      <family val="2"/>
      <scheme val="minor"/>
    </font>
    <font>
      <b/>
      <sz val="11"/>
      <color rgb="FFFFFF00"/>
      <name val="Calibri"/>
      <family val="2"/>
      <scheme val="minor"/>
    </font>
    <font>
      <sz val="18"/>
      <name val="Calibri"/>
      <family val="2"/>
      <scheme val="minor"/>
    </font>
    <font>
      <sz val="8"/>
      <name val="Calibri"/>
      <family val="2"/>
      <scheme val="minor"/>
    </font>
    <font>
      <b/>
      <sz val="10"/>
      <color theme="0"/>
      <name val="Calibri"/>
      <family val="2"/>
      <scheme val="minor"/>
    </font>
  </fonts>
  <fills count="74">
    <fill>
      <patternFill patternType="none"/>
    </fill>
    <fill>
      <patternFill patternType="gray125"/>
    </fill>
    <fill>
      <patternFill patternType="solid">
        <fgColor theme="6" tint="0.79998168889431442"/>
        <bgColor indexed="64"/>
      </patternFill>
    </fill>
    <fill>
      <patternFill patternType="solid">
        <fgColor rgb="FFFAD6F2"/>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E7C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5D9F1"/>
        <bgColor indexed="64"/>
      </patternFill>
    </fill>
    <fill>
      <patternFill patternType="solid">
        <fgColor theme="5"/>
        <bgColor indexed="64"/>
      </patternFill>
    </fill>
    <fill>
      <patternFill patternType="solid">
        <fgColor theme="6"/>
        <bgColor indexed="64"/>
      </patternFill>
    </fill>
    <fill>
      <patternFill patternType="solid">
        <fgColor theme="5" tint="-0.499984740745262"/>
        <bgColor indexed="64"/>
      </patternFill>
    </fill>
    <fill>
      <patternFill patternType="solid">
        <fgColor theme="9"/>
        <bgColor indexed="64"/>
      </patternFill>
    </fill>
    <fill>
      <patternFill patternType="solid">
        <fgColor theme="0"/>
        <bgColor indexed="64"/>
      </patternFill>
    </fill>
    <fill>
      <patternFill patternType="solid">
        <fgColor theme="8" tint="0.59999389629810485"/>
        <bgColor indexed="64"/>
      </patternFill>
    </fill>
    <fill>
      <patternFill patternType="solid">
        <fgColor rgb="FFC8E6EE"/>
        <bgColor indexed="64"/>
      </patternFill>
    </fill>
    <fill>
      <patternFill patternType="solid">
        <fgColor theme="0" tint="-4.9989318521683403E-2"/>
        <bgColor indexed="64"/>
      </patternFill>
    </fill>
    <fill>
      <patternFill patternType="solid">
        <fgColor theme="4" tint="0.79998168889431442"/>
        <bgColor theme="6" tint="0.79998168889431442"/>
      </patternFill>
    </fill>
    <fill>
      <patternFill patternType="solid">
        <fgColor theme="8" tint="0.39997558519241921"/>
        <bgColor indexed="64"/>
      </patternFill>
    </fill>
    <fill>
      <patternFill patternType="solid">
        <fgColor indexed="26"/>
        <bgColor indexed="64"/>
      </patternFill>
    </fill>
    <fill>
      <patternFill patternType="solid">
        <fgColor rgb="FFFFFF99"/>
        <bgColor indexed="64"/>
      </patternFill>
    </fill>
    <fill>
      <patternFill patternType="solid">
        <fgColor rgb="FF9BBB59"/>
        <bgColor theme="6"/>
      </patternFill>
    </fill>
    <fill>
      <patternFill patternType="solid">
        <fgColor theme="6"/>
        <bgColor theme="6"/>
      </patternFill>
    </fill>
    <fill>
      <patternFill patternType="solid">
        <fgColor rgb="FF9BBB59"/>
        <bgColor theme="6" tint="0.79998168889431442"/>
      </patternFill>
    </fill>
    <fill>
      <patternFill patternType="solid">
        <fgColor rgb="FF9BBB59"/>
        <bgColor indexed="64"/>
      </patternFill>
    </fill>
    <fill>
      <patternFill patternType="solid">
        <fgColor theme="6" tint="0.79998168889431442"/>
        <bgColor theme="6" tint="0.79998168889431442"/>
      </patternFill>
    </fill>
    <fill>
      <patternFill patternType="solid">
        <fgColor rgb="FFFF66CC"/>
        <bgColor indexed="64"/>
      </patternFill>
    </fill>
    <fill>
      <patternFill patternType="solid">
        <fgColor rgb="FFFF66CC"/>
        <bgColor theme="6"/>
      </patternFill>
    </fill>
    <fill>
      <patternFill patternType="solid">
        <fgColor rgb="FFFF66CC"/>
        <bgColor theme="6" tint="0.79998168889431442"/>
      </patternFill>
    </fill>
    <fill>
      <patternFill patternType="solid">
        <fgColor rgb="FFFAD6F2"/>
        <bgColor theme="6" tint="0.79998168889431442"/>
      </patternFill>
    </fill>
    <fill>
      <patternFill patternType="solid">
        <fgColor rgb="FFC89600"/>
        <bgColor theme="6"/>
      </patternFill>
    </fill>
    <fill>
      <patternFill patternType="solid">
        <fgColor rgb="FFC89600"/>
        <bgColor indexed="64"/>
      </patternFill>
    </fill>
    <fill>
      <patternFill patternType="solid">
        <fgColor rgb="FFC89600"/>
        <bgColor theme="6" tint="0.79998168889431442"/>
      </patternFill>
    </fill>
    <fill>
      <patternFill patternType="solid">
        <fgColor rgb="FFFFFF99"/>
        <bgColor theme="6" tint="0.79998168889431442"/>
      </patternFill>
    </fill>
    <fill>
      <patternFill patternType="solid">
        <fgColor rgb="FFC0504D"/>
        <bgColor indexed="64"/>
      </patternFill>
    </fill>
    <fill>
      <patternFill patternType="solid">
        <fgColor theme="5"/>
        <bgColor theme="6"/>
      </patternFill>
    </fill>
    <fill>
      <patternFill patternType="solid">
        <fgColor rgb="FFC0504D"/>
        <bgColor theme="6" tint="0.79998168889431442"/>
      </patternFill>
    </fill>
    <fill>
      <patternFill patternType="solid">
        <fgColor rgb="FFF2DCDB"/>
        <bgColor indexed="64"/>
      </patternFill>
    </fill>
    <fill>
      <patternFill patternType="solid">
        <fgColor rgb="FFFF870F"/>
        <bgColor indexed="64"/>
      </patternFill>
    </fill>
    <fill>
      <patternFill patternType="solid">
        <fgColor rgb="FFFF870F"/>
        <bgColor theme="6"/>
      </patternFill>
    </fill>
    <fill>
      <patternFill patternType="solid">
        <fgColor rgb="FFFF870F"/>
        <bgColor theme="6" tint="0.79998168889431442"/>
      </patternFill>
    </fill>
    <fill>
      <patternFill patternType="solid">
        <fgColor rgb="FFFFE7CF"/>
        <bgColor theme="6" tint="0.79998168889431442"/>
      </patternFill>
    </fill>
    <fill>
      <patternFill patternType="solid">
        <fgColor rgb="FF8064A2"/>
        <bgColor theme="6"/>
      </patternFill>
    </fill>
    <fill>
      <patternFill patternType="solid">
        <fgColor theme="7"/>
        <bgColor theme="6"/>
      </patternFill>
    </fill>
    <fill>
      <patternFill patternType="solid">
        <fgColor rgb="FF8064A2"/>
        <bgColor theme="6" tint="0.79998168889431442"/>
      </patternFill>
    </fill>
    <fill>
      <patternFill patternType="solid">
        <fgColor rgb="FF8064A2"/>
        <bgColor indexed="64"/>
      </patternFill>
    </fill>
    <fill>
      <patternFill patternType="solid">
        <fgColor theme="7" tint="0.79998168889431442"/>
        <bgColor theme="6" tint="0.79998168889431442"/>
      </patternFill>
    </fill>
    <fill>
      <patternFill patternType="solid">
        <fgColor theme="7"/>
        <bgColor indexed="64"/>
      </patternFill>
    </fill>
    <fill>
      <patternFill patternType="solid">
        <fgColor rgb="FF4F81BD"/>
        <bgColor theme="6"/>
      </patternFill>
    </fill>
    <fill>
      <patternFill patternType="solid">
        <fgColor theme="4"/>
        <bgColor theme="6"/>
      </patternFill>
    </fill>
    <fill>
      <patternFill patternType="solid">
        <fgColor rgb="FF4F81BD"/>
        <bgColor theme="6" tint="0.79998168889431442"/>
      </patternFill>
    </fill>
    <fill>
      <patternFill patternType="solid">
        <fgColor rgb="FF4F81BD"/>
        <bgColor indexed="64"/>
      </patternFill>
    </fill>
    <fill>
      <patternFill patternType="solid">
        <fgColor theme="4"/>
        <bgColor indexed="64"/>
      </patternFill>
    </fill>
    <fill>
      <patternFill patternType="solid">
        <fgColor theme="0" tint="-0.499984740745262"/>
        <bgColor indexed="64"/>
      </patternFill>
    </fill>
    <fill>
      <patternFill patternType="solid">
        <fgColor theme="0" tint="-0.499984740745262"/>
        <bgColor theme="6"/>
      </patternFill>
    </fill>
    <fill>
      <patternFill patternType="solid">
        <fgColor theme="0" tint="-0.14999847407452621"/>
        <bgColor theme="6" tint="0.79998168889431442"/>
      </patternFill>
    </fill>
    <fill>
      <patternFill patternType="solid">
        <fgColor theme="8"/>
        <bgColor theme="6"/>
      </patternFill>
    </fill>
    <fill>
      <patternFill patternType="solid">
        <fgColor rgb="FF4BACC6"/>
        <bgColor theme="6" tint="0.79998168889431442"/>
      </patternFill>
    </fill>
    <fill>
      <patternFill patternType="solid">
        <fgColor rgb="FF4BACC6"/>
        <bgColor indexed="64"/>
      </patternFill>
    </fill>
    <fill>
      <patternFill patternType="solid">
        <fgColor theme="8" tint="0.79998168889431442"/>
        <bgColor theme="6" tint="0.79998168889431442"/>
      </patternFill>
    </fill>
    <fill>
      <patternFill patternType="solid">
        <fgColor theme="0"/>
        <bgColor theme="6" tint="0.79998168889431442"/>
      </patternFill>
    </fill>
    <fill>
      <patternFill patternType="solid">
        <fgColor theme="8"/>
        <bgColor indexed="64"/>
      </patternFill>
    </fill>
    <fill>
      <patternFill patternType="solid">
        <fgColor rgb="FF4BACC6"/>
        <bgColor theme="6"/>
      </patternFill>
    </fill>
    <fill>
      <patternFill patternType="solid">
        <fgColor rgb="FFE4DFEC"/>
        <bgColor indexed="64"/>
      </patternFill>
    </fill>
    <fill>
      <patternFill patternType="solid">
        <fgColor rgb="FFDAEEF3"/>
        <bgColor indexed="64"/>
      </patternFill>
    </fill>
    <fill>
      <patternFill patternType="solid">
        <fgColor rgb="FFDCE6F1"/>
        <bgColor indexed="64"/>
      </patternFill>
    </fill>
  </fills>
  <borders count="7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5">
    <xf numFmtId="0" fontId="0" fillId="0" borderId="0"/>
    <xf numFmtId="174" fontId="1" fillId="0" borderId="0" applyFont="0" applyFill="0" applyBorder="0" applyAlignment="0" applyProtection="0"/>
    <xf numFmtId="166" fontId="44" fillId="0" borderId="0" applyFont="0" applyFill="0" applyBorder="0" applyAlignment="0" applyProtection="0"/>
    <xf numFmtId="9" fontId="15"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9" fontId="24" fillId="0" borderId="0" applyFont="0" applyFill="0" applyBorder="0" applyAlignment="0" applyProtection="0"/>
    <xf numFmtId="9" fontId="24" fillId="0" borderId="0" applyFont="0" applyFill="0" applyBorder="0" applyAlignment="0" applyProtection="0"/>
    <xf numFmtId="0" fontId="15" fillId="0" borderId="0"/>
    <xf numFmtId="9" fontId="1"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4" fontId="15" fillId="0" borderId="0" applyFont="0" applyFill="0" applyBorder="0" applyAlignment="0" applyProtection="0"/>
    <xf numFmtId="174" fontId="15" fillId="0" borderId="0" applyFont="0" applyFill="0" applyBorder="0" applyAlignment="0" applyProtection="0"/>
    <xf numFmtId="0" fontId="15" fillId="0" borderId="0"/>
    <xf numFmtId="0" fontId="15" fillId="0" borderId="0"/>
    <xf numFmtId="182" fontId="24" fillId="0" borderId="0" applyFont="0" applyFill="0" applyBorder="0" applyAlignment="0" applyProtection="0"/>
    <xf numFmtId="0" fontId="15" fillId="0" borderId="0"/>
  </cellStyleXfs>
  <cellXfs count="1521">
    <xf numFmtId="0" fontId="0" fillId="0" borderId="0" xfId="0"/>
    <xf numFmtId="0" fontId="9" fillId="0" borderId="0" xfId="4" applyFont="1" applyFill="1"/>
    <xf numFmtId="0" fontId="4" fillId="0" borderId="0" xfId="0" applyFont="1"/>
    <xf numFmtId="0" fontId="0" fillId="2" borderId="0" xfId="0" applyFill="1"/>
    <xf numFmtId="0" fontId="8" fillId="2" borderId="0" xfId="4" applyFont="1" applyFill="1"/>
    <xf numFmtId="0" fontId="0" fillId="3" borderId="0" xfId="0" applyFill="1"/>
    <xf numFmtId="0" fontId="8" fillId="3" borderId="0" xfId="4" applyFont="1" applyFill="1"/>
    <xf numFmtId="0" fontId="0" fillId="4" borderId="0" xfId="0" applyFill="1"/>
    <xf numFmtId="0" fontId="8" fillId="4" borderId="0" xfId="4" applyFont="1" applyFill="1"/>
    <xf numFmtId="0" fontId="0" fillId="5" borderId="0" xfId="0" applyFill="1"/>
    <xf numFmtId="0" fontId="8" fillId="5" borderId="0" xfId="4" applyFont="1" applyFill="1"/>
    <xf numFmtId="0" fontId="9" fillId="5" borderId="0" xfId="4" applyFont="1" applyFill="1"/>
    <xf numFmtId="0" fontId="0" fillId="6" borderId="0" xfId="0" applyFill="1"/>
    <xf numFmtId="0" fontId="8" fillId="7" borderId="0" xfId="4" applyFont="1" applyFill="1"/>
    <xf numFmtId="0" fontId="9" fillId="7" borderId="0" xfId="4" applyFont="1" applyFill="1"/>
    <xf numFmtId="0" fontId="0" fillId="8" borderId="0" xfId="0" applyFill="1"/>
    <xf numFmtId="0" fontId="8" fillId="8" borderId="0" xfId="4" applyFont="1" applyFill="1"/>
    <xf numFmtId="0" fontId="9" fillId="8" borderId="0" xfId="4" applyFont="1" applyFill="1"/>
    <xf numFmtId="0" fontId="0" fillId="9" borderId="0" xfId="0" applyFill="1"/>
    <xf numFmtId="0" fontId="9" fillId="9" borderId="0" xfId="4" applyFont="1" applyFill="1"/>
    <xf numFmtId="0" fontId="0" fillId="10" borderId="0" xfId="0" applyFill="1"/>
    <xf numFmtId="0" fontId="8" fillId="10" borderId="0" xfId="4" applyFont="1" applyFill="1"/>
    <xf numFmtId="0" fontId="9" fillId="10" borderId="0" xfId="4" applyFont="1" applyFill="1"/>
    <xf numFmtId="0" fontId="0" fillId="11" borderId="0" xfId="0" applyFill="1"/>
    <xf numFmtId="0" fontId="8" fillId="11" borderId="0" xfId="4" applyFont="1" applyFill="1"/>
    <xf numFmtId="0" fontId="9" fillId="11" borderId="0" xfId="4" applyFont="1" applyFill="1"/>
    <xf numFmtId="0" fontId="0" fillId="11" borderId="0" xfId="4" applyFont="1" applyFill="1"/>
    <xf numFmtId="0" fontId="10" fillId="0" borderId="0" xfId="0" applyFont="1"/>
    <xf numFmtId="0" fontId="5" fillId="0" borderId="0" xfId="0" applyFont="1"/>
    <xf numFmtId="0" fontId="9" fillId="0" borderId="0" xfId="0" applyFont="1"/>
    <xf numFmtId="0" fontId="8" fillId="0" borderId="0" xfId="4" applyFont="1"/>
    <xf numFmtId="0" fontId="9" fillId="2" borderId="0" xfId="0" applyFont="1" applyFill="1"/>
    <xf numFmtId="0" fontId="9" fillId="3" borderId="0" xfId="0" applyFont="1" applyFill="1"/>
    <xf numFmtId="0" fontId="9" fillId="4" borderId="0" xfId="0" applyFont="1" applyFill="1"/>
    <xf numFmtId="0" fontId="9" fillId="5" borderId="0" xfId="0" applyFont="1" applyFill="1"/>
    <xf numFmtId="0" fontId="9" fillId="6" borderId="0" xfId="0" applyFont="1" applyFill="1"/>
    <xf numFmtId="0" fontId="8" fillId="6" borderId="0" xfId="4" applyFont="1" applyFill="1"/>
    <xf numFmtId="0" fontId="9" fillId="7" borderId="0" xfId="0" applyFont="1" applyFill="1"/>
    <xf numFmtId="0" fontId="9" fillId="8" borderId="0" xfId="0" applyFont="1" applyFill="1"/>
    <xf numFmtId="0" fontId="9" fillId="12" borderId="0" xfId="0" applyFont="1" applyFill="1"/>
    <xf numFmtId="0" fontId="0" fillId="12" borderId="0" xfId="0" applyFill="1"/>
    <xf numFmtId="0" fontId="8" fillId="12" borderId="0" xfId="4" applyFont="1" applyFill="1"/>
    <xf numFmtId="0" fontId="9" fillId="13" borderId="0" xfId="0" applyFont="1" applyFill="1"/>
    <xf numFmtId="0" fontId="9" fillId="11" borderId="0" xfId="0" applyFont="1" applyFill="1"/>
    <xf numFmtId="0" fontId="11" fillId="11" borderId="0" xfId="0" applyFont="1" applyFill="1"/>
    <xf numFmtId="0" fontId="9" fillId="14" borderId="0" xfId="0" applyFont="1" applyFill="1"/>
    <xf numFmtId="0" fontId="12" fillId="14" borderId="0" xfId="0" applyFont="1" applyFill="1"/>
    <xf numFmtId="0" fontId="8" fillId="14" borderId="0" xfId="4" applyFont="1" applyFill="1" applyBorder="1" applyAlignment="1" applyProtection="1">
      <alignment horizontal="left"/>
    </xf>
    <xf numFmtId="0" fontId="8" fillId="14" borderId="0" xfId="4" applyFont="1" applyFill="1"/>
    <xf numFmtId="0" fontId="11" fillId="3" borderId="0" xfId="0" applyFont="1" applyFill="1"/>
    <xf numFmtId="0" fontId="8" fillId="4" borderId="0" xfId="4" applyFont="1" applyFill="1" applyBorder="1" applyAlignment="1" applyProtection="1">
      <alignment horizontal="left"/>
    </xf>
    <xf numFmtId="0" fontId="8" fillId="5" borderId="0" xfId="4" applyFont="1" applyFill="1" applyBorder="1" applyAlignment="1" applyProtection="1">
      <alignment horizontal="left"/>
    </xf>
    <xf numFmtId="0" fontId="0" fillId="15" borderId="0" xfId="0" applyFill="1"/>
    <xf numFmtId="0" fontId="9" fillId="15" borderId="0" xfId="0" applyFont="1" applyFill="1"/>
    <xf numFmtId="0" fontId="8" fillId="15" borderId="0" xfId="4" applyFont="1" applyFill="1"/>
    <xf numFmtId="0" fontId="8" fillId="15" borderId="0" xfId="4" applyFont="1" applyFill="1" applyBorder="1" applyAlignment="1" applyProtection="1">
      <alignment horizontal="left"/>
    </xf>
    <xf numFmtId="0" fontId="8" fillId="16" borderId="0" xfId="4" applyFont="1" applyFill="1"/>
    <xf numFmtId="0" fontId="8" fillId="16" borderId="0" xfId="4" applyFont="1" applyFill="1" applyBorder="1" applyAlignment="1" applyProtection="1">
      <alignment horizontal="left"/>
    </xf>
    <xf numFmtId="0" fontId="13" fillId="0" borderId="0" xfId="0" applyFont="1"/>
    <xf numFmtId="0" fontId="3" fillId="18" borderId="1" xfId="0" applyFont="1" applyFill="1" applyBorder="1"/>
    <xf numFmtId="0" fontId="15" fillId="0" borderId="0" xfId="5"/>
    <xf numFmtId="0" fontId="18" fillId="0" borderId="0" xfId="5" applyFont="1"/>
    <xf numFmtId="0" fontId="19" fillId="0" borderId="0" xfId="5" applyFont="1"/>
    <xf numFmtId="0" fontId="19" fillId="0" borderId="0" xfId="6" applyFont="1"/>
    <xf numFmtId="0" fontId="6" fillId="0" borderId="0" xfId="0" applyFont="1"/>
    <xf numFmtId="0" fontId="20" fillId="0" borderId="0" xfId="0" applyFont="1"/>
    <xf numFmtId="0" fontId="21" fillId="0" borderId="0" xfId="0" applyFont="1"/>
    <xf numFmtId="0" fontId="22" fillId="0" borderId="0" xfId="5" applyFont="1"/>
    <xf numFmtId="0" fontId="21" fillId="0" borderId="0" xfId="5" applyFont="1"/>
    <xf numFmtId="0" fontId="18" fillId="0" borderId="0" xfId="0" applyFont="1"/>
    <xf numFmtId="0" fontId="23" fillId="0" borderId="0" xfId="0" applyFont="1" applyAlignment="1">
      <alignment horizontal="right"/>
    </xf>
    <xf numFmtId="0" fontId="23" fillId="0" borderId="0" xfId="0" applyFont="1"/>
    <xf numFmtId="164" fontId="15" fillId="0" borderId="0" xfId="5" applyNumberFormat="1"/>
    <xf numFmtId="165" fontId="15" fillId="0" borderId="0" xfId="7" applyNumberFormat="1" applyFont="1"/>
    <xf numFmtId="165" fontId="15" fillId="0" borderId="0" xfId="7" applyNumberFormat="1" applyFont="1" applyFill="1" applyBorder="1"/>
    <xf numFmtId="0" fontId="14" fillId="20" borderId="5" xfId="0" applyFont="1" applyFill="1" applyBorder="1"/>
    <xf numFmtId="0" fontId="14" fillId="20" borderId="6" xfId="0" applyFont="1" applyFill="1" applyBorder="1"/>
    <xf numFmtId="164" fontId="23" fillId="0" borderId="0" xfId="5" applyNumberFormat="1" applyFont="1"/>
    <xf numFmtId="0" fontId="14" fillId="20" borderId="10" xfId="0" applyFont="1" applyFill="1" applyBorder="1"/>
    <xf numFmtId="0" fontId="14" fillId="20" borderId="11" xfId="0" applyFont="1" applyFill="1" applyBorder="1" applyAlignment="1">
      <alignment horizontal="center"/>
    </xf>
    <xf numFmtId="0" fontId="14" fillId="20" borderId="12" xfId="0" applyFont="1" applyFill="1" applyBorder="1" applyAlignment="1">
      <alignment horizontal="center"/>
    </xf>
    <xf numFmtId="0" fontId="14" fillId="20" borderId="13" xfId="0" applyFont="1" applyFill="1" applyBorder="1" applyAlignment="1">
      <alignment horizontal="center"/>
    </xf>
    <xf numFmtId="0" fontId="14" fillId="20" borderId="14" xfId="0" applyFont="1" applyFill="1" applyBorder="1" applyAlignment="1">
      <alignment horizontal="center"/>
    </xf>
    <xf numFmtId="0" fontId="14" fillId="20" borderId="15" xfId="0" applyFont="1" applyFill="1" applyBorder="1" applyAlignment="1">
      <alignment horizontal="center"/>
    </xf>
    <xf numFmtId="0" fontId="14" fillId="0" borderId="0" xfId="0" applyFont="1" applyAlignment="1">
      <alignment horizontal="center"/>
    </xf>
    <xf numFmtId="0" fontId="14" fillId="20" borderId="4" xfId="0" applyFont="1" applyFill="1" applyBorder="1"/>
    <xf numFmtId="0" fontId="14" fillId="20" borderId="16" xfId="0" applyFont="1" applyFill="1" applyBorder="1" applyAlignment="1">
      <alignment horizontal="center"/>
    </xf>
    <xf numFmtId="0" fontId="0" fillId="0" borderId="4" xfId="0" applyBorder="1"/>
    <xf numFmtId="0" fontId="14" fillId="0" borderId="0" xfId="0" applyFont="1"/>
    <xf numFmtId="167" fontId="15" fillId="0" borderId="0" xfId="0" applyNumberFormat="1" applyFont="1"/>
    <xf numFmtId="0" fontId="25" fillId="0" borderId="0" xfId="5" applyFont="1"/>
    <xf numFmtId="10" fontId="15" fillId="0" borderId="0" xfId="10" applyNumberFormat="1" applyFont="1" applyBorder="1"/>
    <xf numFmtId="0" fontId="15" fillId="0" borderId="0" xfId="0" applyFont="1"/>
    <xf numFmtId="168" fontId="15" fillId="0" borderId="0" xfId="0" applyNumberFormat="1" applyFont="1"/>
    <xf numFmtId="166" fontId="15" fillId="7" borderId="17" xfId="9" applyNumberFormat="1" applyFill="1" applyBorder="1" applyAlignment="1">
      <alignment horizontal="right"/>
    </xf>
    <xf numFmtId="166" fontId="15" fillId="7" borderId="18" xfId="9" applyNumberFormat="1" applyFill="1" applyBorder="1" applyAlignment="1">
      <alignment horizontal="right"/>
    </xf>
    <xf numFmtId="0" fontId="14" fillId="20" borderId="20" xfId="0" applyFont="1" applyFill="1" applyBorder="1"/>
    <xf numFmtId="0" fontId="14" fillId="20" borderId="21" xfId="0" applyFont="1" applyFill="1" applyBorder="1" applyAlignment="1">
      <alignment horizontal="center"/>
    </xf>
    <xf numFmtId="0" fontId="15" fillId="0" borderId="0" xfId="0" applyFont="1" applyAlignment="1">
      <alignment horizontal="center"/>
    </xf>
    <xf numFmtId="0" fontId="26" fillId="0" borderId="0" xfId="0" applyFont="1"/>
    <xf numFmtId="0" fontId="19" fillId="0" borderId="0" xfId="0" applyFont="1"/>
    <xf numFmtId="0" fontId="28" fillId="0" borderId="0" xfId="0" applyFont="1"/>
    <xf numFmtId="0" fontId="5" fillId="22" borderId="23" xfId="0" applyFont="1" applyFill="1" applyBorder="1"/>
    <xf numFmtId="0" fontId="29" fillId="22" borderId="5" xfId="0" applyFont="1" applyFill="1" applyBorder="1" applyAlignment="1">
      <alignment horizontal="left"/>
    </xf>
    <xf numFmtId="0" fontId="29" fillId="22" borderId="4" xfId="0" applyFont="1" applyFill="1" applyBorder="1" applyAlignment="1">
      <alignment horizontal="left"/>
    </xf>
    <xf numFmtId="0" fontId="30" fillId="11" borderId="4" xfId="0" applyFont="1" applyFill="1" applyBorder="1" applyAlignment="1" applyProtection="1">
      <alignment horizontal="left"/>
      <protection locked="0"/>
    </xf>
    <xf numFmtId="0" fontId="32" fillId="11" borderId="4" xfId="0" applyFont="1" applyFill="1" applyBorder="1" applyAlignment="1" applyProtection="1">
      <alignment horizontal="left"/>
      <protection locked="0"/>
    </xf>
    <xf numFmtId="0" fontId="0" fillId="22" borderId="34" xfId="0" applyFill="1" applyBorder="1"/>
    <xf numFmtId="0" fontId="0" fillId="22" borderId="20" xfId="0" applyFill="1" applyBorder="1"/>
    <xf numFmtId="169" fontId="23" fillId="22" borderId="20" xfId="0" applyNumberFormat="1" applyFont="1" applyFill="1" applyBorder="1" applyAlignment="1">
      <alignment horizontal="center"/>
    </xf>
    <xf numFmtId="169" fontId="23" fillId="22" borderId="32" xfId="0" applyNumberFormat="1" applyFont="1" applyFill="1" applyBorder="1" applyAlignment="1">
      <alignment horizontal="center"/>
    </xf>
    <xf numFmtId="4" fontId="15" fillId="0" borderId="4" xfId="0" applyNumberFormat="1" applyFont="1" applyBorder="1" applyAlignment="1">
      <alignment horizontal="center"/>
    </xf>
    <xf numFmtId="165" fontId="15" fillId="0" borderId="19" xfId="0" applyNumberFormat="1" applyFont="1" applyBorder="1" applyAlignment="1">
      <alignment horizontal="center"/>
    </xf>
    <xf numFmtId="9" fontId="6" fillId="0" borderId="0" xfId="3" applyFont="1"/>
    <xf numFmtId="22" fontId="33" fillId="11" borderId="4" xfId="0" applyNumberFormat="1" applyFont="1" applyFill="1" applyBorder="1"/>
    <xf numFmtId="0" fontId="30" fillId="0" borderId="4" xfId="0" applyFont="1" applyBorder="1" applyAlignment="1" applyProtection="1">
      <alignment horizontal="left"/>
      <protection locked="0"/>
    </xf>
    <xf numFmtId="0" fontId="32" fillId="0" borderId="4" xfId="0" applyFont="1" applyBorder="1" applyAlignment="1">
      <alignment horizontal="left"/>
    </xf>
    <xf numFmtId="0" fontId="32" fillId="0" borderId="4" xfId="0" applyFont="1" applyBorder="1" applyAlignment="1" applyProtection="1">
      <alignment horizontal="left"/>
      <protection locked="0"/>
    </xf>
    <xf numFmtId="0" fontId="0" fillId="23" borderId="1" xfId="0" applyFill="1" applyBorder="1"/>
    <xf numFmtId="4" fontId="15" fillId="23" borderId="1" xfId="0" applyNumberFormat="1" applyFont="1" applyFill="1" applyBorder="1" applyAlignment="1">
      <alignment horizontal="center"/>
    </xf>
    <xf numFmtId="165" fontId="15" fillId="23" borderId="3" xfId="0" applyNumberFormat="1" applyFont="1" applyFill="1" applyBorder="1" applyAlignment="1">
      <alignment horizontal="center"/>
    </xf>
    <xf numFmtId="4" fontId="15" fillId="22" borderId="20" xfId="0" applyNumberFormat="1" applyFont="1" applyFill="1" applyBorder="1" applyAlignment="1">
      <alignment horizontal="center"/>
    </xf>
    <xf numFmtId="0" fontId="34" fillId="11" borderId="4" xfId="0" applyFont="1" applyFill="1" applyBorder="1" applyAlignment="1" applyProtection="1">
      <alignment horizontal="left"/>
      <protection locked="0"/>
    </xf>
    <xf numFmtId="0" fontId="34" fillId="0" borderId="4" xfId="0" applyFont="1" applyBorder="1" applyAlignment="1" applyProtection="1">
      <alignment horizontal="left"/>
      <protection locked="0"/>
    </xf>
    <xf numFmtId="0" fontId="32" fillId="11" borderId="4" xfId="0" applyFont="1" applyFill="1" applyBorder="1" applyAlignment="1">
      <alignment horizontal="left"/>
    </xf>
    <xf numFmtId="0" fontId="35" fillId="11" borderId="4" xfId="0" applyFont="1" applyFill="1" applyBorder="1" applyAlignment="1" applyProtection="1">
      <alignment horizontal="left"/>
      <protection locked="0"/>
    </xf>
    <xf numFmtId="0" fontId="31" fillId="11" borderId="4" xfId="0" applyFont="1" applyFill="1" applyBorder="1" applyAlignment="1">
      <alignment horizontal="left"/>
    </xf>
    <xf numFmtId="0" fontId="31" fillId="0" borderId="4" xfId="0" applyFont="1" applyBorder="1" applyAlignment="1">
      <alignment horizontal="left"/>
    </xf>
    <xf numFmtId="0" fontId="30" fillId="22" borderId="4" xfId="0" applyFont="1" applyFill="1" applyBorder="1" applyAlignment="1" applyProtection="1">
      <alignment horizontal="left"/>
      <protection locked="0"/>
    </xf>
    <xf numFmtId="0" fontId="30" fillId="22" borderId="20" xfId="0" applyFont="1" applyFill="1" applyBorder="1" applyAlignment="1" applyProtection="1">
      <alignment horizontal="left"/>
      <protection locked="0"/>
    </xf>
    <xf numFmtId="3" fontId="0" fillId="0" borderId="0" xfId="0" applyNumberFormat="1"/>
    <xf numFmtId="0" fontId="6" fillId="0" borderId="0" xfId="0" applyFont="1" applyAlignment="1">
      <alignment horizontal="center"/>
    </xf>
    <xf numFmtId="0" fontId="37" fillId="0" borderId="0" xfId="0" applyFont="1"/>
    <xf numFmtId="0" fontId="27" fillId="0" borderId="0" xfId="0" applyFont="1"/>
    <xf numFmtId="0" fontId="38" fillId="0" borderId="0" xfId="0" applyFont="1"/>
    <xf numFmtId="0" fontId="39" fillId="0" borderId="0" xfId="0" applyFont="1"/>
    <xf numFmtId="4" fontId="10" fillId="0" borderId="0" xfId="0" applyNumberFormat="1" applyFont="1" applyAlignment="1">
      <alignment horizontal="center"/>
    </xf>
    <xf numFmtId="0" fontId="5" fillId="0" borderId="0" xfId="0" applyFont="1" applyAlignment="1">
      <alignment horizontal="center"/>
    </xf>
    <xf numFmtId="2" fontId="10" fillId="0" borderId="0" xfId="0" applyNumberFormat="1"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2" fontId="5" fillId="0" borderId="0" xfId="0" applyNumberFormat="1" applyFont="1" applyAlignment="1">
      <alignment horizontal="center" vertical="center"/>
    </xf>
    <xf numFmtId="0" fontId="40" fillId="0" borderId="0" xfId="0" applyFont="1"/>
    <xf numFmtId="0" fontId="41" fillId="0" borderId="0" xfId="0" applyFont="1"/>
    <xf numFmtId="0" fontId="2" fillId="0" borderId="0" xfId="0" applyFont="1" applyAlignment="1">
      <alignment horizontal="center" vertical="center"/>
    </xf>
    <xf numFmtId="0" fontId="10" fillId="0" borderId="0" xfId="0" applyFont="1" applyAlignment="1">
      <alignment horizontal="center"/>
    </xf>
    <xf numFmtId="0" fontId="3" fillId="0" borderId="0" xfId="0" applyFont="1"/>
    <xf numFmtId="0" fontId="39"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42" fillId="0" borderId="0" xfId="0" applyFont="1" applyAlignment="1">
      <alignment horizontal="center" vertical="center"/>
    </xf>
    <xf numFmtId="0" fontId="3" fillId="0" borderId="0" xfId="0" applyFont="1" applyAlignment="1">
      <alignment horizontal="right"/>
    </xf>
    <xf numFmtId="0" fontId="0" fillId="0" borderId="0" xfId="0" applyAlignment="1">
      <alignment vertical="center"/>
    </xf>
    <xf numFmtId="17" fontId="5" fillId="0" borderId="0" xfId="0" applyNumberFormat="1" applyFont="1" applyAlignment="1">
      <alignment horizontal="right" vertical="center"/>
    </xf>
    <xf numFmtId="4" fontId="9" fillId="24" borderId="0" xfId="0" applyNumberFormat="1" applyFont="1" applyFill="1" applyAlignment="1">
      <alignment horizontal="center" vertical="center"/>
    </xf>
    <xf numFmtId="4" fontId="0" fillId="2" borderId="0" xfId="0" applyNumberFormat="1" applyFill="1" applyAlignment="1">
      <alignment horizontal="center" vertical="center"/>
    </xf>
    <xf numFmtId="4" fontId="9" fillId="4" borderId="0" xfId="0" applyNumberFormat="1" applyFont="1" applyFill="1" applyAlignment="1">
      <alignment horizontal="center" vertical="center"/>
    </xf>
    <xf numFmtId="4" fontId="9" fillId="5" borderId="0" xfId="0" applyNumberFormat="1" applyFont="1" applyFill="1" applyAlignment="1">
      <alignment horizontal="center" vertical="center"/>
    </xf>
    <xf numFmtId="4" fontId="0" fillId="5" borderId="0" xfId="0" applyNumberFormat="1" applyFill="1" applyAlignment="1">
      <alignment horizontal="center" vertical="center"/>
    </xf>
    <xf numFmtId="4" fontId="0" fillId="25" borderId="0" xfId="0" applyNumberFormat="1" applyFill="1" applyAlignment="1">
      <alignment horizontal="center" vertical="center"/>
    </xf>
    <xf numFmtId="4" fontId="9" fillId="3" borderId="0" xfId="0" applyNumberFormat="1" applyFont="1" applyFill="1" applyAlignment="1">
      <alignment horizontal="center" vertical="center"/>
    </xf>
    <xf numFmtId="4" fontId="0" fillId="8" borderId="0" xfId="0" applyNumberFormat="1" applyFill="1" applyAlignment="1">
      <alignment horizontal="center" vertical="center"/>
    </xf>
    <xf numFmtId="4" fontId="0" fillId="6" borderId="0" xfId="0" applyNumberFormat="1" applyFill="1" applyAlignment="1">
      <alignment horizontal="center" vertical="center"/>
    </xf>
    <xf numFmtId="4" fontId="0" fillId="10" borderId="0" xfId="0" applyNumberFormat="1" applyFill="1" applyAlignment="1">
      <alignment horizontal="center" vertical="center"/>
    </xf>
    <xf numFmtId="4" fontId="0" fillId="11" borderId="0" xfId="0" applyNumberFormat="1" applyFill="1" applyAlignment="1">
      <alignment horizontal="center" vertical="center"/>
    </xf>
    <xf numFmtId="4" fontId="42" fillId="11" borderId="0" xfId="0" applyNumberFormat="1" applyFont="1" applyFill="1" applyAlignment="1">
      <alignment horizontal="center" vertical="center"/>
    </xf>
    <xf numFmtId="4" fontId="5" fillId="11" borderId="0" xfId="0" applyNumberFormat="1" applyFont="1" applyFill="1" applyAlignment="1">
      <alignment horizontal="center" vertical="center"/>
    </xf>
    <xf numFmtId="0" fontId="40" fillId="0" borderId="0" xfId="0" applyFont="1" applyAlignment="1">
      <alignment vertical="center"/>
    </xf>
    <xf numFmtId="0" fontId="6" fillId="0" borderId="0" xfId="0" applyFont="1" applyAlignment="1">
      <alignment vertical="center"/>
    </xf>
    <xf numFmtId="4" fontId="9" fillId="0" borderId="0" xfId="0" applyNumberFormat="1" applyFont="1" applyAlignment="1">
      <alignment horizontal="center" vertical="center"/>
    </xf>
    <xf numFmtId="4" fontId="0" fillId="0" borderId="0" xfId="0" applyNumberFormat="1" applyAlignment="1">
      <alignment horizontal="center" vertical="center"/>
    </xf>
    <xf numFmtId="4" fontId="42" fillId="0" borderId="0" xfId="0" applyNumberFormat="1" applyFont="1" applyAlignment="1">
      <alignment horizontal="center" vertical="center"/>
    </xf>
    <xf numFmtId="4" fontId="5" fillId="0" borderId="0" xfId="0" applyNumberFormat="1" applyFont="1" applyAlignment="1">
      <alignment horizontal="center" vertical="center"/>
    </xf>
    <xf numFmtId="17" fontId="10" fillId="0" borderId="0" xfId="0" applyNumberFormat="1" applyFont="1" applyAlignment="1">
      <alignment horizontal="right" vertical="center"/>
    </xf>
    <xf numFmtId="0" fontId="4" fillId="0" borderId="0" xfId="0" applyFont="1" applyAlignment="1">
      <alignment vertical="center"/>
    </xf>
    <xf numFmtId="4" fontId="0" fillId="3" borderId="0" xfId="0" applyNumberFormat="1" applyFill="1" applyAlignment="1">
      <alignment horizontal="center" vertical="center"/>
    </xf>
    <xf numFmtId="172" fontId="0" fillId="0" borderId="0" xfId="0" applyNumberFormat="1" applyAlignment="1">
      <alignment vertical="center"/>
    </xf>
    <xf numFmtId="4" fontId="43" fillId="0" borderId="0" xfId="0" applyNumberFormat="1" applyFont="1" applyAlignment="1">
      <alignment horizontal="center" vertical="center"/>
    </xf>
    <xf numFmtId="4" fontId="43" fillId="2" borderId="0" xfId="0" applyNumberFormat="1" applyFont="1" applyFill="1" applyAlignment="1">
      <alignment horizontal="center" vertical="center"/>
    </xf>
    <xf numFmtId="4" fontId="0" fillId="4" borderId="0" xfId="0" applyNumberFormat="1" applyFill="1" applyAlignment="1">
      <alignment horizontal="center" vertical="center"/>
    </xf>
    <xf numFmtId="4" fontId="9" fillId="2" borderId="0" xfId="0" applyNumberFormat="1" applyFont="1" applyFill="1" applyAlignment="1">
      <alignment horizontal="center" vertical="center"/>
    </xf>
    <xf numFmtId="4" fontId="9" fillId="25" borderId="0" xfId="0" applyNumberFormat="1" applyFont="1" applyFill="1" applyAlignment="1">
      <alignment horizontal="center" vertical="center"/>
    </xf>
    <xf numFmtId="4" fontId="9" fillId="6" borderId="0" xfId="0" applyNumberFormat="1" applyFont="1" applyFill="1" applyAlignment="1">
      <alignment horizontal="center" vertical="center"/>
    </xf>
    <xf numFmtId="4" fontId="0" fillId="24" borderId="0" xfId="0" applyNumberFormat="1" applyFill="1" applyAlignment="1">
      <alignment horizontal="center" vertical="center"/>
    </xf>
    <xf numFmtId="4" fontId="0" fillId="9" borderId="0" xfId="0" applyNumberFormat="1" applyFill="1" applyAlignment="1">
      <alignment horizontal="center" vertical="center"/>
    </xf>
    <xf numFmtId="4" fontId="0" fillId="7" borderId="0" xfId="0" applyNumberFormat="1" applyFill="1" applyAlignment="1">
      <alignment horizontal="center" vertical="center"/>
    </xf>
    <xf numFmtId="4" fontId="9" fillId="7" borderId="0" xfId="0" applyNumberFormat="1" applyFont="1" applyFill="1" applyAlignment="1">
      <alignment horizontal="center" vertical="center"/>
    </xf>
    <xf numFmtId="4" fontId="9" fillId="11" borderId="0" xfId="0" applyNumberFormat="1" applyFont="1" applyFill="1" applyAlignment="1">
      <alignment horizontal="center" vertical="center"/>
    </xf>
    <xf numFmtId="17" fontId="5" fillId="0" borderId="0" xfId="0" applyNumberFormat="1" applyFont="1"/>
    <xf numFmtId="173" fontId="0" fillId="0" borderId="0" xfId="0" applyNumberFormat="1"/>
    <xf numFmtId="174" fontId="0" fillId="0" borderId="0" xfId="1" applyFont="1" applyAlignment="1">
      <alignment horizontal="center"/>
    </xf>
    <xf numFmtId="3" fontId="40" fillId="0" borderId="0" xfId="0" applyNumberFormat="1" applyFont="1"/>
    <xf numFmtId="172" fontId="0" fillId="0" borderId="0" xfId="2" applyNumberFormat="1" applyFont="1" applyAlignment="1">
      <alignment horizontal="center"/>
    </xf>
    <xf numFmtId="172" fontId="0" fillId="0" borderId="0" xfId="0" applyNumberFormat="1"/>
    <xf numFmtId="172" fontId="40" fillId="0" borderId="0" xfId="0" applyNumberFormat="1" applyFont="1"/>
    <xf numFmtId="3" fontId="0" fillId="0" borderId="0" xfId="0" applyNumberFormat="1" applyAlignment="1">
      <alignment horizontal="center"/>
    </xf>
    <xf numFmtId="3" fontId="0" fillId="0" borderId="0" xfId="0" applyNumberFormat="1" applyAlignment="1">
      <alignment horizontal="center" vertical="center"/>
    </xf>
    <xf numFmtId="3" fontId="42" fillId="0" borderId="0" xfId="0" applyNumberFormat="1" applyFont="1" applyAlignment="1">
      <alignment horizontal="center" vertical="center"/>
    </xf>
    <xf numFmtId="172" fontId="0" fillId="0" borderId="0" xfId="0" applyNumberFormat="1" applyAlignment="1">
      <alignment horizontal="center"/>
    </xf>
    <xf numFmtId="176" fontId="27" fillId="0" borderId="0" xfId="0" applyNumberFormat="1" applyFont="1"/>
    <xf numFmtId="177" fontId="9" fillId="0" borderId="0" xfId="0" applyNumberFormat="1" applyFont="1" applyAlignment="1">
      <alignment horizontal="right"/>
    </xf>
    <xf numFmtId="3" fontId="9" fillId="0" borderId="0" xfId="0" applyNumberFormat="1" applyFont="1" applyAlignment="1">
      <alignment horizontal="right"/>
    </xf>
    <xf numFmtId="3" fontId="9" fillId="0" borderId="0" xfId="0" applyNumberFormat="1" applyFont="1"/>
    <xf numFmtId="0" fontId="45" fillId="0" borderId="0" xfId="0" applyFont="1" applyAlignment="1">
      <alignment horizontal="right"/>
    </xf>
    <xf numFmtId="177" fontId="9" fillId="0" borderId="0" xfId="0" applyNumberFormat="1" applyFont="1"/>
    <xf numFmtId="0" fontId="10" fillId="11" borderId="0" xfId="0" applyFont="1" applyFill="1" applyAlignment="1">
      <alignment horizontal="center"/>
    </xf>
    <xf numFmtId="0" fontId="9" fillId="11" borderId="0" xfId="0" applyFont="1" applyFill="1" applyAlignment="1">
      <alignment horizontal="center"/>
    </xf>
    <xf numFmtId="0" fontId="10" fillId="11" borderId="0" xfId="0" applyFont="1" applyFill="1" applyAlignment="1">
      <alignment horizontal="left"/>
    </xf>
    <xf numFmtId="177" fontId="10" fillId="11" borderId="0" xfId="0" applyNumberFormat="1" applyFont="1" applyFill="1" applyAlignment="1">
      <alignment horizontal="right"/>
    </xf>
    <xf numFmtId="0" fontId="9" fillId="11" borderId="0" xfId="0" applyFont="1" applyFill="1" applyAlignment="1">
      <alignment horizontal="right"/>
    </xf>
    <xf numFmtId="0" fontId="47" fillId="11" borderId="0" xfId="0" applyFont="1" applyFill="1" applyAlignment="1" applyProtection="1">
      <alignment horizontal="left"/>
      <protection locked="0"/>
    </xf>
    <xf numFmtId="3" fontId="9" fillId="11" borderId="0" xfId="0" applyNumberFormat="1" applyFont="1" applyFill="1" applyAlignment="1">
      <alignment horizontal="right"/>
    </xf>
    <xf numFmtId="3" fontId="9" fillId="11" borderId="0" xfId="0" applyNumberFormat="1" applyFont="1" applyFill="1" applyAlignment="1">
      <alignment horizontal="center"/>
    </xf>
    <xf numFmtId="0" fontId="48" fillId="11" borderId="0" xfId="0" applyFont="1" applyFill="1" applyAlignment="1">
      <alignment horizontal="left"/>
    </xf>
    <xf numFmtId="0" fontId="50" fillId="11" borderId="0" xfId="0" applyFont="1" applyFill="1" applyAlignment="1" applyProtection="1">
      <alignment horizontal="left"/>
      <protection locked="0"/>
    </xf>
    <xf numFmtId="0" fontId="47" fillId="0" borderId="0" xfId="0" applyFont="1" applyAlignment="1" applyProtection="1">
      <alignment horizontal="left"/>
      <protection locked="0"/>
    </xf>
    <xf numFmtId="0" fontId="9" fillId="0" borderId="0" xfId="0" applyFont="1" applyAlignment="1">
      <alignment horizontal="center"/>
    </xf>
    <xf numFmtId="0" fontId="9" fillId="0" borderId="0" xfId="0" applyFont="1" applyAlignment="1">
      <alignment horizontal="right"/>
    </xf>
    <xf numFmtId="0" fontId="50" fillId="0" borderId="0" xfId="0" applyFont="1" applyAlignment="1" applyProtection="1">
      <alignment horizontal="left"/>
      <protection locked="0"/>
    </xf>
    <xf numFmtId="3" fontId="9" fillId="0" borderId="0" xfId="0" applyNumberFormat="1" applyFont="1" applyAlignment="1">
      <alignment horizontal="center"/>
    </xf>
    <xf numFmtId="3" fontId="51" fillId="0" borderId="0" xfId="0" applyNumberFormat="1" applyFont="1"/>
    <xf numFmtId="3" fontId="49" fillId="0" borderId="0" xfId="0" applyNumberFormat="1" applyFont="1"/>
    <xf numFmtId="3" fontId="45" fillId="0" borderId="0" xfId="0" applyNumberFormat="1" applyFont="1" applyAlignment="1">
      <alignment horizontal="right"/>
    </xf>
    <xf numFmtId="3" fontId="9" fillId="0" borderId="0" xfId="0" quotePrefix="1" applyNumberFormat="1" applyFont="1" applyAlignment="1">
      <alignment horizontal="right"/>
    </xf>
    <xf numFmtId="22" fontId="9" fillId="0" borderId="0" xfId="0" applyNumberFormat="1" applyFont="1"/>
    <xf numFmtId="3" fontId="10" fillId="0" borderId="0" xfId="0" applyNumberFormat="1" applyFont="1"/>
    <xf numFmtId="3" fontId="10" fillId="0" borderId="0" xfId="0" applyNumberFormat="1" applyFont="1" applyAlignment="1">
      <alignment horizontal="center"/>
    </xf>
    <xf numFmtId="3" fontId="10" fillId="0" borderId="0" xfId="0" applyNumberFormat="1" applyFont="1" applyAlignment="1">
      <alignment horizontal="right"/>
    </xf>
    <xf numFmtId="3" fontId="46" fillId="0" borderId="0" xfId="0" applyNumberFormat="1" applyFont="1" applyAlignment="1">
      <alignment horizontal="right"/>
    </xf>
    <xf numFmtId="0" fontId="48" fillId="0" borderId="0" xfId="0" applyFont="1" applyAlignment="1">
      <alignment horizontal="left"/>
    </xf>
    <xf numFmtId="3" fontId="9" fillId="0" borderId="0" xfId="0" quotePrefix="1" applyNumberFormat="1" applyFont="1" applyAlignment="1">
      <alignment horizontal="left"/>
    </xf>
    <xf numFmtId="0" fontId="52" fillId="0" borderId="0" xfId="0" applyFont="1" applyAlignment="1" applyProtection="1">
      <alignment horizontal="left"/>
      <protection locked="0"/>
    </xf>
    <xf numFmtId="3" fontId="0" fillId="0" borderId="0" xfId="0" applyNumberFormat="1" applyAlignment="1">
      <alignment horizontal="right"/>
    </xf>
    <xf numFmtId="0" fontId="0" fillId="0" borderId="0" xfId="0" applyAlignment="1">
      <alignment horizontal="right"/>
    </xf>
    <xf numFmtId="3" fontId="0" fillId="0" borderId="0" xfId="0" quotePrefix="1" applyNumberFormat="1" applyAlignment="1">
      <alignment horizontal="right"/>
    </xf>
    <xf numFmtId="178" fontId="9" fillId="0" borderId="0" xfId="0" applyNumberFormat="1" applyFont="1" applyAlignment="1">
      <alignment horizontal="right"/>
    </xf>
    <xf numFmtId="179" fontId="9" fillId="0" borderId="0" xfId="0" applyNumberFormat="1" applyFont="1"/>
    <xf numFmtId="178" fontId="9" fillId="0" borderId="0" xfId="0" applyNumberFormat="1" applyFont="1"/>
    <xf numFmtId="0" fontId="52" fillId="11" borderId="0" xfId="0" applyFont="1" applyFill="1" applyAlignment="1" applyProtection="1">
      <alignment horizontal="left"/>
      <protection locked="0"/>
    </xf>
    <xf numFmtId="3" fontId="45" fillId="0" borderId="0" xfId="0" quotePrefix="1" applyNumberFormat="1" applyFont="1" applyAlignment="1">
      <alignment horizontal="right"/>
    </xf>
    <xf numFmtId="0" fontId="9" fillId="11" borderId="0" xfId="0" quotePrefix="1" applyFont="1" applyFill="1" applyAlignment="1">
      <alignment horizontal="center"/>
    </xf>
    <xf numFmtId="0" fontId="9" fillId="0" borderId="0" xfId="0" applyFont="1" applyAlignment="1">
      <alignment horizontal="left"/>
    </xf>
    <xf numFmtId="0" fontId="47" fillId="26" borderId="0" xfId="0" applyFont="1" applyFill="1" applyAlignment="1" applyProtection="1">
      <alignment horizontal="left"/>
      <protection locked="0"/>
    </xf>
    <xf numFmtId="0" fontId="9" fillId="26" borderId="0" xfId="0" applyFont="1" applyFill="1" applyAlignment="1">
      <alignment horizontal="center"/>
    </xf>
    <xf numFmtId="3" fontId="9" fillId="26" borderId="0" xfId="0" applyNumberFormat="1" applyFont="1" applyFill="1" applyAlignment="1">
      <alignment horizontal="right"/>
    </xf>
    <xf numFmtId="3" fontId="10" fillId="26" borderId="0" xfId="0" applyNumberFormat="1" applyFont="1" applyFill="1" applyAlignment="1">
      <alignment horizontal="right"/>
    </xf>
    <xf numFmtId="3" fontId="5" fillId="26" borderId="0" xfId="0" applyNumberFormat="1" applyFont="1" applyFill="1" applyAlignment="1">
      <alignment horizontal="right"/>
    </xf>
    <xf numFmtId="3" fontId="9" fillId="26" borderId="0" xfId="0" applyNumberFormat="1" applyFont="1" applyFill="1"/>
    <xf numFmtId="3" fontId="5" fillId="26" borderId="0" xfId="0" applyNumberFormat="1" applyFont="1" applyFill="1"/>
    <xf numFmtId="3" fontId="9" fillId="26" borderId="0" xfId="0" quotePrefix="1" applyNumberFormat="1" applyFont="1" applyFill="1" applyAlignment="1">
      <alignment horizontal="right"/>
    </xf>
    <xf numFmtId="3" fontId="5" fillId="26" borderId="0" xfId="0" quotePrefix="1" applyNumberFormat="1" applyFont="1" applyFill="1" applyAlignment="1">
      <alignment horizontal="right"/>
    </xf>
    <xf numFmtId="3" fontId="45" fillId="26" borderId="0" xfId="0" quotePrefix="1" applyNumberFormat="1" applyFont="1" applyFill="1" applyAlignment="1">
      <alignment horizontal="right"/>
    </xf>
    <xf numFmtId="0" fontId="9" fillId="26" borderId="0" xfId="0" applyFont="1" applyFill="1"/>
    <xf numFmtId="3" fontId="10" fillId="26" borderId="0" xfId="0" applyNumberFormat="1" applyFont="1" applyFill="1"/>
    <xf numFmtId="3" fontId="10" fillId="26" borderId="0" xfId="0" quotePrefix="1" applyNumberFormat="1" applyFont="1" applyFill="1" applyAlignment="1">
      <alignment horizontal="center"/>
    </xf>
    <xf numFmtId="3" fontId="10" fillId="26" borderId="0" xfId="0" quotePrefix="1" applyNumberFormat="1" applyFont="1" applyFill="1" applyAlignment="1">
      <alignment horizontal="left"/>
    </xf>
    <xf numFmtId="3" fontId="10" fillId="26" borderId="0" xfId="0" quotePrefix="1" applyNumberFormat="1" applyFont="1" applyFill="1" applyAlignment="1">
      <alignment horizontal="right"/>
    </xf>
    <xf numFmtId="3" fontId="46" fillId="26" borderId="0" xfId="0" quotePrefix="1" applyNumberFormat="1" applyFont="1" applyFill="1" applyAlignment="1">
      <alignment horizontal="right"/>
    </xf>
    <xf numFmtId="0" fontId="45" fillId="26" borderId="0" xfId="0" applyFont="1" applyFill="1" applyAlignment="1">
      <alignment horizontal="right"/>
    </xf>
    <xf numFmtId="0" fontId="9" fillId="0" borderId="0" xfId="0" quotePrefix="1" applyFont="1" applyAlignment="1">
      <alignment horizontal="center"/>
    </xf>
    <xf numFmtId="0" fontId="16" fillId="0" borderId="0" xfId="0" applyFont="1"/>
    <xf numFmtId="0" fontId="36" fillId="0" borderId="0" xfId="0" applyFont="1"/>
    <xf numFmtId="0" fontId="5" fillId="11" borderId="0" xfId="0" applyFont="1" applyFill="1" applyAlignment="1">
      <alignment horizontal="center"/>
    </xf>
    <xf numFmtId="0" fontId="3" fillId="11" borderId="0" xfId="0" applyFont="1" applyFill="1" applyAlignment="1">
      <alignment horizontal="left"/>
    </xf>
    <xf numFmtId="3" fontId="3" fillId="11" borderId="0" xfId="0" applyNumberFormat="1" applyFont="1" applyFill="1" applyAlignment="1">
      <alignment horizontal="center"/>
    </xf>
    <xf numFmtId="177" fontId="6" fillId="0" borderId="0" xfId="0" applyNumberFormat="1" applyFont="1"/>
    <xf numFmtId="3" fontId="0" fillId="11" borderId="0" xfId="0" applyNumberFormat="1" applyFill="1" applyAlignment="1">
      <alignment horizontal="right"/>
    </xf>
    <xf numFmtId="3" fontId="9" fillId="11" borderId="0" xfId="1" applyNumberFormat="1" applyFont="1" applyFill="1" applyBorder="1" applyAlignment="1">
      <alignment horizontal="right"/>
    </xf>
    <xf numFmtId="3" fontId="0" fillId="11" borderId="0" xfId="1" applyNumberFormat="1" applyFont="1" applyFill="1" applyBorder="1" applyAlignment="1">
      <alignment horizontal="right"/>
    </xf>
    <xf numFmtId="22" fontId="59" fillId="0" borderId="0" xfId="0" applyNumberFormat="1" applyFont="1"/>
    <xf numFmtId="0" fontId="59" fillId="0" borderId="0" xfId="0" applyFont="1" applyAlignment="1">
      <alignment horizontal="center"/>
    </xf>
    <xf numFmtId="3" fontId="59" fillId="0" borderId="0" xfId="0" applyNumberFormat="1" applyFont="1" applyAlignment="1">
      <alignment horizontal="right"/>
    </xf>
    <xf numFmtId="3" fontId="9" fillId="0" borderId="0" xfId="1" applyNumberFormat="1" applyFont="1" applyFill="1" applyBorder="1" applyAlignment="1">
      <alignment horizontal="right"/>
    </xf>
    <xf numFmtId="3" fontId="0" fillId="0" borderId="0" xfId="1" applyNumberFormat="1" applyFont="1" applyFill="1" applyBorder="1" applyAlignment="1">
      <alignment horizontal="right"/>
    </xf>
    <xf numFmtId="177" fontId="9" fillId="11" borderId="0" xfId="0" applyNumberFormat="1" applyFont="1" applyFill="1" applyAlignment="1">
      <alignment horizontal="center"/>
    </xf>
    <xf numFmtId="177" fontId="60" fillId="0" borderId="0" xfId="0" applyNumberFormat="1" applyFont="1" applyAlignment="1">
      <alignment horizontal="center"/>
    </xf>
    <xf numFmtId="3" fontId="60" fillId="0" borderId="0" xfId="0" applyNumberFormat="1" applyFont="1" applyAlignment="1">
      <alignment horizontal="right"/>
    </xf>
    <xf numFmtId="3" fontId="9" fillId="0" borderId="0" xfId="39" applyNumberFormat="1" applyFont="1" applyFill="1" applyBorder="1" applyAlignment="1" applyProtection="1">
      <alignment horizontal="right"/>
    </xf>
    <xf numFmtId="3" fontId="9" fillId="0" borderId="0" xfId="1" applyNumberFormat="1" applyFont="1" applyFill="1" applyBorder="1" applyAlignment="1" applyProtection="1">
      <alignment horizontal="right"/>
    </xf>
    <xf numFmtId="3" fontId="9" fillId="0" borderId="0" xfId="40" applyNumberFormat="1" applyFont="1" applyFill="1" applyBorder="1" applyAlignment="1" applyProtection="1">
      <alignment horizontal="right"/>
    </xf>
    <xf numFmtId="3" fontId="0" fillId="0" borderId="0" xfId="40" applyNumberFormat="1" applyFont="1" applyFill="1" applyBorder="1" applyAlignment="1" applyProtection="1">
      <alignment horizontal="right"/>
    </xf>
    <xf numFmtId="3" fontId="0" fillId="0" borderId="0" xfId="1" applyNumberFormat="1" applyFont="1" applyFill="1" applyBorder="1" applyAlignment="1" applyProtection="1">
      <alignment horizontal="right"/>
    </xf>
    <xf numFmtId="3" fontId="9" fillId="11" borderId="0" xfId="39" applyNumberFormat="1" applyFont="1" applyFill="1" applyBorder="1" applyAlignment="1" applyProtection="1">
      <alignment horizontal="right"/>
    </xf>
    <xf numFmtId="3" fontId="9" fillId="11" borderId="0" xfId="1" applyNumberFormat="1" applyFont="1" applyFill="1" applyBorder="1" applyAlignment="1" applyProtection="1">
      <alignment horizontal="right"/>
    </xf>
    <xf numFmtId="3" fontId="9" fillId="11" borderId="0" xfId="40" applyNumberFormat="1" applyFont="1" applyFill="1" applyBorder="1" applyAlignment="1" applyProtection="1">
      <alignment horizontal="right"/>
    </xf>
    <xf numFmtId="3" fontId="0" fillId="11" borderId="0" xfId="40" applyNumberFormat="1" applyFont="1" applyFill="1" applyBorder="1" applyAlignment="1" applyProtection="1">
      <alignment horizontal="right"/>
    </xf>
    <xf numFmtId="3" fontId="0" fillId="11" borderId="0" xfId="1" applyNumberFormat="1" applyFont="1" applyFill="1" applyBorder="1" applyAlignment="1" applyProtection="1">
      <alignment horizontal="right"/>
    </xf>
    <xf numFmtId="3" fontId="15" fillId="11" borderId="0" xfId="0" applyNumberFormat="1" applyFont="1" applyFill="1" applyAlignment="1">
      <alignment horizontal="right"/>
    </xf>
    <xf numFmtId="3" fontId="15" fillId="11" borderId="0" xfId="1" applyNumberFormat="1" applyFont="1" applyFill="1" applyAlignment="1">
      <alignment horizontal="right"/>
    </xf>
    <xf numFmtId="3" fontId="61" fillId="11" borderId="0" xfId="1" applyNumberFormat="1" applyFont="1" applyFill="1" applyAlignment="1">
      <alignment horizontal="right"/>
    </xf>
    <xf numFmtId="3" fontId="62" fillId="11" borderId="0" xfId="0" applyNumberFormat="1" applyFont="1" applyFill="1" applyAlignment="1">
      <alignment horizontal="right"/>
    </xf>
    <xf numFmtId="3" fontId="62" fillId="11" borderId="0" xfId="1" applyNumberFormat="1" applyFont="1" applyFill="1" applyBorder="1" applyAlignment="1">
      <alignment horizontal="right"/>
    </xf>
    <xf numFmtId="3" fontId="5" fillId="11" borderId="0" xfId="1" applyNumberFormat="1" applyFont="1" applyFill="1" applyBorder="1" applyAlignment="1">
      <alignment horizontal="right"/>
    </xf>
    <xf numFmtId="3" fontId="10" fillId="11" borderId="0" xfId="1" applyNumberFormat="1" applyFont="1" applyFill="1" applyBorder="1" applyAlignment="1">
      <alignment horizontal="right"/>
    </xf>
    <xf numFmtId="3" fontId="15" fillId="0" borderId="0" xfId="0" applyNumberFormat="1" applyFont="1" applyAlignment="1">
      <alignment horizontal="right"/>
    </xf>
    <xf numFmtId="3" fontId="15" fillId="0" borderId="0" xfId="1" applyNumberFormat="1" applyFont="1" applyFill="1" applyAlignment="1">
      <alignment horizontal="right"/>
    </xf>
    <xf numFmtId="3" fontId="61" fillId="0" borderId="0" xfId="1" applyNumberFormat="1" applyFont="1" applyFill="1" applyAlignment="1">
      <alignment horizontal="right"/>
    </xf>
    <xf numFmtId="3" fontId="0" fillId="11" borderId="0" xfId="39" applyNumberFormat="1" applyFont="1" applyFill="1" applyBorder="1" applyAlignment="1" applyProtection="1">
      <alignment horizontal="right"/>
    </xf>
    <xf numFmtId="0" fontId="10" fillId="0" borderId="0" xfId="0" applyFont="1" applyAlignment="1">
      <alignment horizontal="left"/>
    </xf>
    <xf numFmtId="3" fontId="4" fillId="11" borderId="0" xfId="0" applyNumberFormat="1" applyFont="1" applyFill="1" applyAlignment="1">
      <alignment horizontal="right"/>
    </xf>
    <xf numFmtId="3" fontId="4" fillId="11" borderId="0" xfId="1" applyNumberFormat="1" applyFont="1" applyFill="1" applyBorder="1" applyAlignment="1">
      <alignment horizontal="right"/>
    </xf>
    <xf numFmtId="3" fontId="0" fillId="11" borderId="0" xfId="0" applyNumberFormat="1" applyFill="1"/>
    <xf numFmtId="0" fontId="9" fillId="11" borderId="0" xfId="0" applyFont="1" applyFill="1" applyAlignment="1">
      <alignment horizontal="left"/>
    </xf>
    <xf numFmtId="3" fontId="0" fillId="0" borderId="0" xfId="39" applyNumberFormat="1" applyFont="1" applyFill="1" applyBorder="1" applyAlignment="1" applyProtection="1">
      <alignment horizontal="right"/>
    </xf>
    <xf numFmtId="3" fontId="4" fillId="0" borderId="0" xfId="0" applyNumberFormat="1" applyFont="1" applyAlignment="1">
      <alignment horizontal="right"/>
    </xf>
    <xf numFmtId="0" fontId="47" fillId="22" borderId="0" xfId="0" applyFont="1" applyFill="1" applyAlignment="1" applyProtection="1">
      <alignment horizontal="left"/>
      <protection locked="0"/>
    </xf>
    <xf numFmtId="0" fontId="9" fillId="22" borderId="0" xfId="0" applyFont="1" applyFill="1"/>
    <xf numFmtId="3" fontId="10" fillId="22" borderId="0" xfId="0" applyNumberFormat="1" applyFont="1" applyFill="1" applyAlignment="1">
      <alignment horizontal="right"/>
    </xf>
    <xf numFmtId="3" fontId="5" fillId="22" borderId="0" xfId="0" applyNumberFormat="1" applyFont="1" applyFill="1" applyAlignment="1">
      <alignment horizontal="right"/>
    </xf>
    <xf numFmtId="0" fontId="9" fillId="22" borderId="0" xfId="0" applyFont="1" applyFill="1" applyAlignment="1">
      <alignment horizontal="center"/>
    </xf>
    <xf numFmtId="0" fontId="9" fillId="22" borderId="0" xfId="0" applyFont="1" applyFill="1" applyAlignment="1">
      <alignment horizontal="right"/>
    </xf>
    <xf numFmtId="175" fontId="9" fillId="22" borderId="0" xfId="0" applyNumberFormat="1" applyFont="1" applyFill="1" applyAlignment="1">
      <alignment horizontal="right"/>
    </xf>
    <xf numFmtId="3" fontId="9" fillId="22" borderId="0" xfId="0" quotePrefix="1" applyNumberFormat="1" applyFont="1" applyFill="1" applyAlignment="1">
      <alignment horizontal="left"/>
    </xf>
    <xf numFmtId="3" fontId="0" fillId="22" borderId="0" xfId="0" quotePrefix="1" applyNumberFormat="1" applyFill="1" applyAlignment="1">
      <alignment horizontal="left"/>
    </xf>
    <xf numFmtId="175" fontId="9" fillId="0" borderId="0" xfId="0" applyNumberFormat="1" applyFont="1" applyAlignment="1">
      <alignment horizontal="right"/>
    </xf>
    <xf numFmtId="3" fontId="0" fillId="0" borderId="0" xfId="0" quotePrefix="1" applyNumberFormat="1" applyAlignment="1">
      <alignment horizontal="left"/>
    </xf>
    <xf numFmtId="176" fontId="0" fillId="0" borderId="0" xfId="0" applyNumberFormat="1"/>
    <xf numFmtId="0" fontId="10" fillId="4" borderId="0" xfId="0" applyFont="1" applyFill="1" applyAlignment="1">
      <alignment horizontal="left"/>
    </xf>
    <xf numFmtId="0" fontId="10" fillId="4" borderId="0" xfId="0" applyFont="1" applyFill="1" applyAlignment="1">
      <alignment horizontal="center"/>
    </xf>
    <xf numFmtId="3" fontId="10" fillId="4" borderId="0" xfId="0" applyNumberFormat="1" applyFont="1" applyFill="1" applyAlignment="1">
      <alignment horizontal="center"/>
    </xf>
    <xf numFmtId="3" fontId="10" fillId="4" borderId="0" xfId="0" applyNumberFormat="1" applyFont="1" applyFill="1" applyAlignment="1">
      <alignment horizontal="right"/>
    </xf>
    <xf numFmtId="0" fontId="10" fillId="4" borderId="0" xfId="0" applyFont="1" applyFill="1" applyAlignment="1">
      <alignment horizontal="centerContinuous"/>
    </xf>
    <xf numFmtId="3" fontId="0" fillId="4" borderId="0" xfId="0" applyNumberFormat="1" applyFill="1"/>
    <xf numFmtId="0" fontId="63" fillId="4" borderId="0" xfId="0" applyFont="1" applyFill="1" applyAlignment="1" applyProtection="1">
      <alignment horizontal="left"/>
      <protection locked="0"/>
    </xf>
    <xf numFmtId="0" fontId="9" fillId="4" borderId="0" xfId="0" applyFont="1" applyFill="1" applyAlignment="1">
      <alignment horizontal="center"/>
    </xf>
    <xf numFmtId="3" fontId="9" fillId="4" borderId="0" xfId="0" applyNumberFormat="1" applyFont="1" applyFill="1" applyAlignment="1">
      <alignment horizontal="right"/>
    </xf>
    <xf numFmtId="3" fontId="0" fillId="4" borderId="0" xfId="0" applyNumberFormat="1" applyFill="1" applyAlignment="1">
      <alignment horizontal="right"/>
    </xf>
    <xf numFmtId="0" fontId="64" fillId="4" borderId="0" xfId="0" applyFont="1" applyFill="1" applyAlignment="1">
      <alignment horizontal="left"/>
    </xf>
    <xf numFmtId="0" fontId="65" fillId="4" borderId="0" xfId="0" applyFont="1" applyFill="1" applyAlignment="1" applyProtection="1">
      <alignment horizontal="left"/>
      <protection locked="0"/>
    </xf>
    <xf numFmtId="0" fontId="50" fillId="4" borderId="0" xfId="0" applyFont="1" applyFill="1" applyAlignment="1" applyProtection="1">
      <alignment horizontal="left"/>
      <protection locked="0"/>
    </xf>
    <xf numFmtId="0" fontId="63" fillId="0" borderId="0" xfId="0" applyFont="1" applyAlignment="1" applyProtection="1">
      <alignment horizontal="left"/>
      <protection locked="0"/>
    </xf>
    <xf numFmtId="0" fontId="63" fillId="27" borderId="0" xfId="0" applyFont="1" applyFill="1" applyAlignment="1" applyProtection="1">
      <alignment horizontal="left"/>
      <protection locked="0"/>
    </xf>
    <xf numFmtId="0" fontId="9" fillId="27" borderId="0" xfId="0" applyFont="1" applyFill="1"/>
    <xf numFmtId="3" fontId="9" fillId="27" borderId="0" xfId="0" applyNumberFormat="1" applyFont="1" applyFill="1" applyAlignment="1">
      <alignment horizontal="right"/>
    </xf>
    <xf numFmtId="3" fontId="10" fillId="27" borderId="0" xfId="0" applyNumberFormat="1" applyFont="1" applyFill="1" applyAlignment="1">
      <alignment horizontal="right"/>
    </xf>
    <xf numFmtId="0" fontId="64" fillId="27" borderId="0" xfId="0" applyFont="1" applyFill="1" applyAlignment="1">
      <alignment horizontal="left"/>
    </xf>
    <xf numFmtId="0" fontId="9" fillId="27" borderId="0" xfId="0" applyFont="1" applyFill="1" applyAlignment="1">
      <alignment horizontal="center"/>
    </xf>
    <xf numFmtId="0" fontId="65" fillId="27" borderId="0" xfId="0" applyFont="1" applyFill="1" applyAlignment="1" applyProtection="1">
      <alignment horizontal="left"/>
      <protection locked="0"/>
    </xf>
    <xf numFmtId="0" fontId="52" fillId="4" borderId="0" xfId="0" applyFont="1" applyFill="1" applyAlignment="1" applyProtection="1">
      <alignment horizontal="left"/>
      <protection locked="0"/>
    </xf>
    <xf numFmtId="0" fontId="64" fillId="0" borderId="0" xfId="0" applyFont="1" applyAlignment="1">
      <alignment horizontal="left"/>
    </xf>
    <xf numFmtId="0" fontId="65" fillId="0" borderId="0" xfId="0" applyFont="1" applyAlignment="1" applyProtection="1">
      <alignment horizontal="left"/>
      <protection locked="0"/>
    </xf>
    <xf numFmtId="0" fontId="47" fillId="4" borderId="0" xfId="0" applyFont="1" applyFill="1" applyAlignment="1" applyProtection="1">
      <alignment horizontal="left"/>
      <protection locked="0"/>
    </xf>
    <xf numFmtId="0" fontId="48" fillId="4" borderId="0" xfId="0" applyFont="1" applyFill="1" applyAlignment="1">
      <alignment horizontal="left"/>
    </xf>
    <xf numFmtId="0" fontId="64" fillId="4" borderId="0" xfId="0" quotePrefix="1" applyFont="1" applyFill="1" applyAlignment="1">
      <alignment horizontal="left"/>
    </xf>
    <xf numFmtId="3" fontId="9" fillId="4" borderId="0" xfId="0" quotePrefix="1" applyNumberFormat="1" applyFont="1" applyFill="1" applyAlignment="1">
      <alignment horizontal="right"/>
    </xf>
    <xf numFmtId="0" fontId="63" fillId="28" borderId="0" xfId="0" applyFont="1" applyFill="1" applyAlignment="1" applyProtection="1">
      <alignment horizontal="left"/>
      <protection locked="0"/>
    </xf>
    <xf numFmtId="0" fontId="9" fillId="28" borderId="0" xfId="0" applyFont="1" applyFill="1" applyAlignment="1">
      <alignment horizontal="center"/>
    </xf>
    <xf numFmtId="3" fontId="9" fillId="28" borderId="0" xfId="0" applyNumberFormat="1" applyFont="1" applyFill="1" applyAlignment="1">
      <alignment horizontal="right"/>
    </xf>
    <xf numFmtId="3" fontId="10" fillId="28" borderId="0" xfId="0" applyNumberFormat="1" applyFont="1" applyFill="1" applyAlignment="1">
      <alignment horizontal="right"/>
    </xf>
    <xf numFmtId="3" fontId="0" fillId="28" borderId="0" xfId="0" applyNumberFormat="1" applyFill="1" applyAlignment="1">
      <alignment horizontal="right"/>
    </xf>
    <xf numFmtId="3" fontId="5" fillId="28" borderId="0" xfId="0" applyNumberFormat="1" applyFont="1" applyFill="1" applyAlignment="1">
      <alignment horizontal="right"/>
    </xf>
    <xf numFmtId="0" fontId="66" fillId="0" borderId="0" xfId="0" applyFont="1"/>
    <xf numFmtId="0" fontId="5" fillId="4" borderId="0" xfId="0" applyFont="1" applyFill="1" applyAlignment="1">
      <alignment horizontal="center"/>
    </xf>
    <xf numFmtId="0" fontId="43" fillId="4" borderId="0" xfId="0" applyFont="1" applyFill="1" applyAlignment="1">
      <alignment horizontal="center"/>
    </xf>
    <xf numFmtId="0" fontId="62" fillId="4" borderId="0" xfId="0" applyFont="1" applyFill="1" applyAlignment="1">
      <alignment horizontal="center"/>
    </xf>
    <xf numFmtId="3" fontId="68" fillId="4" borderId="0" xfId="0" applyNumberFormat="1" applyFont="1" applyFill="1" applyAlignment="1">
      <alignment horizontal="right"/>
    </xf>
    <xf numFmtId="3" fontId="5" fillId="4" borderId="0" xfId="0" applyNumberFormat="1" applyFont="1" applyFill="1" applyAlignment="1">
      <alignment horizontal="right"/>
    </xf>
    <xf numFmtId="3" fontId="0" fillId="4" borderId="0" xfId="1" applyNumberFormat="1" applyFont="1" applyFill="1" applyAlignment="1">
      <alignment horizontal="right"/>
    </xf>
    <xf numFmtId="3" fontId="9" fillId="4" borderId="0" xfId="1" applyNumberFormat="1" applyFont="1" applyFill="1" applyBorder="1" applyAlignment="1" applyProtection="1">
      <alignment horizontal="right"/>
    </xf>
    <xf numFmtId="3" fontId="1" fillId="4" borderId="0" xfId="0" applyNumberFormat="1" applyFont="1" applyFill="1" applyAlignment="1">
      <alignment horizontal="right"/>
    </xf>
    <xf numFmtId="3" fontId="10" fillId="4" borderId="0" xfId="1" applyNumberFormat="1" applyFont="1" applyFill="1" applyBorder="1" applyAlignment="1" applyProtection="1">
      <alignment horizontal="right"/>
    </xf>
    <xf numFmtId="3" fontId="5" fillId="4" borderId="0" xfId="1" applyNumberFormat="1" applyFont="1" applyFill="1" applyBorder="1" applyAlignment="1" applyProtection="1">
      <alignment horizontal="right"/>
    </xf>
    <xf numFmtId="3" fontId="0" fillId="0" borderId="0" xfId="1" applyNumberFormat="1" applyFont="1" applyAlignment="1">
      <alignment horizontal="right"/>
    </xf>
    <xf numFmtId="3" fontId="9" fillId="0" borderId="0" xfId="1" applyNumberFormat="1" applyFont="1" applyAlignment="1">
      <alignment horizontal="right"/>
    </xf>
    <xf numFmtId="3" fontId="9" fillId="0" borderId="0" xfId="1" applyNumberFormat="1" applyFont="1" applyBorder="1" applyAlignment="1">
      <alignment horizontal="right"/>
    </xf>
    <xf numFmtId="3" fontId="9" fillId="0" borderId="0" xfId="1" applyNumberFormat="1" applyFont="1" applyFill="1" applyAlignment="1">
      <alignment horizontal="right"/>
    </xf>
    <xf numFmtId="3" fontId="0" fillId="0" borderId="0" xfId="1" applyNumberFormat="1" applyFont="1" applyFill="1" applyAlignment="1">
      <alignment horizontal="right"/>
    </xf>
    <xf numFmtId="3" fontId="0" fillId="4" borderId="0" xfId="1" applyNumberFormat="1" applyFont="1" applyFill="1" applyBorder="1" applyAlignment="1" applyProtection="1">
      <alignment horizontal="right"/>
    </xf>
    <xf numFmtId="3" fontId="9" fillId="4" borderId="0" xfId="1" applyNumberFormat="1" applyFont="1" applyFill="1" applyAlignment="1">
      <alignment horizontal="right"/>
    </xf>
    <xf numFmtId="3" fontId="0" fillId="4" borderId="0" xfId="1" applyNumberFormat="1" applyFont="1" applyFill="1" applyBorder="1" applyAlignment="1">
      <alignment horizontal="right"/>
    </xf>
    <xf numFmtId="3" fontId="9" fillId="4" borderId="0" xfId="1" applyNumberFormat="1" applyFont="1" applyFill="1" applyBorder="1" applyAlignment="1">
      <alignment horizontal="right"/>
    </xf>
    <xf numFmtId="3" fontId="0" fillId="4" borderId="0" xfId="40" applyNumberFormat="1" applyFont="1" applyFill="1" applyBorder="1" applyAlignment="1" applyProtection="1">
      <alignment horizontal="right"/>
    </xf>
    <xf numFmtId="3" fontId="1" fillId="4" borderId="0" xfId="1" applyNumberFormat="1" applyFont="1" applyFill="1" applyBorder="1" applyAlignment="1">
      <alignment horizontal="right"/>
    </xf>
    <xf numFmtId="3" fontId="10" fillId="0" borderId="0" xfId="1" applyNumberFormat="1" applyFont="1" applyFill="1" applyBorder="1" applyAlignment="1" applyProtection="1">
      <alignment horizontal="right"/>
    </xf>
    <xf numFmtId="3" fontId="5" fillId="0" borderId="0" xfId="0" applyNumberFormat="1" applyFont="1" applyAlignment="1">
      <alignment horizontal="right"/>
    </xf>
    <xf numFmtId="3" fontId="5" fillId="0" borderId="0" xfId="1" applyNumberFormat="1" applyFont="1" applyFill="1" applyBorder="1" applyAlignment="1" applyProtection="1">
      <alignment horizontal="right"/>
    </xf>
    <xf numFmtId="3" fontId="5" fillId="0" borderId="0" xfId="1" applyNumberFormat="1" applyFont="1" applyFill="1" applyAlignment="1">
      <alignment horizontal="right"/>
    </xf>
    <xf numFmtId="3" fontId="9" fillId="4" borderId="0" xfId="40" applyNumberFormat="1" applyFont="1" applyFill="1" applyBorder="1" applyAlignment="1" applyProtection="1">
      <alignment horizontal="right"/>
    </xf>
    <xf numFmtId="3" fontId="4" fillId="4" borderId="0" xfId="1" applyNumberFormat="1" applyFont="1" applyFill="1" applyAlignment="1">
      <alignment horizontal="right"/>
    </xf>
    <xf numFmtId="0" fontId="9" fillId="4" borderId="0" xfId="0" quotePrefix="1" applyFont="1" applyFill="1" applyAlignment="1">
      <alignment horizontal="center"/>
    </xf>
    <xf numFmtId="0" fontId="9" fillId="4" borderId="0" xfId="0" applyFont="1" applyFill="1" applyAlignment="1">
      <alignment horizontal="left"/>
    </xf>
    <xf numFmtId="3" fontId="1" fillId="0" borderId="0" xfId="1" applyNumberFormat="1" applyFont="1" applyFill="1" applyBorder="1" applyAlignment="1" applyProtection="1">
      <alignment horizontal="right"/>
    </xf>
    <xf numFmtId="3" fontId="5" fillId="4" borderId="0" xfId="1" applyNumberFormat="1" applyFont="1" applyFill="1" applyAlignment="1">
      <alignment horizontal="right"/>
    </xf>
    <xf numFmtId="0" fontId="63" fillId="0" borderId="0" xfId="0" applyFont="1" applyAlignment="1">
      <alignment horizontal="left"/>
    </xf>
    <xf numFmtId="3" fontId="1" fillId="4" borderId="0" xfId="1" applyNumberFormat="1" applyFont="1" applyFill="1" applyAlignment="1">
      <alignment horizontal="right"/>
    </xf>
    <xf numFmtId="3" fontId="69" fillId="4" borderId="0" xfId="0" applyNumberFormat="1" applyFont="1" applyFill="1" applyAlignment="1">
      <alignment horizontal="right"/>
    </xf>
    <xf numFmtId="3" fontId="66" fillId="4" borderId="0" xfId="0" applyNumberFormat="1" applyFont="1" applyFill="1" applyAlignment="1">
      <alignment horizontal="right"/>
    </xf>
    <xf numFmtId="3" fontId="10" fillId="28" borderId="0" xfId="1" applyNumberFormat="1" applyFont="1" applyFill="1" applyBorder="1" applyAlignment="1" applyProtection="1">
      <alignment horizontal="right"/>
    </xf>
    <xf numFmtId="175" fontId="10" fillId="28" borderId="0" xfId="0" applyNumberFormat="1" applyFont="1" applyFill="1" applyAlignment="1">
      <alignment horizontal="right"/>
    </xf>
    <xf numFmtId="175" fontId="70" fillId="28" borderId="0" xfId="0" applyNumberFormat="1" applyFont="1" applyFill="1" applyAlignment="1">
      <alignment horizontal="right"/>
    </xf>
    <xf numFmtId="175" fontId="5" fillId="28" borderId="0" xfId="0" applyNumberFormat="1" applyFont="1" applyFill="1" applyAlignment="1">
      <alignment horizontal="right"/>
    </xf>
    <xf numFmtId="0" fontId="47" fillId="28" borderId="0" xfId="0" applyFont="1" applyFill="1" applyAlignment="1" applyProtection="1">
      <alignment horizontal="left"/>
      <protection locked="0"/>
    </xf>
    <xf numFmtId="0" fontId="9" fillId="28" borderId="0" xfId="0" applyFont="1" applyFill="1"/>
    <xf numFmtId="177" fontId="10" fillId="28" borderId="0" xfId="0" applyNumberFormat="1" applyFont="1" applyFill="1" applyAlignment="1">
      <alignment horizontal="right"/>
    </xf>
    <xf numFmtId="177" fontId="10" fillId="28" borderId="0" xfId="1" applyNumberFormat="1" applyFont="1" applyFill="1" applyBorder="1" applyAlignment="1" applyProtection="1">
      <alignment horizontal="right"/>
    </xf>
    <xf numFmtId="175" fontId="67" fillId="28" borderId="0" xfId="0" applyNumberFormat="1" applyFont="1" applyFill="1" applyAlignment="1">
      <alignment horizontal="right"/>
    </xf>
    <xf numFmtId="174" fontId="9" fillId="28" borderId="0" xfId="1" applyFont="1" applyFill="1" applyBorder="1" applyAlignment="1" applyProtection="1">
      <alignment horizontal="right"/>
    </xf>
    <xf numFmtId="0" fontId="10" fillId="28" borderId="0" xfId="0" applyFont="1" applyFill="1" applyAlignment="1">
      <alignment horizontal="right"/>
    </xf>
    <xf numFmtId="177" fontId="0" fillId="0" borderId="0" xfId="0" applyNumberFormat="1"/>
    <xf numFmtId="177" fontId="0" fillId="0" borderId="0" xfId="1" applyNumberFormat="1" applyFont="1"/>
    <xf numFmtId="175" fontId="0" fillId="0" borderId="0" xfId="0" applyNumberFormat="1"/>
    <xf numFmtId="175" fontId="66" fillId="0" borderId="0" xfId="0" applyNumberFormat="1" applyFont="1"/>
    <xf numFmtId="175" fontId="9" fillId="0" borderId="0" xfId="0" applyNumberFormat="1" applyFont="1"/>
    <xf numFmtId="2" fontId="0" fillId="0" borderId="0" xfId="0" applyNumberFormat="1"/>
    <xf numFmtId="0" fontId="3" fillId="18" borderId="25" xfId="0" applyFont="1" applyFill="1" applyBorder="1"/>
    <xf numFmtId="3" fontId="3" fillId="18" borderId="35" xfId="0" applyNumberFormat="1" applyFont="1" applyFill="1" applyBorder="1" applyAlignment="1">
      <alignment horizontal="center" vertical="center" wrapText="1"/>
    </xf>
    <xf numFmtId="0" fontId="3" fillId="18" borderId="35" xfId="0" applyFont="1" applyFill="1" applyBorder="1" applyAlignment="1">
      <alignment horizontal="center" vertical="center" wrapText="1"/>
    </xf>
    <xf numFmtId="0" fontId="3" fillId="18" borderId="36" xfId="0" applyFont="1" applyFill="1" applyBorder="1" applyAlignment="1">
      <alignment horizontal="center" vertical="center" wrapText="1"/>
    </xf>
    <xf numFmtId="0" fontId="3" fillId="18" borderId="33" xfId="0" applyFont="1" applyFill="1" applyBorder="1" applyAlignment="1">
      <alignment wrapText="1"/>
    </xf>
    <xf numFmtId="10" fontId="9" fillId="0" borderId="0" xfId="10" applyNumberFormat="1" applyFont="1" applyFill="1" applyBorder="1" applyAlignment="1">
      <alignment horizontal="center"/>
    </xf>
    <xf numFmtId="10" fontId="9" fillId="0" borderId="16" xfId="10" applyNumberFormat="1" applyFont="1" applyFill="1" applyBorder="1" applyAlignment="1">
      <alignment horizontal="center"/>
    </xf>
    <xf numFmtId="3" fontId="9" fillId="0" borderId="19" xfId="0" applyNumberFormat="1" applyFont="1" applyBorder="1" applyAlignment="1">
      <alignment horizontal="center"/>
    </xf>
    <xf numFmtId="10" fontId="9" fillId="2" borderId="0" xfId="10" applyNumberFormat="1" applyFont="1" applyFill="1" applyBorder="1" applyAlignment="1">
      <alignment horizontal="center"/>
    </xf>
    <xf numFmtId="10" fontId="9" fillId="2" borderId="16" xfId="10" applyNumberFormat="1" applyFont="1" applyFill="1" applyBorder="1" applyAlignment="1">
      <alignment horizontal="center"/>
    </xf>
    <xf numFmtId="3" fontId="9" fillId="2" borderId="19" xfId="0" applyNumberFormat="1" applyFont="1" applyFill="1" applyBorder="1" applyAlignment="1">
      <alignment horizontal="center"/>
    </xf>
    <xf numFmtId="0" fontId="71" fillId="0" borderId="0" xfId="0" applyFont="1"/>
    <xf numFmtId="0" fontId="3" fillId="18" borderId="33" xfId="0" applyFont="1" applyFill="1" applyBorder="1"/>
    <xf numFmtId="0" fontId="3" fillId="18" borderId="30" xfId="0" applyFont="1" applyFill="1" applyBorder="1"/>
    <xf numFmtId="10" fontId="9" fillId="0" borderId="31" xfId="10" applyNumberFormat="1" applyFont="1" applyFill="1" applyBorder="1" applyAlignment="1">
      <alignment horizontal="center"/>
    </xf>
    <xf numFmtId="10" fontId="9" fillId="0" borderId="21" xfId="10" applyNumberFormat="1" applyFont="1" applyFill="1" applyBorder="1" applyAlignment="1">
      <alignment horizontal="center"/>
    </xf>
    <xf numFmtId="3" fontId="9" fillId="0" borderId="32" xfId="0" applyNumberFormat="1" applyFont="1" applyBorder="1" applyAlignment="1">
      <alignment horizontal="center"/>
    </xf>
    <xf numFmtId="0" fontId="72" fillId="0" borderId="0" xfId="0" applyFont="1"/>
    <xf numFmtId="0" fontId="62" fillId="0" borderId="0" xfId="0" applyFont="1" applyAlignment="1">
      <alignment horizontal="center"/>
    </xf>
    <xf numFmtId="0" fontId="3" fillId="29" borderId="5" xfId="0" applyFont="1" applyFill="1" applyBorder="1" applyAlignment="1">
      <alignment horizontal="right"/>
    </xf>
    <xf numFmtId="0" fontId="3" fillId="30" borderId="6" xfId="0" applyFont="1" applyFill="1" applyBorder="1" applyAlignment="1">
      <alignment horizontal="center" wrapText="1"/>
    </xf>
    <xf numFmtId="0" fontId="3" fillId="30" borderId="37" xfId="0" applyFont="1" applyFill="1" applyBorder="1" applyAlignment="1">
      <alignment horizontal="center"/>
    </xf>
    <xf numFmtId="0" fontId="3" fillId="30" borderId="5" xfId="0" applyFont="1" applyFill="1" applyBorder="1" applyAlignment="1">
      <alignment horizontal="right"/>
    </xf>
    <xf numFmtId="0" fontId="3" fillId="30" borderId="6" xfId="0" applyFont="1" applyFill="1" applyBorder="1" applyAlignment="1">
      <alignment horizontal="center"/>
    </xf>
    <xf numFmtId="0" fontId="3" fillId="29" borderId="10" xfId="0" applyFont="1" applyFill="1" applyBorder="1" applyAlignment="1">
      <alignment horizontal="right"/>
    </xf>
    <xf numFmtId="0" fontId="3" fillId="30" borderId="11" xfId="0" applyFont="1" applyFill="1" applyBorder="1" applyAlignment="1">
      <alignment horizontal="center"/>
    </xf>
    <xf numFmtId="0" fontId="3" fillId="30" borderId="38" xfId="0" applyFont="1" applyFill="1" applyBorder="1" applyAlignment="1">
      <alignment horizontal="center"/>
    </xf>
    <xf numFmtId="0" fontId="3" fillId="30" borderId="10" xfId="0" applyFont="1" applyFill="1" applyBorder="1" applyAlignment="1">
      <alignment horizontal="right"/>
    </xf>
    <xf numFmtId="17" fontId="3" fillId="31" borderId="4" xfId="0" applyNumberFormat="1" applyFont="1" applyFill="1" applyBorder="1" applyAlignment="1">
      <alignment horizontal="right"/>
    </xf>
    <xf numFmtId="4" fontId="0" fillId="0" borderId="16" xfId="0" applyNumberFormat="1" applyBorder="1" applyAlignment="1">
      <alignment horizontal="center"/>
    </xf>
    <xf numFmtId="4" fontId="0" fillId="0" borderId="39" xfId="0" applyNumberFormat="1" applyBorder="1" applyAlignment="1">
      <alignment horizontal="center"/>
    </xf>
    <xf numFmtId="0" fontId="3" fillId="32" borderId="4" xfId="0" applyFont="1" applyFill="1" applyBorder="1" applyAlignment="1">
      <alignment horizontal="right"/>
    </xf>
    <xf numFmtId="4" fontId="0" fillId="33" borderId="16" xfId="0" applyNumberFormat="1" applyFill="1" applyBorder="1" applyAlignment="1">
      <alignment horizontal="center"/>
    </xf>
    <xf numFmtId="4" fontId="0" fillId="33" borderId="39" xfId="0" applyNumberFormat="1" applyFill="1" applyBorder="1" applyAlignment="1">
      <alignment horizontal="center"/>
    </xf>
    <xf numFmtId="0" fontId="3" fillId="31" borderId="4" xfId="0" applyFont="1" applyFill="1" applyBorder="1" applyAlignment="1">
      <alignment horizontal="right"/>
    </xf>
    <xf numFmtId="17" fontId="3" fillId="32" borderId="4" xfId="0" applyNumberFormat="1" applyFont="1" applyFill="1" applyBorder="1" applyAlignment="1">
      <alignment horizontal="right"/>
    </xf>
    <xf numFmtId="17" fontId="3" fillId="32" borderId="4" xfId="0" applyNumberFormat="1" applyFont="1" applyFill="1" applyBorder="1"/>
    <xf numFmtId="17" fontId="3" fillId="31" borderId="4" xfId="0" applyNumberFormat="1" applyFont="1" applyFill="1" applyBorder="1"/>
    <xf numFmtId="0" fontId="3" fillId="32" borderId="30" xfId="0" applyFont="1" applyFill="1" applyBorder="1" applyAlignment="1">
      <alignment horizontal="right"/>
    </xf>
    <xf numFmtId="0" fontId="0" fillId="0" borderId="0" xfId="0" applyAlignment="1">
      <alignment vertical="top"/>
    </xf>
    <xf numFmtId="17" fontId="3" fillId="31" borderId="33" xfId="0" applyNumberFormat="1" applyFont="1" applyFill="1" applyBorder="1"/>
    <xf numFmtId="17" fontId="3" fillId="31" borderId="30" xfId="0" applyNumberFormat="1" applyFont="1" applyFill="1" applyBorder="1"/>
    <xf numFmtId="4" fontId="0" fillId="0" borderId="21" xfId="0" applyNumberFormat="1" applyBorder="1" applyAlignment="1">
      <alignment horizontal="center"/>
    </xf>
    <xf numFmtId="4" fontId="0" fillId="0" borderId="40" xfId="0" applyNumberFormat="1" applyBorder="1" applyAlignment="1">
      <alignment horizontal="center"/>
    </xf>
    <xf numFmtId="0" fontId="3" fillId="18" borderId="41" xfId="0" quotePrefix="1" applyFont="1" applyFill="1" applyBorder="1" applyAlignment="1">
      <alignment horizontal="center"/>
    </xf>
    <xf numFmtId="0" fontId="10" fillId="18" borderId="0" xfId="0" applyFont="1" applyFill="1" applyAlignment="1">
      <alignment horizontal="center"/>
    </xf>
    <xf numFmtId="0" fontId="3" fillId="30" borderId="12" xfId="0" applyFont="1" applyFill="1" applyBorder="1" applyAlignment="1">
      <alignment horizontal="center"/>
    </xf>
    <xf numFmtId="0" fontId="3" fillId="30" borderId="14" xfId="0" applyFont="1" applyFill="1" applyBorder="1" applyAlignment="1">
      <alignment horizontal="center"/>
    </xf>
    <xf numFmtId="0" fontId="3" fillId="30" borderId="15" xfId="0" applyFont="1" applyFill="1" applyBorder="1" applyAlignment="1">
      <alignment horizontal="center"/>
    </xf>
    <xf numFmtId="0" fontId="3" fillId="18" borderId="0" xfId="0" applyFont="1" applyFill="1"/>
    <xf numFmtId="17" fontId="3" fillId="18" borderId="33" xfId="0" applyNumberFormat="1" applyFont="1" applyFill="1" applyBorder="1"/>
    <xf numFmtId="4" fontId="9" fillId="0" borderId="16" xfId="0" applyNumberFormat="1" applyFont="1" applyBorder="1" applyAlignment="1">
      <alignment horizontal="center"/>
    </xf>
    <xf numFmtId="4" fontId="9" fillId="0" borderId="39" xfId="0" applyNumberFormat="1" applyFont="1" applyBorder="1" applyAlignment="1">
      <alignment horizontal="center"/>
    </xf>
    <xf numFmtId="4" fontId="9" fillId="2" borderId="16" xfId="0" applyNumberFormat="1" applyFont="1" applyFill="1" applyBorder="1" applyAlignment="1">
      <alignment horizontal="center"/>
    </xf>
    <xf numFmtId="4" fontId="9" fillId="2" borderId="39" xfId="0" applyNumberFormat="1" applyFont="1" applyFill="1" applyBorder="1" applyAlignment="1">
      <alignment horizontal="center"/>
    </xf>
    <xf numFmtId="0" fontId="3" fillId="30" borderId="25" xfId="0" applyFont="1" applyFill="1" applyBorder="1" applyAlignment="1">
      <alignment horizontal="right"/>
    </xf>
    <xf numFmtId="0" fontId="3" fillId="30" borderId="35" xfId="0" applyFont="1" applyFill="1" applyBorder="1" applyAlignment="1">
      <alignment horizontal="center"/>
    </xf>
    <xf numFmtId="0" fontId="3" fillId="30" borderId="36" xfId="0" applyFont="1" applyFill="1" applyBorder="1" applyAlignment="1">
      <alignment horizontal="center"/>
    </xf>
    <xf numFmtId="4" fontId="9" fillId="0" borderId="17" xfId="0" applyNumberFormat="1" applyFont="1" applyBorder="1" applyAlignment="1">
      <alignment horizontal="center"/>
    </xf>
    <xf numFmtId="4" fontId="9" fillId="0" borderId="19" xfId="0" applyNumberFormat="1" applyFont="1" applyBorder="1" applyAlignment="1">
      <alignment horizontal="center"/>
    </xf>
    <xf numFmtId="4" fontId="9" fillId="2" borderId="17" xfId="0" applyNumberFormat="1" applyFont="1" applyFill="1" applyBorder="1" applyAlignment="1">
      <alignment horizontal="center"/>
    </xf>
    <xf numFmtId="4" fontId="9" fillId="2" borderId="19" xfId="0" applyNumberFormat="1" applyFont="1" applyFill="1" applyBorder="1" applyAlignment="1">
      <alignment horizontal="center"/>
    </xf>
    <xf numFmtId="17" fontId="3" fillId="18" borderId="30" xfId="0" applyNumberFormat="1" applyFont="1" applyFill="1" applyBorder="1"/>
    <xf numFmtId="4" fontId="9" fillId="0" borderId="42" xfId="0" applyNumberFormat="1" applyFont="1" applyBorder="1" applyAlignment="1">
      <alignment horizontal="center"/>
    </xf>
    <xf numFmtId="4" fontId="9" fillId="0" borderId="32" xfId="0" applyNumberFormat="1" applyFont="1" applyBorder="1" applyAlignment="1">
      <alignment horizontal="center"/>
    </xf>
    <xf numFmtId="17" fontId="0" fillId="0" borderId="0" xfId="0" applyNumberFormat="1"/>
    <xf numFmtId="0" fontId="3" fillId="18" borderId="41" xfId="0" applyFont="1" applyFill="1" applyBorder="1"/>
    <xf numFmtId="0" fontId="3" fillId="18" borderId="10" xfId="0" applyFont="1" applyFill="1" applyBorder="1" applyAlignment="1">
      <alignment horizontal="right"/>
    </xf>
    <xf numFmtId="0" fontId="3" fillId="18" borderId="12" xfId="0" applyFont="1" applyFill="1" applyBorder="1" applyAlignment="1">
      <alignment horizontal="center"/>
    </xf>
    <xf numFmtId="0" fontId="3" fillId="18" borderId="38" xfId="0" applyFont="1" applyFill="1" applyBorder="1" applyAlignment="1">
      <alignment horizontal="center"/>
    </xf>
    <xf numFmtId="0" fontId="3" fillId="18" borderId="33" xfId="0" applyFont="1" applyFill="1" applyBorder="1" applyAlignment="1">
      <alignment horizontal="right"/>
    </xf>
    <xf numFmtId="2" fontId="0" fillId="0" borderId="0" xfId="0" applyNumberFormat="1" applyAlignment="1">
      <alignment horizontal="center"/>
    </xf>
    <xf numFmtId="172" fontId="0" fillId="0" borderId="39" xfId="0" applyNumberFormat="1" applyBorder="1" applyAlignment="1">
      <alignment horizontal="center"/>
    </xf>
    <xf numFmtId="2" fontId="0" fillId="2" borderId="0" xfId="0" applyNumberFormat="1" applyFill="1" applyAlignment="1">
      <alignment horizontal="center"/>
    </xf>
    <xf numFmtId="172" fontId="0" fillId="2" borderId="39" xfId="0" applyNumberFormat="1" applyFill="1" applyBorder="1" applyAlignment="1">
      <alignment horizontal="center"/>
    </xf>
    <xf numFmtId="1" fontId="3" fillId="18" borderId="33" xfId="0" applyNumberFormat="1" applyFont="1" applyFill="1" applyBorder="1" applyAlignment="1">
      <alignment horizontal="right"/>
    </xf>
    <xf numFmtId="4" fontId="9" fillId="0" borderId="16" xfId="0" applyNumberFormat="1" applyFont="1" applyBorder="1" applyAlignment="1">
      <alignment horizontal="center" vertical="center"/>
    </xf>
    <xf numFmtId="4" fontId="9" fillId="2" borderId="16" xfId="0" applyNumberFormat="1" applyFont="1" applyFill="1" applyBorder="1" applyAlignment="1">
      <alignment horizontal="center" vertical="center"/>
    </xf>
    <xf numFmtId="1" fontId="3" fillId="18" borderId="30" xfId="0" applyNumberFormat="1" applyFont="1" applyFill="1" applyBorder="1" applyAlignment="1">
      <alignment horizontal="right"/>
    </xf>
    <xf numFmtId="2" fontId="0" fillId="2" borderId="31" xfId="0" applyNumberFormat="1" applyFill="1" applyBorder="1" applyAlignment="1">
      <alignment horizontal="center"/>
    </xf>
    <xf numFmtId="172" fontId="0" fillId="2" borderId="40" xfId="0" applyNumberFormat="1" applyFill="1" applyBorder="1" applyAlignment="1">
      <alignment horizontal="center"/>
    </xf>
    <xf numFmtId="1" fontId="3" fillId="0" borderId="0" xfId="0" applyNumberFormat="1" applyFont="1" applyAlignment="1">
      <alignment horizontal="right"/>
    </xf>
    <xf numFmtId="180" fontId="0" fillId="0" borderId="0" xfId="0" applyNumberFormat="1"/>
    <xf numFmtId="0" fontId="3" fillId="0" borderId="0" xfId="0" applyFont="1" applyAlignment="1">
      <alignment horizontal="center"/>
    </xf>
    <xf numFmtId="17" fontId="3" fillId="18" borderId="33" xfId="41" applyNumberFormat="1" applyFont="1" applyFill="1" applyBorder="1"/>
    <xf numFmtId="4" fontId="9" fillId="2" borderId="16" xfId="41" applyNumberFormat="1" applyFont="1" applyFill="1" applyBorder="1" applyAlignment="1">
      <alignment horizontal="center"/>
    </xf>
    <xf numFmtId="4" fontId="9" fillId="2" borderId="16" xfId="41" applyNumberFormat="1" applyFont="1" applyFill="1" applyBorder="1" applyAlignment="1">
      <alignment horizontal="center" vertical="center"/>
    </xf>
    <xf numFmtId="4" fontId="9" fillId="2" borderId="16" xfId="42" applyNumberFormat="1" applyFont="1" applyFill="1" applyBorder="1" applyAlignment="1">
      <alignment horizontal="center"/>
    </xf>
    <xf numFmtId="4" fontId="9" fillId="0" borderId="16" xfId="41" applyNumberFormat="1" applyFont="1" applyBorder="1" applyAlignment="1">
      <alignment horizontal="center"/>
    </xf>
    <xf numFmtId="4" fontId="9" fillId="0" borderId="16" xfId="41" applyNumberFormat="1" applyFont="1" applyBorder="1" applyAlignment="1">
      <alignment horizontal="center" vertical="center"/>
    </xf>
    <xf numFmtId="4" fontId="9" fillId="0" borderId="16" xfId="42" applyNumberFormat="1" applyFont="1" applyBorder="1" applyAlignment="1">
      <alignment horizontal="center"/>
    </xf>
    <xf numFmtId="4" fontId="9" fillId="2" borderId="39" xfId="42" applyNumberFormat="1" applyFont="1" applyFill="1" applyBorder="1" applyAlignment="1">
      <alignment horizontal="center"/>
    </xf>
    <xf numFmtId="4" fontId="9" fillId="0" borderId="39" xfId="42" applyNumberFormat="1" applyFont="1" applyBorder="1" applyAlignment="1">
      <alignment horizontal="center"/>
    </xf>
    <xf numFmtId="4" fontId="9" fillId="2" borderId="21" xfId="41" applyNumberFormat="1" applyFont="1" applyFill="1" applyBorder="1" applyAlignment="1">
      <alignment horizontal="center"/>
    </xf>
    <xf numFmtId="4" fontId="9" fillId="2" borderId="21" xfId="41" applyNumberFormat="1" applyFont="1" applyFill="1" applyBorder="1" applyAlignment="1">
      <alignment horizontal="center" vertical="center"/>
    </xf>
    <xf numFmtId="4" fontId="9" fillId="2" borderId="21" xfId="42" applyNumberFormat="1" applyFont="1" applyFill="1" applyBorder="1" applyAlignment="1">
      <alignment horizontal="center"/>
    </xf>
    <xf numFmtId="4" fontId="9" fillId="2" borderId="40" xfId="42" applyNumberFormat="1" applyFont="1" applyFill="1" applyBorder="1" applyAlignment="1">
      <alignment horizontal="center"/>
    </xf>
    <xf numFmtId="0" fontId="3" fillId="18" borderId="46" xfId="0" applyFont="1" applyFill="1" applyBorder="1"/>
    <xf numFmtId="0" fontId="3" fillId="18" borderId="35" xfId="0" applyFont="1" applyFill="1" applyBorder="1" applyAlignment="1">
      <alignment horizontal="center"/>
    </xf>
    <xf numFmtId="0" fontId="3" fillId="18" borderId="36" xfId="0" applyFont="1" applyFill="1" applyBorder="1" applyAlignment="1">
      <alignment horizontal="center"/>
    </xf>
    <xf numFmtId="3" fontId="0" fillId="0" borderId="16" xfId="0" applyNumberFormat="1" applyBorder="1" applyAlignment="1">
      <alignment horizontal="left"/>
    </xf>
    <xf numFmtId="0" fontId="0" fillId="0" borderId="16" xfId="0" applyBorder="1" applyAlignment="1">
      <alignment horizontal="center"/>
    </xf>
    <xf numFmtId="3" fontId="0" fillId="0" borderId="16" xfId="0" applyNumberFormat="1" applyBorder="1" applyAlignment="1">
      <alignment horizontal="center"/>
    </xf>
    <xf numFmtId="165" fontId="0" fillId="0" borderId="39" xfId="0" applyNumberFormat="1" applyBorder="1" applyAlignment="1">
      <alignment horizontal="center"/>
    </xf>
    <xf numFmtId="0" fontId="0" fillId="2" borderId="33" xfId="0" applyFill="1" applyBorder="1"/>
    <xf numFmtId="0" fontId="0" fillId="2" borderId="16" xfId="0" applyFill="1" applyBorder="1" applyAlignment="1">
      <alignment horizontal="center"/>
    </xf>
    <xf numFmtId="3" fontId="0" fillId="2" borderId="16" xfId="0" applyNumberFormat="1" applyFill="1" applyBorder="1" applyAlignment="1">
      <alignment horizontal="center"/>
    </xf>
    <xf numFmtId="165" fontId="0" fillId="2" borderId="39" xfId="0" applyNumberFormat="1" applyFill="1" applyBorder="1" applyAlignment="1">
      <alignment horizontal="center"/>
    </xf>
    <xf numFmtId="0" fontId="0" fillId="0" borderId="33" xfId="0" applyBorder="1"/>
    <xf numFmtId="0" fontId="5" fillId="21" borderId="49" xfId="0" applyFont="1" applyFill="1" applyBorder="1"/>
    <xf numFmtId="0" fontId="5" fillId="21" borderId="50" xfId="0" applyFont="1" applyFill="1" applyBorder="1" applyAlignment="1">
      <alignment horizontal="center"/>
    </xf>
    <xf numFmtId="3" fontId="5" fillId="21" borderId="50" xfId="0" applyNumberFormat="1" applyFont="1" applyFill="1" applyBorder="1" applyAlignment="1">
      <alignment horizontal="center"/>
    </xf>
    <xf numFmtId="0" fontId="5" fillId="21" borderId="51" xfId="0" applyFont="1" applyFill="1" applyBorder="1" applyAlignment="1">
      <alignment horizontal="center"/>
    </xf>
    <xf numFmtId="0" fontId="73" fillId="0" borderId="0" xfId="0" applyFont="1" applyAlignment="1">
      <alignment vertical="center"/>
    </xf>
    <xf numFmtId="0" fontId="3" fillId="18" borderId="28" xfId="0" applyFont="1" applyFill="1" applyBorder="1" applyAlignment="1">
      <alignment horizontal="right"/>
    </xf>
    <xf numFmtId="0" fontId="3" fillId="18" borderId="27" xfId="0" applyFont="1" applyFill="1" applyBorder="1" applyAlignment="1">
      <alignment horizontal="center"/>
    </xf>
    <xf numFmtId="2" fontId="9" fillId="0" borderId="17" xfId="0" applyNumberFormat="1" applyFont="1" applyBorder="1" applyAlignment="1">
      <alignment horizontal="center"/>
    </xf>
    <xf numFmtId="2" fontId="9" fillId="0" borderId="19" xfId="0" applyNumberFormat="1" applyFont="1" applyBorder="1" applyAlignment="1">
      <alignment horizontal="center"/>
    </xf>
    <xf numFmtId="0" fontId="3" fillId="30" borderId="25" xfId="0" applyFont="1" applyFill="1" applyBorder="1" applyAlignment="1">
      <alignment horizontal="right" vertical="center"/>
    </xf>
    <xf numFmtId="2" fontId="9" fillId="2" borderId="17" xfId="0" applyNumberFormat="1" applyFont="1" applyFill="1" applyBorder="1" applyAlignment="1">
      <alignment horizontal="center"/>
    </xf>
    <xf numFmtId="2" fontId="9" fillId="2" borderId="19" xfId="0" applyNumberFormat="1" applyFont="1" applyFill="1" applyBorder="1" applyAlignment="1">
      <alignment horizontal="center"/>
    </xf>
    <xf numFmtId="2" fontId="0" fillId="0" borderId="16" xfId="0" applyNumberFormat="1" applyBorder="1" applyAlignment="1">
      <alignment horizontal="center"/>
    </xf>
    <xf numFmtId="2" fontId="0" fillId="0" borderId="19" xfId="0" applyNumberFormat="1" applyBorder="1" applyAlignment="1">
      <alignment horizontal="center"/>
    </xf>
    <xf numFmtId="2" fontId="0" fillId="33" borderId="16" xfId="0" applyNumberFormat="1" applyFill="1" applyBorder="1" applyAlignment="1">
      <alignment horizontal="center"/>
    </xf>
    <xf numFmtId="2" fontId="0" fillId="33" borderId="19" xfId="0" applyNumberFormat="1" applyFill="1" applyBorder="1" applyAlignment="1">
      <alignment horizontal="center"/>
    </xf>
    <xf numFmtId="2" fontId="0" fillId="33" borderId="21" xfId="0" applyNumberFormat="1" applyFill="1" applyBorder="1" applyAlignment="1">
      <alignment horizontal="center"/>
    </xf>
    <xf numFmtId="2" fontId="0" fillId="33" borderId="32" xfId="0" applyNumberFormat="1" applyFill="1" applyBorder="1" applyAlignment="1">
      <alignment horizontal="center"/>
    </xf>
    <xf numFmtId="0" fontId="3" fillId="18" borderId="17" xfId="0" applyFont="1" applyFill="1" applyBorder="1"/>
    <xf numFmtId="2" fontId="9" fillId="2" borderId="0" xfId="0" applyNumberFormat="1" applyFont="1" applyFill="1" applyAlignment="1">
      <alignment horizontal="center"/>
    </xf>
    <xf numFmtId="2" fontId="9" fillId="2" borderId="39" xfId="0" applyNumberFormat="1" applyFont="1" applyFill="1" applyBorder="1" applyAlignment="1">
      <alignment horizontal="center"/>
    </xf>
    <xf numFmtId="2" fontId="9" fillId="21" borderId="0" xfId="0" applyNumberFormat="1" applyFont="1" applyFill="1" applyAlignment="1">
      <alignment horizontal="center"/>
    </xf>
    <xf numFmtId="2" fontId="9" fillId="21" borderId="39" xfId="0" applyNumberFormat="1" applyFont="1" applyFill="1" applyBorder="1" applyAlignment="1">
      <alignment horizontal="center"/>
    </xf>
    <xf numFmtId="2" fontId="9" fillId="0" borderId="18" xfId="0" applyNumberFormat="1" applyFont="1" applyBorder="1" applyAlignment="1">
      <alignment horizontal="center"/>
    </xf>
    <xf numFmtId="2" fontId="9" fillId="0" borderId="39" xfId="0" applyNumberFormat="1" applyFont="1" applyBorder="1" applyAlignment="1">
      <alignment horizontal="center"/>
    </xf>
    <xf numFmtId="2" fontId="9" fillId="2" borderId="18" xfId="0" applyNumberFormat="1" applyFont="1" applyFill="1" applyBorder="1" applyAlignment="1">
      <alignment horizontal="center"/>
    </xf>
    <xf numFmtId="0" fontId="3" fillId="18" borderId="42" xfId="0" applyFont="1" applyFill="1" applyBorder="1"/>
    <xf numFmtId="0" fontId="5" fillId="34" borderId="5" xfId="0" applyFont="1" applyFill="1" applyBorder="1" applyAlignment="1">
      <alignment horizontal="center"/>
    </xf>
    <xf numFmtId="0" fontId="3" fillId="34" borderId="6" xfId="0" applyFont="1" applyFill="1" applyBorder="1" applyAlignment="1">
      <alignment horizontal="center"/>
    </xf>
    <xf numFmtId="0" fontId="3" fillId="34" borderId="9" xfId="0" applyFont="1" applyFill="1" applyBorder="1" applyAlignment="1">
      <alignment horizontal="center"/>
    </xf>
    <xf numFmtId="0" fontId="3" fillId="34" borderId="37" xfId="0" applyFont="1" applyFill="1" applyBorder="1" applyAlignment="1">
      <alignment horizontal="center"/>
    </xf>
    <xf numFmtId="0" fontId="3" fillId="35" borderId="53" xfId="0" applyFont="1" applyFill="1" applyBorder="1" applyAlignment="1">
      <alignment horizontal="right"/>
    </xf>
    <xf numFmtId="0" fontId="3" fillId="35" borderId="11" xfId="0" applyFont="1" applyFill="1" applyBorder="1" applyAlignment="1">
      <alignment horizontal="center"/>
    </xf>
    <xf numFmtId="0" fontId="3" fillId="35" borderId="38" xfId="0" applyFont="1" applyFill="1" applyBorder="1" applyAlignment="1">
      <alignment horizontal="center"/>
    </xf>
    <xf numFmtId="17" fontId="3" fillId="36" borderId="4" xfId="0" applyNumberFormat="1" applyFont="1" applyFill="1" applyBorder="1"/>
    <xf numFmtId="4" fontId="0" fillId="0" borderId="18" xfId="0" applyNumberFormat="1" applyBorder="1" applyAlignment="1">
      <alignment horizontal="center"/>
    </xf>
    <xf numFmtId="0" fontId="3" fillId="34" borderId="4" xfId="0" applyFont="1" applyFill="1" applyBorder="1" applyAlignment="1">
      <alignment horizontal="right"/>
    </xf>
    <xf numFmtId="17" fontId="3" fillId="34" borderId="4" xfId="0" applyNumberFormat="1" applyFont="1" applyFill="1" applyBorder="1"/>
    <xf numFmtId="4" fontId="0" fillId="37" borderId="18" xfId="0" applyNumberFormat="1" applyFill="1" applyBorder="1" applyAlignment="1">
      <alignment horizontal="center"/>
    </xf>
    <xf numFmtId="4" fontId="0" fillId="37" borderId="39" xfId="0" applyNumberFormat="1" applyFill="1" applyBorder="1" applyAlignment="1">
      <alignment horizontal="center"/>
    </xf>
    <xf numFmtId="0" fontId="3" fillId="36" borderId="4" xfId="0" applyFont="1" applyFill="1" applyBorder="1" applyAlignment="1">
      <alignment horizontal="right"/>
    </xf>
    <xf numFmtId="4" fontId="0" fillId="37" borderId="16" xfId="0" applyNumberFormat="1" applyFill="1" applyBorder="1" applyAlignment="1">
      <alignment horizontal="center"/>
    </xf>
    <xf numFmtId="0" fontId="3" fillId="36" borderId="20" xfId="0" applyFont="1" applyFill="1" applyBorder="1" applyAlignment="1">
      <alignment horizontal="right"/>
    </xf>
    <xf numFmtId="4" fontId="0" fillId="3" borderId="21" xfId="0" applyNumberFormat="1" applyFill="1" applyBorder="1" applyAlignment="1">
      <alignment horizontal="center"/>
    </xf>
    <xf numFmtId="4" fontId="0" fillId="3" borderId="40" xfId="0" applyNumberFormat="1" applyFill="1" applyBorder="1" applyAlignment="1">
      <alignment horizontal="center"/>
    </xf>
    <xf numFmtId="17" fontId="3" fillId="34" borderId="33" xfId="0" applyNumberFormat="1" applyFont="1" applyFill="1" applyBorder="1"/>
    <xf numFmtId="17" fontId="3" fillId="34" borderId="30" xfId="0" applyNumberFormat="1" applyFont="1" applyFill="1" applyBorder="1"/>
    <xf numFmtId="4" fontId="0" fillId="0" borderId="52" xfId="0" applyNumberFormat="1" applyBorder="1" applyAlignment="1">
      <alignment horizontal="center"/>
    </xf>
    <xf numFmtId="0" fontId="3" fillId="34" borderId="5" xfId="0" applyFont="1" applyFill="1" applyBorder="1" applyAlignment="1">
      <alignment horizontal="center"/>
    </xf>
    <xf numFmtId="0" fontId="3" fillId="35" borderId="10" xfId="0" applyFont="1" applyFill="1" applyBorder="1" applyAlignment="1">
      <alignment horizontal="right"/>
    </xf>
    <xf numFmtId="0" fontId="3" fillId="35" borderId="12" xfId="0" applyFont="1" applyFill="1" applyBorder="1" applyAlignment="1">
      <alignment horizontal="center"/>
    </xf>
    <xf numFmtId="0" fontId="3" fillId="35" borderId="13" xfId="0" applyFont="1" applyFill="1" applyBorder="1" applyAlignment="1">
      <alignment horizontal="center"/>
    </xf>
    <xf numFmtId="0" fontId="3" fillId="35" borderId="15" xfId="0" applyFont="1" applyFill="1" applyBorder="1" applyAlignment="1">
      <alignment horizontal="center"/>
    </xf>
    <xf numFmtId="4" fontId="9" fillId="3" borderId="16" xfId="0" applyNumberFormat="1" applyFont="1" applyFill="1" applyBorder="1" applyAlignment="1">
      <alignment horizontal="center"/>
    </xf>
    <xf numFmtId="4" fontId="9" fillId="3" borderId="39" xfId="0" applyNumberFormat="1" applyFont="1" applyFill="1" applyBorder="1" applyAlignment="1">
      <alignment horizontal="center"/>
    </xf>
    <xf numFmtId="0" fontId="3" fillId="35" borderId="14" xfId="0" applyFont="1" applyFill="1" applyBorder="1" applyAlignment="1">
      <alignment horizontal="center"/>
    </xf>
    <xf numFmtId="4" fontId="0" fillId="0" borderId="17" xfId="0" applyNumberFormat="1" applyBorder="1" applyAlignment="1">
      <alignment horizontal="center"/>
    </xf>
    <xf numFmtId="4" fontId="0" fillId="37" borderId="17" xfId="0" applyNumberFormat="1" applyFill="1" applyBorder="1" applyAlignment="1">
      <alignment horizontal="center"/>
    </xf>
    <xf numFmtId="4" fontId="0" fillId="0" borderId="42" xfId="0" applyNumberFormat="1" applyBorder="1" applyAlignment="1">
      <alignment horizontal="center"/>
    </xf>
    <xf numFmtId="17" fontId="3" fillId="0" borderId="0" xfId="0" applyNumberFormat="1" applyFont="1"/>
    <xf numFmtId="4" fontId="0" fillId="0" borderId="0" xfId="0" applyNumberFormat="1" applyAlignment="1">
      <alignment horizontal="center"/>
    </xf>
    <xf numFmtId="0" fontId="3" fillId="34" borderId="5" xfId="0" applyFont="1" applyFill="1" applyBorder="1"/>
    <xf numFmtId="0" fontId="3" fillId="34" borderId="4" xfId="0" applyFont="1" applyFill="1" applyBorder="1" applyAlignment="1">
      <alignment horizontal="center"/>
    </xf>
    <xf numFmtId="0" fontId="3" fillId="34" borderId="33" xfId="0" applyFont="1" applyFill="1" applyBorder="1" applyAlignment="1">
      <alignment horizontal="right"/>
    </xf>
    <xf numFmtId="4" fontId="0" fillId="21" borderId="17" xfId="0" applyNumberFormat="1" applyFill="1" applyBorder="1" applyAlignment="1">
      <alignment horizontal="center"/>
    </xf>
    <xf numFmtId="4" fontId="0" fillId="21" borderId="18" xfId="0" applyNumberFormat="1" applyFill="1" applyBorder="1" applyAlignment="1">
      <alignment horizontal="center"/>
    </xf>
    <xf numFmtId="4" fontId="0" fillId="21" borderId="16" xfId="0" applyNumberFormat="1" applyFill="1" applyBorder="1" applyAlignment="1">
      <alignment horizontal="center"/>
    </xf>
    <xf numFmtId="4" fontId="0" fillId="21" borderId="39" xfId="0" applyNumberFormat="1" applyFill="1" applyBorder="1" applyAlignment="1">
      <alignment horizontal="center"/>
    </xf>
    <xf numFmtId="4" fontId="0" fillId="3" borderId="17" xfId="0" applyNumberFormat="1" applyFill="1" applyBorder="1" applyAlignment="1">
      <alignment horizontal="center"/>
    </xf>
    <xf numFmtId="4" fontId="0" fillId="3" borderId="18" xfId="0" applyNumberFormat="1" applyFill="1" applyBorder="1" applyAlignment="1">
      <alignment horizontal="center"/>
    </xf>
    <xf numFmtId="4" fontId="0" fillId="3" borderId="16" xfId="0" applyNumberFormat="1" applyFill="1" applyBorder="1" applyAlignment="1">
      <alignment horizontal="center"/>
    </xf>
    <xf numFmtId="4" fontId="0" fillId="3" borderId="39" xfId="0" applyNumberFormat="1" applyFill="1" applyBorder="1" applyAlignment="1">
      <alignment horizontal="center"/>
    </xf>
    <xf numFmtId="0" fontId="3" fillId="34" borderId="30" xfId="0" applyFont="1" applyFill="1" applyBorder="1" applyAlignment="1">
      <alignment horizontal="right"/>
    </xf>
    <xf numFmtId="4" fontId="0" fillId="3" borderId="42" xfId="0" applyNumberFormat="1" applyFill="1" applyBorder="1" applyAlignment="1">
      <alignment horizontal="center"/>
    </xf>
    <xf numFmtId="4" fontId="0" fillId="3" borderId="52" xfId="0" applyNumberFormat="1" applyFill="1" applyBorder="1" applyAlignment="1">
      <alignment horizontal="center"/>
    </xf>
    <xf numFmtId="49" fontId="3" fillId="0" borderId="0" xfId="0" applyNumberFormat="1" applyFont="1" applyAlignment="1">
      <alignment horizontal="right"/>
    </xf>
    <xf numFmtId="49" fontId="3" fillId="0" borderId="0" xfId="0" applyNumberFormat="1" applyFont="1" applyAlignment="1">
      <alignment horizontal="center"/>
    </xf>
    <xf numFmtId="180" fontId="6" fillId="0" borderId="0" xfId="0" applyNumberFormat="1" applyFont="1"/>
    <xf numFmtId="4" fontId="9" fillId="3" borderId="21" xfId="0" applyNumberFormat="1" applyFont="1" applyFill="1" applyBorder="1" applyAlignment="1">
      <alignment horizontal="center"/>
    </xf>
    <xf numFmtId="4" fontId="9" fillId="3" borderId="40" xfId="0" applyNumberFormat="1" applyFont="1" applyFill="1" applyBorder="1" applyAlignment="1">
      <alignment horizontal="center"/>
    </xf>
    <xf numFmtId="4" fontId="0" fillId="0" borderId="0" xfId="0" applyNumberFormat="1"/>
    <xf numFmtId="0" fontId="74" fillId="0" borderId="0" xfId="0" applyFont="1"/>
    <xf numFmtId="0" fontId="75" fillId="0" borderId="0" xfId="0" applyFont="1"/>
    <xf numFmtId="0" fontId="3" fillId="34" borderId="25" xfId="0" applyFont="1" applyFill="1" applyBorder="1"/>
    <xf numFmtId="0" fontId="3" fillId="34" borderId="46" xfId="0" applyFont="1" applyFill="1" applyBorder="1"/>
    <xf numFmtId="0" fontId="3" fillId="35" borderId="28" xfId="0" applyFont="1" applyFill="1" applyBorder="1"/>
    <xf numFmtId="0" fontId="3" fillId="35" borderId="35" xfId="0" applyFont="1" applyFill="1" applyBorder="1" applyAlignment="1">
      <alignment horizontal="center"/>
    </xf>
    <xf numFmtId="0" fontId="3" fillId="35" borderId="36" xfId="0" applyFont="1" applyFill="1" applyBorder="1" applyAlignment="1">
      <alignment horizontal="center"/>
    </xf>
    <xf numFmtId="181" fontId="0" fillId="3" borderId="4" xfId="0" applyNumberFormat="1" applyFill="1" applyBorder="1"/>
    <xf numFmtId="0" fontId="0" fillId="3" borderId="18" xfId="0" applyFill="1" applyBorder="1" applyAlignment="1">
      <alignment horizontal="center"/>
    </xf>
    <xf numFmtId="3" fontId="0" fillId="3" borderId="16" xfId="0" applyNumberFormat="1" applyFill="1" applyBorder="1" applyAlignment="1">
      <alignment horizontal="center"/>
    </xf>
    <xf numFmtId="165" fontId="0" fillId="3" borderId="19" xfId="3" applyNumberFormat="1" applyFont="1" applyFill="1" applyBorder="1" applyAlignment="1">
      <alignment horizontal="center"/>
    </xf>
    <xf numFmtId="181" fontId="0" fillId="0" borderId="4" xfId="0" applyNumberFormat="1" applyBorder="1"/>
    <xf numFmtId="0" fontId="0" fillId="0" borderId="18" xfId="0" applyBorder="1" applyAlignment="1">
      <alignment horizontal="center"/>
    </xf>
    <xf numFmtId="165" fontId="0" fillId="0" borderId="19" xfId="3" applyNumberFormat="1" applyFont="1" applyFill="1" applyBorder="1" applyAlignment="1">
      <alignment horizontal="center"/>
    </xf>
    <xf numFmtId="181" fontId="0" fillId="0" borderId="4" xfId="0" applyNumberFormat="1" applyBorder="1" applyAlignment="1">
      <alignment horizontal="left"/>
    </xf>
    <xf numFmtId="181" fontId="0" fillId="3" borderId="4" xfId="0" applyNumberFormat="1" applyFill="1" applyBorder="1" applyAlignment="1">
      <alignment horizontal="left"/>
    </xf>
    <xf numFmtId="3" fontId="0" fillId="3" borderId="18" xfId="0" applyNumberFormat="1" applyFill="1" applyBorder="1" applyAlignment="1">
      <alignment horizontal="center"/>
    </xf>
    <xf numFmtId="165" fontId="0" fillId="3" borderId="39" xfId="3" applyNumberFormat="1" applyFont="1" applyFill="1" applyBorder="1" applyAlignment="1">
      <alignment horizontal="center"/>
    </xf>
    <xf numFmtId="0" fontId="5" fillId="21" borderId="55" xfId="0" applyFont="1" applyFill="1" applyBorder="1"/>
    <xf numFmtId="0" fontId="5" fillId="21" borderId="44" xfId="0" applyFont="1" applyFill="1" applyBorder="1"/>
    <xf numFmtId="3" fontId="5" fillId="21" borderId="44" xfId="0" applyNumberFormat="1" applyFont="1" applyFill="1" applyBorder="1" applyAlignment="1">
      <alignment horizontal="center"/>
    </xf>
    <xf numFmtId="0" fontId="5" fillId="21" borderId="45" xfId="0" applyFont="1" applyFill="1" applyBorder="1"/>
    <xf numFmtId="4" fontId="4" fillId="0" borderId="0" xfId="0" applyNumberFormat="1" applyFont="1"/>
    <xf numFmtId="3" fontId="0" fillId="0" borderId="50" xfId="0" applyNumberFormat="1" applyBorder="1" applyAlignment="1">
      <alignment horizontal="center"/>
    </xf>
    <xf numFmtId="4" fontId="0" fillId="0" borderId="51" xfId="0" applyNumberFormat="1" applyBorder="1"/>
    <xf numFmtId="0" fontId="76" fillId="0" borderId="0" xfId="0" applyFont="1" applyAlignment="1">
      <alignment vertical="center"/>
    </xf>
    <xf numFmtId="0" fontId="62" fillId="0" borderId="0" xfId="0" applyFont="1"/>
    <xf numFmtId="0" fontId="3" fillId="35" borderId="41" xfId="0" applyFont="1" applyFill="1" applyBorder="1"/>
    <xf numFmtId="0" fontId="3" fillId="34" borderId="12" xfId="0" applyFont="1" applyFill="1" applyBorder="1" applyAlignment="1">
      <alignment horizontal="center"/>
    </xf>
    <xf numFmtId="0" fontId="3" fillId="34" borderId="13" xfId="0" applyFont="1" applyFill="1" applyBorder="1" applyAlignment="1">
      <alignment horizontal="center"/>
    </xf>
    <xf numFmtId="0" fontId="3" fillId="34" borderId="15" xfId="0" applyFont="1" applyFill="1" applyBorder="1" applyAlignment="1">
      <alignment horizontal="center"/>
    </xf>
    <xf numFmtId="0" fontId="3" fillId="34" borderId="33" xfId="0" applyFont="1" applyFill="1" applyBorder="1"/>
    <xf numFmtId="4" fontId="9" fillId="0" borderId="0" xfId="0" applyNumberFormat="1" applyFont="1" applyAlignment="1">
      <alignment horizontal="center"/>
    </xf>
    <xf numFmtId="0" fontId="3" fillId="35" borderId="53" xfId="0" applyFont="1" applyFill="1" applyBorder="1" applyAlignment="1">
      <alignment horizontal="right" vertical="center"/>
    </xf>
    <xf numFmtId="0" fontId="3" fillId="34" borderId="56" xfId="0" applyFont="1" applyFill="1" applyBorder="1" applyAlignment="1">
      <alignment horizontal="center"/>
    </xf>
    <xf numFmtId="0" fontId="3" fillId="34" borderId="44" xfId="0" applyFont="1" applyFill="1" applyBorder="1" applyAlignment="1">
      <alignment horizontal="center"/>
    </xf>
    <xf numFmtId="0" fontId="3" fillId="34" borderId="57" xfId="0" applyFont="1" applyFill="1" applyBorder="1" applyAlignment="1">
      <alignment horizontal="center"/>
    </xf>
    <xf numFmtId="0" fontId="3" fillId="34" borderId="45" xfId="0" applyFont="1" applyFill="1" applyBorder="1" applyAlignment="1">
      <alignment horizontal="center"/>
    </xf>
    <xf numFmtId="4" fontId="9" fillId="3" borderId="17" xfId="0" applyNumberFormat="1" applyFont="1" applyFill="1" applyBorder="1" applyAlignment="1">
      <alignment horizontal="center"/>
    </xf>
    <xf numFmtId="4" fontId="9" fillId="3" borderId="0" xfId="0" applyNumberFormat="1" applyFont="1" applyFill="1" applyAlignment="1">
      <alignment horizontal="center"/>
    </xf>
    <xf numFmtId="4" fontId="9" fillId="3" borderId="19" xfId="0" applyNumberFormat="1" applyFont="1" applyFill="1" applyBorder="1" applyAlignment="1">
      <alignment horizontal="center"/>
    </xf>
    <xf numFmtId="4" fontId="9" fillId="21" borderId="17" xfId="0" applyNumberFormat="1" applyFont="1" applyFill="1" applyBorder="1" applyAlignment="1">
      <alignment horizontal="center"/>
    </xf>
    <xf numFmtId="4" fontId="9" fillId="21" borderId="0" xfId="0" applyNumberFormat="1" applyFont="1" applyFill="1" applyAlignment="1">
      <alignment horizontal="center"/>
    </xf>
    <xf numFmtId="4" fontId="9" fillId="21" borderId="16" xfId="0" applyNumberFormat="1" applyFont="1" applyFill="1" applyBorder="1" applyAlignment="1">
      <alignment horizontal="center"/>
    </xf>
    <xf numFmtId="4" fontId="9" fillId="21" borderId="19" xfId="0" applyNumberFormat="1" applyFont="1" applyFill="1" applyBorder="1" applyAlignment="1">
      <alignment horizontal="center"/>
    </xf>
    <xf numFmtId="0" fontId="3" fillId="34" borderId="30" xfId="0" applyFont="1" applyFill="1" applyBorder="1"/>
    <xf numFmtId="4" fontId="9" fillId="3" borderId="42" xfId="0" applyNumberFormat="1" applyFont="1" applyFill="1" applyBorder="1" applyAlignment="1">
      <alignment horizontal="center"/>
    </xf>
    <xf numFmtId="4" fontId="9" fillId="3" borderId="31" xfId="0" applyNumberFormat="1" applyFont="1" applyFill="1" applyBorder="1" applyAlignment="1">
      <alignment horizontal="center"/>
    </xf>
    <xf numFmtId="4" fontId="9" fillId="3" borderId="32" xfId="0" applyNumberFormat="1" applyFont="1" applyFill="1" applyBorder="1" applyAlignment="1">
      <alignment horizontal="center"/>
    </xf>
    <xf numFmtId="4" fontId="9" fillId="21" borderId="39" xfId="0" applyNumberFormat="1" applyFont="1" applyFill="1" applyBorder="1" applyAlignment="1">
      <alignment horizontal="center"/>
    </xf>
    <xf numFmtId="4" fontId="9" fillId="3" borderId="18" xfId="0" applyNumberFormat="1" applyFont="1" applyFill="1" applyBorder="1" applyAlignment="1">
      <alignment horizontal="center"/>
    </xf>
    <xf numFmtId="4" fontId="9" fillId="0" borderId="18" xfId="0" applyNumberFormat="1" applyFont="1" applyBorder="1" applyAlignment="1">
      <alignment horizontal="center"/>
    </xf>
    <xf numFmtId="1" fontId="0" fillId="0" borderId="0" xfId="0" applyNumberFormat="1"/>
    <xf numFmtId="0" fontId="3" fillId="38" borderId="25" xfId="0" applyFont="1" applyFill="1" applyBorder="1" applyAlignment="1">
      <alignment horizontal="right"/>
    </xf>
    <xf numFmtId="0" fontId="3" fillId="38" borderId="35" xfId="0" applyFont="1" applyFill="1" applyBorder="1" applyAlignment="1">
      <alignment horizontal="center"/>
    </xf>
    <xf numFmtId="0" fontId="3" fillId="38" borderId="36" xfId="0" applyFont="1" applyFill="1" applyBorder="1" applyAlignment="1">
      <alignment horizontal="center"/>
    </xf>
    <xf numFmtId="17" fontId="3" fillId="39" borderId="33" xfId="0" applyNumberFormat="1" applyFont="1" applyFill="1" applyBorder="1"/>
    <xf numFmtId="0" fontId="3" fillId="39" borderId="33" xfId="0" applyFont="1" applyFill="1" applyBorder="1" applyAlignment="1">
      <alignment horizontal="right"/>
    </xf>
    <xf numFmtId="4" fontId="9" fillId="28" borderId="17" xfId="0" applyNumberFormat="1" applyFont="1" applyFill="1" applyBorder="1" applyAlignment="1">
      <alignment horizontal="center"/>
    </xf>
    <xf numFmtId="4" fontId="9" fillId="28" borderId="19" xfId="0" applyNumberFormat="1" applyFont="1" applyFill="1" applyBorder="1" applyAlignment="1">
      <alignment horizontal="center"/>
    </xf>
    <xf numFmtId="0" fontId="3" fillId="40" borderId="33" xfId="0" applyFont="1" applyFill="1" applyBorder="1" applyAlignment="1">
      <alignment horizontal="right"/>
    </xf>
    <xf numFmtId="0" fontId="3" fillId="40" borderId="30" xfId="0" applyFont="1" applyFill="1" applyBorder="1" applyAlignment="1">
      <alignment horizontal="right"/>
    </xf>
    <xf numFmtId="4" fontId="9" fillId="0" borderId="21" xfId="0" applyNumberFormat="1" applyFont="1" applyBorder="1" applyAlignment="1">
      <alignment horizontal="center"/>
    </xf>
    <xf numFmtId="17" fontId="3" fillId="39" borderId="30" xfId="0" applyNumberFormat="1" applyFont="1" applyFill="1" applyBorder="1"/>
    <xf numFmtId="0" fontId="3" fillId="39" borderId="28" xfId="0" applyFont="1" applyFill="1" applyBorder="1" applyAlignment="1">
      <alignment horizontal="right"/>
    </xf>
    <xf numFmtId="4" fontId="3" fillId="39" borderId="35" xfId="0" applyNumberFormat="1" applyFont="1" applyFill="1" applyBorder="1" applyAlignment="1">
      <alignment horizontal="center"/>
    </xf>
    <xf numFmtId="4" fontId="3" fillId="39" borderId="27" xfId="0" applyNumberFormat="1" applyFont="1" applyFill="1" applyBorder="1" applyAlignment="1">
      <alignment horizontal="center"/>
    </xf>
    <xf numFmtId="0" fontId="3" fillId="38" borderId="28" xfId="0" applyFont="1" applyFill="1" applyBorder="1" applyAlignment="1">
      <alignment horizontal="center"/>
    </xf>
    <xf numFmtId="0" fontId="3" fillId="38" borderId="27" xfId="0" applyFont="1" applyFill="1" applyBorder="1" applyAlignment="1">
      <alignment horizontal="center"/>
    </xf>
    <xf numFmtId="17" fontId="3" fillId="39" borderId="33" xfId="0" applyNumberFormat="1" applyFont="1" applyFill="1" applyBorder="1" applyAlignment="1">
      <alignment horizontal="center"/>
    </xf>
    <xf numFmtId="2" fontId="0" fillId="28" borderId="16" xfId="0" applyNumberFormat="1" applyFill="1" applyBorder="1" applyAlignment="1">
      <alignment horizontal="center"/>
    </xf>
    <xf numFmtId="4" fontId="0" fillId="28" borderId="39" xfId="0" applyNumberFormat="1" applyFill="1" applyBorder="1" applyAlignment="1">
      <alignment horizontal="center"/>
    </xf>
    <xf numFmtId="17" fontId="3" fillId="39" borderId="30" xfId="0" applyNumberFormat="1" applyFont="1" applyFill="1" applyBorder="1" applyAlignment="1">
      <alignment horizontal="center"/>
    </xf>
    <xf numFmtId="2" fontId="0" fillId="0" borderId="21" xfId="0" applyNumberFormat="1" applyBorder="1" applyAlignment="1">
      <alignment horizontal="center"/>
    </xf>
    <xf numFmtId="17" fontId="0" fillId="0" borderId="0" xfId="0" applyNumberFormat="1" applyAlignment="1">
      <alignment horizontal="center"/>
    </xf>
    <xf numFmtId="0" fontId="3" fillId="39" borderId="5" xfId="0" applyFont="1" applyFill="1" applyBorder="1" applyAlignment="1">
      <alignment horizontal="center"/>
    </xf>
    <xf numFmtId="0" fontId="3" fillId="39" borderId="10" xfId="0" applyFont="1" applyFill="1" applyBorder="1" applyAlignment="1">
      <alignment horizontal="center"/>
    </xf>
    <xf numFmtId="4" fontId="3" fillId="39" borderId="11" xfId="0" applyNumberFormat="1" applyFont="1" applyFill="1" applyBorder="1" applyAlignment="1">
      <alignment horizontal="center"/>
    </xf>
    <xf numFmtId="4" fontId="3" fillId="39" borderId="15" xfId="0" applyNumberFormat="1" applyFont="1" applyFill="1" applyBorder="1" applyAlignment="1">
      <alignment horizontal="center"/>
    </xf>
    <xf numFmtId="0" fontId="3" fillId="39" borderId="29" xfId="0" applyFont="1" applyFill="1" applyBorder="1" applyAlignment="1">
      <alignment horizontal="center"/>
    </xf>
    <xf numFmtId="4" fontId="0" fillId="0" borderId="19" xfId="0" applyNumberFormat="1" applyBorder="1" applyAlignment="1">
      <alignment horizontal="center"/>
    </xf>
    <xf numFmtId="0" fontId="3" fillId="39" borderId="33" xfId="0" applyFont="1" applyFill="1" applyBorder="1" applyAlignment="1">
      <alignment horizontal="center"/>
    </xf>
    <xf numFmtId="4" fontId="0" fillId="28" borderId="0" xfId="0" applyNumberFormat="1" applyFill="1" applyAlignment="1">
      <alignment horizontal="center"/>
    </xf>
    <xf numFmtId="4" fontId="0" fillId="28" borderId="19" xfId="0" applyNumberFormat="1" applyFill="1" applyBorder="1" applyAlignment="1">
      <alignment horizontal="center"/>
    </xf>
    <xf numFmtId="0" fontId="3" fillId="39" borderId="30" xfId="0" applyFont="1" applyFill="1" applyBorder="1" applyAlignment="1">
      <alignment horizontal="center" wrapText="1"/>
    </xf>
    <xf numFmtId="4" fontId="0" fillId="28" borderId="31" xfId="0" applyNumberFormat="1" applyFill="1" applyBorder="1" applyAlignment="1">
      <alignment horizontal="center"/>
    </xf>
    <xf numFmtId="4" fontId="0" fillId="28" borderId="32" xfId="0" applyNumberFormat="1" applyFill="1" applyBorder="1" applyAlignment="1">
      <alignment horizontal="center"/>
    </xf>
    <xf numFmtId="49" fontId="5" fillId="0" borderId="0" xfId="0" applyNumberFormat="1" applyFont="1" applyAlignment="1">
      <alignment horizontal="center"/>
    </xf>
    <xf numFmtId="4" fontId="9" fillId="28" borderId="42" xfId="0" applyNumberFormat="1" applyFont="1" applyFill="1" applyBorder="1" applyAlignment="1">
      <alignment horizontal="center"/>
    </xf>
    <xf numFmtId="4" fontId="9" fillId="28" borderId="32" xfId="0" applyNumberFormat="1" applyFont="1" applyFill="1" applyBorder="1" applyAlignment="1">
      <alignment horizontal="center"/>
    </xf>
    <xf numFmtId="0" fontId="3" fillId="39" borderId="25" xfId="0" applyFont="1" applyFill="1" applyBorder="1"/>
    <xf numFmtId="0" fontId="3" fillId="39" borderId="47" xfId="0" applyFont="1" applyFill="1" applyBorder="1"/>
    <xf numFmtId="0" fontId="3" fillId="39" borderId="58" xfId="0" applyFont="1" applyFill="1" applyBorder="1" applyAlignment="1">
      <alignment horizontal="center"/>
    </xf>
    <xf numFmtId="0" fontId="3" fillId="39" borderId="54" xfId="0" applyFont="1" applyFill="1" applyBorder="1" applyAlignment="1">
      <alignment horizontal="center"/>
    </xf>
    <xf numFmtId="0" fontId="3" fillId="39" borderId="36" xfId="0" applyFont="1" applyFill="1" applyBorder="1" applyAlignment="1">
      <alignment horizontal="center"/>
    </xf>
    <xf numFmtId="0" fontId="0" fillId="28" borderId="16" xfId="0" applyFill="1" applyBorder="1" applyAlignment="1">
      <alignment horizontal="left"/>
    </xf>
    <xf numFmtId="0" fontId="0" fillId="28" borderId="17" xfId="0" applyFill="1" applyBorder="1" applyAlignment="1">
      <alignment horizontal="center"/>
    </xf>
    <xf numFmtId="3" fontId="0" fillId="28" borderId="16" xfId="0" applyNumberFormat="1" applyFill="1" applyBorder="1" applyAlignment="1">
      <alignment horizontal="center"/>
    </xf>
    <xf numFmtId="165" fontId="0" fillId="28" borderId="39" xfId="0" applyNumberFormat="1" applyFill="1" applyBorder="1" applyAlignment="1">
      <alignment horizontal="center"/>
    </xf>
    <xf numFmtId="0" fontId="0" fillId="21" borderId="16" xfId="0" applyFill="1" applyBorder="1" applyAlignment="1">
      <alignment horizontal="left"/>
    </xf>
    <xf numFmtId="0" fontId="0" fillId="21" borderId="17" xfId="0" applyFill="1" applyBorder="1" applyAlignment="1">
      <alignment horizontal="center"/>
    </xf>
    <xf numFmtId="3" fontId="0" fillId="21" borderId="16" xfId="0" applyNumberFormat="1" applyFill="1" applyBorder="1" applyAlignment="1">
      <alignment horizontal="center"/>
    </xf>
    <xf numFmtId="165" fontId="0" fillId="21" borderId="39" xfId="0" applyNumberFormat="1" applyFill="1" applyBorder="1" applyAlignment="1">
      <alignment horizontal="center"/>
    </xf>
    <xf numFmtId="10" fontId="0" fillId="28" borderId="39" xfId="0" applyNumberFormat="1" applyFill="1" applyBorder="1" applyAlignment="1">
      <alignment horizontal="center"/>
    </xf>
    <xf numFmtId="0" fontId="3" fillId="39" borderId="35" xfId="0" applyFont="1" applyFill="1" applyBorder="1" applyAlignment="1">
      <alignment horizontal="center"/>
    </xf>
    <xf numFmtId="0" fontId="3" fillId="39" borderId="27" xfId="0" applyFont="1" applyFill="1" applyBorder="1" applyAlignment="1">
      <alignment horizontal="center"/>
    </xf>
    <xf numFmtId="0" fontId="3" fillId="39" borderId="33" xfId="0" applyFont="1" applyFill="1" applyBorder="1"/>
    <xf numFmtId="4" fontId="0" fillId="41" borderId="16" xfId="0" applyNumberFormat="1" applyFill="1" applyBorder="1" applyAlignment="1">
      <alignment horizontal="center"/>
    </xf>
    <xf numFmtId="4" fontId="0" fillId="41" borderId="19" xfId="0" applyNumberFormat="1" applyFill="1" applyBorder="1" applyAlignment="1">
      <alignment horizontal="center"/>
    </xf>
    <xf numFmtId="0" fontId="3" fillId="39" borderId="30" xfId="0" applyFont="1" applyFill="1" applyBorder="1"/>
    <xf numFmtId="4" fontId="0" fillId="0" borderId="32" xfId="0" applyNumberFormat="1" applyBorder="1" applyAlignment="1">
      <alignment horizontal="center"/>
    </xf>
    <xf numFmtId="4" fontId="0" fillId="28" borderId="16" xfId="0" applyNumberFormat="1" applyFill="1" applyBorder="1" applyAlignment="1">
      <alignment horizontal="center"/>
    </xf>
    <xf numFmtId="0" fontId="3" fillId="42" borderId="41" xfId="0" applyFont="1" applyFill="1" applyBorder="1" applyAlignment="1">
      <alignment horizontal="center"/>
    </xf>
    <xf numFmtId="0" fontId="3" fillId="17" borderId="6" xfId="0" applyFont="1" applyFill="1" applyBorder="1" applyAlignment="1">
      <alignment horizontal="center" vertical="center"/>
    </xf>
    <xf numFmtId="0" fontId="3" fillId="17" borderId="37" xfId="0" applyFont="1" applyFill="1" applyBorder="1" applyAlignment="1">
      <alignment horizontal="center" vertical="center"/>
    </xf>
    <xf numFmtId="0" fontId="3" fillId="43" borderId="41" xfId="0" applyFont="1" applyFill="1" applyBorder="1" applyAlignment="1">
      <alignment horizontal="right"/>
    </xf>
    <xf numFmtId="0" fontId="3" fillId="43" borderId="6" xfId="0" applyFont="1" applyFill="1" applyBorder="1" applyAlignment="1">
      <alignment horizontal="center"/>
    </xf>
    <xf numFmtId="0" fontId="3" fillId="43" borderId="37" xfId="0" applyFont="1" applyFill="1" applyBorder="1" applyAlignment="1">
      <alignment horizontal="center"/>
    </xf>
    <xf numFmtId="0" fontId="3" fillId="43" borderId="53" xfId="0" applyFont="1" applyFill="1" applyBorder="1" applyAlignment="1">
      <alignment horizontal="right"/>
    </xf>
    <xf numFmtId="0" fontId="3" fillId="17" borderId="11" xfId="0" applyFont="1" applyFill="1" applyBorder="1" applyAlignment="1">
      <alignment horizontal="center" vertical="center"/>
    </xf>
    <xf numFmtId="0" fontId="3" fillId="17" borderId="38" xfId="0" applyFont="1" applyFill="1" applyBorder="1" applyAlignment="1">
      <alignment horizontal="center" vertical="center"/>
    </xf>
    <xf numFmtId="0" fontId="3" fillId="43" borderId="11" xfId="0" applyFont="1" applyFill="1" applyBorder="1" applyAlignment="1">
      <alignment horizontal="center"/>
    </xf>
    <xf numFmtId="0" fontId="3" fillId="43" borderId="38" xfId="0" applyFont="1" applyFill="1" applyBorder="1" applyAlignment="1">
      <alignment horizontal="center"/>
    </xf>
    <xf numFmtId="17" fontId="3" fillId="44" borderId="33" xfId="0" applyNumberFormat="1" applyFont="1" applyFill="1" applyBorder="1"/>
    <xf numFmtId="0" fontId="3" fillId="44" borderId="33" xfId="0" applyFont="1" applyFill="1" applyBorder="1" applyAlignment="1">
      <alignment horizontal="right"/>
    </xf>
    <xf numFmtId="17" fontId="3" fillId="42" borderId="33" xfId="0" applyNumberFormat="1" applyFont="1" applyFill="1" applyBorder="1"/>
    <xf numFmtId="4" fontId="9" fillId="5" borderId="17" xfId="0" applyNumberFormat="1" applyFont="1" applyFill="1" applyBorder="1" applyAlignment="1">
      <alignment horizontal="center"/>
    </xf>
    <xf numFmtId="4" fontId="9" fillId="5" borderId="19" xfId="0" applyNumberFormat="1" applyFont="1" applyFill="1" applyBorder="1" applyAlignment="1">
      <alignment horizontal="center"/>
    </xf>
    <xf numFmtId="0" fontId="3" fillId="42" borderId="33" xfId="0" applyFont="1" applyFill="1" applyBorder="1" applyAlignment="1">
      <alignment horizontal="right"/>
    </xf>
    <xf numFmtId="4" fontId="9" fillId="45" borderId="19" xfId="0" applyNumberFormat="1" applyFont="1" applyFill="1" applyBorder="1" applyAlignment="1">
      <alignment horizontal="center"/>
    </xf>
    <xf numFmtId="0" fontId="3" fillId="44" borderId="30" xfId="0" applyFont="1" applyFill="1" applyBorder="1" applyAlignment="1">
      <alignment horizontal="right"/>
    </xf>
    <xf numFmtId="17" fontId="3" fillId="42" borderId="30" xfId="0" applyNumberFormat="1" applyFont="1" applyFill="1" applyBorder="1"/>
    <xf numFmtId="0" fontId="77" fillId="0" borderId="0" xfId="0" applyFont="1"/>
    <xf numFmtId="0" fontId="3" fillId="17" borderId="28" xfId="0" applyFont="1" applyFill="1" applyBorder="1" applyAlignment="1">
      <alignment horizontal="right"/>
    </xf>
    <xf numFmtId="4" fontId="3" fillId="17" borderId="35" xfId="0" applyNumberFormat="1" applyFont="1" applyFill="1" applyBorder="1" applyAlignment="1">
      <alignment horizontal="center"/>
    </xf>
    <xf numFmtId="4" fontId="3" fillId="17" borderId="27" xfId="0" applyNumberFormat="1" applyFont="1" applyFill="1" applyBorder="1" applyAlignment="1">
      <alignment horizontal="center"/>
    </xf>
    <xf numFmtId="17" fontId="3" fillId="17" borderId="33" xfId="0" applyNumberFormat="1" applyFont="1" applyFill="1" applyBorder="1"/>
    <xf numFmtId="0" fontId="3" fillId="43" borderId="25" xfId="0" applyFont="1" applyFill="1" applyBorder="1" applyAlignment="1">
      <alignment horizontal="right"/>
    </xf>
    <xf numFmtId="0" fontId="3" fillId="43" borderId="35" xfId="0" applyFont="1" applyFill="1" applyBorder="1" applyAlignment="1">
      <alignment horizontal="center"/>
    </xf>
    <xf numFmtId="0" fontId="3" fillId="43" borderId="27" xfId="0" applyFont="1" applyFill="1" applyBorder="1" applyAlignment="1">
      <alignment horizontal="center"/>
    </xf>
    <xf numFmtId="17" fontId="3" fillId="17" borderId="30" xfId="0" applyNumberFormat="1" applyFont="1" applyFill="1" applyBorder="1"/>
    <xf numFmtId="0" fontId="3" fillId="17" borderId="5" xfId="0" applyFont="1" applyFill="1" applyBorder="1"/>
    <xf numFmtId="0" fontId="3" fillId="17" borderId="10" xfId="0" applyFont="1" applyFill="1" applyBorder="1" applyAlignment="1">
      <alignment horizontal="right"/>
    </xf>
    <xf numFmtId="0" fontId="3" fillId="17" borderId="12" xfId="0" applyFont="1" applyFill="1" applyBorder="1" applyAlignment="1">
      <alignment horizontal="center"/>
    </xf>
    <xf numFmtId="0" fontId="3" fillId="17" borderId="38" xfId="0" applyFont="1" applyFill="1" applyBorder="1" applyAlignment="1">
      <alignment horizontal="center"/>
    </xf>
    <xf numFmtId="0" fontId="3" fillId="17" borderId="33" xfId="0" applyFont="1" applyFill="1" applyBorder="1" applyAlignment="1">
      <alignment horizontal="right"/>
    </xf>
    <xf numFmtId="4" fontId="0" fillId="21" borderId="0" xfId="0" applyNumberFormat="1" applyFill="1" applyAlignment="1">
      <alignment horizontal="center"/>
    </xf>
    <xf numFmtId="4" fontId="0" fillId="5" borderId="0" xfId="0" applyNumberFormat="1" applyFill="1" applyAlignment="1">
      <alignment horizontal="center"/>
    </xf>
    <xf numFmtId="4" fontId="0" fillId="5" borderId="39" xfId="0" applyNumberFormat="1" applyFill="1" applyBorder="1" applyAlignment="1">
      <alignment horizontal="center"/>
    </xf>
    <xf numFmtId="0" fontId="3" fillId="17" borderId="30" xfId="0" applyFont="1" applyFill="1" applyBorder="1" applyAlignment="1">
      <alignment horizontal="right"/>
    </xf>
    <xf numFmtId="4" fontId="0" fillId="5" borderId="31" xfId="0" applyNumberFormat="1" applyFill="1" applyBorder="1" applyAlignment="1">
      <alignment horizontal="center"/>
    </xf>
    <xf numFmtId="4" fontId="0" fillId="5" borderId="40" xfId="0" applyNumberFormat="1" applyFill="1" applyBorder="1" applyAlignment="1">
      <alignment horizontal="center"/>
    </xf>
    <xf numFmtId="172" fontId="6" fillId="0" borderId="0" xfId="0" applyNumberFormat="1" applyFont="1"/>
    <xf numFmtId="4" fontId="9" fillId="5" borderId="39" xfId="0" applyNumberFormat="1" applyFont="1" applyFill="1" applyBorder="1" applyAlignment="1">
      <alignment horizontal="center"/>
    </xf>
    <xf numFmtId="4" fontId="9" fillId="5" borderId="42" xfId="0" applyNumberFormat="1" applyFont="1" applyFill="1" applyBorder="1" applyAlignment="1">
      <alignment horizontal="center"/>
    </xf>
    <xf numFmtId="4" fontId="9" fillId="5" borderId="40" xfId="0" applyNumberFormat="1" applyFont="1" applyFill="1" applyBorder="1" applyAlignment="1">
      <alignment horizontal="center"/>
    </xf>
    <xf numFmtId="0" fontId="78" fillId="0" borderId="0" xfId="0" applyFont="1"/>
    <xf numFmtId="0" fontId="3" fillId="17" borderId="25" xfId="0" applyFont="1" applyFill="1" applyBorder="1"/>
    <xf numFmtId="0" fontId="79" fillId="0" borderId="0" xfId="0" applyFont="1"/>
    <xf numFmtId="0" fontId="3" fillId="17" borderId="46" xfId="0" applyFont="1" applyFill="1" applyBorder="1"/>
    <xf numFmtId="0" fontId="3" fillId="17" borderId="58" xfId="0" applyFont="1" applyFill="1" applyBorder="1" applyAlignment="1">
      <alignment horizontal="center"/>
    </xf>
    <xf numFmtId="0" fontId="3" fillId="17" borderId="35" xfId="0" applyFont="1" applyFill="1" applyBorder="1" applyAlignment="1">
      <alignment horizontal="center"/>
    </xf>
    <xf numFmtId="0" fontId="3" fillId="17" borderId="27" xfId="0" applyFont="1" applyFill="1" applyBorder="1" applyAlignment="1">
      <alignment horizontal="center"/>
    </xf>
    <xf numFmtId="0" fontId="0" fillId="5" borderId="33" xfId="0" applyFill="1" applyBorder="1"/>
    <xf numFmtId="0" fontId="0" fillId="5" borderId="17" xfId="0" applyFill="1" applyBorder="1" applyAlignment="1">
      <alignment horizontal="center"/>
    </xf>
    <xf numFmtId="3" fontId="0" fillId="5" borderId="16" xfId="0" applyNumberFormat="1" applyFill="1" applyBorder="1" applyAlignment="1">
      <alignment horizontal="center"/>
    </xf>
    <xf numFmtId="165" fontId="0" fillId="5" borderId="19" xfId="0" applyNumberFormat="1" applyFill="1" applyBorder="1" applyAlignment="1">
      <alignment horizontal="center"/>
    </xf>
    <xf numFmtId="0" fontId="0" fillId="0" borderId="17" xfId="0" applyBorder="1" applyAlignment="1">
      <alignment horizontal="center"/>
    </xf>
    <xf numFmtId="165" fontId="0" fillId="0" borderId="19" xfId="0" applyNumberFormat="1" applyBorder="1" applyAlignment="1">
      <alignment horizontal="center"/>
    </xf>
    <xf numFmtId="10" fontId="27" fillId="0" borderId="0" xfId="3" applyNumberFormat="1" applyFont="1"/>
    <xf numFmtId="182" fontId="38" fillId="0" borderId="0" xfId="0" applyNumberFormat="1" applyFont="1"/>
    <xf numFmtId="0" fontId="3" fillId="17" borderId="33" xfId="0" applyFont="1" applyFill="1" applyBorder="1"/>
    <xf numFmtId="0" fontId="3" fillId="43" borderId="25" xfId="0" applyFont="1" applyFill="1" applyBorder="1" applyAlignment="1">
      <alignment horizontal="right" vertical="center"/>
    </xf>
    <xf numFmtId="0" fontId="3" fillId="43" borderId="54" xfId="0" applyFont="1" applyFill="1" applyBorder="1" applyAlignment="1">
      <alignment horizontal="center"/>
    </xf>
    <xf numFmtId="0" fontId="3" fillId="43" borderId="36" xfId="0" applyFont="1" applyFill="1" applyBorder="1" applyAlignment="1">
      <alignment horizontal="center"/>
    </xf>
    <xf numFmtId="2" fontId="9" fillId="5" borderId="17" xfId="0" applyNumberFormat="1" applyFont="1" applyFill="1" applyBorder="1" applyAlignment="1">
      <alignment horizontal="center"/>
    </xf>
    <xf numFmtId="2" fontId="9" fillId="5" borderId="19" xfId="0" applyNumberFormat="1" applyFont="1" applyFill="1" applyBorder="1" applyAlignment="1">
      <alignment horizontal="center"/>
    </xf>
    <xf numFmtId="2" fontId="9" fillId="5" borderId="42" xfId="0" applyNumberFormat="1" applyFont="1" applyFill="1" applyBorder="1" applyAlignment="1">
      <alignment horizontal="center"/>
    </xf>
    <xf numFmtId="2" fontId="9" fillId="5" borderId="32" xfId="0" applyNumberFormat="1" applyFont="1" applyFill="1" applyBorder="1" applyAlignment="1">
      <alignment horizontal="center"/>
    </xf>
    <xf numFmtId="2" fontId="6" fillId="0" borderId="0" xfId="0" applyNumberFormat="1" applyFont="1"/>
    <xf numFmtId="2" fontId="9" fillId="0" borderId="0" xfId="0" applyNumberFormat="1" applyFont="1" applyAlignment="1">
      <alignment horizontal="center"/>
    </xf>
    <xf numFmtId="0" fontId="3" fillId="17" borderId="30" xfId="0" applyFont="1" applyFill="1" applyBorder="1"/>
    <xf numFmtId="0" fontId="80" fillId="0" borderId="0" xfId="0" applyFont="1"/>
    <xf numFmtId="0" fontId="5" fillId="46" borderId="5" xfId="0" applyFont="1" applyFill="1" applyBorder="1" applyAlignment="1">
      <alignment horizontal="center"/>
    </xf>
    <xf numFmtId="0" fontId="3" fillId="46" borderId="6" xfId="0" applyFont="1" applyFill="1" applyBorder="1" applyAlignment="1">
      <alignment horizontal="center"/>
    </xf>
    <xf numFmtId="0" fontId="3" fillId="46" borderId="37" xfId="0" applyFont="1" applyFill="1" applyBorder="1" applyAlignment="1">
      <alignment horizontal="center" wrapText="1"/>
    </xf>
    <xf numFmtId="0" fontId="3" fillId="46" borderId="41" xfId="0" applyFont="1" applyFill="1" applyBorder="1"/>
    <xf numFmtId="0" fontId="3" fillId="46" borderId="37" xfId="0" applyFont="1" applyFill="1" applyBorder="1" applyAlignment="1">
      <alignment horizontal="center"/>
    </xf>
    <xf numFmtId="0" fontId="3" fillId="47" borderId="53" xfId="0" applyFont="1" applyFill="1" applyBorder="1" applyAlignment="1">
      <alignment horizontal="right"/>
    </xf>
    <xf numFmtId="0" fontId="3" fillId="47" borderId="11" xfId="0" applyFont="1" applyFill="1" applyBorder="1" applyAlignment="1">
      <alignment horizontal="center"/>
    </xf>
    <xf numFmtId="0" fontId="3" fillId="47" borderId="38" xfId="0" applyFont="1" applyFill="1" applyBorder="1" applyAlignment="1">
      <alignment horizontal="center"/>
    </xf>
    <xf numFmtId="17" fontId="3" fillId="46" borderId="33" xfId="0" applyNumberFormat="1" applyFont="1" applyFill="1" applyBorder="1" applyAlignment="1">
      <alignment vertical="center"/>
    </xf>
    <xf numFmtId="4" fontId="0" fillId="0" borderId="16" xfId="0" applyNumberFormat="1" applyBorder="1" applyAlignment="1">
      <alignment horizontal="center" vertical="center"/>
    </xf>
    <xf numFmtId="4" fontId="0" fillId="0" borderId="39" xfId="0" applyNumberFormat="1" applyBorder="1" applyAlignment="1">
      <alignment horizontal="center" vertical="center"/>
    </xf>
    <xf numFmtId="0" fontId="3" fillId="48" borderId="33" xfId="0" applyFont="1" applyFill="1" applyBorder="1" applyAlignment="1">
      <alignment horizontal="right" vertical="center"/>
    </xf>
    <xf numFmtId="4" fontId="0" fillId="49" borderId="16" xfId="0" applyNumberFormat="1" applyFill="1" applyBorder="1" applyAlignment="1">
      <alignment horizontal="center" vertical="center"/>
    </xf>
    <xf numFmtId="4" fontId="0" fillId="49" borderId="39" xfId="0" applyNumberFormat="1" applyFill="1" applyBorder="1" applyAlignment="1">
      <alignment horizontal="center" vertical="center"/>
    </xf>
    <xf numFmtId="0" fontId="3" fillId="48" borderId="30" xfId="0" applyFont="1" applyFill="1" applyBorder="1" applyAlignment="1">
      <alignment horizontal="right" vertical="center"/>
    </xf>
    <xf numFmtId="17" fontId="3" fillId="46" borderId="30" xfId="0" applyNumberFormat="1" applyFont="1" applyFill="1" applyBorder="1" applyAlignment="1">
      <alignment vertical="center"/>
    </xf>
    <xf numFmtId="4" fontId="0" fillId="0" borderId="21" xfId="0" applyNumberFormat="1" applyBorder="1" applyAlignment="1">
      <alignment horizontal="center" vertical="center"/>
    </xf>
    <xf numFmtId="4" fontId="0" fillId="0" borderId="40" xfId="0" applyNumberFormat="1" applyBorder="1" applyAlignment="1">
      <alignment horizontal="center" vertical="center"/>
    </xf>
    <xf numFmtId="0" fontId="81" fillId="0" borderId="0" xfId="0" applyFont="1"/>
    <xf numFmtId="0" fontId="82" fillId="0" borderId="0" xfId="0" applyFont="1" applyAlignment="1">
      <alignment horizontal="center"/>
    </xf>
    <xf numFmtId="0" fontId="3" fillId="46" borderId="25" xfId="0" applyFont="1" applyFill="1" applyBorder="1" applyAlignment="1">
      <alignment horizontal="right"/>
    </xf>
    <xf numFmtId="0" fontId="3" fillId="46" borderId="35" xfId="0" applyFont="1" applyFill="1" applyBorder="1" applyAlignment="1">
      <alignment horizontal="center"/>
    </xf>
    <xf numFmtId="0" fontId="3" fillId="46" borderId="36" xfId="0" applyFont="1" applyFill="1" applyBorder="1" applyAlignment="1">
      <alignment horizontal="center"/>
    </xf>
    <xf numFmtId="0" fontId="81" fillId="0" borderId="4" xfId="0" applyFont="1" applyBorder="1"/>
    <xf numFmtId="17" fontId="3" fillId="46" borderId="33" xfId="0" applyNumberFormat="1" applyFont="1" applyFill="1" applyBorder="1"/>
    <xf numFmtId="0" fontId="81" fillId="0" borderId="0" xfId="0" applyFont="1" applyAlignment="1">
      <alignment horizontal="center" vertical="center"/>
    </xf>
    <xf numFmtId="4" fontId="9" fillId="6" borderId="17" xfId="0" applyNumberFormat="1" applyFont="1" applyFill="1" applyBorder="1" applyAlignment="1">
      <alignment horizontal="center"/>
    </xf>
    <xf numFmtId="4" fontId="9" fillId="6" borderId="19" xfId="0" applyNumberFormat="1" applyFont="1" applyFill="1" applyBorder="1" applyAlignment="1">
      <alignment horizontal="center"/>
    </xf>
    <xf numFmtId="17" fontId="3" fillId="46" borderId="30" xfId="0" applyNumberFormat="1" applyFont="1" applyFill="1" applyBorder="1"/>
    <xf numFmtId="0" fontId="3" fillId="0" borderId="31" xfId="0" applyFont="1" applyBorder="1"/>
    <xf numFmtId="0" fontId="16" fillId="0" borderId="31" xfId="0" applyFont="1" applyBorder="1"/>
    <xf numFmtId="0" fontId="3" fillId="46" borderId="5" xfId="0" applyFont="1" applyFill="1" applyBorder="1"/>
    <xf numFmtId="0" fontId="3" fillId="46" borderId="53" xfId="0" applyFont="1" applyFill="1" applyBorder="1" applyAlignment="1">
      <alignment horizontal="right"/>
    </xf>
    <xf numFmtId="0" fontId="3" fillId="46" borderId="11" xfId="0" applyFont="1" applyFill="1" applyBorder="1" applyAlignment="1">
      <alignment horizontal="center"/>
    </xf>
    <xf numFmtId="0" fontId="3" fillId="46" borderId="38" xfId="0" applyFont="1" applyFill="1" applyBorder="1" applyAlignment="1">
      <alignment horizontal="center"/>
    </xf>
    <xf numFmtId="0" fontId="3" fillId="46" borderId="33" xfId="0" applyFont="1" applyFill="1" applyBorder="1" applyAlignment="1">
      <alignment horizontal="right"/>
    </xf>
    <xf numFmtId="0" fontId="81" fillId="0" borderId="0" xfId="0" applyFont="1" applyAlignment="1">
      <alignment vertical="center"/>
    </xf>
    <xf numFmtId="0" fontId="3" fillId="46" borderId="30" xfId="0" applyFont="1" applyFill="1" applyBorder="1" applyAlignment="1">
      <alignment horizontal="right"/>
    </xf>
    <xf numFmtId="4" fontId="9" fillId="6" borderId="21" xfId="0" applyNumberFormat="1" applyFont="1" applyFill="1" applyBorder="1" applyAlignment="1">
      <alignment horizontal="center"/>
    </xf>
    <xf numFmtId="4" fontId="9" fillId="6" borderId="32" xfId="0" applyNumberFormat="1" applyFont="1" applyFill="1" applyBorder="1" applyAlignment="1">
      <alignment horizontal="center"/>
    </xf>
    <xf numFmtId="4" fontId="0" fillId="6" borderId="17" xfId="0" applyNumberFormat="1" applyFill="1" applyBorder="1" applyAlignment="1">
      <alignment horizontal="center"/>
    </xf>
    <xf numFmtId="4" fontId="0" fillId="6" borderId="19" xfId="0" applyNumberFormat="1" applyFill="1" applyBorder="1" applyAlignment="1">
      <alignment horizontal="center"/>
    </xf>
    <xf numFmtId="180" fontId="9" fillId="0" borderId="0" xfId="0" applyNumberFormat="1" applyFont="1"/>
    <xf numFmtId="4" fontId="9" fillId="6" borderId="0" xfId="0" applyNumberFormat="1" applyFont="1" applyFill="1" applyAlignment="1">
      <alignment horizontal="center"/>
    </xf>
    <xf numFmtId="4" fontId="9" fillId="6" borderId="39" xfId="0" applyNumberFormat="1" applyFont="1" applyFill="1" applyBorder="1" applyAlignment="1">
      <alignment horizontal="center"/>
    </xf>
    <xf numFmtId="17" fontId="3" fillId="46" borderId="17" xfId="0" applyNumberFormat="1" applyFont="1" applyFill="1" applyBorder="1"/>
    <xf numFmtId="4" fontId="9" fillId="6" borderId="42" xfId="0" applyNumberFormat="1" applyFont="1" applyFill="1" applyBorder="1" applyAlignment="1">
      <alignment horizontal="center"/>
    </xf>
    <xf numFmtId="0" fontId="83" fillId="0" borderId="0" xfId="0" applyFont="1"/>
    <xf numFmtId="0" fontId="3" fillId="46" borderId="25" xfId="0" applyFont="1" applyFill="1" applyBorder="1"/>
    <xf numFmtId="0" fontId="3" fillId="46" borderId="46" xfId="0" applyFont="1" applyFill="1" applyBorder="1"/>
    <xf numFmtId="0" fontId="3" fillId="46" borderId="58" xfId="0" applyFont="1" applyFill="1" applyBorder="1" applyAlignment="1">
      <alignment horizontal="center"/>
    </xf>
    <xf numFmtId="0" fontId="3" fillId="46" borderId="27" xfId="0" applyFont="1" applyFill="1" applyBorder="1" applyAlignment="1">
      <alignment horizontal="center"/>
    </xf>
    <xf numFmtId="0" fontId="0" fillId="7" borderId="33" xfId="0" applyFill="1" applyBorder="1"/>
    <xf numFmtId="0" fontId="0" fillId="7" borderId="17" xfId="0" applyFill="1" applyBorder="1" applyAlignment="1">
      <alignment horizontal="center"/>
    </xf>
    <xf numFmtId="3" fontId="0" fillId="7" borderId="16" xfId="0" applyNumberFormat="1" applyFill="1" applyBorder="1" applyAlignment="1">
      <alignment horizontal="center"/>
    </xf>
    <xf numFmtId="165" fontId="0" fillId="7" borderId="19" xfId="0" applyNumberFormat="1" applyFill="1" applyBorder="1" applyAlignment="1">
      <alignment horizontal="center"/>
    </xf>
    <xf numFmtId="0" fontId="0" fillId="21" borderId="33" xfId="0" applyFill="1" applyBorder="1"/>
    <xf numFmtId="176" fontId="4" fillId="0" borderId="0" xfId="0" applyNumberFormat="1" applyFont="1"/>
    <xf numFmtId="10" fontId="4" fillId="0" borderId="0" xfId="3" applyNumberFormat="1" applyFont="1"/>
    <xf numFmtId="182" fontId="4" fillId="0" borderId="0" xfId="0" applyNumberFormat="1" applyFont="1"/>
    <xf numFmtId="10" fontId="0" fillId="0" borderId="19" xfId="0" applyNumberFormat="1" applyBorder="1" applyAlignment="1">
      <alignment horizontal="center"/>
    </xf>
    <xf numFmtId="0" fontId="84" fillId="0" borderId="0" xfId="0" applyFont="1"/>
    <xf numFmtId="0" fontId="3" fillId="50" borderId="5" xfId="0" applyFont="1" applyFill="1" applyBorder="1" applyAlignment="1">
      <alignment horizontal="center"/>
    </xf>
    <xf numFmtId="0" fontId="3" fillId="51" borderId="7" xfId="0" applyFont="1" applyFill="1" applyBorder="1" applyAlignment="1">
      <alignment horizontal="center"/>
    </xf>
    <xf numFmtId="0" fontId="3" fillId="51" borderId="37" xfId="0" applyFont="1" applyFill="1" applyBorder="1" applyAlignment="1">
      <alignment horizontal="center"/>
    </xf>
    <xf numFmtId="0" fontId="3" fillId="51" borderId="41" xfId="0" applyFont="1" applyFill="1" applyBorder="1" applyAlignment="1">
      <alignment horizontal="right"/>
    </xf>
    <xf numFmtId="0" fontId="3" fillId="51" borderId="33" xfId="0" applyFont="1" applyFill="1" applyBorder="1" applyAlignment="1">
      <alignment horizontal="right"/>
    </xf>
    <xf numFmtId="0" fontId="3" fillId="51" borderId="18" xfId="0" applyFont="1" applyFill="1" applyBorder="1" applyAlignment="1">
      <alignment horizontal="center"/>
    </xf>
    <xf numFmtId="0" fontId="3" fillId="51" borderId="39" xfId="0" applyFont="1" applyFill="1" applyBorder="1" applyAlignment="1">
      <alignment horizontal="center"/>
    </xf>
    <xf numFmtId="0" fontId="3" fillId="51" borderId="53" xfId="0" applyFont="1" applyFill="1" applyBorder="1" applyAlignment="1">
      <alignment horizontal="right"/>
    </xf>
    <xf numFmtId="0" fontId="3" fillId="51" borderId="12" xfId="0" applyFont="1" applyFill="1" applyBorder="1" applyAlignment="1">
      <alignment horizontal="center"/>
    </xf>
    <xf numFmtId="0" fontId="3" fillId="51" borderId="38" xfId="0" applyFont="1" applyFill="1" applyBorder="1" applyAlignment="1">
      <alignment horizontal="center"/>
    </xf>
    <xf numFmtId="17" fontId="3" fillId="52" borderId="59" xfId="0" applyNumberFormat="1" applyFont="1" applyFill="1" applyBorder="1"/>
    <xf numFmtId="4" fontId="0" fillId="0" borderId="60" xfId="0" applyNumberFormat="1" applyBorder="1" applyAlignment="1">
      <alignment horizontal="center"/>
    </xf>
    <xf numFmtId="4" fontId="0" fillId="0" borderId="61" xfId="0" applyNumberFormat="1" applyBorder="1" applyAlignment="1">
      <alignment horizontal="center"/>
    </xf>
    <xf numFmtId="0" fontId="3" fillId="53" borderId="59" xfId="0" applyFont="1" applyFill="1" applyBorder="1" applyAlignment="1">
      <alignment horizontal="right"/>
    </xf>
    <xf numFmtId="4" fontId="0" fillId="54" borderId="60" xfId="0" applyNumberFormat="1" applyFill="1" applyBorder="1" applyAlignment="1">
      <alignment horizontal="center"/>
    </xf>
    <xf numFmtId="4" fontId="0" fillId="54" borderId="61" xfId="0" applyNumberFormat="1" applyFill="1" applyBorder="1" applyAlignment="1">
      <alignment horizontal="center"/>
    </xf>
    <xf numFmtId="17" fontId="3" fillId="53" borderId="4" xfId="0" applyNumberFormat="1" applyFont="1" applyFill="1" applyBorder="1"/>
    <xf numFmtId="4" fontId="0" fillId="54" borderId="18" xfId="0" applyNumberFormat="1" applyFill="1" applyBorder="1" applyAlignment="1">
      <alignment horizontal="center"/>
    </xf>
    <xf numFmtId="4" fontId="0" fillId="54" borderId="39" xfId="0" applyNumberFormat="1" applyFill="1" applyBorder="1" applyAlignment="1">
      <alignment horizontal="center"/>
    </xf>
    <xf numFmtId="0" fontId="3" fillId="52" borderId="4" xfId="0" applyFont="1" applyFill="1" applyBorder="1" applyAlignment="1">
      <alignment horizontal="right"/>
    </xf>
    <xf numFmtId="17" fontId="3" fillId="52" borderId="4" xfId="0" applyNumberFormat="1" applyFont="1" applyFill="1" applyBorder="1"/>
    <xf numFmtId="0" fontId="3" fillId="53" borderId="4" xfId="0" applyFont="1" applyFill="1" applyBorder="1" applyAlignment="1">
      <alignment horizontal="right"/>
    </xf>
    <xf numFmtId="0" fontId="3" fillId="52" borderId="30" xfId="0" applyFont="1" applyFill="1" applyBorder="1" applyAlignment="1">
      <alignment horizontal="right"/>
    </xf>
    <xf numFmtId="17" fontId="3" fillId="52" borderId="33" xfId="0" applyNumberFormat="1" applyFont="1" applyFill="1" applyBorder="1"/>
    <xf numFmtId="17" fontId="3" fillId="52" borderId="20" xfId="0" applyNumberFormat="1" applyFont="1" applyFill="1" applyBorder="1"/>
    <xf numFmtId="0" fontId="3" fillId="55" borderId="25" xfId="0" applyFont="1" applyFill="1" applyBorder="1" applyAlignment="1">
      <alignment horizontal="right"/>
    </xf>
    <xf numFmtId="0" fontId="3" fillId="55" borderId="35" xfId="0" applyFont="1" applyFill="1" applyBorder="1"/>
    <xf numFmtId="0" fontId="3" fillId="55" borderId="27" xfId="0" applyFont="1" applyFill="1" applyBorder="1"/>
    <xf numFmtId="17" fontId="3" fillId="55" borderId="33" xfId="0" applyNumberFormat="1" applyFont="1" applyFill="1" applyBorder="1"/>
    <xf numFmtId="4" fontId="9" fillId="8" borderId="17" xfId="0" applyNumberFormat="1" applyFont="1" applyFill="1" applyBorder="1" applyAlignment="1">
      <alignment horizontal="center"/>
    </xf>
    <xf numFmtId="4" fontId="9" fillId="8" borderId="19" xfId="0" applyNumberFormat="1" applyFont="1" applyFill="1" applyBorder="1" applyAlignment="1">
      <alignment horizontal="center"/>
    </xf>
    <xf numFmtId="0" fontId="3" fillId="51" borderId="25" xfId="0" applyFont="1" applyFill="1" applyBorder="1" applyAlignment="1">
      <alignment horizontal="right"/>
    </xf>
    <xf numFmtId="0" fontId="3" fillId="51" borderId="35" xfId="0" applyFont="1" applyFill="1" applyBorder="1" applyAlignment="1">
      <alignment horizontal="center"/>
    </xf>
    <xf numFmtId="0" fontId="3" fillId="51" borderId="36" xfId="0" applyFont="1" applyFill="1" applyBorder="1" applyAlignment="1">
      <alignment horizontal="center"/>
    </xf>
    <xf numFmtId="17" fontId="3" fillId="55" borderId="30" xfId="0" applyNumberFormat="1" applyFont="1" applyFill="1" applyBorder="1"/>
    <xf numFmtId="0" fontId="3" fillId="55" borderId="41" xfId="0" applyFont="1" applyFill="1" applyBorder="1"/>
    <xf numFmtId="0" fontId="3" fillId="55" borderId="62" xfId="0" applyFont="1" applyFill="1" applyBorder="1" applyAlignment="1">
      <alignment horizontal="right"/>
    </xf>
    <xf numFmtId="0" fontId="3" fillId="55" borderId="57" xfId="0" applyFont="1" applyFill="1" applyBorder="1" applyAlignment="1">
      <alignment horizontal="center"/>
    </xf>
    <xf numFmtId="0" fontId="3" fillId="55" borderId="45" xfId="0" applyFont="1" applyFill="1" applyBorder="1" applyAlignment="1">
      <alignment horizontal="center"/>
    </xf>
    <xf numFmtId="0" fontId="3" fillId="55" borderId="33" xfId="0" applyFont="1" applyFill="1" applyBorder="1" applyAlignment="1">
      <alignment horizontal="right"/>
    </xf>
    <xf numFmtId="4" fontId="0" fillId="21" borderId="19" xfId="0" applyNumberFormat="1" applyFill="1" applyBorder="1" applyAlignment="1">
      <alignment horizontal="center"/>
    </xf>
    <xf numFmtId="4" fontId="0" fillId="8" borderId="0" xfId="0" applyNumberFormat="1" applyFill="1" applyAlignment="1">
      <alignment horizontal="center"/>
    </xf>
    <xf numFmtId="4" fontId="0" fillId="8" borderId="19" xfId="0" applyNumberFormat="1" applyFill="1" applyBorder="1" applyAlignment="1">
      <alignment horizontal="center"/>
    </xf>
    <xf numFmtId="0" fontId="3" fillId="55" borderId="30" xfId="0" applyFont="1" applyFill="1" applyBorder="1" applyAlignment="1">
      <alignment horizontal="right"/>
    </xf>
    <xf numFmtId="4" fontId="0" fillId="8" borderId="31" xfId="0" applyNumberFormat="1" applyFill="1" applyBorder="1" applyAlignment="1">
      <alignment horizontal="center"/>
    </xf>
    <xf numFmtId="4" fontId="0" fillId="8" borderId="32" xfId="0" applyNumberFormat="1" applyFill="1" applyBorder="1" applyAlignment="1">
      <alignment horizontal="center"/>
    </xf>
    <xf numFmtId="4" fontId="0" fillId="8" borderId="17" xfId="0" applyNumberFormat="1" applyFill="1" applyBorder="1" applyAlignment="1">
      <alignment horizontal="center"/>
    </xf>
    <xf numFmtId="4" fontId="9" fillId="8" borderId="42" xfId="0" applyNumberFormat="1" applyFont="1" applyFill="1" applyBorder="1" applyAlignment="1">
      <alignment horizontal="center"/>
    </xf>
    <xf numFmtId="4" fontId="9" fillId="8" borderId="32" xfId="0" applyNumberFormat="1" applyFont="1" applyFill="1" applyBorder="1" applyAlignment="1">
      <alignment horizontal="center"/>
    </xf>
    <xf numFmtId="0" fontId="3" fillId="55" borderId="25" xfId="0" applyFont="1" applyFill="1" applyBorder="1"/>
    <xf numFmtId="0" fontId="3" fillId="55" borderId="46" xfId="0" applyFont="1" applyFill="1" applyBorder="1"/>
    <xf numFmtId="0" fontId="3" fillId="55" borderId="58" xfId="0" applyFont="1" applyFill="1" applyBorder="1" applyAlignment="1">
      <alignment horizontal="center"/>
    </xf>
    <xf numFmtId="4" fontId="3" fillId="55" borderId="35" xfId="0" applyNumberFormat="1" applyFont="1" applyFill="1" applyBorder="1" applyAlignment="1">
      <alignment horizontal="center"/>
    </xf>
    <xf numFmtId="0" fontId="3" fillId="55" borderId="27" xfId="0" applyFont="1" applyFill="1" applyBorder="1" applyAlignment="1">
      <alignment horizontal="center"/>
    </xf>
    <xf numFmtId="0" fontId="0" fillId="8" borderId="33" xfId="0" applyFill="1" applyBorder="1"/>
    <xf numFmtId="0" fontId="0" fillId="8" borderId="17" xfId="0" applyFill="1" applyBorder="1" applyAlignment="1">
      <alignment horizontal="center"/>
    </xf>
    <xf numFmtId="3" fontId="0" fillId="8" borderId="16" xfId="0" applyNumberFormat="1" applyFill="1" applyBorder="1" applyAlignment="1">
      <alignment horizontal="center"/>
    </xf>
    <xf numFmtId="165" fontId="0" fillId="8" borderId="19" xfId="0" applyNumberFormat="1" applyFill="1" applyBorder="1" applyAlignment="1">
      <alignment horizontal="center"/>
    </xf>
    <xf numFmtId="0" fontId="3" fillId="55" borderId="28" xfId="0" applyFont="1" applyFill="1" applyBorder="1" applyAlignment="1">
      <alignment horizontal="right"/>
    </xf>
    <xf numFmtId="0" fontId="3" fillId="55" borderId="35" xfId="0" applyFont="1" applyFill="1" applyBorder="1" applyAlignment="1">
      <alignment horizontal="center"/>
    </xf>
    <xf numFmtId="0" fontId="3" fillId="55" borderId="36" xfId="0" applyFont="1" applyFill="1" applyBorder="1" applyAlignment="1">
      <alignment horizontal="center"/>
    </xf>
    <xf numFmtId="0" fontId="3" fillId="55" borderId="33" xfId="0" applyFont="1" applyFill="1" applyBorder="1"/>
    <xf numFmtId="0" fontId="3" fillId="55" borderId="4" xfId="0" applyFont="1" applyFill="1" applyBorder="1" applyAlignment="1">
      <alignment horizontal="right"/>
    </xf>
    <xf numFmtId="4" fontId="0" fillId="54" borderId="16" xfId="0" applyNumberFormat="1" applyFill="1" applyBorder="1" applyAlignment="1">
      <alignment horizontal="center"/>
    </xf>
    <xf numFmtId="4" fontId="0" fillId="54" borderId="19" xfId="0" applyNumberFormat="1" applyFill="1" applyBorder="1" applyAlignment="1">
      <alignment horizontal="center"/>
    </xf>
    <xf numFmtId="175" fontId="0" fillId="0" borderId="19" xfId="0" applyNumberFormat="1" applyBorder="1" applyAlignment="1">
      <alignment horizontal="center"/>
    </xf>
    <xf numFmtId="175" fontId="0" fillId="54" borderId="19" xfId="0" applyNumberFormat="1" applyFill="1" applyBorder="1" applyAlignment="1">
      <alignment horizontal="center"/>
    </xf>
    <xf numFmtId="175" fontId="0" fillId="0" borderId="32" xfId="0" applyNumberFormat="1" applyBorder="1" applyAlignment="1">
      <alignment horizontal="center"/>
    </xf>
    <xf numFmtId="175" fontId="9" fillId="0" borderId="19" xfId="0" applyNumberFormat="1" applyFont="1" applyBorder="1" applyAlignment="1">
      <alignment horizontal="center"/>
    </xf>
    <xf numFmtId="175" fontId="9" fillId="8" borderId="19" xfId="0" applyNumberFormat="1" applyFont="1" applyFill="1" applyBorder="1" applyAlignment="1">
      <alignment horizontal="center"/>
    </xf>
    <xf numFmtId="0" fontId="3" fillId="55" borderId="30" xfId="0" applyFont="1" applyFill="1" applyBorder="1"/>
    <xf numFmtId="0" fontId="3" fillId="56" borderId="25" xfId="0" applyFont="1" applyFill="1" applyBorder="1" applyAlignment="1">
      <alignment horizontal="right"/>
    </xf>
    <xf numFmtId="0" fontId="3" fillId="57" borderId="35" xfId="0" applyFont="1" applyFill="1" applyBorder="1" applyAlignment="1">
      <alignment horizontal="center"/>
    </xf>
    <xf numFmtId="0" fontId="3" fillId="57" borderId="36" xfId="0" applyFont="1" applyFill="1" applyBorder="1" applyAlignment="1">
      <alignment horizontal="center"/>
    </xf>
    <xf numFmtId="0" fontId="3" fillId="57" borderId="25" xfId="0" applyFont="1" applyFill="1" applyBorder="1" applyAlignment="1">
      <alignment horizontal="right"/>
    </xf>
    <xf numFmtId="17" fontId="3" fillId="58" borderId="33" xfId="0" applyNumberFormat="1" applyFont="1" applyFill="1" applyBorder="1"/>
    <xf numFmtId="0" fontId="3" fillId="59" borderId="4" xfId="0" applyFont="1" applyFill="1" applyBorder="1" applyAlignment="1">
      <alignment horizontal="right"/>
    </xf>
    <xf numFmtId="17" fontId="3" fillId="59" borderId="33" xfId="0" applyNumberFormat="1" applyFont="1" applyFill="1" applyBorder="1"/>
    <xf numFmtId="4" fontId="0" fillId="25" borderId="16" xfId="0" applyNumberFormat="1" applyFill="1" applyBorder="1" applyAlignment="1">
      <alignment horizontal="center"/>
    </xf>
    <xf numFmtId="4" fontId="0" fillId="25" borderId="39" xfId="0" applyNumberFormat="1" applyFill="1" applyBorder="1" applyAlignment="1">
      <alignment horizontal="center"/>
    </xf>
    <xf numFmtId="0" fontId="3" fillId="58" borderId="4" xfId="0" applyFont="1" applyFill="1" applyBorder="1" applyAlignment="1">
      <alignment horizontal="right"/>
    </xf>
    <xf numFmtId="0" fontId="3" fillId="58" borderId="20" xfId="0" applyFont="1" applyFill="1" applyBorder="1" applyAlignment="1">
      <alignment horizontal="right"/>
    </xf>
    <xf numFmtId="17" fontId="3" fillId="59" borderId="30" xfId="0" applyNumberFormat="1" applyFont="1" applyFill="1" applyBorder="1"/>
    <xf numFmtId="0" fontId="3" fillId="60" borderId="25" xfId="0" applyFont="1" applyFill="1" applyBorder="1" applyAlignment="1">
      <alignment horizontal="right"/>
    </xf>
    <xf numFmtId="0" fontId="3" fillId="60" borderId="35" xfId="0" applyFont="1" applyFill="1" applyBorder="1"/>
    <xf numFmtId="0" fontId="3" fillId="60" borderId="27" xfId="0" applyFont="1" applyFill="1" applyBorder="1"/>
    <xf numFmtId="17" fontId="3" fillId="60" borderId="33" xfId="0" applyNumberFormat="1" applyFont="1" applyFill="1" applyBorder="1"/>
    <xf numFmtId="4" fontId="9" fillId="9" borderId="17" xfId="0" applyNumberFormat="1" applyFont="1" applyFill="1" applyBorder="1" applyAlignment="1">
      <alignment horizontal="center"/>
    </xf>
    <xf numFmtId="4" fontId="9" fillId="9" borderId="19" xfId="0" applyNumberFormat="1" applyFont="1" applyFill="1" applyBorder="1" applyAlignment="1">
      <alignment horizontal="center"/>
    </xf>
    <xf numFmtId="4" fontId="9" fillId="9" borderId="16" xfId="0" applyNumberFormat="1" applyFont="1" applyFill="1" applyBorder="1" applyAlignment="1">
      <alignment horizontal="center"/>
    </xf>
    <xf numFmtId="4" fontId="9" fillId="9" borderId="39" xfId="0" applyNumberFormat="1" applyFont="1" applyFill="1" applyBorder="1" applyAlignment="1">
      <alignment horizontal="center"/>
    </xf>
    <xf numFmtId="17" fontId="3" fillId="60" borderId="30" xfId="0" applyNumberFormat="1" applyFont="1" applyFill="1" applyBorder="1"/>
    <xf numFmtId="4" fontId="9" fillId="0" borderId="40" xfId="0" applyNumberFormat="1" applyFont="1" applyBorder="1" applyAlignment="1">
      <alignment horizontal="center"/>
    </xf>
    <xf numFmtId="0" fontId="3" fillId="60" borderId="41" xfId="0" applyFont="1" applyFill="1" applyBorder="1" applyAlignment="1">
      <alignment horizontal="left"/>
    </xf>
    <xf numFmtId="182" fontId="0" fillId="0" borderId="0" xfId="0" applyNumberFormat="1"/>
    <xf numFmtId="0" fontId="3" fillId="60" borderId="53" xfId="0" applyFont="1" applyFill="1" applyBorder="1" applyAlignment="1">
      <alignment horizontal="right"/>
    </xf>
    <xf numFmtId="0" fontId="3" fillId="60" borderId="11" xfId="0" applyFont="1" applyFill="1" applyBorder="1" applyAlignment="1">
      <alignment horizontal="center"/>
    </xf>
    <xf numFmtId="0" fontId="3" fillId="60" borderId="15" xfId="0" applyFont="1" applyFill="1" applyBorder="1" applyAlignment="1">
      <alignment horizontal="center"/>
    </xf>
    <xf numFmtId="0" fontId="3" fillId="60" borderId="33" xfId="0" applyFont="1" applyFill="1" applyBorder="1" applyAlignment="1">
      <alignment horizontal="right"/>
    </xf>
    <xf numFmtId="2" fontId="0" fillId="21" borderId="0" xfId="0" applyNumberFormat="1" applyFill="1" applyAlignment="1">
      <alignment horizontal="center"/>
    </xf>
    <xf numFmtId="2" fontId="0" fillId="9" borderId="0" xfId="0" applyNumberFormat="1" applyFill="1" applyAlignment="1">
      <alignment horizontal="center"/>
    </xf>
    <xf numFmtId="4" fontId="0" fillId="9" borderId="19" xfId="0" applyNumberFormat="1" applyFill="1" applyBorder="1" applyAlignment="1">
      <alignment horizontal="center"/>
    </xf>
    <xf numFmtId="0" fontId="3" fillId="60" borderId="30" xfId="0" applyFont="1" applyFill="1" applyBorder="1" applyAlignment="1">
      <alignment horizontal="right"/>
    </xf>
    <xf numFmtId="2" fontId="0" fillId="9" borderId="31" xfId="0" applyNumberFormat="1" applyFill="1" applyBorder="1" applyAlignment="1">
      <alignment horizontal="center"/>
    </xf>
    <xf numFmtId="4" fontId="0" fillId="9" borderId="32" xfId="0" applyNumberFormat="1" applyFill="1" applyBorder="1" applyAlignment="1">
      <alignment horizontal="center"/>
    </xf>
    <xf numFmtId="9" fontId="9" fillId="0" borderId="0" xfId="3" applyFont="1" applyFill="1" applyBorder="1"/>
    <xf numFmtId="4" fontId="9" fillId="9" borderId="42" xfId="0" applyNumberFormat="1" applyFont="1" applyFill="1" applyBorder="1" applyAlignment="1">
      <alignment horizontal="center"/>
    </xf>
    <xf numFmtId="4" fontId="9" fillId="9" borderId="40" xfId="0" applyNumberFormat="1" applyFont="1" applyFill="1" applyBorder="1" applyAlignment="1">
      <alignment horizontal="center"/>
    </xf>
    <xf numFmtId="0" fontId="3" fillId="60" borderId="25" xfId="0" applyFont="1" applyFill="1" applyBorder="1"/>
    <xf numFmtId="0" fontId="3" fillId="60" borderId="46" xfId="0" applyFont="1" applyFill="1" applyBorder="1"/>
    <xf numFmtId="0" fontId="3" fillId="60" borderId="58" xfId="0" applyFont="1" applyFill="1" applyBorder="1" applyAlignment="1">
      <alignment horizontal="center"/>
    </xf>
    <xf numFmtId="0" fontId="3" fillId="60" borderId="35" xfId="0" applyFont="1" applyFill="1" applyBorder="1" applyAlignment="1">
      <alignment horizontal="center"/>
    </xf>
    <xf numFmtId="0" fontId="3" fillId="60" borderId="27" xfId="0" applyFont="1" applyFill="1" applyBorder="1" applyAlignment="1">
      <alignment horizontal="center"/>
    </xf>
    <xf numFmtId="0" fontId="0" fillId="9" borderId="33" xfId="0" applyFill="1" applyBorder="1"/>
    <xf numFmtId="0" fontId="0" fillId="9" borderId="17" xfId="0" applyFill="1" applyBorder="1" applyAlignment="1">
      <alignment horizontal="center"/>
    </xf>
    <xf numFmtId="3" fontId="0" fillId="9" borderId="16" xfId="0" applyNumberFormat="1" applyFill="1" applyBorder="1" applyAlignment="1">
      <alignment horizontal="center"/>
    </xf>
    <xf numFmtId="165" fontId="0" fillId="9" borderId="39" xfId="3" applyNumberFormat="1" applyFont="1" applyFill="1" applyBorder="1" applyAlignment="1">
      <alignment horizontal="center"/>
    </xf>
    <xf numFmtId="165" fontId="0" fillId="0" borderId="39" xfId="3" applyNumberFormat="1" applyFont="1" applyFill="1" applyBorder="1" applyAlignment="1">
      <alignment horizontal="center"/>
    </xf>
    <xf numFmtId="0" fontId="3" fillId="60" borderId="33" xfId="0" applyFont="1" applyFill="1" applyBorder="1"/>
    <xf numFmtId="2" fontId="0" fillId="25" borderId="16" xfId="0" applyNumberFormat="1" applyFill="1" applyBorder="1" applyAlignment="1">
      <alignment horizontal="center"/>
    </xf>
    <xf numFmtId="2" fontId="0" fillId="25" borderId="39" xfId="0" applyNumberFormat="1" applyFill="1" applyBorder="1" applyAlignment="1">
      <alignment horizontal="center"/>
    </xf>
    <xf numFmtId="2" fontId="0" fillId="0" borderId="39" xfId="0" applyNumberFormat="1" applyBorder="1" applyAlignment="1">
      <alignment horizontal="center"/>
    </xf>
    <xf numFmtId="0" fontId="3" fillId="60" borderId="30" xfId="0" applyFont="1" applyFill="1" applyBorder="1"/>
    <xf numFmtId="2" fontId="0" fillId="0" borderId="40" xfId="0" applyNumberFormat="1" applyBorder="1" applyAlignment="1">
      <alignment horizontal="center"/>
    </xf>
    <xf numFmtId="4" fontId="0" fillId="9" borderId="17" xfId="0" applyNumberFormat="1" applyFill="1" applyBorder="1" applyAlignment="1">
      <alignment horizontal="center"/>
    </xf>
    <xf numFmtId="4" fontId="0" fillId="9" borderId="39" xfId="0" applyNumberFormat="1" applyFill="1" applyBorder="1" applyAlignment="1">
      <alignment horizontal="center"/>
    </xf>
    <xf numFmtId="0" fontId="85" fillId="0" borderId="0" xfId="0" applyFont="1"/>
    <xf numFmtId="0" fontId="3" fillId="61" borderId="41" xfId="0" applyFont="1" applyFill="1" applyBorder="1" applyAlignment="1">
      <alignment horizontal="center" vertical="center"/>
    </xf>
    <xf numFmtId="0" fontId="3" fillId="61" borderId="53" xfId="0" applyFont="1" applyFill="1" applyBorder="1" applyAlignment="1">
      <alignment horizontal="center" vertical="center"/>
    </xf>
    <xf numFmtId="0" fontId="3" fillId="61" borderId="57" xfId="0" applyFont="1" applyFill="1" applyBorder="1" applyAlignment="1">
      <alignment horizontal="center" vertical="center" wrapText="1"/>
    </xf>
    <xf numFmtId="0" fontId="3" fillId="61" borderId="63" xfId="0" applyFont="1" applyFill="1" applyBorder="1" applyAlignment="1">
      <alignment horizontal="center" vertical="center" wrapText="1"/>
    </xf>
    <xf numFmtId="0" fontId="0" fillId="0" borderId="0" xfId="0" applyAlignment="1">
      <alignment wrapText="1"/>
    </xf>
    <xf numFmtId="17" fontId="3" fillId="61" borderId="33" xfId="0" applyNumberFormat="1" applyFont="1" applyFill="1" applyBorder="1"/>
    <xf numFmtId="0" fontId="3" fillId="62" borderId="25" xfId="0" applyFont="1" applyFill="1" applyBorder="1" applyAlignment="1">
      <alignment horizontal="right"/>
    </xf>
    <xf numFmtId="0" fontId="3" fillId="62" borderId="35" xfId="0" applyFont="1" applyFill="1" applyBorder="1" applyAlignment="1">
      <alignment horizontal="center"/>
    </xf>
    <xf numFmtId="0" fontId="3" fillId="62" borderId="36" xfId="0" applyFont="1" applyFill="1" applyBorder="1" applyAlignment="1">
      <alignment horizontal="center"/>
    </xf>
    <xf numFmtId="4" fontId="9" fillId="10" borderId="16" xfId="0" applyNumberFormat="1" applyFont="1" applyFill="1" applyBorder="1" applyAlignment="1">
      <alignment horizontal="center"/>
    </xf>
    <xf numFmtId="4" fontId="9" fillId="10" borderId="39" xfId="0" applyNumberFormat="1" applyFont="1" applyFill="1" applyBorder="1" applyAlignment="1">
      <alignment horizontal="center"/>
    </xf>
    <xf numFmtId="2" fontId="0" fillId="63" borderId="16" xfId="0" applyNumberFormat="1" applyFill="1" applyBorder="1" applyAlignment="1">
      <alignment horizontal="center"/>
    </xf>
    <xf numFmtId="2" fontId="0" fillId="63" borderId="39" xfId="0" applyNumberFormat="1" applyFill="1" applyBorder="1" applyAlignment="1">
      <alignment horizontal="center"/>
    </xf>
    <xf numFmtId="17" fontId="3" fillId="61" borderId="30" xfId="0" applyNumberFormat="1" applyFont="1" applyFill="1" applyBorder="1"/>
    <xf numFmtId="0" fontId="3" fillId="61" borderId="5" xfId="0" applyFont="1" applyFill="1" applyBorder="1"/>
    <xf numFmtId="0" fontId="3" fillId="61" borderId="4" xfId="0" applyFont="1" applyFill="1" applyBorder="1"/>
    <xf numFmtId="17" fontId="3" fillId="61" borderId="33" xfId="0" applyNumberFormat="1" applyFont="1" applyFill="1" applyBorder="1" applyAlignment="1">
      <alignment vertical="center"/>
    </xf>
    <xf numFmtId="4" fontId="9" fillId="10" borderId="16" xfId="0" applyNumberFormat="1" applyFont="1" applyFill="1" applyBorder="1" applyAlignment="1">
      <alignment horizontal="center" vertical="center"/>
    </xf>
    <xf numFmtId="4" fontId="9" fillId="10" borderId="39" xfId="0" applyNumberFormat="1" applyFont="1" applyFill="1" applyBorder="1" applyAlignment="1">
      <alignment horizontal="center" vertical="center"/>
    </xf>
    <xf numFmtId="0" fontId="3" fillId="61" borderId="53" xfId="0" applyFont="1" applyFill="1" applyBorder="1" applyAlignment="1">
      <alignment horizontal="right"/>
    </xf>
    <xf numFmtId="0" fontId="3" fillId="61" borderId="12" xfId="0" applyFont="1" applyFill="1" applyBorder="1" applyAlignment="1">
      <alignment horizontal="center"/>
    </xf>
    <xf numFmtId="0" fontId="3" fillId="61" borderId="63" xfId="0" applyFont="1" applyFill="1" applyBorder="1" applyAlignment="1">
      <alignment horizontal="center"/>
    </xf>
    <xf numFmtId="0" fontId="3" fillId="61" borderId="33" xfId="0" applyFont="1" applyFill="1" applyBorder="1" applyAlignment="1">
      <alignment horizontal="right"/>
    </xf>
    <xf numFmtId="4" fontId="0" fillId="10" borderId="0" xfId="0" applyNumberFormat="1" applyFill="1" applyAlignment="1">
      <alignment horizontal="center"/>
    </xf>
    <xf numFmtId="4" fontId="0" fillId="10" borderId="39" xfId="0" applyNumberFormat="1" applyFill="1" applyBorder="1" applyAlignment="1">
      <alignment horizontal="center"/>
    </xf>
    <xf numFmtId="0" fontId="3" fillId="61" borderId="30" xfId="0" applyFont="1" applyFill="1" applyBorder="1" applyAlignment="1">
      <alignment horizontal="right"/>
    </xf>
    <xf numFmtId="4" fontId="0" fillId="10" borderId="31" xfId="0" applyNumberFormat="1" applyFill="1" applyBorder="1" applyAlignment="1">
      <alignment horizontal="center"/>
    </xf>
    <xf numFmtId="4" fontId="0" fillId="10" borderId="40" xfId="0" applyNumberFormat="1" applyFill="1" applyBorder="1" applyAlignment="1">
      <alignment horizontal="center"/>
    </xf>
    <xf numFmtId="4" fontId="9" fillId="13" borderId="16" xfId="0" applyNumberFormat="1" applyFont="1" applyFill="1" applyBorder="1" applyAlignment="1">
      <alignment horizontal="center"/>
    </xf>
    <xf numFmtId="4" fontId="9" fillId="13" borderId="39" xfId="0" applyNumberFormat="1" applyFont="1" applyFill="1" applyBorder="1" applyAlignment="1">
      <alignment horizontal="center"/>
    </xf>
    <xf numFmtId="4" fontId="9" fillId="13" borderId="21" xfId="0" applyNumberFormat="1" applyFont="1" applyFill="1" applyBorder="1" applyAlignment="1">
      <alignment horizontal="center"/>
    </xf>
    <xf numFmtId="4" fontId="9" fillId="13" borderId="40" xfId="0" applyNumberFormat="1" applyFont="1" applyFill="1" applyBorder="1" applyAlignment="1">
      <alignment horizontal="center"/>
    </xf>
    <xf numFmtId="0" fontId="3" fillId="64" borderId="41" xfId="0" applyFont="1" applyFill="1" applyBorder="1" applyAlignment="1">
      <alignment horizontal="right"/>
    </xf>
    <xf numFmtId="0" fontId="3" fillId="64" borderId="6" xfId="0" applyFont="1" applyFill="1" applyBorder="1" applyAlignment="1">
      <alignment horizontal="center"/>
    </xf>
    <xf numFmtId="0" fontId="3" fillId="64" borderId="37" xfId="0" applyFont="1" applyFill="1" applyBorder="1" applyAlignment="1">
      <alignment horizontal="center"/>
    </xf>
    <xf numFmtId="0" fontId="3" fillId="64" borderId="9" xfId="0" applyFont="1" applyFill="1" applyBorder="1" applyAlignment="1">
      <alignment horizontal="center"/>
    </xf>
    <xf numFmtId="0" fontId="3" fillId="64" borderId="53" xfId="0" applyFont="1" applyFill="1" applyBorder="1" applyAlignment="1">
      <alignment horizontal="right"/>
    </xf>
    <xf numFmtId="0" fontId="3" fillId="64" borderId="11" xfId="0" applyFont="1" applyFill="1" applyBorder="1" applyAlignment="1">
      <alignment horizontal="center"/>
    </xf>
    <xf numFmtId="0" fontId="3" fillId="64" borderId="38" xfId="0" applyFont="1" applyFill="1" applyBorder="1" applyAlignment="1">
      <alignment horizontal="center"/>
    </xf>
    <xf numFmtId="0" fontId="3" fillId="64" borderId="10" xfId="0" applyFont="1" applyFill="1" applyBorder="1" applyAlignment="1">
      <alignment horizontal="right"/>
    </xf>
    <xf numFmtId="0" fontId="3" fillId="64" borderId="15" xfId="0" applyFont="1" applyFill="1" applyBorder="1" applyAlignment="1">
      <alignment horizontal="center"/>
    </xf>
    <xf numFmtId="17" fontId="3" fillId="65" borderId="33" xfId="0" applyNumberFormat="1" applyFont="1" applyFill="1" applyBorder="1"/>
    <xf numFmtId="0" fontId="3" fillId="66" borderId="4" xfId="0" applyFont="1" applyFill="1" applyBorder="1" applyAlignment="1">
      <alignment horizontal="right"/>
    </xf>
    <xf numFmtId="17" fontId="3" fillId="66" borderId="33" xfId="0" applyNumberFormat="1" applyFont="1" applyFill="1" applyBorder="1"/>
    <xf numFmtId="4" fontId="0" fillId="67" borderId="16" xfId="0" applyNumberFormat="1" applyFill="1" applyBorder="1" applyAlignment="1">
      <alignment horizontal="center"/>
    </xf>
    <xf numFmtId="4" fontId="0" fillId="67" borderId="39" xfId="0" applyNumberFormat="1" applyFill="1" applyBorder="1" applyAlignment="1">
      <alignment horizontal="center"/>
    </xf>
    <xf numFmtId="0" fontId="3" fillId="65" borderId="4" xfId="0" applyFont="1" applyFill="1" applyBorder="1" applyAlignment="1">
      <alignment horizontal="right"/>
    </xf>
    <xf numFmtId="4" fontId="0" fillId="67" borderId="19" xfId="0" applyNumberFormat="1" applyFill="1" applyBorder="1" applyAlignment="1">
      <alignment horizontal="center"/>
    </xf>
    <xf numFmtId="4" fontId="0" fillId="68" borderId="16" xfId="0" applyNumberFormat="1" applyFill="1" applyBorder="1" applyAlignment="1">
      <alignment horizontal="center"/>
    </xf>
    <xf numFmtId="4" fontId="0" fillId="68" borderId="19" xfId="0" applyNumberFormat="1" applyFill="1" applyBorder="1" applyAlignment="1">
      <alignment horizontal="center"/>
    </xf>
    <xf numFmtId="4" fontId="0" fillId="11" borderId="21" xfId="0" applyNumberFormat="1" applyFill="1" applyBorder="1" applyAlignment="1">
      <alignment horizontal="center"/>
    </xf>
    <xf numFmtId="4" fontId="0" fillId="11" borderId="32" xfId="0" applyNumberFormat="1" applyFill="1" applyBorder="1" applyAlignment="1">
      <alignment horizontal="center"/>
    </xf>
    <xf numFmtId="0" fontId="0" fillId="0" borderId="0" xfId="0" applyAlignment="1">
      <alignment horizontal="left" wrapText="1"/>
    </xf>
    <xf numFmtId="17" fontId="3" fillId="66" borderId="30" xfId="0" applyNumberFormat="1" applyFont="1" applyFill="1" applyBorder="1"/>
    <xf numFmtId="0" fontId="4" fillId="21" borderId="0" xfId="0" applyFont="1" applyFill="1"/>
    <xf numFmtId="0" fontId="3" fillId="64" borderId="37" xfId="0" applyFont="1" applyFill="1" applyBorder="1" applyAlignment="1">
      <alignment horizontal="center" vertical="center"/>
    </xf>
    <xf numFmtId="0" fontId="3" fillId="64" borderId="11" xfId="0" applyFont="1" applyFill="1" applyBorder="1" applyAlignment="1">
      <alignment horizontal="center" vertical="center"/>
    </xf>
    <xf numFmtId="0" fontId="3" fillId="64" borderId="38" xfId="0" applyFont="1" applyFill="1" applyBorder="1" applyAlignment="1">
      <alignment horizontal="center" vertical="center"/>
    </xf>
    <xf numFmtId="17" fontId="3" fillId="65" borderId="4" xfId="0" applyNumberFormat="1" applyFont="1" applyFill="1" applyBorder="1"/>
    <xf numFmtId="17" fontId="3" fillId="66" borderId="4" xfId="0" applyNumberFormat="1" applyFont="1" applyFill="1" applyBorder="1"/>
    <xf numFmtId="4" fontId="9" fillId="67" borderId="18" xfId="0" applyNumberFormat="1" applyFont="1" applyFill="1" applyBorder="1" applyAlignment="1">
      <alignment horizontal="center"/>
    </xf>
    <xf numFmtId="4" fontId="9" fillId="11" borderId="18" xfId="0" applyNumberFormat="1" applyFont="1" applyFill="1" applyBorder="1" applyAlignment="1">
      <alignment horizontal="center"/>
    </xf>
    <xf numFmtId="4" fontId="0" fillId="11" borderId="39" xfId="0" applyNumberFormat="1" applyFill="1" applyBorder="1" applyAlignment="1">
      <alignment horizontal="center"/>
    </xf>
    <xf numFmtId="0" fontId="3" fillId="65" borderId="20" xfId="0" applyFont="1" applyFill="1" applyBorder="1" applyAlignment="1">
      <alignment horizontal="right"/>
    </xf>
    <xf numFmtId="4" fontId="0" fillId="11" borderId="40" xfId="0" applyNumberFormat="1" applyFill="1" applyBorder="1" applyAlignment="1">
      <alignment horizontal="center"/>
    </xf>
    <xf numFmtId="4" fontId="0" fillId="67" borderId="18" xfId="0" applyNumberFormat="1" applyFill="1" applyBorder="1" applyAlignment="1">
      <alignment horizontal="center"/>
    </xf>
    <xf numFmtId="0" fontId="4" fillId="0" borderId="0" xfId="0" applyFont="1" applyAlignment="1">
      <alignment horizontal="center"/>
    </xf>
    <xf numFmtId="0" fontId="27" fillId="0" borderId="0" xfId="0" applyFont="1" applyAlignment="1">
      <alignment horizontal="center"/>
    </xf>
    <xf numFmtId="0" fontId="3" fillId="69" borderId="6" xfId="0" applyFont="1" applyFill="1" applyBorder="1" applyAlignment="1">
      <alignment horizontal="center" wrapText="1"/>
    </xf>
    <xf numFmtId="0" fontId="3" fillId="69" borderId="37" xfId="0" applyFont="1" applyFill="1" applyBorder="1" applyAlignment="1">
      <alignment horizontal="center" vertical="center" wrapText="1"/>
    </xf>
    <xf numFmtId="0" fontId="6" fillId="0" borderId="0" xfId="0" applyFont="1" applyAlignment="1">
      <alignment horizontal="center" wrapText="1"/>
    </xf>
    <xf numFmtId="0" fontId="6" fillId="69" borderId="5" xfId="0" applyFont="1" applyFill="1" applyBorder="1" applyAlignment="1">
      <alignment horizontal="center" wrapText="1"/>
    </xf>
    <xf numFmtId="0" fontId="3" fillId="69" borderId="37" xfId="0" applyFont="1" applyFill="1" applyBorder="1" applyAlignment="1">
      <alignment horizontal="center" wrapText="1"/>
    </xf>
    <xf numFmtId="0" fontId="3" fillId="69" borderId="11" xfId="0" applyFont="1" applyFill="1" applyBorder="1" applyAlignment="1">
      <alignment horizontal="center" wrapText="1"/>
    </xf>
    <xf numFmtId="0" fontId="3" fillId="69" borderId="38" xfId="0" applyFont="1" applyFill="1" applyBorder="1" applyAlignment="1">
      <alignment horizontal="center" vertical="center" wrapText="1"/>
    </xf>
    <xf numFmtId="0" fontId="3" fillId="69" borderId="10" xfId="0" applyFont="1" applyFill="1" applyBorder="1" applyAlignment="1">
      <alignment horizontal="center" wrapText="1"/>
    </xf>
    <xf numFmtId="0" fontId="3" fillId="69" borderId="38" xfId="0" applyFont="1" applyFill="1" applyBorder="1" applyAlignment="1">
      <alignment horizontal="center" wrapText="1"/>
    </xf>
    <xf numFmtId="0" fontId="9" fillId="0" borderId="0" xfId="0" quotePrefix="1" applyFont="1"/>
    <xf numFmtId="0" fontId="3" fillId="69" borderId="59" xfId="0" applyFont="1" applyFill="1" applyBorder="1" applyAlignment="1">
      <alignment horizontal="center"/>
    </xf>
    <xf numFmtId="0" fontId="86" fillId="0" borderId="0" xfId="0" applyFont="1" applyAlignment="1">
      <alignment horizontal="center"/>
    </xf>
    <xf numFmtId="4" fontId="4" fillId="0" borderId="0" xfId="0" applyNumberFormat="1" applyFont="1" applyAlignment="1">
      <alignment horizontal="center"/>
    </xf>
    <xf numFmtId="0" fontId="3" fillId="69" borderId="4" xfId="0" applyFont="1" applyFill="1" applyBorder="1" applyAlignment="1">
      <alignment horizontal="center"/>
    </xf>
    <xf numFmtId="14" fontId="4" fillId="0" borderId="0" xfId="0" applyNumberFormat="1" applyFont="1"/>
    <xf numFmtId="0" fontId="3" fillId="69" borderId="20" xfId="0" applyFont="1" applyFill="1" applyBorder="1" applyAlignment="1">
      <alignment horizontal="center"/>
    </xf>
    <xf numFmtId="182" fontId="9" fillId="0" borderId="0" xfId="0" applyNumberFormat="1" applyFont="1" applyAlignment="1">
      <alignment horizontal="center"/>
    </xf>
    <xf numFmtId="183" fontId="1" fillId="0" borderId="0" xfId="0" applyNumberFormat="1" applyFont="1" applyAlignment="1">
      <alignment horizontal="center"/>
    </xf>
    <xf numFmtId="0" fontId="10" fillId="69" borderId="41" xfId="0" applyFont="1" applyFill="1" applyBorder="1" applyAlignment="1">
      <alignment horizontal="center"/>
    </xf>
    <xf numFmtId="0" fontId="3" fillId="69" borderId="53" xfId="0" applyFont="1" applyFill="1" applyBorder="1" applyAlignment="1">
      <alignment horizontal="right"/>
    </xf>
    <xf numFmtId="0" fontId="3" fillId="69" borderId="12" xfId="0" applyFont="1" applyFill="1" applyBorder="1" applyAlignment="1">
      <alignment horizontal="center"/>
    </xf>
    <xf numFmtId="0" fontId="3" fillId="69" borderId="14" xfId="0" applyFont="1" applyFill="1" applyBorder="1" applyAlignment="1">
      <alignment horizontal="center"/>
    </xf>
    <xf numFmtId="0" fontId="3" fillId="69" borderId="13" xfId="0" applyFont="1" applyFill="1" applyBorder="1" applyAlignment="1">
      <alignment horizontal="center"/>
    </xf>
    <xf numFmtId="0" fontId="3" fillId="69" borderId="15" xfId="0" applyFont="1" applyFill="1" applyBorder="1" applyAlignment="1">
      <alignment horizontal="center"/>
    </xf>
    <xf numFmtId="17" fontId="3" fillId="69" borderId="33" xfId="0" applyNumberFormat="1" applyFont="1" applyFill="1" applyBorder="1"/>
    <xf numFmtId="4" fontId="9" fillId="11" borderId="17" xfId="0" applyNumberFormat="1" applyFont="1" applyFill="1" applyBorder="1" applyAlignment="1">
      <alignment horizontal="center"/>
    </xf>
    <xf numFmtId="4" fontId="9" fillId="11" borderId="0" xfId="0" applyNumberFormat="1" applyFont="1" applyFill="1" applyAlignment="1">
      <alignment horizontal="center"/>
    </xf>
    <xf numFmtId="4" fontId="9" fillId="11" borderId="16" xfId="0" applyNumberFormat="1" applyFont="1" applyFill="1" applyBorder="1" applyAlignment="1">
      <alignment horizontal="center"/>
    </xf>
    <xf numFmtId="4" fontId="9" fillId="11" borderId="19" xfId="0" applyNumberFormat="1" applyFont="1" applyFill="1" applyBorder="1" applyAlignment="1">
      <alignment horizontal="center"/>
    </xf>
    <xf numFmtId="0" fontId="3" fillId="64" borderId="25" xfId="0" applyFont="1" applyFill="1" applyBorder="1" applyAlignment="1">
      <alignment horizontal="right"/>
    </xf>
    <xf numFmtId="0" fontId="3" fillId="64" borderId="35" xfId="0" applyFont="1" applyFill="1" applyBorder="1" applyAlignment="1">
      <alignment horizontal="center"/>
    </xf>
    <xf numFmtId="0" fontId="3" fillId="64" borderId="36" xfId="0" applyFont="1" applyFill="1" applyBorder="1" applyAlignment="1">
      <alignment horizontal="center"/>
    </xf>
    <xf numFmtId="2" fontId="0" fillId="67" borderId="16" xfId="0" applyNumberFormat="1" applyFill="1" applyBorder="1" applyAlignment="1">
      <alignment horizontal="center"/>
    </xf>
    <xf numFmtId="17" fontId="3" fillId="69" borderId="30" xfId="0" applyNumberFormat="1" applyFont="1" applyFill="1" applyBorder="1"/>
    <xf numFmtId="168" fontId="0" fillId="0" borderId="0" xfId="0" applyNumberFormat="1"/>
    <xf numFmtId="0" fontId="3" fillId="69" borderId="28" xfId="0" applyFont="1" applyFill="1" applyBorder="1" applyAlignment="1">
      <alignment horizontal="right"/>
    </xf>
    <xf numFmtId="0" fontId="3" fillId="69" borderId="29" xfId="0" applyFont="1" applyFill="1" applyBorder="1" applyAlignment="1">
      <alignment horizontal="center"/>
    </xf>
    <xf numFmtId="0" fontId="3" fillId="64" borderId="12" xfId="0" applyFont="1" applyFill="1" applyBorder="1" applyAlignment="1">
      <alignment horizontal="center"/>
    </xf>
    <xf numFmtId="0" fontId="3" fillId="64" borderId="13" xfId="0" applyFont="1" applyFill="1" applyBorder="1" applyAlignment="1">
      <alignment horizontal="center"/>
    </xf>
    <xf numFmtId="0" fontId="3" fillId="64" borderId="14" xfId="0" applyFont="1" applyFill="1" applyBorder="1" applyAlignment="1">
      <alignment horizontal="center"/>
    </xf>
    <xf numFmtId="0" fontId="3" fillId="69" borderId="33" xfId="0" applyFont="1" applyFill="1" applyBorder="1" applyAlignment="1">
      <alignment horizontal="right"/>
    </xf>
    <xf numFmtId="4" fontId="0" fillId="0" borderId="67" xfId="0" applyNumberFormat="1" applyBorder="1" applyAlignment="1">
      <alignment horizontal="center"/>
    </xf>
    <xf numFmtId="4" fontId="0" fillId="11" borderId="0" xfId="0" applyNumberFormat="1" applyFill="1" applyAlignment="1">
      <alignment horizontal="center"/>
    </xf>
    <xf numFmtId="4" fontId="0" fillId="11" borderId="16" xfId="0" applyNumberFormat="1" applyFill="1" applyBorder="1" applyAlignment="1">
      <alignment horizontal="center"/>
    </xf>
    <xf numFmtId="4" fontId="0" fillId="11" borderId="18" xfId="0" applyNumberFormat="1" applyFill="1" applyBorder="1" applyAlignment="1">
      <alignment horizontal="center"/>
    </xf>
    <xf numFmtId="0" fontId="3" fillId="69" borderId="30" xfId="0" applyFont="1" applyFill="1" applyBorder="1" applyAlignment="1">
      <alignment horizontal="right"/>
    </xf>
    <xf numFmtId="4" fontId="0" fillId="11" borderId="31" xfId="0" applyNumberFormat="1" applyFill="1" applyBorder="1" applyAlignment="1">
      <alignment horizontal="center"/>
    </xf>
    <xf numFmtId="4" fontId="0" fillId="11" borderId="52" xfId="0" applyNumberFormat="1" applyFill="1" applyBorder="1" applyAlignment="1">
      <alignment horizontal="center"/>
    </xf>
    <xf numFmtId="4" fontId="0" fillId="11" borderId="17" xfId="0" applyNumberFormat="1" applyFill="1" applyBorder="1" applyAlignment="1">
      <alignment horizontal="center"/>
    </xf>
    <xf numFmtId="4" fontId="0" fillId="11" borderId="19" xfId="0" applyNumberFormat="1" applyFill="1" applyBorder="1" applyAlignment="1">
      <alignment horizontal="center"/>
    </xf>
    <xf numFmtId="4" fontId="9" fillId="11" borderId="42" xfId="0" applyNumberFormat="1" applyFont="1" applyFill="1" applyBorder="1" applyAlignment="1">
      <alignment horizontal="center"/>
    </xf>
    <xf numFmtId="4" fontId="9" fillId="11" borderId="31" xfId="0" applyNumberFormat="1" applyFont="1" applyFill="1" applyBorder="1" applyAlignment="1">
      <alignment horizontal="center"/>
    </xf>
    <xf numFmtId="4" fontId="9" fillId="11" borderId="21" xfId="0" applyNumberFormat="1" applyFont="1" applyFill="1" applyBorder="1" applyAlignment="1">
      <alignment horizontal="center"/>
    </xf>
    <xf numFmtId="4" fontId="9" fillId="11" borderId="32" xfId="0" applyNumberFormat="1" applyFont="1" applyFill="1" applyBorder="1" applyAlignment="1">
      <alignment horizontal="center"/>
    </xf>
    <xf numFmtId="0" fontId="5" fillId="0" borderId="2" xfId="0" applyFont="1" applyBorder="1"/>
    <xf numFmtId="0" fontId="5" fillId="0" borderId="3" xfId="0" applyFont="1" applyBorder="1"/>
    <xf numFmtId="17" fontId="3" fillId="69" borderId="29" xfId="0" applyNumberFormat="1" applyFont="1" applyFill="1" applyBorder="1"/>
    <xf numFmtId="172" fontId="0" fillId="0" borderId="19" xfId="0" applyNumberFormat="1" applyBorder="1"/>
    <xf numFmtId="0" fontId="3" fillId="70" borderId="25" xfId="0" applyFont="1" applyFill="1" applyBorder="1" applyAlignment="1">
      <alignment horizontal="right"/>
    </xf>
    <xf numFmtId="172" fontId="5" fillId="0" borderId="0" xfId="0" applyNumberFormat="1" applyFont="1"/>
    <xf numFmtId="0" fontId="3" fillId="69" borderId="5" xfId="0" applyFont="1" applyFill="1" applyBorder="1" applyAlignment="1">
      <alignment horizontal="right"/>
    </xf>
    <xf numFmtId="0" fontId="3" fillId="69" borderId="4" xfId="0" applyFont="1" applyFill="1" applyBorder="1" applyAlignment="1">
      <alignment horizontal="right"/>
    </xf>
    <xf numFmtId="0" fontId="3" fillId="69" borderId="20" xfId="0" applyFont="1" applyFill="1" applyBorder="1" applyAlignment="1">
      <alignment horizontal="right"/>
    </xf>
    <xf numFmtId="4" fontId="0" fillId="11" borderId="42" xfId="0" applyNumberFormat="1" applyFill="1" applyBorder="1" applyAlignment="1">
      <alignment horizontal="center"/>
    </xf>
    <xf numFmtId="4" fontId="9" fillId="0" borderId="67" xfId="0" applyNumberFormat="1" applyFont="1" applyBorder="1" applyAlignment="1">
      <alignment horizontal="center"/>
    </xf>
    <xf numFmtId="17" fontId="3" fillId="66" borderId="20" xfId="0" applyNumberFormat="1" applyFont="1" applyFill="1" applyBorder="1"/>
    <xf numFmtId="172" fontId="15" fillId="0" borderId="0" xfId="44" applyNumberFormat="1"/>
    <xf numFmtId="172" fontId="0" fillId="0" borderId="32" xfId="0" applyNumberFormat="1" applyBorder="1"/>
    <xf numFmtId="0" fontId="3" fillId="69" borderId="25" xfId="0" applyFont="1" applyFill="1" applyBorder="1"/>
    <xf numFmtId="0" fontId="3" fillId="69" borderId="46" xfId="0" applyFont="1" applyFill="1" applyBorder="1"/>
    <xf numFmtId="0" fontId="3" fillId="69" borderId="58" xfId="0" applyFont="1" applyFill="1" applyBorder="1" applyAlignment="1">
      <alignment horizontal="center"/>
    </xf>
    <xf numFmtId="0" fontId="3" fillId="69" borderId="35" xfId="0" applyFont="1" applyFill="1" applyBorder="1" applyAlignment="1">
      <alignment horizontal="center"/>
    </xf>
    <xf numFmtId="0" fontId="3" fillId="69" borderId="27" xfId="0" applyFont="1" applyFill="1" applyBorder="1" applyAlignment="1">
      <alignment horizontal="center"/>
    </xf>
    <xf numFmtId="0" fontId="0" fillId="11" borderId="33" xfId="0" applyFill="1" applyBorder="1"/>
    <xf numFmtId="0" fontId="0" fillId="11" borderId="17" xfId="0" applyFill="1" applyBorder="1" applyAlignment="1">
      <alignment horizontal="center"/>
    </xf>
    <xf numFmtId="3" fontId="0" fillId="11" borderId="16" xfId="0" applyNumberFormat="1" applyFill="1" applyBorder="1" applyAlignment="1">
      <alignment horizontal="center"/>
    </xf>
    <xf numFmtId="165" fontId="0" fillId="11" borderId="61" xfId="0" applyNumberFormat="1" applyFill="1" applyBorder="1" applyAlignment="1">
      <alignment horizontal="center"/>
    </xf>
    <xf numFmtId="165" fontId="0" fillId="11" borderId="39" xfId="0" applyNumberFormat="1" applyFill="1" applyBorder="1" applyAlignment="1">
      <alignment horizontal="center"/>
    </xf>
    <xf numFmtId="165" fontId="0" fillId="11" borderId="38" xfId="0" applyNumberFormat="1" applyFill="1" applyBorder="1" applyAlignment="1">
      <alignment horizontal="center"/>
    </xf>
    <xf numFmtId="0" fontId="0" fillId="21" borderId="51" xfId="0" applyFill="1" applyBorder="1" applyAlignment="1">
      <alignment horizontal="center"/>
    </xf>
    <xf numFmtId="0" fontId="3" fillId="69" borderId="33" xfId="0" applyFont="1" applyFill="1" applyBorder="1"/>
    <xf numFmtId="0" fontId="3" fillId="65" borderId="4" xfId="0" applyFont="1" applyFill="1" applyBorder="1"/>
    <xf numFmtId="0" fontId="3" fillId="66" borderId="4" xfId="0" applyFont="1" applyFill="1" applyBorder="1"/>
    <xf numFmtId="2" fontId="0" fillId="67" borderId="19" xfId="0" applyNumberFormat="1" applyFill="1" applyBorder="1" applyAlignment="1">
      <alignment horizontal="center"/>
    </xf>
    <xf numFmtId="0" fontId="3" fillId="66" borderId="20" xfId="0" applyFont="1" applyFill="1" applyBorder="1"/>
    <xf numFmtId="2" fontId="0" fillId="67" borderId="21" xfId="0" applyNumberFormat="1" applyFill="1" applyBorder="1" applyAlignment="1">
      <alignment horizontal="center"/>
    </xf>
    <xf numFmtId="2" fontId="0" fillId="67" borderId="32" xfId="0" applyNumberFormat="1" applyFill="1" applyBorder="1" applyAlignment="1">
      <alignment horizontal="center"/>
    </xf>
    <xf numFmtId="0" fontId="3" fillId="69" borderId="30" xfId="0" applyFont="1" applyFill="1" applyBorder="1"/>
    <xf numFmtId="0" fontId="3" fillId="69" borderId="25" xfId="0" applyFont="1" applyFill="1" applyBorder="1" applyAlignment="1">
      <alignment horizontal="center" vertical="center"/>
    </xf>
    <xf numFmtId="0" fontId="3" fillId="69" borderId="35" xfId="0" applyFont="1" applyFill="1" applyBorder="1" applyAlignment="1">
      <alignment horizontal="center" vertical="center"/>
    </xf>
    <xf numFmtId="0" fontId="3" fillId="69" borderId="36" xfId="0" applyFont="1" applyFill="1" applyBorder="1" applyAlignment="1">
      <alignment horizontal="center" vertical="center"/>
    </xf>
    <xf numFmtId="0" fontId="3" fillId="69" borderId="29" xfId="0" applyFont="1" applyFill="1" applyBorder="1"/>
    <xf numFmtId="3" fontId="0" fillId="11" borderId="67" xfId="0" applyNumberFormat="1" applyFill="1" applyBorder="1" applyAlignment="1">
      <alignment horizontal="center"/>
    </xf>
    <xf numFmtId="3" fontId="0" fillId="11" borderId="61" xfId="0" applyNumberFormat="1" applyFill="1" applyBorder="1" applyAlignment="1">
      <alignment horizontal="center"/>
    </xf>
    <xf numFmtId="0" fontId="3" fillId="64" borderId="35" xfId="0" applyFont="1" applyFill="1" applyBorder="1" applyAlignment="1">
      <alignment horizontal="center" vertical="center"/>
    </xf>
    <xf numFmtId="0" fontId="3" fillId="64" borderId="36" xfId="0" applyFont="1" applyFill="1" applyBorder="1" applyAlignment="1">
      <alignment horizontal="center" vertical="center"/>
    </xf>
    <xf numFmtId="3" fontId="0" fillId="0" borderId="39" xfId="0" applyNumberFormat="1" applyBorder="1" applyAlignment="1">
      <alignment horizontal="center"/>
    </xf>
    <xf numFmtId="0" fontId="3" fillId="65" borderId="33" xfId="0" applyFont="1" applyFill="1" applyBorder="1"/>
    <xf numFmtId="3" fontId="0" fillId="67" borderId="16" xfId="0" applyNumberFormat="1" applyFill="1" applyBorder="1" applyAlignment="1">
      <alignment horizontal="center"/>
    </xf>
    <xf numFmtId="3" fontId="0" fillId="67" borderId="39" xfId="0" applyNumberFormat="1" applyFill="1" applyBorder="1" applyAlignment="1">
      <alignment horizontal="center"/>
    </xf>
    <xf numFmtId="3" fontId="0" fillId="11" borderId="39" xfId="0" applyNumberFormat="1" applyFill="1" applyBorder="1" applyAlignment="1">
      <alignment horizontal="center"/>
    </xf>
    <xf numFmtId="0" fontId="3" fillId="66" borderId="33" xfId="0" applyFont="1" applyFill="1" applyBorder="1"/>
    <xf numFmtId="0" fontId="3" fillId="66" borderId="30" xfId="0" applyFont="1" applyFill="1" applyBorder="1"/>
    <xf numFmtId="3" fontId="0" fillId="0" borderId="21" xfId="0" applyNumberFormat="1" applyBorder="1" applyAlignment="1">
      <alignment horizontal="center"/>
    </xf>
    <xf numFmtId="3" fontId="0" fillId="0" borderId="40" xfId="0" applyNumberFormat="1" applyBorder="1" applyAlignment="1">
      <alignment horizontal="center"/>
    </xf>
    <xf numFmtId="0" fontId="29" fillId="22" borderId="4" xfId="0" applyFont="1" applyFill="1" applyBorder="1" applyAlignment="1">
      <alignment horizontal="right" indent="1"/>
    </xf>
    <xf numFmtId="0" fontId="29" fillId="22" borderId="19" xfId="0" applyFont="1" applyFill="1" applyBorder="1" applyAlignment="1">
      <alignment horizontal="right" indent="1"/>
    </xf>
    <xf numFmtId="3" fontId="31" fillId="11" borderId="4" xfId="0" applyNumberFormat="1" applyFont="1" applyFill="1" applyBorder="1" applyAlignment="1">
      <alignment horizontal="right" indent="2"/>
    </xf>
    <xf numFmtId="3" fontId="31" fillId="11" borderId="19" xfId="0" applyNumberFormat="1" applyFont="1" applyFill="1" applyBorder="1" applyAlignment="1">
      <alignment horizontal="right" indent="2"/>
    </xf>
    <xf numFmtId="3" fontId="31" fillId="11" borderId="4" xfId="0" applyNumberFormat="1" applyFont="1" applyFill="1" applyBorder="1" applyAlignment="1">
      <alignment horizontal="right" indent="1"/>
    </xf>
    <xf numFmtId="3" fontId="31" fillId="11" borderId="19" xfId="0" applyNumberFormat="1" applyFont="1" applyFill="1" applyBorder="1" applyAlignment="1">
      <alignment horizontal="right" indent="1"/>
    </xf>
    <xf numFmtId="3" fontId="31" fillId="0" borderId="4" xfId="0" applyNumberFormat="1" applyFont="1" applyBorder="1" applyAlignment="1">
      <alignment horizontal="right" indent="1"/>
    </xf>
    <xf numFmtId="3" fontId="31" fillId="0" borderId="19" xfId="0" applyNumberFormat="1" applyFont="1" applyBorder="1" applyAlignment="1">
      <alignment horizontal="right" indent="1"/>
    </xf>
    <xf numFmtId="3" fontId="31" fillId="22" borderId="4" xfId="0" applyNumberFormat="1" applyFont="1" applyFill="1" applyBorder="1" applyAlignment="1">
      <alignment horizontal="right" indent="1"/>
    </xf>
    <xf numFmtId="3" fontId="31" fillId="22" borderId="19" xfId="0" applyNumberFormat="1" applyFont="1" applyFill="1" applyBorder="1" applyAlignment="1">
      <alignment horizontal="right" indent="1"/>
    </xf>
    <xf numFmtId="3" fontId="31" fillId="22" borderId="20" xfId="0" quotePrefix="1" applyNumberFormat="1" applyFont="1" applyFill="1" applyBorder="1" applyAlignment="1">
      <alignment horizontal="right" indent="1"/>
    </xf>
    <xf numFmtId="3" fontId="31" fillId="22" borderId="32" xfId="0" applyNumberFormat="1" applyFont="1" applyFill="1" applyBorder="1" applyAlignment="1">
      <alignment horizontal="right" indent="1"/>
    </xf>
    <xf numFmtId="0" fontId="29" fillId="22" borderId="68" xfId="0" applyFont="1" applyFill="1" applyBorder="1" applyAlignment="1">
      <alignment horizontal="left"/>
    </xf>
    <xf numFmtId="0" fontId="29" fillId="22" borderId="69" xfId="0" applyFont="1" applyFill="1" applyBorder="1" applyAlignment="1">
      <alignment horizontal="center"/>
    </xf>
    <xf numFmtId="0" fontId="31" fillId="11" borderId="70" xfId="0" applyFont="1" applyFill="1" applyBorder="1" applyAlignment="1">
      <alignment horizontal="center"/>
    </xf>
    <xf numFmtId="0" fontId="31" fillId="0" borderId="70" xfId="0" applyFont="1" applyBorder="1" applyAlignment="1">
      <alignment horizontal="center"/>
    </xf>
    <xf numFmtId="0" fontId="31" fillId="11" borderId="70" xfId="0" quotePrefix="1" applyFont="1" applyFill="1" applyBorder="1" applyAlignment="1">
      <alignment horizontal="center"/>
    </xf>
    <xf numFmtId="0" fontId="31" fillId="22" borderId="70" xfId="0" applyFont="1" applyFill="1" applyBorder="1" applyAlignment="1">
      <alignment horizontal="center"/>
    </xf>
    <xf numFmtId="0" fontId="31" fillId="22" borderId="71" xfId="0" applyFont="1" applyFill="1" applyBorder="1" applyAlignment="1">
      <alignment horizontal="center"/>
    </xf>
    <xf numFmtId="10" fontId="0" fillId="22" borderId="32" xfId="3" applyNumberFormat="1" applyFont="1" applyFill="1" applyBorder="1" applyAlignment="1">
      <alignment horizontal="center"/>
    </xf>
    <xf numFmtId="0" fontId="10" fillId="22" borderId="0" xfId="0" applyFont="1" applyFill="1"/>
    <xf numFmtId="175" fontId="9" fillId="0" borderId="17" xfId="0" applyNumberFormat="1" applyFont="1" applyBorder="1" applyAlignment="1">
      <alignment horizontal="center"/>
    </xf>
    <xf numFmtId="175" fontId="9" fillId="8" borderId="17" xfId="0" applyNumberFormat="1" applyFont="1" applyFill="1" applyBorder="1" applyAlignment="1">
      <alignment horizontal="center"/>
    </xf>
    <xf numFmtId="175" fontId="9" fillId="21" borderId="17" xfId="0" applyNumberFormat="1" applyFont="1" applyFill="1" applyBorder="1" applyAlignment="1">
      <alignment horizontal="center"/>
    </xf>
    <xf numFmtId="175" fontId="9" fillId="21" borderId="19" xfId="0" applyNumberFormat="1" applyFont="1" applyFill="1" applyBorder="1" applyAlignment="1">
      <alignment horizontal="center"/>
    </xf>
    <xf numFmtId="0" fontId="0" fillId="0" borderId="31" xfId="0" applyBorder="1"/>
    <xf numFmtId="17" fontId="3" fillId="69" borderId="16" xfId="0" applyNumberFormat="1" applyFont="1" applyFill="1" applyBorder="1" applyAlignment="1">
      <alignment horizontal="center"/>
    </xf>
    <xf numFmtId="17" fontId="3" fillId="69" borderId="21" xfId="0" applyNumberFormat="1" applyFont="1" applyFill="1" applyBorder="1" applyAlignment="1">
      <alignment horizontal="center"/>
    </xf>
    <xf numFmtId="166" fontId="15" fillId="7" borderId="0" xfId="9" applyNumberFormat="1" applyFill="1" applyAlignment="1">
      <alignment horizontal="right"/>
    </xf>
    <xf numFmtId="0" fontId="87" fillId="0" borderId="0" xfId="0" applyFont="1"/>
    <xf numFmtId="0" fontId="88" fillId="0" borderId="0" xfId="0" applyFont="1"/>
    <xf numFmtId="0" fontId="87" fillId="0" borderId="0" xfId="0" applyFont="1" applyAlignment="1">
      <alignment vertical="center"/>
    </xf>
    <xf numFmtId="0" fontId="88" fillId="0" borderId="0" xfId="0" applyFont="1" applyAlignment="1">
      <alignment vertical="center"/>
    </xf>
    <xf numFmtId="0" fontId="74" fillId="0" borderId="0" xfId="0" applyFont="1" applyAlignment="1">
      <alignment vertical="center"/>
    </xf>
    <xf numFmtId="174" fontId="87" fillId="0" borderId="0" xfId="1" applyFont="1"/>
    <xf numFmtId="172" fontId="88" fillId="0" borderId="0" xfId="0" applyNumberFormat="1" applyFont="1"/>
    <xf numFmtId="3" fontId="87" fillId="0" borderId="0" xfId="0" applyNumberFormat="1" applyFont="1"/>
    <xf numFmtId="3" fontId="88" fillId="0" borderId="0" xfId="0" applyNumberFormat="1" applyFont="1"/>
    <xf numFmtId="165" fontId="88" fillId="0" borderId="0" xfId="3" applyNumberFormat="1" applyFont="1"/>
    <xf numFmtId="176" fontId="74" fillId="0" borderId="0" xfId="0" applyNumberFormat="1" applyFont="1"/>
    <xf numFmtId="0" fontId="15" fillId="0" borderId="70" xfId="0" applyFont="1" applyBorder="1" applyAlignment="1">
      <alignment horizontal="center"/>
    </xf>
    <xf numFmtId="0" fontId="0" fillId="0" borderId="19" xfId="0" applyBorder="1"/>
    <xf numFmtId="2" fontId="9" fillId="0" borderId="52" xfId="0" applyNumberFormat="1" applyFont="1" applyBorder="1" applyAlignment="1">
      <alignment horizontal="center"/>
    </xf>
    <xf numFmtId="2" fontId="9" fillId="0" borderId="40" xfId="0" applyNumberFormat="1" applyFont="1" applyBorder="1" applyAlignment="1">
      <alignment horizontal="center"/>
    </xf>
    <xf numFmtId="4" fontId="9" fillId="0" borderId="52" xfId="0" applyNumberFormat="1" applyFont="1" applyBorder="1" applyAlignment="1">
      <alignment horizontal="center"/>
    </xf>
    <xf numFmtId="4" fontId="0" fillId="28" borderId="21" xfId="0" applyNumberFormat="1" applyFill="1" applyBorder="1" applyAlignment="1">
      <alignment horizontal="center"/>
    </xf>
    <xf numFmtId="0" fontId="3" fillId="17" borderId="25" xfId="0" applyFont="1" applyFill="1" applyBorder="1" applyAlignment="1">
      <alignment horizontal="right"/>
    </xf>
    <xf numFmtId="4" fontId="0" fillId="9" borderId="42" xfId="0" applyNumberFormat="1" applyFill="1" applyBorder="1" applyAlignment="1">
      <alignment horizontal="center"/>
    </xf>
    <xf numFmtId="4" fontId="0" fillId="25" borderId="21" xfId="0" applyNumberFormat="1" applyFill="1" applyBorder="1" applyAlignment="1">
      <alignment horizontal="center"/>
    </xf>
    <xf numFmtId="4" fontId="0" fillId="25" borderId="40" xfId="0" applyNumberFormat="1" applyFill="1" applyBorder="1" applyAlignment="1">
      <alignment horizontal="center"/>
    </xf>
    <xf numFmtId="0" fontId="27" fillId="0" borderId="0" xfId="0" applyFont="1" applyAlignment="1">
      <alignment vertical="center"/>
    </xf>
    <xf numFmtId="0" fontId="9" fillId="10" borderId="0" xfId="0" applyFont="1" applyFill="1"/>
    <xf numFmtId="0" fontId="0" fillId="72" borderId="0" xfId="0" applyFill="1"/>
    <xf numFmtId="0" fontId="0" fillId="73" borderId="0" xfId="0" applyFill="1"/>
    <xf numFmtId="0" fontId="8" fillId="0" borderId="0" xfId="4" applyFont="1" applyFill="1"/>
    <xf numFmtId="166" fontId="15" fillId="0" borderId="0" xfId="9" applyNumberFormat="1" applyAlignment="1">
      <alignment horizontal="right"/>
    </xf>
    <xf numFmtId="166" fontId="15" fillId="0" borderId="17" xfId="9" applyNumberFormat="1" applyBorder="1" applyAlignment="1">
      <alignment horizontal="right"/>
    </xf>
    <xf numFmtId="166" fontId="15" fillId="0" borderId="18" xfId="9" applyNumberFormat="1" applyBorder="1" applyAlignment="1">
      <alignment horizontal="right"/>
    </xf>
    <xf numFmtId="165" fontId="15" fillId="0" borderId="0" xfId="8" applyNumberFormat="1" applyFont="1" applyFill="1" applyBorder="1" applyAlignment="1">
      <alignment horizontal="right"/>
    </xf>
    <xf numFmtId="165" fontId="15" fillId="0" borderId="19" xfId="8" applyNumberFormat="1" applyFont="1" applyFill="1" applyBorder="1" applyAlignment="1">
      <alignment horizontal="right"/>
    </xf>
    <xf numFmtId="165" fontId="15" fillId="7" borderId="0" xfId="8" applyNumberFormat="1" applyFont="1" applyFill="1" applyBorder="1" applyAlignment="1">
      <alignment horizontal="right"/>
    </xf>
    <xf numFmtId="165" fontId="15" fillId="7" borderId="19" xfId="8" applyNumberFormat="1" applyFont="1" applyFill="1" applyBorder="1" applyAlignment="1">
      <alignment horizontal="right"/>
    </xf>
    <xf numFmtId="166" fontId="15" fillId="0" borderId="31" xfId="9" applyNumberFormat="1" applyBorder="1" applyAlignment="1">
      <alignment horizontal="right"/>
    </xf>
    <xf numFmtId="166" fontId="15" fillId="0" borderId="42" xfId="9" applyNumberFormat="1" applyBorder="1" applyAlignment="1">
      <alignment horizontal="right"/>
    </xf>
    <xf numFmtId="166" fontId="15" fillId="0" borderId="52" xfId="9" applyNumberFormat="1" applyBorder="1" applyAlignment="1">
      <alignment horizontal="right"/>
    </xf>
    <xf numFmtId="165" fontId="15" fillId="0" borderId="31" xfId="8" applyNumberFormat="1" applyFont="1" applyFill="1" applyBorder="1" applyAlignment="1">
      <alignment horizontal="right"/>
    </xf>
    <xf numFmtId="165" fontId="15" fillId="0" borderId="32" xfId="8" applyNumberFormat="1" applyFont="1" applyFill="1" applyBorder="1" applyAlignment="1">
      <alignment horizontal="right"/>
    </xf>
    <xf numFmtId="0" fontId="9" fillId="16" borderId="0" xfId="0" applyFont="1" applyFill="1"/>
    <xf numFmtId="0" fontId="8" fillId="11" borderId="0" xfId="0" applyFont="1" applyFill="1"/>
    <xf numFmtId="4" fontId="0" fillId="2" borderId="21" xfId="0" applyNumberFormat="1" applyFill="1" applyBorder="1" applyAlignment="1">
      <alignment horizontal="center"/>
    </xf>
    <xf numFmtId="4" fontId="0" fillId="2" borderId="40" xfId="0" applyNumberFormat="1" applyFill="1" applyBorder="1" applyAlignment="1">
      <alignment horizontal="center"/>
    </xf>
    <xf numFmtId="4" fontId="0" fillId="68" borderId="39" xfId="0" applyNumberFormat="1" applyFill="1" applyBorder="1" applyAlignment="1">
      <alignment horizontal="center"/>
    </xf>
    <xf numFmtId="4" fontId="9" fillId="21" borderId="21" xfId="0" applyNumberFormat="1" applyFont="1" applyFill="1" applyBorder="1" applyAlignment="1">
      <alignment horizontal="center"/>
    </xf>
    <xf numFmtId="4" fontId="9" fillId="21" borderId="32" xfId="0" applyNumberFormat="1" applyFont="1" applyFill="1" applyBorder="1" applyAlignment="1">
      <alignment horizontal="center"/>
    </xf>
    <xf numFmtId="4" fontId="9" fillId="45" borderId="17" xfId="0" applyNumberFormat="1" applyFont="1" applyFill="1" applyBorder="1" applyAlignment="1">
      <alignment horizontal="center"/>
    </xf>
    <xf numFmtId="4" fontId="9" fillId="21" borderId="42" xfId="0" applyNumberFormat="1" applyFont="1" applyFill="1" applyBorder="1" applyAlignment="1">
      <alignment horizontal="center"/>
    </xf>
    <xf numFmtId="4" fontId="0" fillId="6" borderId="21" xfId="0" applyNumberFormat="1" applyFill="1" applyBorder="1" applyAlignment="1">
      <alignment horizontal="center" vertical="center"/>
    </xf>
    <xf numFmtId="4" fontId="0" fillId="6" borderId="40" xfId="0" applyNumberFormat="1" applyFill="1" applyBorder="1" applyAlignment="1">
      <alignment horizontal="center" vertical="center"/>
    </xf>
    <xf numFmtId="4" fontId="0" fillId="68" borderId="16" xfId="0" applyNumberFormat="1" applyFill="1" applyBorder="1" applyAlignment="1">
      <alignment horizontal="center" vertical="center"/>
    </xf>
    <xf numFmtId="4" fontId="0" fillId="68" borderId="39" xfId="0" applyNumberFormat="1" applyFill="1" applyBorder="1" applyAlignment="1">
      <alignment horizontal="center" vertical="center"/>
    </xf>
    <xf numFmtId="4" fontId="0" fillId="21" borderId="16" xfId="0" applyNumberFormat="1" applyFill="1" applyBorder="1" applyAlignment="1">
      <alignment horizontal="center" vertical="center"/>
    </xf>
    <xf numFmtId="4" fontId="0" fillId="21" borderId="39" xfId="0" applyNumberFormat="1" applyFill="1" applyBorder="1" applyAlignment="1">
      <alignment horizontal="center" vertical="center"/>
    </xf>
    <xf numFmtId="4" fontId="0" fillId="71" borderId="18" xfId="0" applyNumberFormat="1" applyFill="1" applyBorder="1" applyAlignment="1">
      <alignment horizontal="center"/>
    </xf>
    <xf numFmtId="4" fontId="0" fillId="71" borderId="39" xfId="0" applyNumberFormat="1" applyFill="1" applyBorder="1" applyAlignment="1">
      <alignment horizontal="center"/>
    </xf>
    <xf numFmtId="4" fontId="0" fillId="21" borderId="52" xfId="0" applyNumberFormat="1" applyFill="1" applyBorder="1" applyAlignment="1">
      <alignment horizontal="center"/>
    </xf>
    <xf numFmtId="4" fontId="0" fillId="21" borderId="40" xfId="0" applyNumberFormat="1" applyFill="1" applyBorder="1" applyAlignment="1">
      <alignment horizontal="center"/>
    </xf>
    <xf numFmtId="0" fontId="83" fillId="0" borderId="0" xfId="0" applyFont="1" applyAlignment="1">
      <alignment horizontal="right"/>
    </xf>
    <xf numFmtId="170" fontId="83" fillId="0" borderId="0" xfId="0" applyNumberFormat="1" applyFont="1"/>
    <xf numFmtId="9" fontId="83" fillId="0" borderId="0" xfId="3" applyFont="1" applyFill="1" applyBorder="1"/>
    <xf numFmtId="0" fontId="89" fillId="0" borderId="0" xfId="0" applyFont="1"/>
    <xf numFmtId="9" fontId="83" fillId="0" borderId="0" xfId="3" applyFont="1" applyFill="1"/>
    <xf numFmtId="170" fontId="89" fillId="0" borderId="0" xfId="0" applyNumberFormat="1" applyFont="1"/>
    <xf numFmtId="0" fontId="89" fillId="0" borderId="0" xfId="0" applyFont="1" applyAlignment="1">
      <alignment horizontal="left"/>
    </xf>
    <xf numFmtId="0" fontId="89" fillId="0" borderId="0" xfId="0" applyFont="1" applyAlignment="1">
      <alignment horizontal="left" vertical="center"/>
    </xf>
    <xf numFmtId="170" fontId="89" fillId="0" borderId="0" xfId="0" applyNumberFormat="1" applyFont="1" applyAlignment="1">
      <alignment horizontal="left"/>
    </xf>
    <xf numFmtId="9" fontId="89" fillId="0" borderId="0" xfId="3" applyFont="1" applyFill="1" applyAlignment="1">
      <alignment horizontal="left"/>
    </xf>
    <xf numFmtId="170" fontId="83" fillId="0" borderId="0" xfId="0" applyNumberFormat="1" applyFont="1" applyAlignment="1">
      <alignment horizontal="right"/>
    </xf>
    <xf numFmtId="0" fontId="83" fillId="0" borderId="0" xfId="0" applyFont="1" applyAlignment="1">
      <alignment vertical="center"/>
    </xf>
    <xf numFmtId="0" fontId="83" fillId="0" borderId="0" xfId="0" applyFont="1" applyAlignment="1">
      <alignment horizontal="right" vertical="center"/>
    </xf>
    <xf numFmtId="170" fontId="83" fillId="0" borderId="0" xfId="0" applyNumberFormat="1" applyFont="1" applyAlignment="1">
      <alignment vertical="center"/>
    </xf>
    <xf numFmtId="9" fontId="83" fillId="0" borderId="0" xfId="3" applyFont="1" applyFill="1" applyBorder="1" applyAlignment="1">
      <alignment vertical="center"/>
    </xf>
    <xf numFmtId="0" fontId="83" fillId="0" borderId="0" xfId="11" applyFont="1" applyAlignment="1">
      <alignment vertical="center"/>
    </xf>
    <xf numFmtId="0" fontId="83" fillId="0" borderId="0" xfId="11" applyFont="1" applyAlignment="1">
      <alignment horizontal="right" vertical="center"/>
    </xf>
    <xf numFmtId="170" fontId="83" fillId="0" borderId="0" xfId="11" applyNumberFormat="1" applyFont="1" applyAlignment="1">
      <alignment vertical="center"/>
    </xf>
    <xf numFmtId="0" fontId="83" fillId="0" borderId="0" xfId="12" applyFont="1" applyAlignment="1">
      <alignment vertical="center"/>
    </xf>
    <xf numFmtId="0" fontId="83" fillId="0" borderId="0" xfId="12" applyFont="1" applyAlignment="1">
      <alignment horizontal="right" vertical="center"/>
    </xf>
    <xf numFmtId="170" fontId="83" fillId="0" borderId="0" xfId="12" applyNumberFormat="1" applyFont="1" applyAlignment="1">
      <alignment vertical="center"/>
    </xf>
    <xf numFmtId="0" fontId="83" fillId="0" borderId="0" xfId="13" applyFont="1" applyAlignment="1">
      <alignment vertical="center"/>
    </xf>
    <xf numFmtId="0" fontId="83" fillId="0" borderId="0" xfId="13" applyFont="1" applyAlignment="1">
      <alignment horizontal="right" vertical="center"/>
    </xf>
    <xf numFmtId="170" fontId="83" fillId="0" borderId="0" xfId="13" applyNumberFormat="1" applyFont="1" applyAlignment="1">
      <alignment vertical="center"/>
    </xf>
    <xf numFmtId="0" fontId="83" fillId="0" borderId="0" xfId="14" applyFont="1" applyAlignment="1">
      <alignment vertical="center"/>
    </xf>
    <xf numFmtId="0" fontId="83" fillId="0" borderId="0" xfId="14" applyFont="1" applyAlignment="1">
      <alignment horizontal="right" vertical="center"/>
    </xf>
    <xf numFmtId="170" fontId="83" fillId="0" borderId="0" xfId="14" applyNumberFormat="1" applyFont="1" applyAlignment="1">
      <alignment vertical="center"/>
    </xf>
    <xf numFmtId="0" fontId="83" fillId="0" borderId="0" xfId="15" applyFont="1" applyAlignment="1">
      <alignment vertical="center"/>
    </xf>
    <xf numFmtId="0" fontId="83" fillId="0" borderId="0" xfId="15" applyFont="1" applyAlignment="1">
      <alignment horizontal="right" vertical="center"/>
    </xf>
    <xf numFmtId="170" fontId="83" fillId="0" borderId="0" xfId="15" applyNumberFormat="1" applyFont="1" applyAlignment="1">
      <alignment vertical="center"/>
    </xf>
    <xf numFmtId="0" fontId="83" fillId="0" borderId="0" xfId="16" applyFont="1" applyAlignment="1">
      <alignment vertical="center"/>
    </xf>
    <xf numFmtId="0" fontId="83" fillId="0" borderId="0" xfId="16" applyFont="1" applyAlignment="1">
      <alignment horizontal="right" vertical="center"/>
    </xf>
    <xf numFmtId="170" fontId="83" fillId="0" borderId="0" xfId="16" applyNumberFormat="1" applyFont="1" applyAlignment="1">
      <alignment vertical="center"/>
    </xf>
    <xf numFmtId="0" fontId="83" fillId="0" borderId="0" xfId="17" applyFont="1" applyAlignment="1">
      <alignment vertical="center"/>
    </xf>
    <xf numFmtId="0" fontId="83" fillId="0" borderId="0" xfId="17" applyFont="1" applyAlignment="1">
      <alignment horizontal="right" vertical="center"/>
    </xf>
    <xf numFmtId="170" fontId="83" fillId="0" borderId="0" xfId="17" applyNumberFormat="1" applyFont="1" applyAlignment="1">
      <alignment vertical="center"/>
    </xf>
    <xf numFmtId="0" fontId="83" fillId="0" borderId="0" xfId="18" applyFont="1" applyAlignment="1">
      <alignment vertical="center"/>
    </xf>
    <xf numFmtId="0" fontId="83" fillId="0" borderId="0" xfId="18" applyFont="1" applyAlignment="1">
      <alignment horizontal="right" vertical="center"/>
    </xf>
    <xf numFmtId="170" fontId="83" fillId="0" borderId="0" xfId="18" applyNumberFormat="1" applyFont="1" applyAlignment="1">
      <alignment vertical="center"/>
    </xf>
    <xf numFmtId="0" fontId="83" fillId="0" borderId="0" xfId="19" applyFont="1" applyAlignment="1">
      <alignment vertical="center"/>
    </xf>
    <xf numFmtId="0" fontId="83" fillId="0" borderId="0" xfId="19" applyFont="1" applyAlignment="1">
      <alignment horizontal="right" vertical="center"/>
    </xf>
    <xf numFmtId="170" fontId="83" fillId="0" borderId="0" xfId="19" applyNumberFormat="1" applyFont="1" applyAlignment="1">
      <alignment vertical="center"/>
    </xf>
    <xf numFmtId="0" fontId="83" fillId="0" borderId="0" xfId="20" applyFont="1" applyAlignment="1">
      <alignment vertical="center"/>
    </xf>
    <xf numFmtId="0" fontId="83" fillId="0" borderId="0" xfId="20" applyFont="1" applyAlignment="1">
      <alignment horizontal="right" vertical="center"/>
    </xf>
    <xf numFmtId="170" fontId="83" fillId="0" borderId="0" xfId="20" applyNumberFormat="1" applyFont="1" applyAlignment="1">
      <alignment vertical="center"/>
    </xf>
    <xf numFmtId="0" fontId="83" fillId="0" borderId="0" xfId="21" applyFont="1" applyAlignment="1">
      <alignment vertical="center"/>
    </xf>
    <xf numFmtId="0" fontId="83" fillId="0" borderId="0" xfId="21" applyFont="1" applyAlignment="1">
      <alignment horizontal="right" vertical="center"/>
    </xf>
    <xf numFmtId="170" fontId="83" fillId="0" borderId="0" xfId="21" applyNumberFormat="1" applyFont="1" applyAlignment="1">
      <alignment vertical="center"/>
    </xf>
    <xf numFmtId="0" fontId="83" fillId="0" borderId="0" xfId="22" applyFont="1" applyAlignment="1">
      <alignment vertical="center"/>
    </xf>
    <xf numFmtId="0" fontId="83" fillId="0" borderId="0" xfId="22" applyFont="1" applyAlignment="1">
      <alignment horizontal="right" vertical="center"/>
    </xf>
    <xf numFmtId="170" fontId="83" fillId="0" borderId="0" xfId="22" applyNumberFormat="1" applyFont="1" applyAlignment="1">
      <alignment vertical="center"/>
    </xf>
    <xf numFmtId="0" fontId="83" fillId="0" borderId="0" xfId="23" applyFont="1" applyAlignment="1">
      <alignment vertical="center"/>
    </xf>
    <xf numFmtId="170" fontId="83" fillId="0" borderId="0" xfId="23" applyNumberFormat="1" applyFont="1" applyAlignment="1">
      <alignment vertical="center"/>
    </xf>
    <xf numFmtId="0" fontId="83" fillId="0" borderId="0" xfId="24" applyFont="1" applyAlignment="1">
      <alignment vertical="center"/>
    </xf>
    <xf numFmtId="0" fontId="83" fillId="0" borderId="0" xfId="24" applyFont="1" applyAlignment="1">
      <alignment horizontal="right" vertical="center"/>
    </xf>
    <xf numFmtId="170" fontId="83" fillId="0" borderId="0" xfId="24" applyNumberFormat="1" applyFont="1" applyAlignment="1">
      <alignment vertical="center"/>
    </xf>
    <xf numFmtId="0" fontId="83" fillId="0" borderId="0" xfId="25" applyFont="1" applyAlignment="1">
      <alignment vertical="center"/>
    </xf>
    <xf numFmtId="170" fontId="83" fillId="0" borderId="0" xfId="25" applyNumberFormat="1" applyFont="1" applyAlignment="1">
      <alignment vertical="center"/>
    </xf>
    <xf numFmtId="0" fontId="83" fillId="0" borderId="0" xfId="26" applyFont="1" applyAlignment="1">
      <alignment vertical="center"/>
    </xf>
    <xf numFmtId="0" fontId="83" fillId="0" borderId="0" xfId="26" applyFont="1" applyAlignment="1">
      <alignment horizontal="right" vertical="center"/>
    </xf>
    <xf numFmtId="170" fontId="83" fillId="0" borderId="0" xfId="26" applyNumberFormat="1" applyFont="1" applyAlignment="1">
      <alignment vertical="center"/>
    </xf>
    <xf numFmtId="0" fontId="83" fillId="0" borderId="0" xfId="27" applyFont="1" applyAlignment="1">
      <alignment vertical="center"/>
    </xf>
    <xf numFmtId="170" fontId="83" fillId="0" borderId="0" xfId="27" applyNumberFormat="1" applyFont="1" applyAlignment="1">
      <alignment vertical="center"/>
    </xf>
    <xf numFmtId="0" fontId="83" fillId="0" borderId="0" xfId="28" applyFont="1" applyAlignment="1">
      <alignment vertical="center"/>
    </xf>
    <xf numFmtId="170" fontId="83" fillId="0" borderId="0" xfId="28" applyNumberFormat="1" applyFont="1" applyAlignment="1">
      <alignment vertical="center"/>
    </xf>
    <xf numFmtId="0" fontId="83" fillId="0" borderId="0" xfId="29" applyFont="1" applyAlignment="1">
      <alignment vertical="center"/>
    </xf>
    <xf numFmtId="170" fontId="83" fillId="0" borderId="0" xfId="29" applyNumberFormat="1" applyFont="1" applyAlignment="1">
      <alignment vertical="center"/>
    </xf>
    <xf numFmtId="0" fontId="83" fillId="0" borderId="0" xfId="30" applyFont="1" applyAlignment="1">
      <alignment vertical="center"/>
    </xf>
    <xf numFmtId="170" fontId="83" fillId="0" borderId="0" xfId="30" applyNumberFormat="1" applyFont="1" applyAlignment="1">
      <alignment vertical="center"/>
    </xf>
    <xf numFmtId="0" fontId="83" fillId="0" borderId="0" xfId="31" applyFont="1" applyAlignment="1">
      <alignment vertical="center"/>
    </xf>
    <xf numFmtId="170" fontId="83" fillId="0" borderId="0" xfId="31" applyNumberFormat="1" applyFont="1" applyAlignment="1">
      <alignment vertical="center"/>
    </xf>
    <xf numFmtId="0" fontId="83" fillId="0" borderId="0" xfId="32" applyFont="1" applyAlignment="1">
      <alignment vertical="center"/>
    </xf>
    <xf numFmtId="170" fontId="83" fillId="0" borderId="0" xfId="32" applyNumberFormat="1" applyFont="1" applyAlignment="1">
      <alignment vertical="center"/>
    </xf>
    <xf numFmtId="0" fontId="83" fillId="0" borderId="0" xfId="33" applyFont="1" applyAlignment="1">
      <alignment vertical="center"/>
    </xf>
    <xf numFmtId="170" fontId="83" fillId="0" borderId="0" xfId="33" applyNumberFormat="1" applyFont="1" applyAlignment="1">
      <alignment vertical="center"/>
    </xf>
    <xf numFmtId="0" fontId="83" fillId="0" borderId="0" xfId="34" applyFont="1" applyAlignment="1">
      <alignment vertical="center"/>
    </xf>
    <xf numFmtId="170" fontId="83" fillId="0" borderId="0" xfId="34" applyNumberFormat="1" applyFont="1" applyAlignment="1">
      <alignment vertical="center"/>
    </xf>
    <xf numFmtId="0" fontId="83" fillId="0" borderId="0" xfId="35" applyFont="1" applyAlignment="1">
      <alignment vertical="center"/>
    </xf>
    <xf numFmtId="170" fontId="83" fillId="0" borderId="0" xfId="35" applyNumberFormat="1" applyFont="1" applyAlignment="1">
      <alignment vertical="center"/>
    </xf>
    <xf numFmtId="0" fontId="83" fillId="0" borderId="0" xfId="36" applyFont="1" applyAlignment="1">
      <alignment vertical="center"/>
    </xf>
    <xf numFmtId="170" fontId="83" fillId="0" borderId="0" xfId="36" applyNumberFormat="1" applyFont="1" applyAlignment="1">
      <alignment vertical="center"/>
    </xf>
    <xf numFmtId="0" fontId="83" fillId="0" borderId="0" xfId="37" applyFont="1" applyAlignment="1">
      <alignment vertical="center"/>
    </xf>
    <xf numFmtId="170" fontId="83" fillId="0" borderId="0" xfId="37" applyNumberFormat="1" applyFont="1" applyAlignment="1">
      <alignment vertical="center"/>
    </xf>
    <xf numFmtId="0" fontId="83" fillId="0" borderId="0" xfId="38" applyFont="1" applyAlignment="1">
      <alignment vertical="center"/>
    </xf>
    <xf numFmtId="170" fontId="83" fillId="0" borderId="0" xfId="38" applyNumberFormat="1" applyFont="1" applyAlignment="1">
      <alignment vertical="center"/>
    </xf>
    <xf numFmtId="0" fontId="83" fillId="0" borderId="0" xfId="26" applyFont="1"/>
    <xf numFmtId="0" fontId="83" fillId="0" borderId="0" xfId="38" applyFont="1"/>
    <xf numFmtId="175" fontId="83" fillId="0" borderId="0" xfId="0" applyNumberFormat="1" applyFont="1"/>
    <xf numFmtId="170" fontId="83" fillId="0" borderId="0" xfId="1" applyNumberFormat="1" applyFont="1" applyFill="1" applyBorder="1"/>
    <xf numFmtId="176" fontId="83" fillId="0" borderId="0" xfId="0" applyNumberFormat="1" applyFont="1"/>
    <xf numFmtId="170" fontId="83" fillId="0" borderId="0" xfId="3" applyNumberFormat="1" applyFont="1" applyFill="1" applyBorder="1"/>
    <xf numFmtId="9" fontId="83" fillId="0" borderId="0" xfId="3" applyFont="1" applyFill="1" applyBorder="1" applyAlignment="1">
      <alignment horizontal="right"/>
    </xf>
    <xf numFmtId="0" fontId="83" fillId="0" borderId="0" xfId="0" applyFont="1" applyAlignment="1">
      <alignment horizontal="left" vertical="center"/>
    </xf>
    <xf numFmtId="165" fontId="83" fillId="0" borderId="0" xfId="3" applyNumberFormat="1" applyFont="1" applyFill="1" applyBorder="1"/>
    <xf numFmtId="0" fontId="8" fillId="45" borderId="0" xfId="4" applyFont="1" applyFill="1"/>
    <xf numFmtId="0" fontId="8" fillId="71" borderId="0" xfId="4" applyFont="1" applyFill="1"/>
    <xf numFmtId="0" fontId="8" fillId="73" borderId="0" xfId="4" applyFont="1" applyFill="1"/>
    <xf numFmtId="0" fontId="8" fillId="72" borderId="0" xfId="4" applyFont="1" applyFill="1"/>
    <xf numFmtId="9" fontId="15" fillId="0" borderId="0" xfId="3"/>
    <xf numFmtId="0" fontId="47" fillId="72" borderId="0" xfId="0" applyFont="1" applyFill="1" applyAlignment="1" applyProtection="1">
      <alignment horizontal="left"/>
      <protection locked="0"/>
    </xf>
    <xf numFmtId="0" fontId="9" fillId="72" borderId="0" xfId="0" applyFont="1" applyFill="1" applyAlignment="1">
      <alignment horizontal="center"/>
    </xf>
    <xf numFmtId="3" fontId="9" fillId="72" borderId="0" xfId="0" applyNumberFormat="1" applyFont="1" applyFill="1" applyAlignment="1">
      <alignment horizontal="right"/>
    </xf>
    <xf numFmtId="3" fontId="9" fillId="72" borderId="0" xfId="0" applyNumberFormat="1" applyFont="1" applyFill="1"/>
    <xf numFmtId="3" fontId="49" fillId="72" borderId="0" xfId="0" applyNumberFormat="1" applyFont="1" applyFill="1"/>
    <xf numFmtId="3" fontId="10" fillId="0" borderId="0" xfId="0" applyNumberFormat="1" applyFont="1" applyAlignment="1">
      <alignment horizontal="centerContinuous"/>
    </xf>
    <xf numFmtId="3" fontId="9" fillId="0" borderId="0" xfId="0" applyNumberFormat="1" applyFont="1" applyAlignment="1">
      <alignment horizontal="left"/>
    </xf>
    <xf numFmtId="0" fontId="10" fillId="72" borderId="0" xfId="0" applyFont="1" applyFill="1" applyAlignment="1">
      <alignment horizontal="center"/>
    </xf>
    <xf numFmtId="177" fontId="10" fillId="72" borderId="0" xfId="0" applyNumberFormat="1" applyFont="1" applyFill="1" applyAlignment="1">
      <alignment horizontal="right"/>
    </xf>
    <xf numFmtId="3" fontId="10" fillId="72" borderId="0" xfId="0" applyNumberFormat="1" applyFont="1" applyFill="1" applyAlignment="1">
      <alignment horizontal="center"/>
    </xf>
    <xf numFmtId="3" fontId="10" fillId="72" borderId="0" xfId="0" applyNumberFormat="1" applyFont="1" applyFill="1" applyAlignment="1">
      <alignment horizontal="right"/>
    </xf>
    <xf numFmtId="3" fontId="46" fillId="72" borderId="0" xfId="0" applyNumberFormat="1" applyFont="1" applyFill="1" applyAlignment="1">
      <alignment horizontal="right"/>
    </xf>
    <xf numFmtId="177" fontId="9" fillId="72" borderId="0" xfId="0" applyNumberFormat="1" applyFont="1" applyFill="1" applyAlignment="1">
      <alignment horizontal="right"/>
    </xf>
    <xf numFmtId="3" fontId="9" fillId="72" borderId="0" xfId="0" applyNumberFormat="1" applyFont="1" applyFill="1" applyAlignment="1">
      <alignment horizontal="center"/>
    </xf>
    <xf numFmtId="3" fontId="10" fillId="72" borderId="0" xfId="0" applyNumberFormat="1" applyFont="1" applyFill="1" applyAlignment="1">
      <alignment horizontal="centerContinuous"/>
    </xf>
    <xf numFmtId="0" fontId="48" fillId="72" borderId="0" xfId="0" applyFont="1" applyFill="1" applyAlignment="1">
      <alignment horizontal="left"/>
    </xf>
    <xf numFmtId="0" fontId="50" fillId="72" borderId="0" xfId="0" applyFont="1" applyFill="1" applyAlignment="1" applyProtection="1">
      <alignment horizontal="left"/>
      <protection locked="0"/>
    </xf>
    <xf numFmtId="3" fontId="51" fillId="72" borderId="0" xfId="0" applyNumberFormat="1" applyFont="1" applyFill="1"/>
    <xf numFmtId="3" fontId="45" fillId="72" borderId="0" xfId="0" applyNumberFormat="1" applyFont="1" applyFill="1" applyAlignment="1">
      <alignment horizontal="right"/>
    </xf>
    <xf numFmtId="0" fontId="9" fillId="72" borderId="0" xfId="0" applyFont="1" applyFill="1" applyAlignment="1">
      <alignment horizontal="right"/>
    </xf>
    <xf numFmtId="0" fontId="45" fillId="72" borderId="0" xfId="0" applyFont="1" applyFill="1" applyAlignment="1">
      <alignment horizontal="right"/>
    </xf>
    <xf numFmtId="0" fontId="9" fillId="72" borderId="0" xfId="0" applyFont="1" applyFill="1"/>
    <xf numFmtId="3" fontId="10" fillId="72" borderId="0" xfId="0" applyNumberFormat="1" applyFont="1" applyFill="1"/>
    <xf numFmtId="0" fontId="52" fillId="72" borderId="0" xfId="0" applyFont="1" applyFill="1" applyAlignment="1" applyProtection="1">
      <alignment horizontal="left"/>
      <protection locked="0"/>
    </xf>
    <xf numFmtId="0" fontId="9" fillId="72" borderId="0" xfId="0" quotePrefix="1" applyFont="1" applyFill="1" applyAlignment="1">
      <alignment horizontal="center"/>
    </xf>
    <xf numFmtId="3" fontId="9" fillId="72" borderId="0" xfId="0" quotePrefix="1" applyNumberFormat="1" applyFont="1" applyFill="1" applyAlignment="1">
      <alignment horizontal="right"/>
    </xf>
    <xf numFmtId="177" fontId="45" fillId="72" borderId="0" xfId="0" applyNumberFormat="1" applyFont="1" applyFill="1" applyAlignment="1">
      <alignment horizontal="right"/>
    </xf>
    <xf numFmtId="0" fontId="48" fillId="72" borderId="0" xfId="0" quotePrefix="1" applyFont="1" applyFill="1" applyAlignment="1">
      <alignment horizontal="left"/>
    </xf>
    <xf numFmtId="3" fontId="45" fillId="72" borderId="0" xfId="0" quotePrefix="1" applyNumberFormat="1" applyFont="1" applyFill="1" applyAlignment="1">
      <alignment horizontal="right"/>
    </xf>
    <xf numFmtId="177" fontId="9" fillId="26" borderId="0" xfId="0" applyNumberFormat="1" applyFont="1" applyFill="1" applyAlignment="1">
      <alignment horizontal="right"/>
    </xf>
    <xf numFmtId="175" fontId="9" fillId="8" borderId="42" xfId="0" applyNumberFormat="1" applyFont="1" applyFill="1" applyBorder="1" applyAlignment="1">
      <alignment horizontal="center"/>
    </xf>
    <xf numFmtId="175" fontId="9" fillId="8" borderId="32" xfId="0" applyNumberFormat="1" applyFont="1" applyFill="1" applyBorder="1" applyAlignment="1">
      <alignment horizontal="center"/>
    </xf>
    <xf numFmtId="4" fontId="0" fillId="72" borderId="40" xfId="0" applyNumberFormat="1" applyFill="1" applyBorder="1" applyAlignment="1">
      <alignment horizontal="center"/>
    </xf>
    <xf numFmtId="0" fontId="14" fillId="17" borderId="1" xfId="0" applyFont="1" applyFill="1" applyBorder="1" applyAlignment="1">
      <alignment horizontal="center"/>
    </xf>
    <xf numFmtId="0" fontId="14" fillId="17" borderId="2" xfId="0" applyFont="1" applyFill="1" applyBorder="1" applyAlignment="1">
      <alignment horizontal="center"/>
    </xf>
    <xf numFmtId="0" fontId="14" fillId="17" borderId="3" xfId="0" applyFont="1" applyFill="1" applyBorder="1" applyAlignment="1">
      <alignment horizontal="center"/>
    </xf>
    <xf numFmtId="0" fontId="15" fillId="0" borderId="1" xfId="0" applyFont="1" applyBorder="1" applyAlignment="1">
      <alignment horizontal="center"/>
    </xf>
    <xf numFmtId="0" fontId="15" fillId="0" borderId="2" xfId="0" applyFont="1" applyBorder="1" applyAlignment="1">
      <alignment horizontal="center"/>
    </xf>
    <xf numFmtId="0" fontId="15" fillId="0" borderId="3" xfId="0" applyFont="1" applyBorder="1" applyAlignment="1">
      <alignment horizontal="center"/>
    </xf>
    <xf numFmtId="0" fontId="16" fillId="0" borderId="0" xfId="0" applyFont="1" applyAlignment="1">
      <alignment horizontal="center" vertical="top"/>
    </xf>
    <xf numFmtId="0" fontId="16" fillId="2" borderId="2" xfId="0" applyFont="1" applyFill="1" applyBorder="1" applyAlignment="1">
      <alignment horizontal="center"/>
    </xf>
    <xf numFmtId="0" fontId="16" fillId="2" borderId="3" xfId="0" applyFont="1" applyFill="1" applyBorder="1" applyAlignment="1">
      <alignment horizontal="center"/>
    </xf>
    <xf numFmtId="0" fontId="17" fillId="19" borderId="4" xfId="0" applyFont="1" applyFill="1" applyBorder="1" applyAlignment="1">
      <alignment horizontal="left"/>
    </xf>
    <xf numFmtId="0" fontId="17" fillId="19" borderId="0" xfId="0" applyFont="1" applyFill="1" applyAlignment="1">
      <alignment horizontal="left"/>
    </xf>
    <xf numFmtId="0" fontId="14" fillId="0" borderId="0" xfId="0" applyFont="1" applyAlignment="1">
      <alignment horizontal="center"/>
    </xf>
    <xf numFmtId="0" fontId="23" fillId="0" borderId="0" xfId="0" applyFont="1" applyAlignment="1">
      <alignment horizontal="center"/>
    </xf>
    <xf numFmtId="0" fontId="0" fillId="0" borderId="0" xfId="0" applyAlignment="1">
      <alignment horizontal="center"/>
    </xf>
    <xf numFmtId="0" fontId="14" fillId="20" borderId="7" xfId="0" applyFont="1" applyFill="1" applyBorder="1" applyAlignment="1">
      <alignment horizontal="center"/>
    </xf>
    <xf numFmtId="0" fontId="14" fillId="20" borderId="8" xfId="0" applyFont="1" applyFill="1" applyBorder="1" applyAlignment="1">
      <alignment horizontal="center"/>
    </xf>
    <xf numFmtId="9" fontId="14" fillId="20" borderId="7" xfId="8" applyFont="1" applyFill="1" applyBorder="1" applyAlignment="1">
      <alignment horizontal="center"/>
    </xf>
    <xf numFmtId="9" fontId="14" fillId="20" borderId="9" xfId="8" applyFont="1" applyFill="1" applyBorder="1" applyAlignment="1">
      <alignment horizontal="center"/>
    </xf>
    <xf numFmtId="0" fontId="14" fillId="0" borderId="0" xfId="0" applyFont="1" applyAlignment="1">
      <alignment horizontal="center" vertical="center"/>
    </xf>
    <xf numFmtId="0" fontId="15" fillId="0" borderId="0" xfId="0" applyFont="1" applyAlignment="1">
      <alignment horizontal="left" wrapText="1"/>
    </xf>
    <xf numFmtId="169" fontId="23" fillId="22" borderId="5" xfId="0" applyNumberFormat="1" applyFont="1" applyFill="1" applyBorder="1" applyAlignment="1">
      <alignment horizontal="center"/>
    </xf>
    <xf numFmtId="169" fontId="23" fillId="22" borderId="9" xfId="0" applyNumberFormat="1" applyFont="1" applyFill="1" applyBorder="1" applyAlignment="1">
      <alignment horizontal="center"/>
    </xf>
    <xf numFmtId="0" fontId="16" fillId="11" borderId="24" xfId="0" applyFont="1" applyFill="1" applyBorder="1" applyAlignment="1">
      <alignment horizontal="center"/>
    </xf>
    <xf numFmtId="0" fontId="16" fillId="11" borderId="2" xfId="0" applyFont="1" applyFill="1" applyBorder="1" applyAlignment="1">
      <alignment horizontal="center"/>
    </xf>
    <xf numFmtId="0" fontId="16" fillId="11" borderId="3" xfId="0" applyFont="1" applyFill="1" applyBorder="1" applyAlignment="1">
      <alignment horizontal="center"/>
    </xf>
    <xf numFmtId="169" fontId="29" fillId="22" borderId="28" xfId="0" applyNumberFormat="1" applyFont="1" applyFill="1" applyBorder="1" applyAlignment="1">
      <alignment horizontal="center"/>
    </xf>
    <xf numFmtId="169" fontId="29" fillId="22" borderId="27" xfId="0" applyNumberFormat="1" applyFont="1" applyFill="1" applyBorder="1" applyAlignment="1">
      <alignment horizontal="center"/>
    </xf>
    <xf numFmtId="0" fontId="89" fillId="0" borderId="0" xfId="0" applyFont="1" applyAlignment="1">
      <alignment horizontal="center"/>
    </xf>
    <xf numFmtId="171" fontId="89" fillId="0" borderId="0" xfId="0" applyNumberFormat="1" applyFont="1" applyAlignment="1">
      <alignment horizontal="center"/>
    </xf>
    <xf numFmtId="1" fontId="10" fillId="11" borderId="0" xfId="0" applyNumberFormat="1" applyFont="1" applyFill="1" applyAlignment="1">
      <alignment horizontal="center"/>
    </xf>
    <xf numFmtId="177" fontId="10" fillId="11" borderId="0" xfId="0" applyNumberFormat="1" applyFont="1" applyFill="1" applyAlignment="1">
      <alignment horizontal="center"/>
    </xf>
    <xf numFmtId="0" fontId="10" fillId="11" borderId="0" xfId="0" applyFont="1" applyFill="1" applyAlignment="1">
      <alignment horizontal="center"/>
    </xf>
    <xf numFmtId="0" fontId="5" fillId="11" borderId="0" xfId="0" applyFont="1" applyFill="1" applyAlignment="1">
      <alignment horizontal="center"/>
    </xf>
    <xf numFmtId="3" fontId="10" fillId="4" borderId="0" xfId="0" applyNumberFormat="1" applyFont="1" applyFill="1" applyAlignment="1">
      <alignment horizontal="center"/>
    </xf>
    <xf numFmtId="0" fontId="10" fillId="4" borderId="0" xfId="0" applyFont="1" applyFill="1" applyAlignment="1">
      <alignment horizontal="center"/>
    </xf>
    <xf numFmtId="0" fontId="5" fillId="4" borderId="0" xfId="0" applyFont="1" applyFill="1" applyAlignment="1">
      <alignment horizontal="center"/>
    </xf>
    <xf numFmtId="0" fontId="5" fillId="0" borderId="0" xfId="0" applyFont="1" applyAlignment="1">
      <alignment horizontal="center"/>
    </xf>
    <xf numFmtId="0" fontId="16" fillId="0" borderId="22" xfId="0" applyFont="1" applyBorder="1" applyAlignment="1">
      <alignment horizontal="center"/>
    </xf>
    <xf numFmtId="0" fontId="5" fillId="0" borderId="31" xfId="0" applyFont="1" applyBorder="1" applyAlignment="1">
      <alignment horizontal="center"/>
    </xf>
    <xf numFmtId="0" fontId="0" fillId="0" borderId="31" xfId="0" applyBorder="1" applyAlignment="1">
      <alignment horizontal="center"/>
    </xf>
    <xf numFmtId="0" fontId="3" fillId="30" borderId="5" xfId="0" applyFont="1" applyFill="1" applyBorder="1" applyAlignment="1">
      <alignment horizontal="center"/>
    </xf>
    <xf numFmtId="0" fontId="3" fillId="30" borderId="22" xfId="0" applyFont="1" applyFill="1" applyBorder="1" applyAlignment="1">
      <alignment horizontal="center"/>
    </xf>
    <xf numFmtId="0" fontId="3" fillId="30" borderId="9" xfId="0" applyFont="1" applyFill="1" applyBorder="1" applyAlignment="1">
      <alignment horizontal="center"/>
    </xf>
    <xf numFmtId="0" fontId="5" fillId="0" borderId="20" xfId="0" applyFont="1" applyBorder="1" applyAlignment="1">
      <alignment horizontal="center"/>
    </xf>
    <xf numFmtId="0" fontId="5" fillId="0" borderId="32" xfId="0" applyFont="1" applyBorder="1" applyAlignment="1">
      <alignment horizontal="center"/>
    </xf>
    <xf numFmtId="0" fontId="16" fillId="2" borderId="22" xfId="0" applyFont="1" applyFill="1" applyBorder="1" applyAlignment="1">
      <alignment horizontal="center"/>
    </xf>
    <xf numFmtId="0" fontId="16" fillId="2" borderId="9" xfId="0" applyFont="1" applyFill="1" applyBorder="1" applyAlignment="1">
      <alignment horizontal="center"/>
    </xf>
    <xf numFmtId="0" fontId="5" fillId="0" borderId="43" xfId="0" applyFont="1" applyBorder="1" applyAlignment="1">
      <alignment horizontal="center"/>
    </xf>
    <xf numFmtId="0" fontId="5" fillId="0" borderId="44" xfId="0" applyFont="1" applyBorder="1" applyAlignment="1">
      <alignment horizontal="center"/>
    </xf>
    <xf numFmtId="0" fontId="5" fillId="0" borderId="45" xfId="0" applyFont="1" applyBorder="1" applyAlignment="1">
      <alignment horizontal="center"/>
    </xf>
    <xf numFmtId="0" fontId="10" fillId="0" borderId="0" xfId="0" applyFont="1" applyAlignment="1">
      <alignment horizontal="center"/>
    </xf>
    <xf numFmtId="0" fontId="10" fillId="0" borderId="31" xfId="0" applyFont="1" applyBorder="1" applyAlignment="1">
      <alignment horizontal="center"/>
    </xf>
    <xf numFmtId="0" fontId="3" fillId="18" borderId="6" xfId="0" applyFont="1" applyFill="1" applyBorder="1" applyAlignment="1">
      <alignment horizontal="center"/>
    </xf>
    <xf numFmtId="0" fontId="3" fillId="18" borderId="37" xfId="0" applyFont="1" applyFill="1" applyBorder="1" applyAlignment="1">
      <alignment horizontal="center"/>
    </xf>
    <xf numFmtId="0" fontId="16" fillId="2" borderId="35" xfId="0" applyFont="1" applyFill="1" applyBorder="1" applyAlignment="1">
      <alignment horizontal="center"/>
    </xf>
    <xf numFmtId="0" fontId="16" fillId="2" borderId="36" xfId="0" applyFont="1" applyFill="1" applyBorder="1" applyAlignment="1">
      <alignment horizontal="center"/>
    </xf>
    <xf numFmtId="0" fontId="16" fillId="2" borderId="47" xfId="0" applyFont="1" applyFill="1" applyBorder="1" applyAlignment="1">
      <alignment horizontal="center"/>
    </xf>
    <xf numFmtId="0" fontId="16" fillId="2" borderId="48" xfId="0" applyFont="1" applyFill="1" applyBorder="1" applyAlignment="1">
      <alignment horizontal="center"/>
    </xf>
    <xf numFmtId="0" fontId="3" fillId="35" borderId="5" xfId="0" applyFont="1" applyFill="1" applyBorder="1" applyAlignment="1">
      <alignment horizontal="center"/>
    </xf>
    <xf numFmtId="0" fontId="3" fillId="35" borderId="22" xfId="0" applyFont="1" applyFill="1" applyBorder="1" applyAlignment="1">
      <alignment horizontal="center"/>
    </xf>
    <xf numFmtId="0" fontId="3" fillId="35" borderId="9" xfId="0" applyFont="1" applyFill="1" applyBorder="1" applyAlignment="1">
      <alignment horizontal="center"/>
    </xf>
    <xf numFmtId="0" fontId="3" fillId="34" borderId="7" xfId="0" applyFont="1" applyFill="1" applyBorder="1" applyAlignment="1">
      <alignment horizontal="center"/>
    </xf>
    <xf numFmtId="0" fontId="3" fillId="34" borderId="8" xfId="0" applyFont="1" applyFill="1" applyBorder="1" applyAlignment="1">
      <alignment horizontal="center"/>
    </xf>
    <xf numFmtId="0" fontId="3" fillId="34" borderId="9" xfId="0" applyFont="1" applyFill="1" applyBorder="1" applyAlignment="1">
      <alignment horizontal="center"/>
    </xf>
    <xf numFmtId="0" fontId="3" fillId="34" borderId="18" xfId="0" applyFont="1" applyFill="1" applyBorder="1" applyAlignment="1">
      <alignment horizontal="center"/>
    </xf>
    <xf numFmtId="0" fontId="3" fillId="34" borderId="0" xfId="0" applyFont="1" applyFill="1" applyAlignment="1">
      <alignment horizontal="center"/>
    </xf>
    <xf numFmtId="0" fontId="3" fillId="34" borderId="17" xfId="0" applyFont="1" applyFill="1" applyBorder="1" applyAlignment="1">
      <alignment horizontal="center"/>
    </xf>
    <xf numFmtId="0" fontId="3" fillId="34" borderId="19" xfId="0" applyFont="1" applyFill="1" applyBorder="1" applyAlignment="1">
      <alignment horizontal="center"/>
    </xf>
    <xf numFmtId="0" fontId="3" fillId="34" borderId="22" xfId="0" applyFont="1" applyFill="1" applyBorder="1" applyAlignment="1">
      <alignment horizontal="center"/>
    </xf>
    <xf numFmtId="0" fontId="16" fillId="3" borderId="54" xfId="0" applyFont="1" applyFill="1" applyBorder="1" applyAlignment="1">
      <alignment horizontal="center"/>
    </xf>
    <xf numFmtId="0" fontId="16" fillId="3" borderId="26" xfId="0" applyFont="1" applyFill="1" applyBorder="1" applyAlignment="1">
      <alignment horizontal="center"/>
    </xf>
    <xf numFmtId="0" fontId="16" fillId="3" borderId="27" xfId="0" applyFont="1" applyFill="1" applyBorder="1" applyAlignment="1">
      <alignment horizontal="center"/>
    </xf>
    <xf numFmtId="0" fontId="16" fillId="3" borderId="35" xfId="0" applyFont="1" applyFill="1" applyBorder="1" applyAlignment="1">
      <alignment horizontal="center"/>
    </xf>
    <xf numFmtId="0" fontId="16" fillId="3" borderId="36" xfId="0" applyFont="1" applyFill="1" applyBorder="1" applyAlignment="1">
      <alignment horizontal="center"/>
    </xf>
    <xf numFmtId="0" fontId="16" fillId="3" borderId="47" xfId="0" applyFont="1" applyFill="1" applyBorder="1" applyAlignment="1">
      <alignment horizontal="center"/>
    </xf>
    <xf numFmtId="0" fontId="16" fillId="3" borderId="48" xfId="0" applyFont="1" applyFill="1" applyBorder="1" applyAlignment="1">
      <alignment horizontal="center"/>
    </xf>
    <xf numFmtId="0" fontId="16" fillId="21" borderId="49" xfId="0" applyFont="1" applyFill="1" applyBorder="1" applyAlignment="1">
      <alignment horizontal="left"/>
    </xf>
    <xf numFmtId="0" fontId="16" fillId="21" borderId="50" xfId="0" applyFont="1" applyFill="1" applyBorder="1" applyAlignment="1">
      <alignment horizontal="left"/>
    </xf>
    <xf numFmtId="0" fontId="3" fillId="34" borderId="5" xfId="0" applyFont="1" applyFill="1" applyBorder="1" applyAlignment="1">
      <alignment horizontal="center"/>
    </xf>
    <xf numFmtId="0" fontId="3" fillId="34" borderId="37" xfId="0" applyFont="1" applyFill="1" applyBorder="1" applyAlignment="1">
      <alignment horizontal="center"/>
    </xf>
    <xf numFmtId="0" fontId="3" fillId="34" borderId="41" xfId="0" applyFont="1" applyFill="1" applyBorder="1" applyAlignment="1">
      <alignment horizontal="center"/>
    </xf>
    <xf numFmtId="0" fontId="3" fillId="34" borderId="34" xfId="0" applyFont="1" applyFill="1" applyBorder="1" applyAlignment="1">
      <alignment horizontal="center"/>
    </xf>
    <xf numFmtId="0" fontId="16" fillId="0" borderId="0" xfId="0" applyFont="1" applyAlignment="1">
      <alignment horizontal="center"/>
    </xf>
    <xf numFmtId="0" fontId="3" fillId="38" borderId="5" xfId="0" applyFont="1" applyFill="1" applyBorder="1" applyAlignment="1">
      <alignment horizontal="center"/>
    </xf>
    <xf numFmtId="0" fontId="3" fillId="38" borderId="22" xfId="0" applyFont="1" applyFill="1" applyBorder="1" applyAlignment="1">
      <alignment horizontal="center"/>
    </xf>
    <xf numFmtId="0" fontId="3" fillId="38" borderId="9" xfId="0" applyFont="1" applyFill="1" applyBorder="1" applyAlignment="1">
      <alignment horizontal="center"/>
    </xf>
    <xf numFmtId="0" fontId="16" fillId="4" borderId="22" xfId="0" applyFont="1" applyFill="1" applyBorder="1" applyAlignment="1">
      <alignment horizontal="center"/>
    </xf>
    <xf numFmtId="0" fontId="16" fillId="4" borderId="9" xfId="0" applyFont="1" applyFill="1" applyBorder="1" applyAlignment="1">
      <alignment horizontal="center"/>
    </xf>
    <xf numFmtId="0" fontId="16" fillId="28" borderId="35" xfId="0" applyFont="1" applyFill="1" applyBorder="1" applyAlignment="1">
      <alignment horizontal="center"/>
    </xf>
    <xf numFmtId="0" fontId="16" fillId="28" borderId="36" xfId="0" applyFont="1" applyFill="1" applyBorder="1" applyAlignment="1">
      <alignment horizontal="center"/>
    </xf>
    <xf numFmtId="0" fontId="16" fillId="28" borderId="47" xfId="0" applyFont="1" applyFill="1" applyBorder="1" applyAlignment="1">
      <alignment horizontal="center"/>
    </xf>
    <xf numFmtId="0" fontId="16" fillId="28" borderId="48" xfId="0" applyFont="1" applyFill="1" applyBorder="1" applyAlignment="1">
      <alignment horizontal="center"/>
    </xf>
    <xf numFmtId="0" fontId="3" fillId="43" borderId="5" xfId="0" applyFont="1" applyFill="1" applyBorder="1" applyAlignment="1">
      <alignment horizontal="center"/>
    </xf>
    <xf numFmtId="0" fontId="3" fillId="43" borderId="22" xfId="0" applyFont="1" applyFill="1" applyBorder="1" applyAlignment="1">
      <alignment horizontal="center"/>
    </xf>
    <xf numFmtId="0" fontId="3" fillId="43" borderId="9" xfId="0" applyFont="1" applyFill="1" applyBorder="1" applyAlignment="1">
      <alignment horizontal="center"/>
    </xf>
    <xf numFmtId="0" fontId="16" fillId="5" borderId="54" xfId="0" applyFont="1" applyFill="1" applyBorder="1" applyAlignment="1">
      <alignment horizontal="center"/>
    </xf>
    <xf numFmtId="0" fontId="16" fillId="5" borderId="27" xfId="0" applyFont="1" applyFill="1" applyBorder="1" applyAlignment="1">
      <alignment horizontal="center"/>
    </xf>
    <xf numFmtId="0" fontId="16" fillId="5" borderId="35" xfId="0" applyFont="1" applyFill="1" applyBorder="1" applyAlignment="1">
      <alignment horizontal="center"/>
    </xf>
    <xf numFmtId="0" fontId="16" fillId="5" borderId="36" xfId="0" applyFont="1" applyFill="1" applyBorder="1" applyAlignment="1">
      <alignment horizontal="center"/>
    </xf>
    <xf numFmtId="0" fontId="16" fillId="5" borderId="47" xfId="0" applyFont="1" applyFill="1" applyBorder="1" applyAlignment="1">
      <alignment horizontal="center"/>
    </xf>
    <xf numFmtId="0" fontId="16" fillId="5" borderId="48" xfId="0" applyFont="1" applyFill="1" applyBorder="1" applyAlignment="1">
      <alignment horizontal="center"/>
    </xf>
    <xf numFmtId="0" fontId="3" fillId="47" borderId="1" xfId="0" applyFont="1" applyFill="1" applyBorder="1" applyAlignment="1">
      <alignment horizontal="center"/>
    </xf>
    <xf numFmtId="0" fontId="3" fillId="47" borderId="2" xfId="0" applyFont="1" applyFill="1" applyBorder="1" applyAlignment="1">
      <alignment horizontal="center"/>
    </xf>
    <xf numFmtId="0" fontId="3" fillId="47" borderId="3" xfId="0" applyFont="1" applyFill="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5" fillId="0" borderId="0" xfId="0" applyFont="1" applyAlignment="1">
      <alignment horizontal="center" wrapText="1"/>
    </xf>
    <xf numFmtId="0" fontId="16" fillId="7" borderId="22" xfId="0" applyFont="1" applyFill="1" applyBorder="1" applyAlignment="1">
      <alignment horizontal="center"/>
    </xf>
    <xf numFmtId="0" fontId="16" fillId="7" borderId="9" xfId="0" applyFont="1" applyFill="1" applyBorder="1" applyAlignment="1">
      <alignment horizontal="center"/>
    </xf>
    <xf numFmtId="0" fontId="16" fillId="7" borderId="35" xfId="0" applyFont="1" applyFill="1" applyBorder="1" applyAlignment="1">
      <alignment horizontal="center"/>
    </xf>
    <xf numFmtId="0" fontId="16" fillId="7" borderId="36" xfId="0" applyFont="1" applyFill="1" applyBorder="1" applyAlignment="1">
      <alignment horizontal="center"/>
    </xf>
    <xf numFmtId="0" fontId="16" fillId="7" borderId="47" xfId="0" applyFont="1" applyFill="1" applyBorder="1" applyAlignment="1">
      <alignment horizontal="center"/>
    </xf>
    <xf numFmtId="0" fontId="16" fillId="7" borderId="48" xfId="0" applyFont="1" applyFill="1" applyBorder="1" applyAlignment="1">
      <alignment horizontal="center"/>
    </xf>
    <xf numFmtId="0" fontId="3" fillId="51" borderId="5" xfId="0" applyFont="1" applyFill="1" applyBorder="1" applyAlignment="1">
      <alignment horizontal="center"/>
    </xf>
    <xf numFmtId="0" fontId="3" fillId="51" borderId="22" xfId="0" applyFont="1" applyFill="1" applyBorder="1" applyAlignment="1">
      <alignment horizontal="center"/>
    </xf>
    <xf numFmtId="0" fontId="3" fillId="51" borderId="9" xfId="0" applyFont="1" applyFill="1" applyBorder="1" applyAlignment="1">
      <alignment horizontal="center"/>
    </xf>
    <xf numFmtId="0" fontId="16" fillId="8" borderId="22" xfId="0" applyFont="1" applyFill="1" applyBorder="1" applyAlignment="1">
      <alignment horizontal="center"/>
    </xf>
    <xf numFmtId="0" fontId="16" fillId="8" borderId="9" xfId="0" applyFont="1" applyFill="1" applyBorder="1" applyAlignment="1">
      <alignment horizontal="center"/>
    </xf>
    <xf numFmtId="0" fontId="16" fillId="8" borderId="35" xfId="0" applyFont="1" applyFill="1" applyBorder="1" applyAlignment="1">
      <alignment horizontal="center"/>
    </xf>
    <xf numFmtId="0" fontId="16" fillId="8" borderId="36" xfId="0" applyFont="1" applyFill="1" applyBorder="1" applyAlignment="1">
      <alignment horizontal="center"/>
    </xf>
    <xf numFmtId="0" fontId="16" fillId="8" borderId="47" xfId="0" applyFont="1" applyFill="1" applyBorder="1" applyAlignment="1">
      <alignment horizontal="center"/>
    </xf>
    <xf numFmtId="0" fontId="16" fillId="8" borderId="48" xfId="0" applyFont="1" applyFill="1" applyBorder="1" applyAlignment="1">
      <alignment horizontal="center"/>
    </xf>
    <xf numFmtId="0" fontId="10" fillId="0" borderId="31" xfId="0" applyFont="1" applyBorder="1" applyAlignment="1">
      <alignment horizontal="center" wrapText="1"/>
    </xf>
    <xf numFmtId="0" fontId="3" fillId="57" borderId="5" xfId="0" applyFont="1" applyFill="1" applyBorder="1" applyAlignment="1">
      <alignment horizontal="center"/>
    </xf>
    <xf numFmtId="0" fontId="3" fillId="57" borderId="22" xfId="0" applyFont="1" applyFill="1" applyBorder="1" applyAlignment="1">
      <alignment horizontal="center"/>
    </xf>
    <xf numFmtId="0" fontId="3" fillId="57" borderId="9" xfId="0" applyFont="1" applyFill="1" applyBorder="1" applyAlignment="1">
      <alignment horizontal="center"/>
    </xf>
    <xf numFmtId="0" fontId="9" fillId="9" borderId="22" xfId="0" applyFont="1" applyFill="1" applyBorder="1" applyAlignment="1">
      <alignment horizontal="center"/>
    </xf>
    <xf numFmtId="0" fontId="9" fillId="9" borderId="9" xfId="0" applyFont="1" applyFill="1" applyBorder="1" applyAlignment="1">
      <alignment horizontal="center"/>
    </xf>
    <xf numFmtId="0" fontId="16" fillId="9" borderId="35" xfId="0" applyFont="1" applyFill="1" applyBorder="1" applyAlignment="1">
      <alignment horizontal="center"/>
    </xf>
    <xf numFmtId="0" fontId="16" fillId="9" borderId="36" xfId="0" applyFont="1" applyFill="1" applyBorder="1" applyAlignment="1">
      <alignment horizontal="center"/>
    </xf>
    <xf numFmtId="0" fontId="16" fillId="9" borderId="47" xfId="0" applyFont="1" applyFill="1" applyBorder="1" applyAlignment="1">
      <alignment horizontal="center"/>
    </xf>
    <xf numFmtId="0" fontId="16" fillId="9" borderId="48" xfId="0" applyFont="1" applyFill="1" applyBorder="1" applyAlignment="1">
      <alignment horizontal="center"/>
    </xf>
    <xf numFmtId="0" fontId="3" fillId="61" borderId="35" xfId="0" applyFont="1" applyFill="1" applyBorder="1" applyAlignment="1">
      <alignment horizontal="center" vertical="center"/>
    </xf>
    <xf numFmtId="0" fontId="3" fillId="61" borderId="36" xfId="0" applyFont="1" applyFill="1" applyBorder="1" applyAlignment="1">
      <alignment horizontal="center" vertical="center"/>
    </xf>
    <xf numFmtId="0" fontId="5" fillId="0" borderId="0" xfId="0" applyFont="1" applyAlignment="1">
      <alignment horizontal="center" vertical="center"/>
    </xf>
    <xf numFmtId="0" fontId="5" fillId="0" borderId="31" xfId="0" applyFont="1" applyBorder="1" applyAlignment="1">
      <alignment horizontal="center" vertical="center"/>
    </xf>
    <xf numFmtId="0" fontId="16" fillId="10" borderId="26" xfId="0" applyFont="1" applyFill="1" applyBorder="1" applyAlignment="1">
      <alignment horizontal="center"/>
    </xf>
    <xf numFmtId="0" fontId="16" fillId="10" borderId="27" xfId="0" applyFont="1" applyFill="1" applyBorder="1" applyAlignment="1">
      <alignment horizontal="center"/>
    </xf>
    <xf numFmtId="0" fontId="16" fillId="10" borderId="64" xfId="0" applyFont="1" applyFill="1" applyBorder="1" applyAlignment="1">
      <alignment horizontal="center"/>
    </xf>
    <xf numFmtId="0" fontId="16" fillId="10" borderId="65" xfId="0" applyFont="1" applyFill="1" applyBorder="1" applyAlignment="1">
      <alignment horizontal="center"/>
    </xf>
    <xf numFmtId="0" fontId="3" fillId="64" borderId="5" xfId="0" applyFont="1" applyFill="1" applyBorder="1" applyAlignment="1">
      <alignment horizontal="center"/>
    </xf>
    <xf numFmtId="0" fontId="3" fillId="64" borderId="22" xfId="0" applyFont="1" applyFill="1" applyBorder="1" applyAlignment="1">
      <alignment horizontal="center"/>
    </xf>
    <xf numFmtId="0" fontId="3" fillId="64" borderId="9" xfId="0" applyFont="1" applyFill="1" applyBorder="1" applyAlignment="1">
      <alignment horizontal="center"/>
    </xf>
    <xf numFmtId="0" fontId="3" fillId="69" borderId="7" xfId="0" applyFont="1" applyFill="1" applyBorder="1" applyAlignment="1">
      <alignment horizontal="center"/>
    </xf>
    <xf numFmtId="0" fontId="3" fillId="69" borderId="22" xfId="0" applyFont="1" applyFill="1" applyBorder="1" applyAlignment="1">
      <alignment horizontal="center"/>
    </xf>
    <xf numFmtId="0" fontId="3" fillId="69" borderId="8" xfId="0" applyFont="1" applyFill="1" applyBorder="1" applyAlignment="1">
      <alignment horizontal="center"/>
    </xf>
    <xf numFmtId="0" fontId="3" fillId="69" borderId="9" xfId="0" applyFont="1" applyFill="1" applyBorder="1" applyAlignment="1">
      <alignment horizontal="center"/>
    </xf>
    <xf numFmtId="0" fontId="16" fillId="11" borderId="26" xfId="0" applyFont="1" applyFill="1" applyBorder="1" applyAlignment="1">
      <alignment horizontal="center"/>
    </xf>
    <xf numFmtId="0" fontId="16" fillId="11" borderId="27" xfId="0" applyFont="1" applyFill="1" applyBorder="1" applyAlignment="1">
      <alignment horizontal="center"/>
    </xf>
    <xf numFmtId="0" fontId="5" fillId="0" borderId="59" xfId="0" applyFont="1" applyBorder="1" applyAlignment="1">
      <alignment horizontal="center"/>
    </xf>
    <xf numFmtId="0" fontId="5" fillId="0" borderId="64" xfId="0" applyFont="1" applyBorder="1" applyAlignment="1">
      <alignment horizontal="center"/>
    </xf>
    <xf numFmtId="0" fontId="5" fillId="0" borderId="65" xfId="0" applyFont="1" applyBorder="1" applyAlignment="1">
      <alignment horizontal="center"/>
    </xf>
    <xf numFmtId="0" fontId="3" fillId="69" borderId="60" xfId="0" applyFont="1" applyFill="1" applyBorder="1" applyAlignment="1">
      <alignment horizontal="center"/>
    </xf>
    <xf numFmtId="0" fontId="3" fillId="69" borderId="66" xfId="0" applyFont="1" applyFill="1" applyBorder="1" applyAlignment="1">
      <alignment horizontal="center"/>
    </xf>
    <xf numFmtId="0" fontId="3" fillId="69" borderId="64" xfId="0" applyFont="1" applyFill="1" applyBorder="1" applyAlignment="1">
      <alignment horizontal="center"/>
    </xf>
    <xf numFmtId="0" fontId="3" fillId="69" borderId="65" xfId="0" applyFont="1" applyFill="1" applyBorder="1" applyAlignment="1">
      <alignment horizontal="center"/>
    </xf>
    <xf numFmtId="0" fontId="16" fillId="11" borderId="22" xfId="0" applyFont="1" applyFill="1" applyBorder="1" applyAlignment="1">
      <alignment horizontal="center"/>
    </xf>
    <xf numFmtId="0" fontId="16" fillId="11" borderId="9" xfId="0" applyFont="1" applyFill="1" applyBorder="1" applyAlignment="1">
      <alignment horizontal="center"/>
    </xf>
    <xf numFmtId="0" fontId="16" fillId="11" borderId="35" xfId="0" applyFont="1" applyFill="1" applyBorder="1" applyAlignment="1">
      <alignment horizontal="center"/>
    </xf>
    <xf numFmtId="0" fontId="16" fillId="11" borderId="36" xfId="0" applyFont="1" applyFill="1" applyBorder="1" applyAlignment="1">
      <alignment horizontal="center"/>
    </xf>
    <xf numFmtId="0" fontId="16" fillId="11" borderId="47" xfId="0" applyFont="1" applyFill="1" applyBorder="1" applyAlignment="1">
      <alignment horizontal="center"/>
    </xf>
    <xf numFmtId="0" fontId="16" fillId="11" borderId="48" xfId="0" applyFont="1" applyFill="1" applyBorder="1" applyAlignment="1">
      <alignment horizontal="center"/>
    </xf>
    <xf numFmtId="0" fontId="10" fillId="0" borderId="0" xfId="0" applyFont="1" applyAlignment="1">
      <alignment horizontal="center" vertical="center"/>
    </xf>
  </cellXfs>
  <cellStyles count="45">
    <cellStyle name="Comma" xfId="1" builtinId="3"/>
    <cellStyle name="Comma 18" xfId="40" xr:uid="{A4AE18A8-C30B-43A8-ADA2-308780BBFC9F}"/>
    <cellStyle name="Comma 2" xfId="39" xr:uid="{603B3307-3B9F-4948-A1D5-D5B2ED213394}"/>
    <cellStyle name="Currency" xfId="2" builtinId="4"/>
    <cellStyle name="Currency 2" xfId="43" xr:uid="{43F2F5FC-8C13-47C7-BF59-A7E4D7C7CA88}"/>
    <cellStyle name="Hyperlink" xfId="4" builtinId="8"/>
    <cellStyle name="Normal" xfId="0" builtinId="0"/>
    <cellStyle name="Normal 13 11" xfId="5" xr:uid="{28B82980-F923-4C66-B250-C6D02C64B163}"/>
    <cellStyle name="Normal 2" xfId="44" xr:uid="{1F20D435-C8E1-4AE7-B0DB-0046916AB442}"/>
    <cellStyle name="Normal 215" xfId="23" xr:uid="{AAA983D2-45D6-4B66-AA64-7051226FE7CB}"/>
    <cellStyle name="Normal 217" xfId="11" xr:uid="{C133FF7C-F553-40EE-B179-5F9E264AB89A}"/>
    <cellStyle name="Normal 218" xfId="25" xr:uid="{2740873B-4FA0-4DF4-8A13-2382771805C1}"/>
    <cellStyle name="Normal 219" xfId="12" xr:uid="{9E3AEA3C-9AC7-48C0-9F8E-946261C54A89}"/>
    <cellStyle name="Normal 220" xfId="13" xr:uid="{9FD4519B-1F7D-4F30-A995-9B74C7914647}"/>
    <cellStyle name="Normal 221" xfId="27" xr:uid="{19A63D31-AE7F-4C28-8A72-49116013EB41}"/>
    <cellStyle name="Normal 222" xfId="28" xr:uid="{9C0A4F6D-E08A-466B-92F3-72D69F564190}"/>
    <cellStyle name="Normal 223" xfId="14" xr:uid="{FCA50C5A-F06B-4D2A-BEF0-BD4AAC79C0C6}"/>
    <cellStyle name="Normal 224" xfId="15" xr:uid="{A26CB79D-C908-4C4E-8785-BC8FF18603C5}"/>
    <cellStyle name="Normal 225" xfId="29" xr:uid="{E2D2DDA8-3A64-4D8C-9E18-0A84DB745EE6}"/>
    <cellStyle name="Normal 227" xfId="31" xr:uid="{CA3AB023-BA57-413B-BE2E-45567A9A8276}"/>
    <cellStyle name="Normal 228" xfId="30" xr:uid="{FF836718-8C07-469F-B2A3-1116E2A99FC4}"/>
    <cellStyle name="Normal 229" xfId="16" xr:uid="{CF353985-6191-4C99-BDE9-2DDDB10751CE}"/>
    <cellStyle name="Normal 230" xfId="17" xr:uid="{5828F1CB-896C-47F2-BEA5-91D804BF1D79}"/>
    <cellStyle name="Normal 231" xfId="18" xr:uid="{97217B6A-ACD6-4771-A5B4-FD6B99EACA25}"/>
    <cellStyle name="Normal 232" xfId="32" xr:uid="{CA91B1A3-9B5F-4333-83A6-BF214C0BDA8A}"/>
    <cellStyle name="Normal 233" xfId="33" xr:uid="{E1BB2094-A65B-4610-A909-B0A3E5F4CC9F}"/>
    <cellStyle name="Normal 234" xfId="19" xr:uid="{23071083-5BA9-4BF5-8CED-EB53E55FF1E0}"/>
    <cellStyle name="Normal 235" xfId="34" xr:uid="{B1F74CD7-3232-435A-A666-8274969C1574}"/>
    <cellStyle name="Normal 236" xfId="35" xr:uid="{5766ED3D-56F5-477D-9945-CC451D196B7E}"/>
    <cellStyle name="Normal 237" xfId="36" xr:uid="{5F3EB4ED-76BC-4979-8646-079831582D04}"/>
    <cellStyle name="Normal 238" xfId="37" xr:uid="{B945BDFD-4B51-4137-93B1-69249990CF66}"/>
    <cellStyle name="Normal 239" xfId="38" xr:uid="{2EB31300-321C-4462-859E-0F7E97AC32CC}"/>
    <cellStyle name="Normal 241" xfId="21" xr:uid="{773CBE8B-1E56-47D3-9C15-96DACD594F39}"/>
    <cellStyle name="Normal 242" xfId="22" xr:uid="{A160F67A-7AEA-47FC-A868-2A16DE2C0173}"/>
    <cellStyle name="Normal 243" xfId="24" xr:uid="{3827E8A6-8E17-4869-A1A6-4A0445B749DB}"/>
    <cellStyle name="Normal 244" xfId="20" xr:uid="{AD50712F-0646-4137-830E-AEE49A47EBD1}"/>
    <cellStyle name="Normal 245" xfId="26" xr:uid="{72BF5368-DFF6-4F1F-8ED5-6D466ECEB1BA}"/>
    <cellStyle name="Normal 281" xfId="41" xr:uid="{3EE770B5-605D-4198-8CDF-364CFE79E295}"/>
    <cellStyle name="Normal 282" xfId="42" xr:uid="{D19091DF-ACD4-44A4-8305-044C8E315ADE}"/>
    <cellStyle name="Normal 307 3" xfId="9" xr:uid="{CB39C72C-AC5A-463D-9954-4F9A4FABEB4E}"/>
    <cellStyle name="Normal 311 2" xfId="6" xr:uid="{926AF842-797D-4BDF-BC90-500ADB730D0F}"/>
    <cellStyle name="Percent" xfId="3" builtinId="5"/>
    <cellStyle name="Percent 10" xfId="10" xr:uid="{DA3EA5A1-00F8-49DF-817D-6D2FCFB17025}"/>
    <cellStyle name="Percent 2 2 15" xfId="8" xr:uid="{06A2913D-3A22-4D3B-9586-B25B16D9D6B0}"/>
    <cellStyle name="Percent 2 8" xfId="7" xr:uid="{8B230905-30B9-4633-B56E-1540F41A43F7}"/>
  </cellStyles>
  <dxfs count="5">
    <dxf>
      <font>
        <b val="0"/>
        <i/>
        <color theme="5"/>
      </font>
      <fill>
        <patternFill>
          <bgColor theme="6" tint="0.79998168889431442"/>
        </patternFill>
      </fill>
    </dxf>
    <dxf>
      <font>
        <color rgb="FF006100"/>
      </font>
      <fill>
        <patternFill>
          <bgColor rgb="FFC6EFCE"/>
        </patternFill>
      </fill>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DAEEF3"/>
      <color rgb="FFFFFFCC"/>
      <color rgb="FFDCE6F1"/>
      <color rgb="FFE4DFEC"/>
      <color rgb="FFFFE7CF"/>
      <color rgb="FFF2DCDB"/>
      <color rgb="FFFAD6F2"/>
      <color rgb="FFFFFF99"/>
      <color rgb="FF4198AF"/>
      <color rgb="FF4572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image" Target="../media/image4.png"/></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4.xml.rels><?xml version="1.0" encoding="UTF-8" standalone="yes"?>
<Relationships xmlns="http://schemas.openxmlformats.org/package/2006/relationships"><Relationship Id="rId1" Type="http://schemas.openxmlformats.org/officeDocument/2006/relationships/image" Target="../media/image5.png"/></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1.xml.rels><?xml version="1.0" encoding="UTF-8" standalone="yes"?>
<Relationships xmlns="http://schemas.openxmlformats.org/package/2006/relationships"><Relationship Id="rId1" Type="http://schemas.openxmlformats.org/officeDocument/2006/relationships/image" Target="../media/image6.png"/></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5.xml"/><Relationship Id="rId1" Type="http://schemas.microsoft.com/office/2011/relationships/chartStyle" Target="style5.xml"/></Relationships>
</file>

<file path=xl/charts/_rels/chart45.xml.rels><?xml version="1.0" encoding="UTF-8" standalone="yes"?>
<Relationships xmlns="http://schemas.openxmlformats.org/package/2006/relationships"><Relationship Id="rId1" Type="http://schemas.openxmlformats.org/officeDocument/2006/relationships/image" Target="../media/image7.png"/></Relationships>
</file>

<file path=xl/charts/_rels/chart4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5.xml.rels><?xml version="1.0" encoding="UTF-8" standalone="yes"?>
<Relationships xmlns="http://schemas.openxmlformats.org/package/2006/relationships"><Relationship Id="rId1" Type="http://schemas.openxmlformats.org/officeDocument/2006/relationships/image" Target="../media/image2.png"/></Relationships>
</file>

<file path=xl/charts/_rels/chart53.xml.rels><?xml version="1.0" encoding="UTF-8" standalone="yes"?>
<Relationships xmlns="http://schemas.openxmlformats.org/package/2006/relationships"><Relationship Id="rId1" Type="http://schemas.openxmlformats.org/officeDocument/2006/relationships/image" Target="../media/image8.png"/></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62.xml.rels><?xml version="1.0" encoding="UTF-8" standalone="yes"?>
<Relationships xmlns="http://schemas.openxmlformats.org/package/2006/relationships"><Relationship Id="rId1" Type="http://schemas.openxmlformats.org/officeDocument/2006/relationships/image" Target="../media/image8.png"/></Relationships>
</file>

<file path=xl/charts/_rels/chart64.xml.rels><?xml version="1.0" encoding="UTF-8" standalone="yes"?>
<Relationships xmlns="http://schemas.openxmlformats.org/package/2006/relationships"><Relationship Id="rId1" Type="http://schemas.openxmlformats.org/officeDocument/2006/relationships/image" Target="../media/image8.png"/></Relationships>
</file>

<file path=xl/charts/_rels/chart66.xml.rels><?xml version="1.0" encoding="UTF-8" standalone="yes"?>
<Relationships xmlns="http://schemas.openxmlformats.org/package/2006/relationships"><Relationship Id="rId1" Type="http://schemas.openxmlformats.org/officeDocument/2006/relationships/image" Target="../media/image8.png"/></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'Commodity Prices Comparison'!$AA$10</c:f>
          <c:strCache>
            <c:ptCount val="1"/>
            <c:pt idx="0">
              <c:v>Average price change of selected commodities 
2024 to 2025</c:v>
            </c:pt>
          </c:strCache>
        </c:strRef>
      </c:tx>
      <c:overlay val="1"/>
      <c:txPr>
        <a:bodyPr/>
        <a:lstStyle/>
        <a:p>
          <a:pPr algn="ctr">
            <a:defRPr sz="1600"/>
          </a:pPr>
          <a:endParaRPr lang="en-US"/>
        </a:p>
      </c:txPr>
    </c:title>
    <c:autoTitleDeleted val="0"/>
    <c:plotArea>
      <c:layout>
        <c:manualLayout>
          <c:layoutTarget val="inner"/>
          <c:xMode val="edge"/>
          <c:yMode val="edge"/>
          <c:x val="0.12221588187707828"/>
          <c:y val="0.1914357337001151"/>
          <c:w val="0.84208450804533386"/>
          <c:h val="0.54968851127808294"/>
        </c:manualLayout>
      </c:layout>
      <c:barChart>
        <c:barDir val="col"/>
        <c:grouping val="clustered"/>
        <c:varyColors val="0"/>
        <c:ser>
          <c:idx val="0"/>
          <c:order val="0"/>
          <c:tx>
            <c:strRef>
              <c:f>'Commodity Prices Comparison'!$G$13</c:f>
              <c:strCache>
                <c:ptCount val="1"/>
                <c:pt idx="0">
                  <c:v>US$</c:v>
                </c:pt>
              </c:strCache>
            </c:strRef>
          </c:tx>
          <c:invertIfNegative val="0"/>
          <c:cat>
            <c:strRef>
              <c:f>'Commodity Prices Comparison'!$A$14:$A$24</c:f>
              <c:strCache>
                <c:ptCount val="11"/>
                <c:pt idx="0">
                  <c:v>Alumina</c:v>
                </c:pt>
                <c:pt idx="1">
                  <c:v>Brent Crude Oil</c:v>
                </c:pt>
                <c:pt idx="2">
                  <c:v>Copper</c:v>
                </c:pt>
                <c:pt idx="3">
                  <c:v>Domestic Gas</c:v>
                </c:pt>
                <c:pt idx="4">
                  <c:v>Gold</c:v>
                </c:pt>
                <c:pt idx="5">
                  <c:v>Iron Ore</c:v>
                </c:pt>
                <c:pt idx="6">
                  <c:v>Liquefied Natural Gas</c:v>
                </c:pt>
                <c:pt idx="7">
                  <c:v>Nickel</c:v>
                </c:pt>
                <c:pt idx="8">
                  <c:v>Spodumene Concentrate</c:v>
                </c:pt>
                <c:pt idx="9">
                  <c:v>Titanium Dioxide Pigment</c:v>
                </c:pt>
                <c:pt idx="10">
                  <c:v>Zircon</c:v>
                </c:pt>
              </c:strCache>
            </c:strRef>
          </c:cat>
          <c:val>
            <c:numRef>
              <c:f>'Commodity Prices Comparison'!$G$14:$G$24</c:f>
              <c:numCache>
                <c:formatCode>0.0%</c:formatCode>
                <c:ptCount val="11"/>
                <c:pt idx="0">
                  <c:v>-0.11167075153521122</c:v>
                </c:pt>
                <c:pt idx="1">
                  <c:v>-0.11187568811930737</c:v>
                </c:pt>
                <c:pt idx="2">
                  <c:v>7.5663073657293412E-2</c:v>
                </c:pt>
                <c:pt idx="3">
                  <c:v>0</c:v>
                </c:pt>
                <c:pt idx="4">
                  <c:v>0.31350179654076338</c:v>
                </c:pt>
                <c:pt idx="5">
                  <c:v>-4.1229522322431045E-2</c:v>
                </c:pt>
                <c:pt idx="6">
                  <c:v>-6.9234087696989688E-2</c:v>
                </c:pt>
                <c:pt idx="7">
                  <c:v>-7.202926331224957E-2</c:v>
                </c:pt>
                <c:pt idx="8">
                  <c:v>-6.5118366340712108E-2</c:v>
                </c:pt>
                <c:pt idx="9">
                  <c:v>-3.7869889849747373E-2</c:v>
                </c:pt>
                <c:pt idx="10">
                  <c:v>-0.10201512025096415</c:v>
                </c:pt>
              </c:numCache>
            </c:numRef>
          </c:val>
          <c:extLst>
            <c:ext xmlns:c16="http://schemas.microsoft.com/office/drawing/2014/chart" uri="{C3380CC4-5D6E-409C-BE32-E72D297353CC}">
              <c16:uniqueId val="{00000000-959D-4548-9864-4433C9A90783}"/>
            </c:ext>
          </c:extLst>
        </c:ser>
        <c:ser>
          <c:idx val="1"/>
          <c:order val="1"/>
          <c:tx>
            <c:strRef>
              <c:f>'Commodity Prices Comparison'!$H$13</c:f>
              <c:strCache>
                <c:ptCount val="1"/>
                <c:pt idx="0">
                  <c:v>A$</c:v>
                </c:pt>
              </c:strCache>
            </c:strRef>
          </c:tx>
          <c:invertIfNegative val="0"/>
          <c:cat>
            <c:strRef>
              <c:f>'Commodity Prices Comparison'!$A$14:$A$24</c:f>
              <c:strCache>
                <c:ptCount val="11"/>
                <c:pt idx="0">
                  <c:v>Alumina</c:v>
                </c:pt>
                <c:pt idx="1">
                  <c:v>Brent Crude Oil</c:v>
                </c:pt>
                <c:pt idx="2">
                  <c:v>Copper</c:v>
                </c:pt>
                <c:pt idx="3">
                  <c:v>Domestic Gas</c:v>
                </c:pt>
                <c:pt idx="4">
                  <c:v>Gold</c:v>
                </c:pt>
                <c:pt idx="5">
                  <c:v>Iron Ore</c:v>
                </c:pt>
                <c:pt idx="6">
                  <c:v>Liquefied Natural Gas</c:v>
                </c:pt>
                <c:pt idx="7">
                  <c:v>Nickel</c:v>
                </c:pt>
                <c:pt idx="8">
                  <c:v>Spodumene Concentrate</c:v>
                </c:pt>
                <c:pt idx="9">
                  <c:v>Titanium Dioxide Pigment</c:v>
                </c:pt>
                <c:pt idx="10">
                  <c:v>Zircon</c:v>
                </c:pt>
              </c:strCache>
            </c:strRef>
          </c:cat>
          <c:val>
            <c:numRef>
              <c:f>'Commodity Prices Comparison'!$H$14:$H$24</c:f>
              <c:numCache>
                <c:formatCode>0.0%</c:formatCode>
                <c:ptCount val="11"/>
                <c:pt idx="0">
                  <c:v>-0.10053255559818008</c:v>
                </c:pt>
                <c:pt idx="1">
                  <c:v>-0.10107850495176007</c:v>
                </c:pt>
                <c:pt idx="2">
                  <c:v>8.5441810117305561E-2</c:v>
                </c:pt>
                <c:pt idx="3">
                  <c:v>4.8797546219166987E-2</c:v>
                </c:pt>
                <c:pt idx="4">
                  <c:v>0.3217662494744713</c:v>
                </c:pt>
                <c:pt idx="5">
                  <c:v>-3.1004724070105683E-2</c:v>
                </c:pt>
                <c:pt idx="6">
                  <c:v>-5.8702656571817613E-2</c:v>
                </c:pt>
                <c:pt idx="7">
                  <c:v>-6.1413336563448717E-2</c:v>
                </c:pt>
                <c:pt idx="8">
                  <c:v>-5.5302502569468115E-2</c:v>
                </c:pt>
                <c:pt idx="9">
                  <c:v>-2.7304508664485971E-2</c:v>
                </c:pt>
                <c:pt idx="10">
                  <c:v>-9.1150551896620136E-2</c:v>
                </c:pt>
              </c:numCache>
            </c:numRef>
          </c:val>
          <c:extLst>
            <c:ext xmlns:c16="http://schemas.microsoft.com/office/drawing/2014/chart" uri="{C3380CC4-5D6E-409C-BE32-E72D297353CC}">
              <c16:uniqueId val="{00000001-959D-4548-9864-4433C9A90783}"/>
            </c:ext>
          </c:extLst>
        </c:ser>
        <c:dLbls>
          <c:showLegendKey val="0"/>
          <c:showVal val="0"/>
          <c:showCatName val="0"/>
          <c:showSerName val="0"/>
          <c:showPercent val="0"/>
          <c:showBubbleSize val="0"/>
        </c:dLbls>
        <c:gapWidth val="80"/>
        <c:axId val="421959936"/>
        <c:axId val="422055936"/>
      </c:barChart>
      <c:catAx>
        <c:axId val="421959936"/>
        <c:scaling>
          <c:orientation val="minMax"/>
        </c:scaling>
        <c:delete val="0"/>
        <c:axPos val="b"/>
        <c:numFmt formatCode="General" sourceLinked="1"/>
        <c:majorTickMark val="none"/>
        <c:minorTickMark val="none"/>
        <c:tickLblPos val="low"/>
        <c:txPr>
          <a:bodyPr rot="-2700000" vert="horz"/>
          <a:lstStyle/>
          <a:p>
            <a:pPr>
              <a:defRPr/>
            </a:pPr>
            <a:endParaRPr lang="en-US"/>
          </a:p>
        </c:txPr>
        <c:crossAx val="422055936"/>
        <c:crosses val="autoZero"/>
        <c:auto val="1"/>
        <c:lblAlgn val="ctr"/>
        <c:lblOffset val="100"/>
        <c:tickLblSkip val="1"/>
        <c:tickMarkSkip val="1"/>
        <c:noMultiLvlLbl val="0"/>
      </c:catAx>
      <c:valAx>
        <c:axId val="422055936"/>
        <c:scaling>
          <c:orientation val="minMax"/>
        </c:scaling>
        <c:delete val="0"/>
        <c:axPos val="l"/>
        <c:majorGridlines/>
        <c:title>
          <c:tx>
            <c:rich>
              <a:bodyPr rot="-5400000" vert="horz"/>
              <a:lstStyle/>
              <a:p>
                <a:pPr>
                  <a:defRPr/>
                </a:pPr>
                <a:r>
                  <a:rPr lang="en-AU"/>
                  <a:t>Price Change</a:t>
                </a:r>
              </a:p>
            </c:rich>
          </c:tx>
          <c:overlay val="0"/>
        </c:title>
        <c:numFmt formatCode="0%" sourceLinked="0"/>
        <c:majorTickMark val="out"/>
        <c:minorTickMark val="none"/>
        <c:tickLblPos val="nextTo"/>
        <c:txPr>
          <a:bodyPr rot="0" vert="horz"/>
          <a:lstStyle/>
          <a:p>
            <a:pPr>
              <a:defRPr/>
            </a:pPr>
            <a:endParaRPr lang="en-US"/>
          </a:p>
        </c:txPr>
        <c:crossAx val="421959936"/>
        <c:crosses val="autoZero"/>
        <c:crossBetween val="between"/>
      </c:valAx>
    </c:plotArea>
    <c:legend>
      <c:legendPos val="t"/>
      <c:layout>
        <c:manualLayout>
          <c:xMode val="edge"/>
          <c:yMode val="edge"/>
          <c:x val="0.44550191294500452"/>
          <c:y val="0.12684220745984617"/>
          <c:w val="0.13138405621200752"/>
          <c:h val="4.7743655779495173E-2"/>
        </c:manualLayout>
      </c:layout>
      <c:overlay val="0"/>
    </c:legend>
    <c:plotVisOnly val="1"/>
    <c:dispBlanksAs val="gap"/>
    <c:showDLblsOverMax val="0"/>
  </c:chart>
  <c:printSettings>
    <c:headerFooter alignWithMargins="0"/>
    <c:pageMargins b="1.87" l="2.8099999999999987" r="3.27" t="2.3499999999999988" header="0.5" footer="0.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Western Australia vs Rest of Australia</a:t>
            </a:r>
          </a:p>
          <a:p>
            <a:pPr>
              <a:defRPr/>
            </a:pPr>
            <a:r>
              <a:rPr lang="en-AU" sz="1100"/>
              <a:t>Last 10 Years</a:t>
            </a:r>
          </a:p>
        </c:rich>
      </c:tx>
      <c:overlay val="0"/>
    </c:title>
    <c:autoTitleDeleted val="0"/>
    <c:plotArea>
      <c:layout/>
      <c:lineChart>
        <c:grouping val="standard"/>
        <c:varyColors val="0"/>
        <c:ser>
          <c:idx val="0"/>
          <c:order val="0"/>
          <c:tx>
            <c:v>Western Australia</c:v>
          </c:tx>
          <c:spPr>
            <a:ln w="28575"/>
          </c:spPr>
          <c:marker>
            <c:symbol val="circle"/>
            <c:size val="5"/>
          </c:marker>
          <c:cat>
            <c:numRef>
              <c:f>'Alumina and Bauxite - WA vs Aus'!$S$12:$S$21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'Alumina and Bauxite - WA vs Aus'!$T$12:$T$21</c:f>
              <c:numCache>
                <c:formatCode>0.00</c:formatCode>
                <c:ptCount val="10"/>
                <c:pt idx="0">
                  <c:v>13.778493585999998</c:v>
                </c:pt>
                <c:pt idx="1">
                  <c:v>13.829773889999998</c:v>
                </c:pt>
                <c:pt idx="2">
                  <c:v>13.84700406</c:v>
                </c:pt>
                <c:pt idx="3">
                  <c:v>13.498431119999999</c:v>
                </c:pt>
                <c:pt idx="4">
                  <c:v>14.019717422999999</c:v>
                </c:pt>
                <c:pt idx="5">
                  <c:v>14.242609689999998</c:v>
                </c:pt>
                <c:pt idx="6">
                  <c:v>14.193521710000001</c:v>
                </c:pt>
                <c:pt idx="7">
                  <c:v>13.451525954000001</c:v>
                </c:pt>
                <c:pt idx="8">
                  <c:v>12.733554529999999</c:v>
                </c:pt>
                <c:pt idx="9">
                  <c:v>11.422483994</c:v>
                </c:pt>
              </c:numCache>
            </c:numRef>
          </c:val>
          <c:smooth val="0"/>
          <c:extLst>
            <c:ext xmlns:c16="http://schemas.microsoft.com/office/drawing/2014/chart" uri="{C3380CC4-5D6E-409C-BE32-E72D297353CC}">
              <c16:uniqueId val="{00000000-4AA3-450E-BBCC-C256A3A49EE6}"/>
            </c:ext>
          </c:extLst>
        </c:ser>
        <c:ser>
          <c:idx val="1"/>
          <c:order val="1"/>
          <c:tx>
            <c:v>Rest of Australia</c:v>
          </c:tx>
          <c:spPr>
            <a:ln w="28575"/>
          </c:spPr>
          <c:marker>
            <c:symbol val="square"/>
            <c:size val="5"/>
          </c:marker>
          <c:cat>
            <c:numRef>
              <c:f>'Alumina and Bauxite - WA vs Aus'!$S$12:$S$21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'Alumina and Bauxite - WA vs Aus'!$U$12:$U$21</c:f>
              <c:numCache>
                <c:formatCode>0.00</c:formatCode>
                <c:ptCount val="10"/>
                <c:pt idx="0">
                  <c:v>6.3186864140000019</c:v>
                </c:pt>
                <c:pt idx="1">
                  <c:v>6.85105611</c:v>
                </c:pt>
                <c:pt idx="2">
                  <c:v>6.638765939999999</c:v>
                </c:pt>
                <c:pt idx="3">
                  <c:v>6.563368879999997</c:v>
                </c:pt>
                <c:pt idx="4">
                  <c:v>6.1802830000000002</c:v>
                </c:pt>
                <c:pt idx="5">
                  <c:v>6.5945320000000001</c:v>
                </c:pt>
                <c:pt idx="6">
                  <c:v>6.4305662899999998</c:v>
                </c:pt>
                <c:pt idx="7">
                  <c:v>6.1139330459999996</c:v>
                </c:pt>
                <c:pt idx="8">
                  <c:v>6.0689104489999988</c:v>
                </c:pt>
                <c:pt idx="9">
                  <c:v>5.6615160059999994</c:v>
                </c:pt>
              </c:numCache>
            </c:numRef>
          </c:val>
          <c:smooth val="0"/>
          <c:extLst>
            <c:ext xmlns:c16="http://schemas.microsoft.com/office/drawing/2014/chart" uri="{C3380CC4-5D6E-409C-BE32-E72D297353CC}">
              <c16:uniqueId val="{00000001-4AA3-450E-BBCC-C256A3A49EE6}"/>
            </c:ext>
          </c:extLst>
        </c:ser>
        <c:dLbls>
          <c:showLegendKey val="0"/>
          <c:showVal val="0"/>
          <c:showCatName val="0"/>
          <c:showSerName val="0"/>
          <c:showPercent val="0"/>
          <c:showBubbleSize val="0"/>
        </c:dLbls>
        <c:marker val="1"/>
        <c:smooth val="0"/>
        <c:axId val="119016448"/>
        <c:axId val="119014912"/>
      </c:lineChart>
      <c:valAx>
        <c:axId val="119014912"/>
        <c:scaling>
          <c:orientation val="minMax"/>
          <c:max val="20"/>
        </c:scaling>
        <c:delete val="0"/>
        <c:axPos val="l"/>
        <c:majorGridlines/>
        <c:title>
          <c:tx>
            <c:rich>
              <a:bodyPr/>
              <a:lstStyle/>
              <a:p>
                <a:pPr>
                  <a:defRPr/>
                </a:pPr>
                <a:r>
                  <a:rPr lang="en-AU"/>
                  <a:t>Million tonnes</a:t>
                </a:r>
              </a:p>
            </c:rich>
          </c:tx>
          <c:overlay val="0"/>
        </c:title>
        <c:numFmt formatCode="0" sourceLinked="0"/>
        <c:majorTickMark val="out"/>
        <c:minorTickMark val="none"/>
        <c:tickLblPos val="nextTo"/>
        <c:crossAx val="119016448"/>
        <c:crosses val="autoZero"/>
        <c:crossBetween val="between"/>
        <c:majorUnit val="5"/>
      </c:valAx>
      <c:catAx>
        <c:axId val="119016448"/>
        <c:scaling>
          <c:orientation val="minMax"/>
        </c:scaling>
        <c:delete val="0"/>
        <c:axPos val="b"/>
        <c:title>
          <c:tx>
            <c:rich>
              <a:bodyPr/>
              <a:lstStyle/>
              <a:p>
                <a:pPr>
                  <a:defRPr/>
                </a:pPr>
                <a:r>
                  <a:rPr lang="en-AU" sz="900" b="1" i="0" baseline="0">
                    <a:effectLst/>
                  </a:rPr>
                  <a:t>Source:  DMPE and OoCE</a:t>
                </a:r>
                <a:endParaRPr lang="en-AU" sz="900">
                  <a:effectLst/>
                </a:endParaRPr>
              </a:p>
            </c:rich>
          </c:tx>
          <c:layout>
            <c:manualLayout>
              <c:xMode val="edge"/>
              <c:yMode val="edge"/>
              <c:x val="5.6935972291324438E-3"/>
              <c:y val="0.95249078169778223"/>
            </c:manualLayout>
          </c:layout>
          <c:overlay val="0"/>
        </c:title>
        <c:numFmt formatCode="General" sourceLinked="1"/>
        <c:majorTickMark val="out"/>
        <c:minorTickMark val="none"/>
        <c:tickLblPos val="nextTo"/>
        <c:txPr>
          <a:bodyPr rot="-2700000"/>
          <a:lstStyle/>
          <a:p>
            <a:pPr>
              <a:defRPr/>
            </a:pPr>
            <a:endParaRPr lang="en-US"/>
          </a:p>
        </c:txPr>
        <c:crossAx val="1190149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800" b="1"/>
              <a:t>Copper-Lead-Zinc</a:t>
            </a:r>
          </a:p>
          <a:p>
            <a:pPr>
              <a:defRPr b="1"/>
            </a:pPr>
            <a:r>
              <a:rPr lang="en-US" sz="1100" b="1"/>
              <a:t>Annual Prices, Historic</a:t>
            </a:r>
            <a:endParaRPr lang="en-AU" sz="1100"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'Copper-Lead-Zinc - Prices'!$G$9</c:f>
              <c:strCache>
                <c:ptCount val="1"/>
                <c:pt idx="0">
                  <c:v>Copper</c:v>
                </c:pt>
              </c:strCache>
            </c:strRef>
          </c:tx>
          <c:spPr>
            <a:ln w="28575" cap="rnd">
              <a:solidFill>
                <a:srgbClr val="CC00CC"/>
              </a:solidFill>
              <a:round/>
            </a:ln>
            <a:effectLst/>
          </c:spPr>
          <c:marker>
            <c:symbol val="none"/>
          </c:marker>
          <c:cat>
            <c:numRef>
              <c:f>'Copper-Lead-Zinc - Prices'!$F$11:$F$50</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'Copper-Lead-Zinc - Prices'!$G$11:$G$50</c:f>
              <c:numCache>
                <c:formatCode>#,##0.00</c:formatCode>
                <c:ptCount val="40"/>
                <c:pt idx="0">
                  <c:v>1373.5153651336814</c:v>
                </c:pt>
                <c:pt idx="1">
                  <c:v>1780.7876515504031</c:v>
                </c:pt>
                <c:pt idx="2">
                  <c:v>2575.9583333333335</c:v>
                </c:pt>
                <c:pt idx="3">
                  <c:v>2831.4749999999999</c:v>
                </c:pt>
                <c:pt idx="4">
                  <c:v>2663.3250000000003</c:v>
                </c:pt>
                <c:pt idx="5">
                  <c:v>2339.7666666666669</c:v>
                </c:pt>
                <c:pt idx="6">
                  <c:v>2301.6916666666666</c:v>
                </c:pt>
                <c:pt idx="7">
                  <c:v>1914.6916666666666</c:v>
                </c:pt>
                <c:pt idx="8">
                  <c:v>2307.1916666666666</c:v>
                </c:pt>
                <c:pt idx="9">
                  <c:v>2936.7249999999999</c:v>
                </c:pt>
                <c:pt idx="10">
                  <c:v>2294.1083333333331</c:v>
                </c:pt>
                <c:pt idx="11">
                  <c:v>2249.2249999999999</c:v>
                </c:pt>
                <c:pt idx="12">
                  <c:v>1654.0576666666666</c:v>
                </c:pt>
                <c:pt idx="13">
                  <c:v>1572.8538333333333</c:v>
                </c:pt>
                <c:pt idx="14">
                  <c:v>1813.4683333333332</c:v>
                </c:pt>
                <c:pt idx="15">
                  <c:v>1578.5108333333337</c:v>
                </c:pt>
                <c:pt idx="16">
                  <c:v>1559.7058333333332</c:v>
                </c:pt>
                <c:pt idx="17">
                  <c:v>1779.1466666666668</c:v>
                </c:pt>
                <c:pt idx="18">
                  <c:v>2865.8858333333333</c:v>
                </c:pt>
                <c:pt idx="19">
                  <c:v>3678.8858333333333</c:v>
                </c:pt>
                <c:pt idx="20">
                  <c:v>6722.3975</c:v>
                </c:pt>
                <c:pt idx="21">
                  <c:v>7118.5249999999987</c:v>
                </c:pt>
                <c:pt idx="22">
                  <c:v>6955.9691666666658</c:v>
                </c:pt>
                <c:pt idx="23">
                  <c:v>5151.9275000000007</c:v>
                </c:pt>
                <c:pt idx="24">
                  <c:v>7534.7816666666668</c:v>
                </c:pt>
                <c:pt idx="25">
                  <c:v>8820.99</c:v>
                </c:pt>
                <c:pt idx="26">
                  <c:v>7949.9472500000002</c:v>
                </c:pt>
                <c:pt idx="27">
                  <c:v>7326.1654916666675</c:v>
                </c:pt>
                <c:pt idx="28">
                  <c:v>6859.684608333333</c:v>
                </c:pt>
                <c:pt idx="29">
                  <c:v>5501.6853083333335</c:v>
                </c:pt>
                <c:pt idx="30">
                  <c:v>4863.2245083333337</c:v>
                </c:pt>
                <c:pt idx="31">
                  <c:v>6162.7687181818183</c:v>
                </c:pt>
                <c:pt idx="32">
                  <c:v>6525.3342864357865</c:v>
                </c:pt>
                <c:pt idx="33">
                  <c:v>6005.1166666666659</c:v>
                </c:pt>
                <c:pt idx="34">
                  <c:v>6168.5916666666681</c:v>
                </c:pt>
                <c:pt idx="35">
                  <c:v>9312.3750000000018</c:v>
                </c:pt>
                <c:pt idx="36">
                  <c:v>8813.8875000000025</c:v>
                </c:pt>
                <c:pt idx="37">
                  <c:v>8482.7666666666664</c:v>
                </c:pt>
                <c:pt idx="38">
                  <c:v>9143.4874999999993</c:v>
                </c:pt>
                <c:pt idx="39">
                  <c:v>9938.6391666666659</c:v>
                </c:pt>
              </c:numCache>
            </c:numRef>
          </c:val>
          <c:smooth val="0"/>
          <c:extLst>
            <c:ext xmlns:c16="http://schemas.microsoft.com/office/drawing/2014/chart" uri="{C3380CC4-5D6E-409C-BE32-E72D297353CC}">
              <c16:uniqueId val="{00000000-BE65-4508-B8AD-FE314AC3F03F}"/>
            </c:ext>
          </c:extLst>
        </c:ser>
        <c:ser>
          <c:idx val="1"/>
          <c:order val="1"/>
          <c:tx>
            <c:strRef>
              <c:f>'Copper-Lead-Zinc - Prices'!$H$9</c:f>
              <c:strCache>
                <c:ptCount val="1"/>
                <c:pt idx="0">
                  <c:v>Lead</c:v>
                </c:pt>
              </c:strCache>
            </c:strRef>
          </c:tx>
          <c:spPr>
            <a:ln w="28575" cap="rnd">
              <a:solidFill>
                <a:srgbClr val="FF66FF"/>
              </a:solidFill>
              <a:round/>
            </a:ln>
            <a:effectLst/>
          </c:spPr>
          <c:marker>
            <c:symbol val="none"/>
          </c:marker>
          <c:cat>
            <c:numRef>
              <c:f>'Copper-Lead-Zinc - Prices'!$F$11:$F$50</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'Copper-Lead-Zinc - Prices'!$H$11:$H$50</c:f>
              <c:numCache>
                <c:formatCode>#,##0.00</c:formatCode>
                <c:ptCount val="40"/>
                <c:pt idx="0">
                  <c:v>405.64174291666671</c:v>
                </c:pt>
                <c:pt idx="1">
                  <c:v>596.01365683333336</c:v>
                </c:pt>
                <c:pt idx="2">
                  <c:v>648.41666666666663</c:v>
                </c:pt>
                <c:pt idx="3">
                  <c:v>673.96333333333337</c:v>
                </c:pt>
                <c:pt idx="4">
                  <c:v>809.77499999999998</c:v>
                </c:pt>
                <c:pt idx="5">
                  <c:v>557.82833333333338</c:v>
                </c:pt>
                <c:pt idx="6">
                  <c:v>546.88749999999993</c:v>
                </c:pt>
                <c:pt idx="7">
                  <c:v>406.6658333333333</c:v>
                </c:pt>
                <c:pt idx="8">
                  <c:v>547.93333333333328</c:v>
                </c:pt>
                <c:pt idx="9">
                  <c:v>632.92916666666667</c:v>
                </c:pt>
                <c:pt idx="10">
                  <c:v>774.58583333333343</c:v>
                </c:pt>
                <c:pt idx="11">
                  <c:v>624.17250000000001</c:v>
                </c:pt>
                <c:pt idx="12">
                  <c:v>528.65250000000003</c:v>
                </c:pt>
                <c:pt idx="13">
                  <c:v>502.53925000000004</c:v>
                </c:pt>
                <c:pt idx="14">
                  <c:v>453.94416666666666</c:v>
                </c:pt>
                <c:pt idx="15">
                  <c:v>476.04416666666657</c:v>
                </c:pt>
                <c:pt idx="16">
                  <c:v>452.72999999999996</c:v>
                </c:pt>
                <c:pt idx="17">
                  <c:v>515.00833333333333</c:v>
                </c:pt>
                <c:pt idx="18">
                  <c:v>886.54499999999973</c:v>
                </c:pt>
                <c:pt idx="19">
                  <c:v>976.34083333333331</c:v>
                </c:pt>
                <c:pt idx="20">
                  <c:v>1295.4408333333333</c:v>
                </c:pt>
                <c:pt idx="21">
                  <c:v>2580.0658333333336</c:v>
                </c:pt>
                <c:pt idx="22">
                  <c:v>2090.6641666666665</c:v>
                </c:pt>
                <c:pt idx="23">
                  <c:v>1720.8525000000002</c:v>
                </c:pt>
                <c:pt idx="24">
                  <c:v>2148.4508333333333</c:v>
                </c:pt>
                <c:pt idx="25">
                  <c:v>2401.8316666666665</c:v>
                </c:pt>
                <c:pt idx="26">
                  <c:v>2062.2622583333332</c:v>
                </c:pt>
                <c:pt idx="27">
                  <c:v>2142.2553750000002</c:v>
                </c:pt>
                <c:pt idx="28">
                  <c:v>2095.6746749999998</c:v>
                </c:pt>
                <c:pt idx="29">
                  <c:v>1786.4937833333333</c:v>
                </c:pt>
                <c:pt idx="30">
                  <c:v>1870.7442166666667</c:v>
                </c:pt>
                <c:pt idx="31">
                  <c:v>2317.5336234848487</c:v>
                </c:pt>
                <c:pt idx="32">
                  <c:v>2243.8643791500722</c:v>
                </c:pt>
                <c:pt idx="33">
                  <c:v>1997.6575</c:v>
                </c:pt>
                <c:pt idx="34">
                  <c:v>1824.2091666666668</c:v>
                </c:pt>
                <c:pt idx="35">
                  <c:v>2204.5516666666663</c:v>
                </c:pt>
                <c:pt idx="36">
                  <c:v>2152.6174999999998</c:v>
                </c:pt>
                <c:pt idx="37">
                  <c:v>2136.5275000000001</c:v>
                </c:pt>
                <c:pt idx="38">
                  <c:v>2071.9058333333337</c:v>
                </c:pt>
                <c:pt idx="39">
                  <c:v>1962.5933333333335</c:v>
                </c:pt>
              </c:numCache>
            </c:numRef>
          </c:val>
          <c:smooth val="0"/>
          <c:extLst>
            <c:ext xmlns:c16="http://schemas.microsoft.com/office/drawing/2014/chart" uri="{C3380CC4-5D6E-409C-BE32-E72D297353CC}">
              <c16:uniqueId val="{00000001-BE65-4508-B8AD-FE314AC3F03F}"/>
            </c:ext>
          </c:extLst>
        </c:ser>
        <c:ser>
          <c:idx val="2"/>
          <c:order val="2"/>
          <c:tx>
            <c:strRef>
              <c:f>'Copper-Lead-Zinc - Prices'!$I$9</c:f>
              <c:strCache>
                <c:ptCount val="1"/>
                <c:pt idx="0">
                  <c:v>Zinc</c:v>
                </c:pt>
              </c:strCache>
            </c:strRef>
          </c:tx>
          <c:spPr>
            <a:ln w="28575" cap="rnd">
              <a:solidFill>
                <a:srgbClr val="FFCCFF"/>
              </a:solidFill>
              <a:round/>
            </a:ln>
            <a:effectLst/>
          </c:spPr>
          <c:marker>
            <c:symbol val="none"/>
          </c:marker>
          <c:cat>
            <c:numRef>
              <c:f>'Copper-Lead-Zinc - Prices'!$F$11:$F$50</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'Copper-Lead-Zinc - Prices'!$I$11:$I$50</c:f>
              <c:numCache>
                <c:formatCode>#,##0.00</c:formatCode>
                <c:ptCount val="40"/>
                <c:pt idx="0">
                  <c:v>753.58994358333337</c:v>
                </c:pt>
                <c:pt idx="1">
                  <c:v>797.81946716666664</c:v>
                </c:pt>
                <c:pt idx="2">
                  <c:v>1246.2324999999998</c:v>
                </c:pt>
                <c:pt idx="3">
                  <c:v>1710.9416666666666</c:v>
                </c:pt>
                <c:pt idx="4">
                  <c:v>1518.4666666666669</c:v>
                </c:pt>
                <c:pt idx="5">
                  <c:v>1117.3741666666667</c:v>
                </c:pt>
                <c:pt idx="6">
                  <c:v>1251.3083333333332</c:v>
                </c:pt>
                <c:pt idx="7">
                  <c:v>962.27333333333343</c:v>
                </c:pt>
                <c:pt idx="8">
                  <c:v>998.13583333333327</c:v>
                </c:pt>
                <c:pt idx="9">
                  <c:v>1031.5891666666666</c:v>
                </c:pt>
                <c:pt idx="10">
                  <c:v>1025.5249999999999</c:v>
                </c:pt>
                <c:pt idx="11">
                  <c:v>1316.3666666666666</c:v>
                </c:pt>
                <c:pt idx="12">
                  <c:v>1024.4920833333333</c:v>
                </c:pt>
                <c:pt idx="13">
                  <c:v>1076.3670833333333</c:v>
                </c:pt>
                <c:pt idx="14">
                  <c:v>1128.085</c:v>
                </c:pt>
                <c:pt idx="15">
                  <c:v>886.88583333333327</c:v>
                </c:pt>
                <c:pt idx="16">
                  <c:v>778.73833333333323</c:v>
                </c:pt>
                <c:pt idx="17">
                  <c:v>827.69583333333333</c:v>
                </c:pt>
                <c:pt idx="18">
                  <c:v>1047.7533333333333</c:v>
                </c:pt>
                <c:pt idx="19">
                  <c:v>1381.7683333333334</c:v>
                </c:pt>
                <c:pt idx="20">
                  <c:v>3275.123333333333</c:v>
                </c:pt>
                <c:pt idx="21">
                  <c:v>3226.4958333333338</c:v>
                </c:pt>
                <c:pt idx="22">
                  <c:v>1874.6458333333333</c:v>
                </c:pt>
                <c:pt idx="23">
                  <c:v>1653.8325000000002</c:v>
                </c:pt>
                <c:pt idx="24">
                  <c:v>2160.7441666666668</c:v>
                </c:pt>
                <c:pt idx="25">
                  <c:v>2193.335</c:v>
                </c:pt>
                <c:pt idx="26">
                  <c:v>1948.0039166666666</c:v>
                </c:pt>
                <c:pt idx="27">
                  <c:v>1910.343175</c:v>
                </c:pt>
                <c:pt idx="28">
                  <c:v>2162.0022333333332</c:v>
                </c:pt>
                <c:pt idx="29">
                  <c:v>1932.5104333333336</c:v>
                </c:pt>
                <c:pt idx="30">
                  <c:v>2090.7071083333335</c:v>
                </c:pt>
                <c:pt idx="31">
                  <c:v>2893.9725840909091</c:v>
                </c:pt>
                <c:pt idx="32">
                  <c:v>2925.0660569985571</c:v>
                </c:pt>
                <c:pt idx="33">
                  <c:v>2549.2399999999998</c:v>
                </c:pt>
                <c:pt idx="34">
                  <c:v>2264.5508333333332</c:v>
                </c:pt>
                <c:pt idx="35">
                  <c:v>3002.2208333333333</c:v>
                </c:pt>
                <c:pt idx="36">
                  <c:v>3489.8516666666669</c:v>
                </c:pt>
                <c:pt idx="37">
                  <c:v>2648.4575</c:v>
                </c:pt>
                <c:pt idx="38">
                  <c:v>2776.8391666666666</c:v>
                </c:pt>
                <c:pt idx="39">
                  <c:v>2866.5291666666672</c:v>
                </c:pt>
              </c:numCache>
            </c:numRef>
          </c:val>
          <c:smooth val="0"/>
          <c:extLst>
            <c:ext xmlns:c16="http://schemas.microsoft.com/office/drawing/2014/chart" uri="{C3380CC4-5D6E-409C-BE32-E72D297353CC}">
              <c16:uniqueId val="{00000002-BE65-4508-B8AD-FE314AC3F03F}"/>
            </c:ext>
          </c:extLst>
        </c:ser>
        <c:dLbls>
          <c:showLegendKey val="0"/>
          <c:showVal val="0"/>
          <c:showCatName val="0"/>
          <c:showSerName val="0"/>
          <c:showPercent val="0"/>
          <c:showBubbleSize val="0"/>
        </c:dLbls>
        <c:smooth val="0"/>
        <c:axId val="130082304"/>
        <c:axId val="130084224"/>
      </c:lineChart>
      <c:catAx>
        <c:axId val="13008230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sz="900" b="1"/>
                  <a:t>Source: LME</a:t>
                </a:r>
              </a:p>
            </c:rich>
          </c:tx>
          <c:layout>
            <c:manualLayout>
              <c:xMode val="edge"/>
              <c:yMode val="edge"/>
              <c:x val="5.1828597251533572E-3"/>
              <c:y val="0.9559050733573624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30084224"/>
        <c:crosses val="autoZero"/>
        <c:auto val="0"/>
        <c:lblAlgn val="ctr"/>
        <c:lblOffset val="100"/>
        <c:tickLblSkip val="1"/>
        <c:noMultiLvlLbl val="1"/>
      </c:catAx>
      <c:valAx>
        <c:axId val="130084224"/>
        <c:scaling>
          <c:orientation val="minMax"/>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t>US$</a:t>
                </a:r>
                <a:r>
                  <a:rPr lang="en-AU" b="1" baseline="0"/>
                  <a:t> per </a:t>
                </a:r>
                <a:r>
                  <a:rPr lang="en-AU" b="1"/>
                  <a:t>tonne</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prstClr val="black"/>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0082304"/>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Copper-Lead-Zinc</a:t>
            </a:r>
          </a:p>
          <a:p>
            <a:pPr>
              <a:defRPr/>
            </a:pPr>
            <a:r>
              <a:rPr lang="en-AU" sz="1100"/>
              <a:t>Monthly</a:t>
            </a:r>
            <a:r>
              <a:rPr lang="en-AU" sz="1100" baseline="0"/>
              <a:t> Prices, L</a:t>
            </a:r>
            <a:r>
              <a:rPr lang="en-AU" sz="1100"/>
              <a:t>ast 5 Years</a:t>
            </a:r>
          </a:p>
        </c:rich>
      </c:tx>
      <c:overlay val="0"/>
    </c:title>
    <c:autoTitleDeleted val="0"/>
    <c:plotArea>
      <c:layout/>
      <c:lineChart>
        <c:grouping val="standard"/>
        <c:varyColors val="0"/>
        <c:ser>
          <c:idx val="0"/>
          <c:order val="0"/>
          <c:tx>
            <c:strRef>
              <c:f>'Copper-Lead-Zinc - Prices'!$B$9</c:f>
              <c:strCache>
                <c:ptCount val="1"/>
                <c:pt idx="0">
                  <c:v>Copper</c:v>
                </c:pt>
              </c:strCache>
            </c:strRef>
          </c:tx>
          <c:spPr>
            <a:ln w="28575">
              <a:solidFill>
                <a:srgbClr val="CC0099"/>
              </a:solidFill>
            </a:ln>
          </c:spPr>
          <c:marker>
            <c:symbol val="none"/>
          </c:marker>
          <c:cat>
            <c:numRef>
              <c:f>'Copper-Lead-Zinc - Prices'!$A$11:$A$71</c:f>
              <c:numCache>
                <c:formatCode>mmm\-yy</c:formatCode>
                <c:ptCount val="61"/>
                <c:pt idx="0">
                  <c:v>44166</c:v>
                </c:pt>
                <c:pt idx="1">
                  <c:v>44197</c:v>
                </c:pt>
                <c:pt idx="2">
                  <c:v>44228</c:v>
                </c:pt>
                <c:pt idx="3">
                  <c:v>44256</c:v>
                </c:pt>
                <c:pt idx="4">
                  <c:v>44287</c:v>
                </c:pt>
                <c:pt idx="5">
                  <c:v>44317</c:v>
                </c:pt>
                <c:pt idx="6">
                  <c:v>44317</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pt idx="37">
                  <c:v>45292</c:v>
                </c:pt>
                <c:pt idx="38">
                  <c:v>45323</c:v>
                </c:pt>
                <c:pt idx="39">
                  <c:v>45352</c:v>
                </c:pt>
                <c:pt idx="40">
                  <c:v>45383</c:v>
                </c:pt>
                <c:pt idx="41">
                  <c:v>45413</c:v>
                </c:pt>
                <c:pt idx="42">
                  <c:v>45444</c:v>
                </c:pt>
                <c:pt idx="43">
                  <c:v>45474</c:v>
                </c:pt>
                <c:pt idx="44">
                  <c:v>45505</c:v>
                </c:pt>
                <c:pt idx="45">
                  <c:v>45536</c:v>
                </c:pt>
                <c:pt idx="46">
                  <c:v>45566</c:v>
                </c:pt>
                <c:pt idx="47">
                  <c:v>45597</c:v>
                </c:pt>
                <c:pt idx="48">
                  <c:v>45627</c:v>
                </c:pt>
                <c:pt idx="49">
                  <c:v>45658</c:v>
                </c:pt>
                <c:pt idx="50">
                  <c:v>45689</c:v>
                </c:pt>
                <c:pt idx="51">
                  <c:v>45717</c:v>
                </c:pt>
                <c:pt idx="52">
                  <c:v>45748</c:v>
                </c:pt>
                <c:pt idx="53">
                  <c:v>45778</c:v>
                </c:pt>
                <c:pt idx="54">
                  <c:v>45809</c:v>
                </c:pt>
                <c:pt idx="55">
                  <c:v>45839</c:v>
                </c:pt>
                <c:pt idx="56">
                  <c:v>45870</c:v>
                </c:pt>
                <c:pt idx="57">
                  <c:v>45901</c:v>
                </c:pt>
                <c:pt idx="58">
                  <c:v>45931</c:v>
                </c:pt>
                <c:pt idx="59">
                  <c:v>45962</c:v>
                </c:pt>
                <c:pt idx="60">
                  <c:v>45992</c:v>
                </c:pt>
              </c:numCache>
            </c:numRef>
          </c:cat>
          <c:val>
            <c:numRef>
              <c:f>'Copper-Lead-Zinc - Prices'!$B$11:$B$71</c:f>
              <c:numCache>
                <c:formatCode>#,##0.00</c:formatCode>
                <c:ptCount val="61"/>
                <c:pt idx="0">
                  <c:v>7755.24</c:v>
                </c:pt>
                <c:pt idx="1">
                  <c:v>7970.5</c:v>
                </c:pt>
                <c:pt idx="2">
                  <c:v>8460.25</c:v>
                </c:pt>
                <c:pt idx="3">
                  <c:v>9004.98</c:v>
                </c:pt>
                <c:pt idx="4">
                  <c:v>9335.5499999999993</c:v>
                </c:pt>
                <c:pt idx="5">
                  <c:v>10183.969999999999</c:v>
                </c:pt>
                <c:pt idx="6">
                  <c:v>10183.969999999999</c:v>
                </c:pt>
                <c:pt idx="7">
                  <c:v>9433.59</c:v>
                </c:pt>
                <c:pt idx="8">
                  <c:v>9357.19</c:v>
                </c:pt>
                <c:pt idx="9">
                  <c:v>9323.69</c:v>
                </c:pt>
                <c:pt idx="10">
                  <c:v>9777.43</c:v>
                </c:pt>
                <c:pt idx="11">
                  <c:v>9764.59</c:v>
                </c:pt>
                <c:pt idx="12">
                  <c:v>9549.11</c:v>
                </c:pt>
                <c:pt idx="13">
                  <c:v>9774.51</c:v>
                </c:pt>
                <c:pt idx="14">
                  <c:v>9939.98</c:v>
                </c:pt>
                <c:pt idx="15">
                  <c:v>10236.700000000001</c:v>
                </c:pt>
                <c:pt idx="16">
                  <c:v>10182.33</c:v>
                </c:pt>
                <c:pt idx="17">
                  <c:v>9362.08</c:v>
                </c:pt>
                <c:pt idx="18">
                  <c:v>9031.99</c:v>
                </c:pt>
                <c:pt idx="19">
                  <c:v>7529.08</c:v>
                </c:pt>
                <c:pt idx="20">
                  <c:v>7960.24</c:v>
                </c:pt>
                <c:pt idx="21">
                  <c:v>7733.82</c:v>
                </c:pt>
                <c:pt idx="22">
                  <c:v>7620.25</c:v>
                </c:pt>
                <c:pt idx="23">
                  <c:v>8028.88</c:v>
                </c:pt>
                <c:pt idx="24">
                  <c:v>8366.7900000000009</c:v>
                </c:pt>
                <c:pt idx="25">
                  <c:v>8999.27</c:v>
                </c:pt>
                <c:pt idx="26">
                  <c:v>8954.4</c:v>
                </c:pt>
                <c:pt idx="27">
                  <c:v>8834.68</c:v>
                </c:pt>
                <c:pt idx="28">
                  <c:v>8813.35</c:v>
                </c:pt>
                <c:pt idx="29">
                  <c:v>8233.58</c:v>
                </c:pt>
                <c:pt idx="30">
                  <c:v>8385.56</c:v>
                </c:pt>
                <c:pt idx="31">
                  <c:v>8444.6200000000008</c:v>
                </c:pt>
                <c:pt idx="32">
                  <c:v>8351.19</c:v>
                </c:pt>
                <c:pt idx="33">
                  <c:v>8270.19</c:v>
                </c:pt>
                <c:pt idx="34">
                  <c:v>7939.24</c:v>
                </c:pt>
                <c:pt idx="35">
                  <c:v>8173.48</c:v>
                </c:pt>
                <c:pt idx="36">
                  <c:v>8393.64</c:v>
                </c:pt>
                <c:pt idx="37">
                  <c:v>8343.51</c:v>
                </c:pt>
                <c:pt idx="38">
                  <c:v>8310.0499999999993</c:v>
                </c:pt>
                <c:pt idx="39">
                  <c:v>8675.11</c:v>
                </c:pt>
                <c:pt idx="40">
                  <c:v>9481.5400000000009</c:v>
                </c:pt>
                <c:pt idx="41">
                  <c:v>10128.42</c:v>
                </c:pt>
                <c:pt idx="42">
                  <c:v>9640.73</c:v>
                </c:pt>
                <c:pt idx="43">
                  <c:v>9393.17</c:v>
                </c:pt>
                <c:pt idx="44">
                  <c:v>8963.24</c:v>
                </c:pt>
                <c:pt idx="45">
                  <c:v>9253.8700000000008</c:v>
                </c:pt>
                <c:pt idx="46">
                  <c:v>9538.7900000000009</c:v>
                </c:pt>
                <c:pt idx="47">
                  <c:v>9074.27</c:v>
                </c:pt>
                <c:pt idx="48">
                  <c:v>8919.15</c:v>
                </c:pt>
                <c:pt idx="49">
                  <c:v>8977.2199999999993</c:v>
                </c:pt>
                <c:pt idx="50">
                  <c:v>9328.65</c:v>
                </c:pt>
                <c:pt idx="51">
                  <c:v>9730.6</c:v>
                </c:pt>
                <c:pt idx="52">
                  <c:v>9191.49</c:v>
                </c:pt>
                <c:pt idx="53">
                  <c:v>9529.0499999999993</c:v>
                </c:pt>
                <c:pt idx="54">
                  <c:v>9832.98</c:v>
                </c:pt>
                <c:pt idx="55">
                  <c:v>9777.66</c:v>
                </c:pt>
                <c:pt idx="56">
                  <c:v>9645.5</c:v>
                </c:pt>
                <c:pt idx="57">
                  <c:v>9952.09</c:v>
                </c:pt>
                <c:pt idx="58">
                  <c:v>10695.63</c:v>
                </c:pt>
                <c:pt idx="59">
                  <c:v>10800.01</c:v>
                </c:pt>
                <c:pt idx="60">
                  <c:v>11802.79</c:v>
                </c:pt>
              </c:numCache>
            </c:numRef>
          </c:val>
          <c:smooth val="0"/>
          <c:extLst>
            <c:ext xmlns:c16="http://schemas.microsoft.com/office/drawing/2014/chart" uri="{C3380CC4-5D6E-409C-BE32-E72D297353CC}">
              <c16:uniqueId val="{00000000-101F-49C1-AE84-73D09955A30B}"/>
            </c:ext>
          </c:extLst>
        </c:ser>
        <c:ser>
          <c:idx val="1"/>
          <c:order val="1"/>
          <c:tx>
            <c:strRef>
              <c:f>'Copper-Lead-Zinc - Prices'!$C$9</c:f>
              <c:strCache>
                <c:ptCount val="1"/>
                <c:pt idx="0">
                  <c:v>Lead</c:v>
                </c:pt>
              </c:strCache>
            </c:strRef>
          </c:tx>
          <c:spPr>
            <a:ln w="28575">
              <a:solidFill>
                <a:srgbClr val="FF66CC"/>
              </a:solidFill>
            </a:ln>
          </c:spPr>
          <c:marker>
            <c:symbol val="none"/>
          </c:marker>
          <c:cat>
            <c:numRef>
              <c:f>'Copper-Lead-Zinc - Prices'!$A$11:$A$71</c:f>
              <c:numCache>
                <c:formatCode>mmm\-yy</c:formatCode>
                <c:ptCount val="61"/>
                <c:pt idx="0">
                  <c:v>44166</c:v>
                </c:pt>
                <c:pt idx="1">
                  <c:v>44197</c:v>
                </c:pt>
                <c:pt idx="2">
                  <c:v>44228</c:v>
                </c:pt>
                <c:pt idx="3">
                  <c:v>44256</c:v>
                </c:pt>
                <c:pt idx="4">
                  <c:v>44287</c:v>
                </c:pt>
                <c:pt idx="5">
                  <c:v>44317</c:v>
                </c:pt>
                <c:pt idx="6">
                  <c:v>44317</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pt idx="37">
                  <c:v>45292</c:v>
                </c:pt>
                <c:pt idx="38">
                  <c:v>45323</c:v>
                </c:pt>
                <c:pt idx="39">
                  <c:v>45352</c:v>
                </c:pt>
                <c:pt idx="40">
                  <c:v>45383</c:v>
                </c:pt>
                <c:pt idx="41">
                  <c:v>45413</c:v>
                </c:pt>
                <c:pt idx="42">
                  <c:v>45444</c:v>
                </c:pt>
                <c:pt idx="43">
                  <c:v>45474</c:v>
                </c:pt>
                <c:pt idx="44">
                  <c:v>45505</c:v>
                </c:pt>
                <c:pt idx="45">
                  <c:v>45536</c:v>
                </c:pt>
                <c:pt idx="46">
                  <c:v>45566</c:v>
                </c:pt>
                <c:pt idx="47">
                  <c:v>45597</c:v>
                </c:pt>
                <c:pt idx="48">
                  <c:v>45627</c:v>
                </c:pt>
                <c:pt idx="49">
                  <c:v>45658</c:v>
                </c:pt>
                <c:pt idx="50">
                  <c:v>45689</c:v>
                </c:pt>
                <c:pt idx="51">
                  <c:v>45717</c:v>
                </c:pt>
                <c:pt idx="52">
                  <c:v>45748</c:v>
                </c:pt>
                <c:pt idx="53">
                  <c:v>45778</c:v>
                </c:pt>
                <c:pt idx="54">
                  <c:v>45809</c:v>
                </c:pt>
                <c:pt idx="55">
                  <c:v>45839</c:v>
                </c:pt>
                <c:pt idx="56">
                  <c:v>45870</c:v>
                </c:pt>
                <c:pt idx="57">
                  <c:v>45901</c:v>
                </c:pt>
                <c:pt idx="58">
                  <c:v>45931</c:v>
                </c:pt>
                <c:pt idx="59">
                  <c:v>45962</c:v>
                </c:pt>
                <c:pt idx="60">
                  <c:v>45992</c:v>
                </c:pt>
              </c:numCache>
            </c:numRef>
          </c:cat>
          <c:val>
            <c:numRef>
              <c:f>'Copper-Lead-Zinc - Prices'!$C$11:$C$71</c:f>
              <c:numCache>
                <c:formatCode>#,##0.00</c:formatCode>
                <c:ptCount val="61"/>
                <c:pt idx="0">
                  <c:v>2018.6</c:v>
                </c:pt>
                <c:pt idx="1">
                  <c:v>2014.93</c:v>
                </c:pt>
                <c:pt idx="2">
                  <c:v>2085.75</c:v>
                </c:pt>
                <c:pt idx="3">
                  <c:v>1960.76</c:v>
                </c:pt>
                <c:pt idx="4">
                  <c:v>2006.33</c:v>
                </c:pt>
                <c:pt idx="5">
                  <c:v>2185.92</c:v>
                </c:pt>
                <c:pt idx="6">
                  <c:v>2185.92</c:v>
                </c:pt>
                <c:pt idx="7">
                  <c:v>2336.98</c:v>
                </c:pt>
                <c:pt idx="8">
                  <c:v>2428.52</c:v>
                </c:pt>
                <c:pt idx="9">
                  <c:v>2256.48</c:v>
                </c:pt>
                <c:pt idx="10">
                  <c:v>2338.83</c:v>
                </c:pt>
                <c:pt idx="11">
                  <c:v>2346.94</c:v>
                </c:pt>
                <c:pt idx="12">
                  <c:v>2304.1999999999998</c:v>
                </c:pt>
                <c:pt idx="13">
                  <c:v>2341.9899999999998</c:v>
                </c:pt>
                <c:pt idx="14">
                  <c:v>2299.16</c:v>
                </c:pt>
                <c:pt idx="15">
                  <c:v>2358.79</c:v>
                </c:pt>
                <c:pt idx="16">
                  <c:v>2396.0500000000002</c:v>
                </c:pt>
                <c:pt idx="17">
                  <c:v>2144.48</c:v>
                </c:pt>
                <c:pt idx="18">
                  <c:v>2066.73</c:v>
                </c:pt>
                <c:pt idx="19">
                  <c:v>1975.54</c:v>
                </c:pt>
                <c:pt idx="20">
                  <c:v>2077.2399999999998</c:v>
                </c:pt>
                <c:pt idx="21">
                  <c:v>1873.66</c:v>
                </c:pt>
                <c:pt idx="22">
                  <c:v>1987.32</c:v>
                </c:pt>
                <c:pt idx="23">
                  <c:v>2098.65</c:v>
                </c:pt>
                <c:pt idx="24">
                  <c:v>2211.8000000000002</c:v>
                </c:pt>
                <c:pt idx="25">
                  <c:v>2207.5</c:v>
                </c:pt>
                <c:pt idx="26">
                  <c:v>2098.29</c:v>
                </c:pt>
                <c:pt idx="27">
                  <c:v>2114.08</c:v>
                </c:pt>
                <c:pt idx="28">
                  <c:v>2148.31</c:v>
                </c:pt>
                <c:pt idx="29">
                  <c:v>2086.84</c:v>
                </c:pt>
                <c:pt idx="30">
                  <c:v>2117.64</c:v>
                </c:pt>
                <c:pt idx="31">
                  <c:v>2106.13</c:v>
                </c:pt>
                <c:pt idx="32">
                  <c:v>2151.06</c:v>
                </c:pt>
                <c:pt idx="33">
                  <c:v>2252.2399999999998</c:v>
                </c:pt>
                <c:pt idx="34">
                  <c:v>2135.8000000000002</c:v>
                </c:pt>
                <c:pt idx="35">
                  <c:v>2184.64</c:v>
                </c:pt>
                <c:pt idx="36">
                  <c:v>2035.8</c:v>
                </c:pt>
                <c:pt idx="37">
                  <c:v>2086.9</c:v>
                </c:pt>
                <c:pt idx="38">
                  <c:v>2083.63</c:v>
                </c:pt>
                <c:pt idx="39">
                  <c:v>2056.4</c:v>
                </c:pt>
                <c:pt idx="40">
                  <c:v>2129.1999999999998</c:v>
                </c:pt>
                <c:pt idx="41">
                  <c:v>2220.64</c:v>
                </c:pt>
                <c:pt idx="42">
                  <c:v>2147.1999999999998</c:v>
                </c:pt>
                <c:pt idx="43">
                  <c:v>2113.7800000000002</c:v>
                </c:pt>
                <c:pt idx="44">
                  <c:v>2001.81</c:v>
                </c:pt>
                <c:pt idx="45">
                  <c:v>2006.73</c:v>
                </c:pt>
                <c:pt idx="46">
                  <c:v>2035.24</c:v>
                </c:pt>
                <c:pt idx="47">
                  <c:v>1987.8</c:v>
                </c:pt>
                <c:pt idx="48">
                  <c:v>1993.54</c:v>
                </c:pt>
                <c:pt idx="49">
                  <c:v>1921.23</c:v>
                </c:pt>
                <c:pt idx="50">
                  <c:v>1954.74</c:v>
                </c:pt>
                <c:pt idx="51">
                  <c:v>2033.1</c:v>
                </c:pt>
                <c:pt idx="52">
                  <c:v>1908.53</c:v>
                </c:pt>
                <c:pt idx="53">
                  <c:v>1957.64</c:v>
                </c:pt>
                <c:pt idx="54">
                  <c:v>1972.31</c:v>
                </c:pt>
                <c:pt idx="55">
                  <c:v>1994.34</c:v>
                </c:pt>
                <c:pt idx="56">
                  <c:v>1944.63</c:v>
                </c:pt>
                <c:pt idx="57">
                  <c:v>1953.95</c:v>
                </c:pt>
                <c:pt idx="58">
                  <c:v>1967.7</c:v>
                </c:pt>
                <c:pt idx="59">
                  <c:v>2001.2</c:v>
                </c:pt>
                <c:pt idx="60">
                  <c:v>1941.75</c:v>
                </c:pt>
              </c:numCache>
            </c:numRef>
          </c:val>
          <c:smooth val="0"/>
          <c:extLst>
            <c:ext xmlns:c16="http://schemas.microsoft.com/office/drawing/2014/chart" uri="{C3380CC4-5D6E-409C-BE32-E72D297353CC}">
              <c16:uniqueId val="{00000001-101F-49C1-AE84-73D09955A30B}"/>
            </c:ext>
          </c:extLst>
        </c:ser>
        <c:ser>
          <c:idx val="2"/>
          <c:order val="2"/>
          <c:tx>
            <c:strRef>
              <c:f>'Copper-Lead-Zinc - Prices'!$D$9</c:f>
              <c:strCache>
                <c:ptCount val="1"/>
                <c:pt idx="0">
                  <c:v>Zinc</c:v>
                </c:pt>
              </c:strCache>
            </c:strRef>
          </c:tx>
          <c:spPr>
            <a:ln w="28575">
              <a:solidFill>
                <a:srgbClr val="F6B4E8"/>
              </a:solidFill>
            </a:ln>
          </c:spPr>
          <c:marker>
            <c:symbol val="none"/>
          </c:marker>
          <c:cat>
            <c:numRef>
              <c:f>'Copper-Lead-Zinc - Prices'!$A$11:$A$71</c:f>
              <c:numCache>
                <c:formatCode>mmm\-yy</c:formatCode>
                <c:ptCount val="61"/>
                <c:pt idx="0">
                  <c:v>44166</c:v>
                </c:pt>
                <c:pt idx="1">
                  <c:v>44197</c:v>
                </c:pt>
                <c:pt idx="2">
                  <c:v>44228</c:v>
                </c:pt>
                <c:pt idx="3">
                  <c:v>44256</c:v>
                </c:pt>
                <c:pt idx="4">
                  <c:v>44287</c:v>
                </c:pt>
                <c:pt idx="5">
                  <c:v>44317</c:v>
                </c:pt>
                <c:pt idx="6">
                  <c:v>44317</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pt idx="37">
                  <c:v>45292</c:v>
                </c:pt>
                <c:pt idx="38">
                  <c:v>45323</c:v>
                </c:pt>
                <c:pt idx="39">
                  <c:v>45352</c:v>
                </c:pt>
                <c:pt idx="40">
                  <c:v>45383</c:v>
                </c:pt>
                <c:pt idx="41">
                  <c:v>45413</c:v>
                </c:pt>
                <c:pt idx="42">
                  <c:v>45444</c:v>
                </c:pt>
                <c:pt idx="43">
                  <c:v>45474</c:v>
                </c:pt>
                <c:pt idx="44">
                  <c:v>45505</c:v>
                </c:pt>
                <c:pt idx="45">
                  <c:v>45536</c:v>
                </c:pt>
                <c:pt idx="46">
                  <c:v>45566</c:v>
                </c:pt>
                <c:pt idx="47">
                  <c:v>45597</c:v>
                </c:pt>
                <c:pt idx="48">
                  <c:v>45627</c:v>
                </c:pt>
                <c:pt idx="49">
                  <c:v>45658</c:v>
                </c:pt>
                <c:pt idx="50">
                  <c:v>45689</c:v>
                </c:pt>
                <c:pt idx="51">
                  <c:v>45717</c:v>
                </c:pt>
                <c:pt idx="52">
                  <c:v>45748</c:v>
                </c:pt>
                <c:pt idx="53">
                  <c:v>45778</c:v>
                </c:pt>
                <c:pt idx="54">
                  <c:v>45809</c:v>
                </c:pt>
                <c:pt idx="55">
                  <c:v>45839</c:v>
                </c:pt>
                <c:pt idx="56">
                  <c:v>45870</c:v>
                </c:pt>
                <c:pt idx="57">
                  <c:v>45901</c:v>
                </c:pt>
                <c:pt idx="58">
                  <c:v>45931</c:v>
                </c:pt>
                <c:pt idx="59">
                  <c:v>45962</c:v>
                </c:pt>
                <c:pt idx="60">
                  <c:v>45992</c:v>
                </c:pt>
              </c:numCache>
            </c:numRef>
          </c:cat>
          <c:val>
            <c:numRef>
              <c:f>'Copper-Lead-Zinc - Prices'!$D$11:$D$71</c:f>
              <c:numCache>
                <c:formatCode>#,##0.00</c:formatCode>
                <c:ptCount val="61"/>
                <c:pt idx="0">
                  <c:v>2782.36</c:v>
                </c:pt>
                <c:pt idx="1">
                  <c:v>2707.7</c:v>
                </c:pt>
                <c:pt idx="2">
                  <c:v>2713.2</c:v>
                </c:pt>
                <c:pt idx="3">
                  <c:v>2791.65</c:v>
                </c:pt>
                <c:pt idx="4">
                  <c:v>2827.35</c:v>
                </c:pt>
                <c:pt idx="5">
                  <c:v>2970.29</c:v>
                </c:pt>
                <c:pt idx="6">
                  <c:v>2970.29</c:v>
                </c:pt>
                <c:pt idx="7">
                  <c:v>2942.98</c:v>
                </c:pt>
                <c:pt idx="8">
                  <c:v>2988.9</c:v>
                </c:pt>
                <c:pt idx="9">
                  <c:v>3041.05</c:v>
                </c:pt>
                <c:pt idx="10">
                  <c:v>3369.49</c:v>
                </c:pt>
                <c:pt idx="11">
                  <c:v>3316.65</c:v>
                </c:pt>
                <c:pt idx="12">
                  <c:v>3407.32</c:v>
                </c:pt>
                <c:pt idx="13">
                  <c:v>3674.5</c:v>
                </c:pt>
                <c:pt idx="14">
                  <c:v>3643.68</c:v>
                </c:pt>
                <c:pt idx="15">
                  <c:v>3973.62</c:v>
                </c:pt>
                <c:pt idx="16">
                  <c:v>4370.41</c:v>
                </c:pt>
                <c:pt idx="17">
                  <c:v>3758.77</c:v>
                </c:pt>
                <c:pt idx="18">
                  <c:v>3643.29</c:v>
                </c:pt>
                <c:pt idx="19">
                  <c:v>3096.58</c:v>
                </c:pt>
                <c:pt idx="20">
                  <c:v>3572.13</c:v>
                </c:pt>
                <c:pt idx="21">
                  <c:v>3135.72</c:v>
                </c:pt>
                <c:pt idx="22">
                  <c:v>2959.05</c:v>
                </c:pt>
                <c:pt idx="23">
                  <c:v>2922.97</c:v>
                </c:pt>
                <c:pt idx="24">
                  <c:v>3127.5</c:v>
                </c:pt>
                <c:pt idx="25">
                  <c:v>3288.55</c:v>
                </c:pt>
                <c:pt idx="26">
                  <c:v>3143.04</c:v>
                </c:pt>
                <c:pt idx="27">
                  <c:v>2955.59</c:v>
                </c:pt>
                <c:pt idx="28">
                  <c:v>2772.06</c:v>
                </c:pt>
                <c:pt idx="29">
                  <c:v>2477.1</c:v>
                </c:pt>
                <c:pt idx="30">
                  <c:v>2367.64</c:v>
                </c:pt>
                <c:pt idx="31">
                  <c:v>2395.9899999999998</c:v>
                </c:pt>
                <c:pt idx="32">
                  <c:v>2400.48</c:v>
                </c:pt>
                <c:pt idx="33">
                  <c:v>2487.75</c:v>
                </c:pt>
                <c:pt idx="34">
                  <c:v>2448.75</c:v>
                </c:pt>
                <c:pt idx="35">
                  <c:v>2543.25</c:v>
                </c:pt>
                <c:pt idx="36">
                  <c:v>2501.29</c:v>
                </c:pt>
                <c:pt idx="37">
                  <c:v>2520.88</c:v>
                </c:pt>
                <c:pt idx="38">
                  <c:v>2363.86</c:v>
                </c:pt>
                <c:pt idx="39">
                  <c:v>2461.88</c:v>
                </c:pt>
                <c:pt idx="40">
                  <c:v>2730.11</c:v>
                </c:pt>
                <c:pt idx="41">
                  <c:v>2955.12</c:v>
                </c:pt>
                <c:pt idx="42">
                  <c:v>2812.35</c:v>
                </c:pt>
                <c:pt idx="43">
                  <c:v>2784.71</c:v>
                </c:pt>
                <c:pt idx="44">
                  <c:v>2709.24</c:v>
                </c:pt>
                <c:pt idx="45">
                  <c:v>2840.31</c:v>
                </c:pt>
                <c:pt idx="46">
                  <c:v>3102.46</c:v>
                </c:pt>
                <c:pt idx="47">
                  <c:v>2998.62</c:v>
                </c:pt>
                <c:pt idx="48">
                  <c:v>3042.53</c:v>
                </c:pt>
                <c:pt idx="49">
                  <c:v>2824.82</c:v>
                </c:pt>
                <c:pt idx="50">
                  <c:v>2799.23</c:v>
                </c:pt>
                <c:pt idx="51">
                  <c:v>2887.36</c:v>
                </c:pt>
                <c:pt idx="52">
                  <c:v>2624.75</c:v>
                </c:pt>
                <c:pt idx="53">
                  <c:v>2645.73</c:v>
                </c:pt>
                <c:pt idx="54">
                  <c:v>2650.36</c:v>
                </c:pt>
                <c:pt idx="55">
                  <c:v>2758.41</c:v>
                </c:pt>
                <c:pt idx="56">
                  <c:v>2783.9</c:v>
                </c:pt>
                <c:pt idx="57">
                  <c:v>2929.48</c:v>
                </c:pt>
                <c:pt idx="58">
                  <c:v>3148.45</c:v>
                </c:pt>
                <c:pt idx="59">
                  <c:v>3186.65</c:v>
                </c:pt>
                <c:pt idx="60">
                  <c:v>3159.21</c:v>
                </c:pt>
              </c:numCache>
            </c:numRef>
          </c:val>
          <c:smooth val="0"/>
          <c:extLst>
            <c:ext xmlns:c16="http://schemas.microsoft.com/office/drawing/2014/chart" uri="{C3380CC4-5D6E-409C-BE32-E72D297353CC}">
              <c16:uniqueId val="{00000002-101F-49C1-AE84-73D09955A30B}"/>
            </c:ext>
          </c:extLst>
        </c:ser>
        <c:dLbls>
          <c:showLegendKey val="0"/>
          <c:showVal val="0"/>
          <c:showCatName val="0"/>
          <c:showSerName val="0"/>
          <c:showPercent val="0"/>
          <c:showBubbleSize val="0"/>
        </c:dLbls>
        <c:smooth val="0"/>
        <c:axId val="130587648"/>
        <c:axId val="130586112"/>
      </c:lineChart>
      <c:valAx>
        <c:axId val="130586112"/>
        <c:scaling>
          <c:orientation val="minMax"/>
        </c:scaling>
        <c:delete val="0"/>
        <c:axPos val="l"/>
        <c:majorGridlines/>
        <c:title>
          <c:tx>
            <c:rich>
              <a:bodyPr/>
              <a:lstStyle/>
              <a:p>
                <a:pPr>
                  <a:defRPr/>
                </a:pPr>
                <a:r>
                  <a:rPr lang="en-AU"/>
                  <a:t>US$</a:t>
                </a:r>
                <a:r>
                  <a:rPr lang="en-AU" baseline="0"/>
                  <a:t> per </a:t>
                </a:r>
                <a:r>
                  <a:rPr lang="en-AU"/>
                  <a:t>tonne</a:t>
                </a:r>
              </a:p>
            </c:rich>
          </c:tx>
          <c:overlay val="0"/>
        </c:title>
        <c:numFmt formatCode="#,##0" sourceLinked="0"/>
        <c:majorTickMark val="out"/>
        <c:minorTickMark val="none"/>
        <c:tickLblPos val="nextTo"/>
        <c:crossAx val="130587648"/>
        <c:crosses val="autoZero"/>
        <c:crossBetween val="midCat"/>
      </c:valAx>
      <c:dateAx>
        <c:axId val="130587648"/>
        <c:scaling>
          <c:orientation val="minMax"/>
        </c:scaling>
        <c:delete val="0"/>
        <c:axPos val="b"/>
        <c:title>
          <c:tx>
            <c:rich>
              <a:bodyPr/>
              <a:lstStyle/>
              <a:p>
                <a:pPr>
                  <a:defRPr sz="900"/>
                </a:pPr>
                <a:r>
                  <a:rPr lang="en-AU" sz="900" b="1" i="0" baseline="0">
                    <a:effectLst/>
                    <a:latin typeface="+mn-lt"/>
                  </a:rPr>
                  <a:t>Source: LME</a:t>
                </a:r>
                <a:endParaRPr lang="en-AU" sz="900" b="1">
                  <a:effectLst/>
                  <a:latin typeface="+mn-lt"/>
                </a:endParaRPr>
              </a:p>
            </c:rich>
          </c:tx>
          <c:layout>
            <c:manualLayout>
              <c:xMode val="edge"/>
              <c:yMode val="edge"/>
              <c:x val="0"/>
              <c:y val="0.95241450584702547"/>
            </c:manualLayout>
          </c:layout>
          <c:overlay val="0"/>
        </c:title>
        <c:numFmt formatCode="mmm\-yy" sourceLinked="1"/>
        <c:majorTickMark val="out"/>
        <c:minorTickMark val="none"/>
        <c:tickLblPos val="nextTo"/>
        <c:spPr>
          <a:ln/>
        </c:spPr>
        <c:txPr>
          <a:bodyPr rot="-2700000"/>
          <a:lstStyle/>
          <a:p>
            <a:pPr>
              <a:defRPr/>
            </a:pPr>
            <a:endParaRPr lang="en-US"/>
          </a:p>
        </c:txPr>
        <c:crossAx val="130586112"/>
        <c:crosses val="autoZero"/>
        <c:auto val="0"/>
        <c:lblOffset val="100"/>
        <c:baseTimeUnit val="days"/>
        <c:majorUnit val="3"/>
        <c:majorTimeUnit val="months"/>
        <c:minorUnit val="3"/>
      </c:date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spPr>
            <a:solidFill>
              <a:srgbClr val="FF66CC"/>
            </a:solidFill>
            <a:ln>
              <a:solidFill>
                <a:srgbClr val="F6B4E8"/>
              </a:solidFill>
            </a:ln>
          </c:spPr>
          <c:invertIfNegative val="0"/>
          <c:cat>
            <c:numRef>
              <c:f>'Copper-Lead-Zinc - Q&amp;V'!$K$14:$K$22</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'Copper-Lead-Zinc - Q&amp;V'!$L$14:$L$22</c:f>
              <c:numCache>
                <c:formatCode>#,##0.00</c:formatCode>
                <c:ptCount val="9"/>
                <c:pt idx="0">
                  <c:v>21.038934422526392</c:v>
                </c:pt>
                <c:pt idx="1">
                  <c:v>16.923514000000001</c:v>
                </c:pt>
                <c:pt idx="2">
                  <c:v>17.369184000000004</c:v>
                </c:pt>
                <c:pt idx="3">
                  <c:v>17.335262000000004</c:v>
                </c:pt>
                <c:pt idx="4">
                  <c:v>20.686555000000002</c:v>
                </c:pt>
                <c:pt idx="5">
                  <c:v>14.337950999999999</c:v>
                </c:pt>
                <c:pt idx="6">
                  <c:v>19.326414</c:v>
                </c:pt>
                <c:pt idx="7">
                  <c:v>17.455362000000001</c:v>
                </c:pt>
                <c:pt idx="8">
                  <c:v>14.898131000000001</c:v>
                </c:pt>
              </c:numCache>
            </c:numRef>
          </c:val>
          <c:extLst>
            <c:ext xmlns:c16="http://schemas.microsoft.com/office/drawing/2014/chart" uri="{C3380CC4-5D6E-409C-BE32-E72D297353CC}">
              <c16:uniqueId val="{00000000-E7C8-43FC-ADB4-3729DA54A175}"/>
            </c:ext>
          </c:extLst>
        </c:ser>
        <c:dLbls>
          <c:showLegendKey val="0"/>
          <c:showVal val="0"/>
          <c:showCatName val="0"/>
          <c:showSerName val="0"/>
          <c:showPercent val="0"/>
          <c:showBubbleSize val="0"/>
        </c:dLbls>
        <c:gapWidth val="40"/>
        <c:axId val="117859072"/>
        <c:axId val="117848704"/>
      </c:barChart>
      <c:lineChart>
        <c:grouping val="standard"/>
        <c:varyColors val="0"/>
        <c:ser>
          <c:idx val="1"/>
          <c:order val="1"/>
          <c:tx>
            <c:v>Value</c:v>
          </c:tx>
          <c:spPr>
            <a:ln w="28575">
              <a:solidFill>
                <a:srgbClr val="F6B4E8"/>
              </a:solidFill>
            </a:ln>
          </c:spPr>
          <c:marker>
            <c:symbol val="none"/>
          </c:marker>
          <c:cat>
            <c:numRef>
              <c:f>'Copper-Lead-Zinc - Q&amp;V'!$K$14:$K$22</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'Copper-Lead-Zinc - Q&amp;V'!$M$14:$M$22</c:f>
              <c:numCache>
                <c:formatCode>#,##0.00</c:formatCode>
                <c:ptCount val="9"/>
                <c:pt idx="0">
                  <c:v>263.76942199999996</c:v>
                </c:pt>
                <c:pt idx="1">
                  <c:v>228.11335895946982</c:v>
                </c:pt>
                <c:pt idx="2">
                  <c:v>237.68358763900719</c:v>
                </c:pt>
                <c:pt idx="3">
                  <c:v>227.159029</c:v>
                </c:pt>
                <c:pt idx="4">
                  <c:v>284.078642</c:v>
                </c:pt>
                <c:pt idx="5">
                  <c:v>213.995487</c:v>
                </c:pt>
                <c:pt idx="6">
                  <c:v>295.83100999999999</c:v>
                </c:pt>
                <c:pt idx="7">
                  <c:v>280.03752700000001</c:v>
                </c:pt>
                <c:pt idx="8">
                  <c:v>249.11851999999999</c:v>
                </c:pt>
              </c:numCache>
            </c:numRef>
          </c:val>
          <c:smooth val="0"/>
          <c:extLst>
            <c:ext xmlns:c16="http://schemas.microsoft.com/office/drawing/2014/chart" uri="{C3380CC4-5D6E-409C-BE32-E72D297353CC}">
              <c16:uniqueId val="{00000001-E7C8-43FC-ADB4-3729DA54A175}"/>
            </c:ext>
          </c:extLst>
        </c:ser>
        <c:dLbls>
          <c:showLegendKey val="0"/>
          <c:showVal val="0"/>
          <c:showCatName val="0"/>
          <c:showSerName val="0"/>
          <c:showPercent val="0"/>
          <c:showBubbleSize val="0"/>
        </c:dLbls>
        <c:marker val="1"/>
        <c:smooth val="0"/>
        <c:axId val="117963392"/>
        <c:axId val="117846784"/>
      </c:lineChart>
      <c:catAx>
        <c:axId val="117963392"/>
        <c:scaling>
          <c:orientation val="minMax"/>
        </c:scaling>
        <c:delete val="0"/>
        <c:axPos val="b"/>
        <c:title>
          <c:tx>
            <c:rich>
              <a:bodyPr/>
              <a:lstStyle/>
              <a:p>
                <a:pPr>
                  <a:defRPr sz="900"/>
                </a:pPr>
                <a:r>
                  <a:rPr lang="en-AU" sz="900"/>
                  <a:t>Source: DTF and</a:t>
                </a:r>
                <a:r>
                  <a:rPr lang="en-AU" sz="900" baseline="0"/>
                  <a:t> </a:t>
                </a:r>
                <a:r>
                  <a:rPr lang="en-AU" sz="900" b="1" i="0" u="none" strike="noStrike" kern="1200" baseline="0">
                    <a:solidFill>
                      <a:sysClr val="windowText" lastClr="000000"/>
                    </a:solidFill>
                  </a:rPr>
                  <a:t>DMPE</a:t>
                </a:r>
                <a:endParaRPr lang="en-AU" sz="900"/>
              </a:p>
            </c:rich>
          </c:tx>
          <c:layout>
            <c:manualLayout>
              <c:xMode val="edge"/>
              <c:yMode val="edge"/>
              <c:x val="1.3584783123356384E-2"/>
              <c:y val="0.94360902433945948"/>
            </c:manualLayout>
          </c:layout>
          <c:overlay val="0"/>
          <c:spPr>
            <a:noFill/>
          </c:spPr>
        </c:title>
        <c:numFmt formatCode="mmm\-yy" sourceLinked="1"/>
        <c:majorTickMark val="out"/>
        <c:minorTickMark val="none"/>
        <c:tickLblPos val="nextTo"/>
        <c:txPr>
          <a:bodyPr rot="-2700000"/>
          <a:lstStyle/>
          <a:p>
            <a:pPr>
              <a:defRPr/>
            </a:pPr>
            <a:endParaRPr lang="en-US"/>
          </a:p>
        </c:txPr>
        <c:crossAx val="117846784"/>
        <c:crosses val="autoZero"/>
        <c:auto val="0"/>
        <c:lblAlgn val="ctr"/>
        <c:lblOffset val="100"/>
        <c:noMultiLvlLbl val="0"/>
      </c:catAx>
      <c:valAx>
        <c:axId val="117846784"/>
        <c:scaling>
          <c:orientation val="minMax"/>
          <c:max val="40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7963392"/>
        <c:crosses val="autoZero"/>
        <c:crossBetween val="between"/>
        <c:majorUnit val="100"/>
      </c:valAx>
      <c:valAx>
        <c:axId val="117848704"/>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7859072"/>
        <c:crosses val="max"/>
        <c:crossBetween val="between"/>
        <c:majorUnit val="10"/>
      </c:valAx>
      <c:dateAx>
        <c:axId val="117859072"/>
        <c:scaling>
          <c:orientation val="minMax"/>
        </c:scaling>
        <c:delete val="1"/>
        <c:axPos val="b"/>
        <c:numFmt formatCode="mmm\-yy" sourceLinked="1"/>
        <c:majorTickMark val="out"/>
        <c:minorTickMark val="none"/>
        <c:tickLblPos val="nextTo"/>
        <c:crossAx val="1178487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spPr>
            <a:solidFill>
              <a:srgbClr val="FF66CC"/>
            </a:solidFill>
            <a:ln>
              <a:solidFill>
                <a:srgbClr val="F6B4E8"/>
              </a:solidFill>
            </a:ln>
          </c:spPr>
          <c:invertIfNegative val="0"/>
          <c:cat>
            <c:numRef>
              <c:f>'Copper-Lead-Zinc - Q&amp;V'!$K$14:$K$22</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'Copper-Lead-Zinc - Q&amp;V'!$N$14:$N$22</c:f>
              <c:numCache>
                <c:formatCode>#,##0.00</c:formatCode>
                <c:ptCount val="9"/>
                <c:pt idx="0">
                  <c:v>13.449295000000001</c:v>
                </c:pt>
                <c:pt idx="1">
                  <c:v>10.695444999999999</c:v>
                </c:pt>
                <c:pt idx="2">
                  <c:v>11.016684</c:v>
                </c:pt>
                <c:pt idx="3">
                  <c:v>17.424968</c:v>
                </c:pt>
                <c:pt idx="4">
                  <c:v>17.080195</c:v>
                </c:pt>
                <c:pt idx="5">
                  <c:v>10.780507</c:v>
                </c:pt>
                <c:pt idx="6">
                  <c:v>23.512173999999998</c:v>
                </c:pt>
                <c:pt idx="7">
                  <c:v>18.645424999999999</c:v>
                </c:pt>
                <c:pt idx="8">
                  <c:v>18.971409999999999</c:v>
                </c:pt>
              </c:numCache>
            </c:numRef>
          </c:val>
          <c:extLst>
            <c:ext xmlns:c16="http://schemas.microsoft.com/office/drawing/2014/chart" uri="{C3380CC4-5D6E-409C-BE32-E72D297353CC}">
              <c16:uniqueId val="{00000000-3B95-4A3E-A80E-AAF356D77F43}"/>
            </c:ext>
          </c:extLst>
        </c:ser>
        <c:dLbls>
          <c:showLegendKey val="0"/>
          <c:showVal val="0"/>
          <c:showCatName val="0"/>
          <c:showSerName val="0"/>
          <c:showPercent val="0"/>
          <c:showBubbleSize val="0"/>
        </c:dLbls>
        <c:gapWidth val="40"/>
        <c:axId val="117904896"/>
        <c:axId val="115871104"/>
      </c:barChart>
      <c:lineChart>
        <c:grouping val="standard"/>
        <c:varyColors val="0"/>
        <c:ser>
          <c:idx val="1"/>
          <c:order val="1"/>
          <c:tx>
            <c:v>Value</c:v>
          </c:tx>
          <c:spPr>
            <a:ln w="28575">
              <a:solidFill>
                <a:srgbClr val="F6B4E8"/>
              </a:solidFill>
            </a:ln>
          </c:spPr>
          <c:marker>
            <c:symbol val="none"/>
          </c:marker>
          <c:cat>
            <c:numRef>
              <c:f>'Copper-Lead-Zinc - Q&amp;V'!$K$14:$K$22</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'Copper-Lead-Zinc - Q&amp;V'!$O$14:$O$22</c:f>
              <c:numCache>
                <c:formatCode>#,##0.00</c:formatCode>
                <c:ptCount val="9"/>
                <c:pt idx="0">
                  <c:v>42.902200000000001</c:v>
                </c:pt>
                <c:pt idx="1">
                  <c:v>35.425722999999998</c:v>
                </c:pt>
                <c:pt idx="2">
                  <c:v>35.804186000000001</c:v>
                </c:pt>
                <c:pt idx="3">
                  <c:v>52.497943999999997</c:v>
                </c:pt>
                <c:pt idx="4">
                  <c:v>52.350564999999996</c:v>
                </c:pt>
                <c:pt idx="5">
                  <c:v>33.625239000000001</c:v>
                </c:pt>
                <c:pt idx="6">
                  <c:v>71.64855399999999</c:v>
                </c:pt>
                <c:pt idx="7">
                  <c:v>58.631788</c:v>
                </c:pt>
                <c:pt idx="8">
                  <c:v>58.842118999999997</c:v>
                </c:pt>
              </c:numCache>
            </c:numRef>
          </c:val>
          <c:smooth val="0"/>
          <c:extLst>
            <c:ext xmlns:c16="http://schemas.microsoft.com/office/drawing/2014/chart" uri="{C3380CC4-5D6E-409C-BE32-E72D297353CC}">
              <c16:uniqueId val="{00000001-3B95-4A3E-A80E-AAF356D77F43}"/>
            </c:ext>
          </c:extLst>
        </c:ser>
        <c:dLbls>
          <c:showLegendKey val="0"/>
          <c:showVal val="0"/>
          <c:showCatName val="0"/>
          <c:showSerName val="0"/>
          <c:showPercent val="0"/>
          <c:showBubbleSize val="0"/>
        </c:dLbls>
        <c:marker val="1"/>
        <c:smooth val="0"/>
        <c:axId val="115502464"/>
        <c:axId val="115869184"/>
      </c:lineChart>
      <c:catAx>
        <c:axId val="115502464"/>
        <c:scaling>
          <c:orientation val="minMax"/>
        </c:scaling>
        <c:delete val="0"/>
        <c:axPos val="b"/>
        <c:title>
          <c:tx>
            <c:rich>
              <a:bodyPr/>
              <a:lstStyle/>
              <a:p>
                <a:pPr>
                  <a:defRPr sz="900"/>
                </a:pPr>
                <a:r>
                  <a:rPr lang="en-AU" sz="900"/>
                  <a:t>Source: </a:t>
                </a:r>
                <a:r>
                  <a:rPr lang="en-AU" sz="900" b="1" i="0" u="none" strike="noStrike" kern="1200" baseline="0">
                    <a:solidFill>
                      <a:sysClr val="windowText" lastClr="000000"/>
                    </a:solidFill>
                  </a:rPr>
                  <a:t>DTF and DMPE</a:t>
                </a:r>
                <a:endParaRPr lang="en-AU" sz="900"/>
              </a:p>
            </c:rich>
          </c:tx>
          <c:layout>
            <c:manualLayout>
              <c:xMode val="edge"/>
              <c:yMode val="edge"/>
              <c:x val="1.3832669335422394E-2"/>
              <c:y val="0.94173703287089106"/>
            </c:manualLayout>
          </c:layout>
          <c:overlay val="0"/>
          <c:spPr>
            <a:noFill/>
          </c:spPr>
        </c:title>
        <c:numFmt formatCode="mmm\-yy" sourceLinked="1"/>
        <c:majorTickMark val="out"/>
        <c:minorTickMark val="none"/>
        <c:tickLblPos val="nextTo"/>
        <c:txPr>
          <a:bodyPr rot="-2700000"/>
          <a:lstStyle/>
          <a:p>
            <a:pPr>
              <a:defRPr/>
            </a:pPr>
            <a:endParaRPr lang="en-US"/>
          </a:p>
        </c:txPr>
        <c:crossAx val="115869184"/>
        <c:crosses val="autoZero"/>
        <c:auto val="0"/>
        <c:lblAlgn val="ctr"/>
        <c:lblOffset val="100"/>
        <c:noMultiLvlLbl val="0"/>
      </c:catAx>
      <c:valAx>
        <c:axId val="115869184"/>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5502464"/>
        <c:crosses val="autoZero"/>
        <c:crossBetween val="between"/>
        <c:majorUnit val="15"/>
      </c:valAx>
      <c:valAx>
        <c:axId val="115871104"/>
        <c:scaling>
          <c:orientation val="minMax"/>
          <c:min val="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7904896"/>
        <c:crosses val="max"/>
        <c:crossBetween val="between"/>
        <c:majorUnit val="5"/>
      </c:valAx>
      <c:dateAx>
        <c:axId val="117904896"/>
        <c:scaling>
          <c:orientation val="minMax"/>
        </c:scaling>
        <c:delete val="1"/>
        <c:axPos val="b"/>
        <c:numFmt formatCode="mmm\-yy" sourceLinked="1"/>
        <c:majorTickMark val="out"/>
        <c:minorTickMark val="none"/>
        <c:tickLblPos val="nextTo"/>
        <c:crossAx val="1158711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Year</a:t>
            </a:r>
          </a:p>
        </c:rich>
      </c:tx>
      <c:overlay val="0"/>
    </c:title>
    <c:autoTitleDeleted val="0"/>
    <c:plotArea>
      <c:layout/>
      <c:barChart>
        <c:barDir val="col"/>
        <c:grouping val="clustered"/>
        <c:varyColors val="0"/>
        <c:ser>
          <c:idx val="0"/>
          <c:order val="0"/>
          <c:tx>
            <c:v>Quantity</c:v>
          </c:tx>
          <c:spPr>
            <a:solidFill>
              <a:srgbClr val="FF66CC"/>
            </a:solidFill>
          </c:spPr>
          <c:invertIfNegative val="0"/>
          <c:cat>
            <c:numRef>
              <c:f>'Copper-Lead-Zinc - Q&amp;V'!$K$29:$K$48</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'Copper-Lead-Zinc - Q&amp;V'!$L$29:$L$48</c:f>
              <c:numCache>
                <c:formatCode>#,##0.00</c:formatCode>
                <c:ptCount val="20"/>
                <c:pt idx="0">
                  <c:v>99.242470999999995</c:v>
                </c:pt>
                <c:pt idx="1">
                  <c:v>105.40498599999999</c:v>
                </c:pt>
                <c:pt idx="2">
                  <c:v>119.055948</c:v>
                </c:pt>
                <c:pt idx="3">
                  <c:v>151.49643399999999</c:v>
                </c:pt>
                <c:pt idx="4">
                  <c:v>155.65068099999999</c:v>
                </c:pt>
                <c:pt idx="5">
                  <c:v>144.95804783199998</c:v>
                </c:pt>
                <c:pt idx="6">
                  <c:v>185.75001993699999</c:v>
                </c:pt>
                <c:pt idx="7">
                  <c:v>216.05661499999999</c:v>
                </c:pt>
                <c:pt idx="8">
                  <c:v>197.08071799999999</c:v>
                </c:pt>
                <c:pt idx="9">
                  <c:v>189.41435100000001</c:v>
                </c:pt>
                <c:pt idx="10">
                  <c:v>181.53603299999997</c:v>
                </c:pt>
                <c:pt idx="11">
                  <c:v>160.27640700000001</c:v>
                </c:pt>
                <c:pt idx="12">
                  <c:v>165.92057600000001</c:v>
                </c:pt>
                <c:pt idx="13">
                  <c:v>172.11437000000001</c:v>
                </c:pt>
                <c:pt idx="14">
                  <c:v>147.23582699999997</c:v>
                </c:pt>
                <c:pt idx="15">
                  <c:v>148.743044</c:v>
                </c:pt>
                <c:pt idx="16">
                  <c:v>144.10000300000002</c:v>
                </c:pt>
                <c:pt idx="17">
                  <c:v>107.19488042252641</c:v>
                </c:pt>
                <c:pt idx="18">
                  <c:v>72.314515</c:v>
                </c:pt>
                <c:pt idx="19">
                  <c:v>66.017858000000004</c:v>
                </c:pt>
              </c:numCache>
            </c:numRef>
          </c:val>
          <c:extLst>
            <c:ext xmlns:c16="http://schemas.microsoft.com/office/drawing/2014/chart" uri="{C3380CC4-5D6E-409C-BE32-E72D297353CC}">
              <c16:uniqueId val="{00000000-A9CB-4D71-A962-992F0EB1A378}"/>
            </c:ext>
          </c:extLst>
        </c:ser>
        <c:dLbls>
          <c:showLegendKey val="0"/>
          <c:showVal val="0"/>
          <c:showCatName val="0"/>
          <c:showSerName val="0"/>
          <c:showPercent val="0"/>
          <c:showBubbleSize val="0"/>
        </c:dLbls>
        <c:gapWidth val="40"/>
        <c:axId val="130178048"/>
        <c:axId val="130176128"/>
      </c:barChart>
      <c:lineChart>
        <c:grouping val="standard"/>
        <c:varyColors val="0"/>
        <c:ser>
          <c:idx val="1"/>
          <c:order val="1"/>
          <c:tx>
            <c:v>Value</c:v>
          </c:tx>
          <c:spPr>
            <a:ln w="28575">
              <a:solidFill>
                <a:srgbClr val="F6B4E8"/>
              </a:solidFill>
            </a:ln>
          </c:spPr>
          <c:marker>
            <c:symbol val="none"/>
          </c:marker>
          <c:cat>
            <c:numRef>
              <c:f>'Copper-Lead-Zinc - Q&amp;V'!$K$29:$K$48</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'Copper-Lead-Zinc - Q&amp;V'!$M$29:$M$48</c:f>
              <c:numCache>
                <c:formatCode>#,##0.00</c:formatCode>
                <c:ptCount val="20"/>
                <c:pt idx="0">
                  <c:v>865.00019402999988</c:v>
                </c:pt>
                <c:pt idx="1">
                  <c:v>885.58278529999995</c:v>
                </c:pt>
                <c:pt idx="2">
                  <c:v>832.51515368000003</c:v>
                </c:pt>
                <c:pt idx="3">
                  <c:v>933.12328494000008</c:v>
                </c:pt>
                <c:pt idx="4">
                  <c:v>1302.14808608</c:v>
                </c:pt>
                <c:pt idx="5">
                  <c:v>1195.22360826</c:v>
                </c:pt>
                <c:pt idx="6">
                  <c:v>1370.4501023600001</c:v>
                </c:pt>
                <c:pt idx="7">
                  <c:v>1492.7644329999998</c:v>
                </c:pt>
                <c:pt idx="8">
                  <c:v>1401.6056509999999</c:v>
                </c:pt>
                <c:pt idx="9">
                  <c:v>1244.427187</c:v>
                </c:pt>
                <c:pt idx="10">
                  <c:v>1188.4528879999998</c:v>
                </c:pt>
                <c:pt idx="11">
                  <c:v>1244.4373860000001</c:v>
                </c:pt>
                <c:pt idx="12">
                  <c:v>1349.6936430000001</c:v>
                </c:pt>
                <c:pt idx="13">
                  <c:v>1415.0997299999999</c:v>
                </c:pt>
                <c:pt idx="14">
                  <c:v>1294.5384939999999</c:v>
                </c:pt>
                <c:pt idx="15">
                  <c:v>1827.9389209999999</c:v>
                </c:pt>
                <c:pt idx="16">
                  <c:v>1705.5636969999998</c:v>
                </c:pt>
                <c:pt idx="17">
                  <c:v>1303.1828209999999</c:v>
                </c:pt>
                <c:pt idx="18">
                  <c:v>977.0346175984771</c:v>
                </c:pt>
                <c:pt idx="19">
                  <c:v>1038.982544</c:v>
                </c:pt>
              </c:numCache>
            </c:numRef>
          </c:val>
          <c:smooth val="0"/>
          <c:extLst>
            <c:ext xmlns:c16="http://schemas.microsoft.com/office/drawing/2014/chart" uri="{C3380CC4-5D6E-409C-BE32-E72D297353CC}">
              <c16:uniqueId val="{00000001-A9CB-4D71-A962-992F0EB1A378}"/>
            </c:ext>
          </c:extLst>
        </c:ser>
        <c:dLbls>
          <c:showLegendKey val="0"/>
          <c:showVal val="0"/>
          <c:showCatName val="0"/>
          <c:showSerName val="0"/>
          <c:showPercent val="0"/>
          <c:showBubbleSize val="0"/>
        </c:dLbls>
        <c:marker val="1"/>
        <c:smooth val="0"/>
        <c:axId val="130163840"/>
        <c:axId val="130165760"/>
      </c:lineChart>
      <c:dateAx>
        <c:axId val="130163840"/>
        <c:scaling>
          <c:orientation val="minMax"/>
        </c:scaling>
        <c:delete val="0"/>
        <c:axPos val="b"/>
        <c:title>
          <c:tx>
            <c:rich>
              <a:bodyPr/>
              <a:lstStyle/>
              <a:p>
                <a:pPr>
                  <a:defRPr/>
                </a:pPr>
                <a:r>
                  <a:rPr lang="en-AU" sz="900"/>
                  <a:t>Source: </a:t>
                </a:r>
                <a:r>
                  <a:rPr lang="en-AU" sz="900" b="1" i="0" u="none" strike="noStrike" kern="1200" baseline="0">
                    <a:solidFill>
                      <a:sysClr val="windowText" lastClr="000000"/>
                    </a:solidFill>
                  </a:rPr>
                  <a:t>DTF and DMPE</a:t>
                </a:r>
                <a:endParaRPr lang="en-AU" sz="900"/>
              </a:p>
            </c:rich>
          </c:tx>
          <c:layout>
            <c:manualLayout>
              <c:xMode val="edge"/>
              <c:yMode val="edge"/>
              <c:x val="6.7161628880478344E-3"/>
              <c:y val="0.95320166149312358"/>
            </c:manualLayout>
          </c:layout>
          <c:overlay val="0"/>
          <c:spPr>
            <a:noFill/>
          </c:spPr>
        </c:title>
        <c:numFmt formatCode="@@@@@@@@@" sourceLinked="0"/>
        <c:majorTickMark val="out"/>
        <c:minorTickMark val="none"/>
        <c:tickLblPos val="nextTo"/>
        <c:txPr>
          <a:bodyPr rot="-2700000"/>
          <a:lstStyle/>
          <a:p>
            <a:pPr>
              <a:defRPr/>
            </a:pPr>
            <a:endParaRPr lang="en-US"/>
          </a:p>
        </c:txPr>
        <c:crossAx val="130165760"/>
        <c:crosses val="autoZero"/>
        <c:auto val="0"/>
        <c:lblOffset val="100"/>
        <c:baseTimeUnit val="days"/>
        <c:majorUnit val="1"/>
      </c:dateAx>
      <c:valAx>
        <c:axId val="13016576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163840"/>
        <c:crosses val="autoZero"/>
        <c:crossBetween val="between"/>
      </c:valAx>
      <c:valAx>
        <c:axId val="13017612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178048"/>
        <c:crosses val="max"/>
        <c:crossBetween val="between"/>
        <c:majorUnit val="25"/>
      </c:valAx>
      <c:catAx>
        <c:axId val="130178048"/>
        <c:scaling>
          <c:orientation val="minMax"/>
        </c:scaling>
        <c:delete val="1"/>
        <c:axPos val="b"/>
        <c:numFmt formatCode="General" sourceLinked="1"/>
        <c:majorTickMark val="out"/>
        <c:minorTickMark val="none"/>
        <c:tickLblPos val="nextTo"/>
        <c:crossAx val="13017612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Year</a:t>
            </a:r>
          </a:p>
        </c:rich>
      </c:tx>
      <c:overlay val="0"/>
    </c:title>
    <c:autoTitleDeleted val="0"/>
    <c:plotArea>
      <c:layout/>
      <c:barChart>
        <c:barDir val="col"/>
        <c:grouping val="clustered"/>
        <c:varyColors val="0"/>
        <c:ser>
          <c:idx val="0"/>
          <c:order val="0"/>
          <c:tx>
            <c:v>Quantity</c:v>
          </c:tx>
          <c:spPr>
            <a:solidFill>
              <a:srgbClr val="FF66CC"/>
            </a:solidFill>
          </c:spPr>
          <c:invertIfNegative val="0"/>
          <c:cat>
            <c:numRef>
              <c:f>'Copper-Lead-Zinc - Q&amp;V'!$K$29:$K$48</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'Copper-Lead-Zinc - Q&amp;V'!$N$29:$N$48</c:f>
              <c:numCache>
                <c:formatCode>#,##0.00</c:formatCode>
                <c:ptCount val="20"/>
                <c:pt idx="0">
                  <c:v>70.95348899999999</c:v>
                </c:pt>
                <c:pt idx="1">
                  <c:v>37.091524999999997</c:v>
                </c:pt>
                <c:pt idx="2">
                  <c:v>18.538827999999999</c:v>
                </c:pt>
                <c:pt idx="3">
                  <c:v>22.755433000000004</c:v>
                </c:pt>
                <c:pt idx="4">
                  <c:v>52.922928999999996</c:v>
                </c:pt>
                <c:pt idx="5">
                  <c:v>8.3429219999999997</c:v>
                </c:pt>
                <c:pt idx="6">
                  <c:v>8.135294</c:v>
                </c:pt>
                <c:pt idx="7">
                  <c:v>52.261510000000001</c:v>
                </c:pt>
                <c:pt idx="8">
                  <c:v>80.888499999999993</c:v>
                </c:pt>
                <c:pt idx="9">
                  <c:v>20.259029999999999</c:v>
                </c:pt>
                <c:pt idx="10">
                  <c:v>4.76091</c:v>
                </c:pt>
                <c:pt idx="11">
                  <c:v>5.9010800000000003</c:v>
                </c:pt>
                <c:pt idx="12">
                  <c:v>6.0910000000000011</c:v>
                </c:pt>
                <c:pt idx="13">
                  <c:v>2.9168000000000003</c:v>
                </c:pt>
                <c:pt idx="14">
                  <c:v>1.3745150000000002</c:v>
                </c:pt>
                <c:pt idx="15">
                  <c:v>1.2656350000000001</c:v>
                </c:pt>
                <c:pt idx="16">
                  <c:v>0</c:v>
                </c:pt>
                <c:pt idx="17">
                  <c:v>36.339978000000002</c:v>
                </c:pt>
                <c:pt idx="18">
                  <c:v>56.217292</c:v>
                </c:pt>
                <c:pt idx="19">
                  <c:v>71.909515999999996</c:v>
                </c:pt>
              </c:numCache>
            </c:numRef>
          </c:val>
          <c:extLst>
            <c:ext xmlns:c16="http://schemas.microsoft.com/office/drawing/2014/chart" uri="{C3380CC4-5D6E-409C-BE32-E72D297353CC}">
              <c16:uniqueId val="{00000000-B404-4624-AC97-26BCEF6A7596}"/>
            </c:ext>
          </c:extLst>
        </c:ser>
        <c:dLbls>
          <c:showLegendKey val="0"/>
          <c:showVal val="0"/>
          <c:showCatName val="0"/>
          <c:showSerName val="0"/>
          <c:showPercent val="0"/>
          <c:showBubbleSize val="0"/>
        </c:dLbls>
        <c:gapWidth val="40"/>
        <c:axId val="1909311472"/>
        <c:axId val="1666309104"/>
      </c:barChart>
      <c:lineChart>
        <c:grouping val="standard"/>
        <c:varyColors val="0"/>
        <c:ser>
          <c:idx val="1"/>
          <c:order val="1"/>
          <c:tx>
            <c:v>Value</c:v>
          </c:tx>
          <c:spPr>
            <a:ln w="28575">
              <a:solidFill>
                <a:srgbClr val="F6B4E8"/>
              </a:solidFill>
            </a:ln>
          </c:spPr>
          <c:marker>
            <c:symbol val="none"/>
          </c:marker>
          <c:cat>
            <c:numRef>
              <c:f>'Copper-Lead-Zinc - Q&amp;V'!$K$29:$K$48</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'Copper-Lead-Zinc - Q&amp;V'!$O$29:$O$48</c:f>
              <c:numCache>
                <c:formatCode>#,##0.00</c:formatCode>
                <c:ptCount val="20"/>
                <c:pt idx="0">
                  <c:v>127.85454053000001</c:v>
                </c:pt>
                <c:pt idx="1">
                  <c:v>96.781479340000004</c:v>
                </c:pt>
                <c:pt idx="2">
                  <c:v>28.815419949999999</c:v>
                </c:pt>
                <c:pt idx="3">
                  <c:v>48.874789219999997</c:v>
                </c:pt>
                <c:pt idx="4">
                  <c:v>126.64476232</c:v>
                </c:pt>
                <c:pt idx="5">
                  <c:v>19.57646712</c:v>
                </c:pt>
                <c:pt idx="6">
                  <c:v>16.53442321</c:v>
                </c:pt>
                <c:pt idx="7">
                  <c:v>116.056679</c:v>
                </c:pt>
                <c:pt idx="8">
                  <c:v>184.89006699999999</c:v>
                </c:pt>
                <c:pt idx="9">
                  <c:v>48.685219000000004</c:v>
                </c:pt>
                <c:pt idx="10">
                  <c:v>12.78299</c:v>
                </c:pt>
                <c:pt idx="11">
                  <c:v>18.548734</c:v>
                </c:pt>
                <c:pt idx="12">
                  <c:v>17.155192</c:v>
                </c:pt>
                <c:pt idx="13">
                  <c:v>8.3506509999999992</c:v>
                </c:pt>
                <c:pt idx="14">
                  <c:v>3.3216389999999998</c:v>
                </c:pt>
                <c:pt idx="15">
                  <c:v>3.9687389999999998</c:v>
                </c:pt>
                <c:pt idx="16">
                  <c:v>0</c:v>
                </c:pt>
                <c:pt idx="17">
                  <c:v>116.59488299999998</c:v>
                </c:pt>
                <c:pt idx="18">
                  <c:v>176.07841799999997</c:v>
                </c:pt>
                <c:pt idx="19">
                  <c:v>222.74769999999998</c:v>
                </c:pt>
              </c:numCache>
            </c:numRef>
          </c:val>
          <c:smooth val="0"/>
          <c:extLst>
            <c:ext xmlns:c16="http://schemas.microsoft.com/office/drawing/2014/chart" uri="{C3380CC4-5D6E-409C-BE32-E72D297353CC}">
              <c16:uniqueId val="{00000001-B404-4624-AC97-26BCEF6A7596}"/>
            </c:ext>
          </c:extLst>
        </c:ser>
        <c:dLbls>
          <c:showLegendKey val="0"/>
          <c:showVal val="0"/>
          <c:showCatName val="0"/>
          <c:showSerName val="0"/>
          <c:showPercent val="0"/>
          <c:showBubbleSize val="0"/>
        </c:dLbls>
        <c:marker val="1"/>
        <c:smooth val="0"/>
        <c:axId val="130209664"/>
        <c:axId val="130220032"/>
      </c:lineChart>
      <c:dateAx>
        <c:axId val="130209664"/>
        <c:scaling>
          <c:orientation val="minMax"/>
        </c:scaling>
        <c:delete val="0"/>
        <c:axPos val="b"/>
        <c:title>
          <c:tx>
            <c:rich>
              <a:bodyPr/>
              <a:lstStyle/>
              <a:p>
                <a:pPr>
                  <a:defRPr/>
                </a:pPr>
                <a:r>
                  <a:rPr lang="en-AU" sz="900"/>
                  <a:t>Source: </a:t>
                </a:r>
                <a:r>
                  <a:rPr lang="en-AU" sz="900" b="1" i="0" u="none" strike="noStrike" kern="1200" baseline="0">
                    <a:solidFill>
                      <a:sysClr val="windowText" lastClr="000000"/>
                    </a:solidFill>
                  </a:rPr>
                  <a:t>DTF and DMPE</a:t>
                </a:r>
                <a:endParaRPr lang="en-AU" sz="900"/>
              </a:p>
            </c:rich>
          </c:tx>
          <c:layout>
            <c:manualLayout>
              <c:xMode val="edge"/>
              <c:yMode val="edge"/>
              <c:x val="6.7992013818785483E-3"/>
              <c:y val="0.94751233846965299"/>
            </c:manualLayout>
          </c:layout>
          <c:overlay val="0"/>
          <c:spPr>
            <a:noFill/>
          </c:spPr>
        </c:title>
        <c:numFmt formatCode="@@@@@@@@@" sourceLinked="0"/>
        <c:majorTickMark val="out"/>
        <c:minorTickMark val="none"/>
        <c:tickLblPos val="nextTo"/>
        <c:txPr>
          <a:bodyPr rot="-2700000"/>
          <a:lstStyle/>
          <a:p>
            <a:pPr>
              <a:defRPr/>
            </a:pPr>
            <a:endParaRPr lang="en-US"/>
          </a:p>
        </c:txPr>
        <c:crossAx val="130220032"/>
        <c:crosses val="autoZero"/>
        <c:auto val="0"/>
        <c:lblOffset val="100"/>
        <c:baseTimeUnit val="days"/>
        <c:majorUnit val="1"/>
      </c:dateAx>
      <c:valAx>
        <c:axId val="130220032"/>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209664"/>
        <c:crosses val="autoZero"/>
        <c:crossBetween val="between"/>
      </c:valAx>
      <c:valAx>
        <c:axId val="1666309104"/>
        <c:scaling>
          <c:orientation val="minMax"/>
          <c:max val="100"/>
        </c:scaling>
        <c:delete val="0"/>
        <c:axPos val="r"/>
        <c:title>
          <c:tx>
            <c:rich>
              <a:bodyPr/>
              <a:lstStyle/>
              <a:p>
                <a:pPr>
                  <a:defRPr/>
                </a:pPr>
                <a:r>
                  <a:rPr lang="en-AU"/>
                  <a:t>Thousand tonnes</a:t>
                </a:r>
              </a:p>
            </c:rich>
          </c:tx>
          <c:overlay val="0"/>
        </c:title>
        <c:numFmt formatCode="#,##0" sourceLinked="0"/>
        <c:majorTickMark val="out"/>
        <c:minorTickMark val="none"/>
        <c:tickLblPos val="nextTo"/>
        <c:crossAx val="1909311472"/>
        <c:crosses val="max"/>
        <c:crossBetween val="between"/>
      </c:valAx>
      <c:catAx>
        <c:axId val="1909311472"/>
        <c:scaling>
          <c:orientation val="minMax"/>
        </c:scaling>
        <c:delete val="1"/>
        <c:axPos val="b"/>
        <c:numFmt formatCode="General" sourceLinked="1"/>
        <c:majorTickMark val="out"/>
        <c:minorTickMark val="none"/>
        <c:tickLblPos val="nextTo"/>
        <c:crossAx val="1666309104"/>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a:t>
            </a:r>
            <a:r>
              <a:rPr lang="en-AU" sz="1100" baseline="0"/>
              <a:t> B</a:t>
            </a:r>
            <a:r>
              <a:rPr lang="en-AU" sz="1100"/>
              <a:t>y Quarter</a:t>
            </a:r>
          </a:p>
        </c:rich>
      </c:tx>
      <c:overlay val="0"/>
    </c:title>
    <c:autoTitleDeleted val="0"/>
    <c:plotArea>
      <c:layout/>
      <c:barChart>
        <c:barDir val="col"/>
        <c:grouping val="clustered"/>
        <c:varyColors val="0"/>
        <c:ser>
          <c:idx val="0"/>
          <c:order val="0"/>
          <c:tx>
            <c:v>Quantity</c:v>
          </c:tx>
          <c:spPr>
            <a:solidFill>
              <a:srgbClr val="FF66CC"/>
            </a:solidFill>
            <a:ln>
              <a:solidFill>
                <a:srgbClr val="F6B4E8"/>
              </a:solidFill>
            </a:ln>
          </c:spPr>
          <c:invertIfNegative val="0"/>
          <c:cat>
            <c:numRef>
              <c:f>'Copper-Lead-Zinc - Q&amp;V'!$K$14:$K$22</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'Copper-Lead-Zinc - Q&amp;V'!$P$14:$P$22</c:f>
              <c:numCache>
                <c:formatCode>#,##0.00</c:formatCode>
                <c:ptCount val="9"/>
                <c:pt idx="0">
                  <c:v>11.127524000000001</c:v>
                </c:pt>
                <c:pt idx="1">
                  <c:v>12.49198</c:v>
                </c:pt>
                <c:pt idx="2">
                  <c:v>11.944270000000001</c:v>
                </c:pt>
                <c:pt idx="3">
                  <c:v>16.39723</c:v>
                </c:pt>
                <c:pt idx="4">
                  <c:v>12.58032</c:v>
                </c:pt>
                <c:pt idx="5">
                  <c:v>16.707520000000002</c:v>
                </c:pt>
                <c:pt idx="6">
                  <c:v>8.1327999999999996</c:v>
                </c:pt>
                <c:pt idx="7">
                  <c:v>7.9391400000000001</c:v>
                </c:pt>
                <c:pt idx="8">
                  <c:v>0</c:v>
                </c:pt>
              </c:numCache>
            </c:numRef>
          </c:val>
          <c:extLst>
            <c:ext xmlns:c16="http://schemas.microsoft.com/office/drawing/2014/chart" uri="{C3380CC4-5D6E-409C-BE32-E72D297353CC}">
              <c16:uniqueId val="{00000000-FBB4-414C-8BF5-0C82A082522F}"/>
            </c:ext>
          </c:extLst>
        </c:ser>
        <c:dLbls>
          <c:showLegendKey val="0"/>
          <c:showVal val="0"/>
          <c:showCatName val="0"/>
          <c:showSerName val="0"/>
          <c:showPercent val="0"/>
          <c:showBubbleSize val="0"/>
        </c:dLbls>
        <c:gapWidth val="40"/>
        <c:axId val="130128128"/>
        <c:axId val="130126208"/>
      </c:barChart>
      <c:lineChart>
        <c:grouping val="standard"/>
        <c:varyColors val="0"/>
        <c:ser>
          <c:idx val="1"/>
          <c:order val="1"/>
          <c:tx>
            <c:v>Value</c:v>
          </c:tx>
          <c:spPr>
            <a:ln w="28575">
              <a:solidFill>
                <a:srgbClr val="F6B4E8"/>
              </a:solidFill>
            </a:ln>
          </c:spPr>
          <c:marker>
            <c:symbol val="none"/>
          </c:marker>
          <c:cat>
            <c:numRef>
              <c:f>'Copper-Lead-Zinc - Q&amp;V'!$K$14:$K$22</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'Copper-Lead-Zinc - Q&amp;V'!$Q$14:$Q$22</c:f>
              <c:numCache>
                <c:formatCode>#,##0.00</c:formatCode>
                <c:ptCount val="9"/>
                <c:pt idx="0">
                  <c:v>48.379213</c:v>
                </c:pt>
                <c:pt idx="1">
                  <c:v>48.644610999999998</c:v>
                </c:pt>
                <c:pt idx="2">
                  <c:v>50.351239999999997</c:v>
                </c:pt>
                <c:pt idx="3">
                  <c:v>70.735243999999994</c:v>
                </c:pt>
                <c:pt idx="4">
                  <c:v>55.337585999999995</c:v>
                </c:pt>
                <c:pt idx="5">
                  <c:v>71.792137999999994</c:v>
                </c:pt>
                <c:pt idx="6">
                  <c:v>33.644244</c:v>
                </c:pt>
                <c:pt idx="7">
                  <c:v>35.964956999999998</c:v>
                </c:pt>
                <c:pt idx="8">
                  <c:v>0</c:v>
                </c:pt>
              </c:numCache>
            </c:numRef>
          </c:val>
          <c:smooth val="0"/>
          <c:extLst>
            <c:ext xmlns:c16="http://schemas.microsoft.com/office/drawing/2014/chart" uri="{C3380CC4-5D6E-409C-BE32-E72D297353CC}">
              <c16:uniqueId val="{00000001-FBB4-414C-8BF5-0C82A082522F}"/>
            </c:ext>
          </c:extLst>
        </c:ser>
        <c:dLbls>
          <c:showLegendKey val="0"/>
          <c:showVal val="0"/>
          <c:showCatName val="0"/>
          <c:showSerName val="0"/>
          <c:showPercent val="0"/>
          <c:showBubbleSize val="0"/>
        </c:dLbls>
        <c:marker val="1"/>
        <c:smooth val="0"/>
        <c:axId val="130118016"/>
        <c:axId val="130119936"/>
      </c:lineChart>
      <c:catAx>
        <c:axId val="130118016"/>
        <c:scaling>
          <c:orientation val="minMax"/>
        </c:scaling>
        <c:delete val="0"/>
        <c:axPos val="b"/>
        <c:title>
          <c:tx>
            <c:rich>
              <a:bodyPr/>
              <a:lstStyle/>
              <a:p>
                <a:pPr>
                  <a:defRPr sz="900"/>
                </a:pPr>
                <a:r>
                  <a:rPr lang="en-AU" sz="900"/>
                  <a:t>Source: </a:t>
                </a:r>
                <a:r>
                  <a:rPr lang="en-AU" sz="900" b="1" i="0" u="none" strike="noStrike" kern="1200" baseline="0">
                    <a:solidFill>
                      <a:sysClr val="windowText" lastClr="000000"/>
                    </a:solidFill>
                  </a:rPr>
                  <a:t>DTF and </a:t>
                </a:r>
                <a:r>
                  <a:rPr lang="en-AU" sz="900"/>
                  <a:t>DMPE</a:t>
                </a:r>
              </a:p>
            </c:rich>
          </c:tx>
          <c:layout>
            <c:manualLayout>
              <c:xMode val="edge"/>
              <c:yMode val="edge"/>
              <c:x val="1.0375097029371321E-2"/>
              <c:y val="0.93818890285773116"/>
            </c:manualLayout>
          </c:layout>
          <c:overlay val="0"/>
          <c:spPr>
            <a:noFill/>
          </c:spPr>
        </c:title>
        <c:numFmt formatCode="mmm\-yy" sourceLinked="1"/>
        <c:majorTickMark val="out"/>
        <c:minorTickMark val="none"/>
        <c:tickLblPos val="nextTo"/>
        <c:txPr>
          <a:bodyPr rot="-2700000"/>
          <a:lstStyle/>
          <a:p>
            <a:pPr>
              <a:defRPr/>
            </a:pPr>
            <a:endParaRPr lang="en-US"/>
          </a:p>
        </c:txPr>
        <c:crossAx val="130119936"/>
        <c:crosses val="autoZero"/>
        <c:auto val="0"/>
        <c:lblAlgn val="ctr"/>
        <c:lblOffset val="100"/>
        <c:noMultiLvlLbl val="0"/>
      </c:catAx>
      <c:valAx>
        <c:axId val="130119936"/>
        <c:scaling>
          <c:orientation val="minMax"/>
        </c:scaling>
        <c:delete val="0"/>
        <c:axPos val="l"/>
        <c:majorGridlines/>
        <c:title>
          <c:tx>
            <c:rich>
              <a:bodyPr rot="-5400000" vert="horz"/>
              <a:lstStyle/>
              <a:p>
                <a:pPr>
                  <a:defRPr/>
                </a:pPr>
                <a:r>
                  <a:rPr lang="en-AU"/>
                  <a:t>$ Million</a:t>
                </a:r>
              </a:p>
            </c:rich>
          </c:tx>
          <c:layout>
            <c:manualLayout>
              <c:xMode val="edge"/>
              <c:yMode val="edge"/>
              <c:x val="2.0452664160812695E-2"/>
              <c:y val="0.48491820875331759"/>
            </c:manualLayout>
          </c:layout>
          <c:overlay val="0"/>
        </c:title>
        <c:numFmt formatCode="0" sourceLinked="0"/>
        <c:majorTickMark val="out"/>
        <c:minorTickMark val="none"/>
        <c:tickLblPos val="nextTo"/>
        <c:crossAx val="130118016"/>
        <c:crosses val="autoZero"/>
        <c:crossBetween val="between"/>
      </c:valAx>
      <c:valAx>
        <c:axId val="13012620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128128"/>
        <c:crosses val="max"/>
        <c:crossBetween val="between"/>
      </c:valAx>
      <c:dateAx>
        <c:axId val="130128128"/>
        <c:scaling>
          <c:orientation val="minMax"/>
        </c:scaling>
        <c:delete val="1"/>
        <c:axPos val="b"/>
        <c:numFmt formatCode="mmm\-yy" sourceLinked="1"/>
        <c:majorTickMark val="out"/>
        <c:minorTickMark val="none"/>
        <c:tickLblPos val="nextTo"/>
        <c:crossAx val="130126208"/>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 By Year</a:t>
            </a:r>
          </a:p>
        </c:rich>
      </c:tx>
      <c:overlay val="0"/>
    </c:title>
    <c:autoTitleDeleted val="0"/>
    <c:plotArea>
      <c:layout/>
      <c:barChart>
        <c:barDir val="col"/>
        <c:grouping val="clustered"/>
        <c:varyColors val="0"/>
        <c:ser>
          <c:idx val="0"/>
          <c:order val="0"/>
          <c:tx>
            <c:v>Quantity</c:v>
          </c:tx>
          <c:spPr>
            <a:solidFill>
              <a:srgbClr val="FF66CC"/>
            </a:solidFill>
          </c:spPr>
          <c:invertIfNegative val="0"/>
          <c:cat>
            <c:numRef>
              <c:f>'Copper-Lead-Zinc - Q&amp;V'!$K$29:$K$48</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'Copper-Lead-Zinc - Q&amp;V'!$P$29:$P$48</c:f>
              <c:numCache>
                <c:formatCode>#,##0.00</c:formatCode>
                <c:ptCount val="20"/>
                <c:pt idx="0">
                  <c:v>109.06339100000001</c:v>
                </c:pt>
                <c:pt idx="1">
                  <c:v>173.33780000000002</c:v>
                </c:pt>
                <c:pt idx="2">
                  <c:v>189.81195299999999</c:v>
                </c:pt>
                <c:pt idx="3">
                  <c:v>99.811695999999984</c:v>
                </c:pt>
                <c:pt idx="4">
                  <c:v>81.515219999999999</c:v>
                </c:pt>
                <c:pt idx="5">
                  <c:v>74.400736999999992</c:v>
                </c:pt>
                <c:pt idx="6">
                  <c:v>57.112677000000005</c:v>
                </c:pt>
                <c:pt idx="7">
                  <c:v>47.985600000000005</c:v>
                </c:pt>
                <c:pt idx="8">
                  <c:v>72.763530000000003</c:v>
                </c:pt>
                <c:pt idx="9">
                  <c:v>77.178319999999999</c:v>
                </c:pt>
                <c:pt idx="10">
                  <c:v>94.963539999999995</c:v>
                </c:pt>
                <c:pt idx="11">
                  <c:v>71.788228000000004</c:v>
                </c:pt>
                <c:pt idx="12">
                  <c:v>68.823993000000002</c:v>
                </c:pt>
                <c:pt idx="13">
                  <c:v>77.819270000000003</c:v>
                </c:pt>
                <c:pt idx="14">
                  <c:v>62.050920000000005</c:v>
                </c:pt>
                <c:pt idx="15">
                  <c:v>69.051431000000008</c:v>
                </c:pt>
                <c:pt idx="16">
                  <c:v>70.478444999999994</c:v>
                </c:pt>
                <c:pt idx="17">
                  <c:v>48.765287000000001</c:v>
                </c:pt>
                <c:pt idx="18">
                  <c:v>53.413800000000002</c:v>
                </c:pt>
                <c:pt idx="19">
                  <c:v>32.77946</c:v>
                </c:pt>
              </c:numCache>
            </c:numRef>
          </c:val>
          <c:extLst>
            <c:ext xmlns:c16="http://schemas.microsoft.com/office/drawing/2014/chart" uri="{C3380CC4-5D6E-409C-BE32-E72D297353CC}">
              <c16:uniqueId val="{00000000-3A91-47B1-A2E8-E4052848AB50}"/>
            </c:ext>
          </c:extLst>
        </c:ser>
        <c:dLbls>
          <c:showLegendKey val="0"/>
          <c:showVal val="0"/>
          <c:showCatName val="0"/>
          <c:showSerName val="0"/>
          <c:showPercent val="0"/>
          <c:showBubbleSize val="0"/>
        </c:dLbls>
        <c:gapWidth val="40"/>
        <c:axId val="1909369936"/>
        <c:axId val="1722904080"/>
      </c:barChart>
      <c:lineChart>
        <c:grouping val="standard"/>
        <c:varyColors val="0"/>
        <c:ser>
          <c:idx val="1"/>
          <c:order val="1"/>
          <c:tx>
            <c:v>Value</c:v>
          </c:tx>
          <c:spPr>
            <a:ln w="28575">
              <a:solidFill>
                <a:srgbClr val="F6B4E8"/>
              </a:solidFill>
            </a:ln>
          </c:spPr>
          <c:marker>
            <c:symbol val="none"/>
          </c:marker>
          <c:cat>
            <c:numRef>
              <c:f>'Copper-Lead-Zinc - Q&amp;V'!$K$29:$K$48</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'Copper-Lead-Zinc - Q&amp;V'!$Q$29:$Q$48</c:f>
              <c:numCache>
                <c:formatCode>#,##0.00</c:formatCode>
                <c:ptCount val="20"/>
                <c:pt idx="0">
                  <c:v>491.08046987</c:v>
                </c:pt>
                <c:pt idx="1">
                  <c:v>482.88467758000002</c:v>
                </c:pt>
                <c:pt idx="2">
                  <c:v>293.49248021000005</c:v>
                </c:pt>
                <c:pt idx="3">
                  <c:v>215.92451084000001</c:v>
                </c:pt>
                <c:pt idx="4">
                  <c:v>191.88413472000002</c:v>
                </c:pt>
                <c:pt idx="5">
                  <c:v>153.04113046000001</c:v>
                </c:pt>
                <c:pt idx="6">
                  <c:v>107.3024735</c:v>
                </c:pt>
                <c:pt idx="7">
                  <c:v>96.281334999999999</c:v>
                </c:pt>
                <c:pt idx="8">
                  <c:v>173.001879</c:v>
                </c:pt>
                <c:pt idx="9">
                  <c:v>185.219379</c:v>
                </c:pt>
                <c:pt idx="10">
                  <c:v>204.52397599999998</c:v>
                </c:pt>
                <c:pt idx="11">
                  <c:v>292.12296499999997</c:v>
                </c:pt>
                <c:pt idx="12">
                  <c:v>256.93268499999999</c:v>
                </c:pt>
                <c:pt idx="13">
                  <c:v>262.55607299999997</c:v>
                </c:pt>
                <c:pt idx="14">
                  <c:v>204.01091199999999</c:v>
                </c:pt>
                <c:pt idx="15">
                  <c:v>285.99623299999996</c:v>
                </c:pt>
                <c:pt idx="16">
                  <c:v>336.06413600000002</c:v>
                </c:pt>
                <c:pt idx="17">
                  <c:v>193.15337</c:v>
                </c:pt>
                <c:pt idx="18">
                  <c:v>225.06868099999997</c:v>
                </c:pt>
                <c:pt idx="19">
                  <c:v>141.40133900000001</c:v>
                </c:pt>
              </c:numCache>
            </c:numRef>
          </c:val>
          <c:smooth val="0"/>
          <c:extLst>
            <c:ext xmlns:c16="http://schemas.microsoft.com/office/drawing/2014/chart" uri="{C3380CC4-5D6E-409C-BE32-E72D297353CC}">
              <c16:uniqueId val="{00000001-3A91-47B1-A2E8-E4052848AB50}"/>
            </c:ext>
          </c:extLst>
        </c:ser>
        <c:dLbls>
          <c:showLegendKey val="0"/>
          <c:showVal val="0"/>
          <c:showCatName val="0"/>
          <c:showSerName val="0"/>
          <c:showPercent val="0"/>
          <c:showBubbleSize val="0"/>
        </c:dLbls>
        <c:marker val="1"/>
        <c:smooth val="0"/>
        <c:axId val="130263680"/>
        <c:axId val="130269952"/>
      </c:lineChart>
      <c:dateAx>
        <c:axId val="130263680"/>
        <c:scaling>
          <c:orientation val="minMax"/>
        </c:scaling>
        <c:delete val="0"/>
        <c:axPos val="b"/>
        <c:title>
          <c:tx>
            <c:rich>
              <a:bodyPr/>
              <a:lstStyle/>
              <a:p>
                <a:pPr>
                  <a:defRPr/>
                </a:pPr>
                <a:r>
                  <a:rPr lang="en-AU" sz="900"/>
                  <a:t>Source: </a:t>
                </a:r>
                <a:r>
                  <a:rPr lang="en-AU" sz="900" b="1" i="0" u="none" strike="noStrike" kern="1200" baseline="0">
                    <a:solidFill>
                      <a:sysClr val="windowText" lastClr="000000"/>
                    </a:solidFill>
                  </a:rPr>
                  <a:t>DTF and DMPE</a:t>
                </a:r>
                <a:endParaRPr lang="en-AU" sz="900"/>
              </a:p>
            </c:rich>
          </c:tx>
          <c:layout>
            <c:manualLayout>
              <c:xMode val="edge"/>
              <c:yMode val="edge"/>
              <c:x val="1.5915954545156714E-2"/>
              <c:y val="0.93794295968289965"/>
            </c:manualLayout>
          </c:layout>
          <c:overlay val="0"/>
          <c:spPr>
            <a:noFill/>
          </c:spPr>
        </c:title>
        <c:numFmt formatCode="@@@@@@@@@" sourceLinked="0"/>
        <c:majorTickMark val="out"/>
        <c:minorTickMark val="none"/>
        <c:tickLblPos val="nextTo"/>
        <c:txPr>
          <a:bodyPr rot="-2700000"/>
          <a:lstStyle/>
          <a:p>
            <a:pPr>
              <a:defRPr/>
            </a:pPr>
            <a:endParaRPr lang="en-US"/>
          </a:p>
        </c:txPr>
        <c:crossAx val="130269952"/>
        <c:crosses val="autoZero"/>
        <c:auto val="0"/>
        <c:lblOffset val="100"/>
        <c:baseTimeUnit val="days"/>
        <c:majorUnit val="1"/>
      </c:dateAx>
      <c:valAx>
        <c:axId val="130269952"/>
        <c:scaling>
          <c:orientation val="minMax"/>
        </c:scaling>
        <c:delete val="0"/>
        <c:axPos val="l"/>
        <c:majorGridlines/>
        <c:title>
          <c:tx>
            <c:rich>
              <a:bodyPr rot="-5400000" vert="horz"/>
              <a:lstStyle/>
              <a:p>
                <a:pPr>
                  <a:defRPr/>
                </a:pPr>
                <a:r>
                  <a:rPr lang="en-AU"/>
                  <a:t>$ Million</a:t>
                </a:r>
              </a:p>
            </c:rich>
          </c:tx>
          <c:layout>
            <c:manualLayout>
              <c:xMode val="edge"/>
              <c:yMode val="edge"/>
              <c:x val="2.0863586760183211E-2"/>
              <c:y val="0.46448623188405797"/>
            </c:manualLayout>
          </c:layout>
          <c:overlay val="0"/>
        </c:title>
        <c:numFmt formatCode="#,##0" sourceLinked="0"/>
        <c:majorTickMark val="out"/>
        <c:minorTickMark val="none"/>
        <c:tickLblPos val="nextTo"/>
        <c:crossAx val="130263680"/>
        <c:crosses val="autoZero"/>
        <c:crossBetween val="between"/>
        <c:majorUnit val="150"/>
      </c:valAx>
      <c:valAx>
        <c:axId val="1722904080"/>
        <c:scaling>
          <c:orientation val="minMax"/>
        </c:scaling>
        <c:delete val="0"/>
        <c:axPos val="r"/>
        <c:title>
          <c:tx>
            <c:rich>
              <a:bodyPr/>
              <a:lstStyle/>
              <a:p>
                <a:pPr>
                  <a:defRPr/>
                </a:pPr>
                <a:r>
                  <a:rPr lang="en-AU"/>
                  <a:t>Thousand tonnes</a:t>
                </a:r>
              </a:p>
            </c:rich>
          </c:tx>
          <c:overlay val="0"/>
        </c:title>
        <c:numFmt formatCode="#,##0" sourceLinked="0"/>
        <c:majorTickMark val="out"/>
        <c:minorTickMark val="none"/>
        <c:tickLblPos val="nextTo"/>
        <c:crossAx val="1909369936"/>
        <c:crosses val="max"/>
        <c:crossBetween val="between"/>
        <c:majorUnit val="50"/>
      </c:valAx>
      <c:catAx>
        <c:axId val="1909369936"/>
        <c:scaling>
          <c:orientation val="minMax"/>
        </c:scaling>
        <c:delete val="1"/>
        <c:axPos val="b"/>
        <c:numFmt formatCode="General" sourceLinked="1"/>
        <c:majorTickMark val="out"/>
        <c:minorTickMark val="none"/>
        <c:tickLblPos val="nextTo"/>
        <c:crossAx val="1722904080"/>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'Copper-Lead-Zinc - Exports'!$W$1</c:f>
          <c:strCache>
            <c:ptCount val="1"/>
            <c:pt idx="0">
              <c:v>Copper-Lead-Zinc Exports 2023
Total Value: $866,456,650</c:v>
            </c:pt>
          </c:strCache>
        </c:strRef>
      </c:tx>
      <c:layout>
        <c:manualLayout>
          <c:xMode val="edge"/>
          <c:yMode val="edge"/>
          <c:x val="0.27556086294900339"/>
          <c:y val="2.1960778888799409E-2"/>
        </c:manualLayout>
      </c:layout>
      <c:overlay val="0"/>
      <c:txPr>
        <a:bodyPr/>
        <a:lstStyle/>
        <a:p>
          <a:pPr>
            <a:defRPr/>
          </a:pPr>
          <a:endParaRPr lang="en-US"/>
        </a:p>
      </c:txPr>
    </c:title>
    <c:autoTitleDeleted val="0"/>
    <c:plotArea>
      <c:layout/>
      <c:pieChart>
        <c:varyColors val="1"/>
        <c:ser>
          <c:idx val="0"/>
          <c:order val="0"/>
          <c:dPt>
            <c:idx val="0"/>
            <c:bubble3D val="0"/>
            <c:spPr>
              <a:solidFill>
                <a:srgbClr val="B21698"/>
              </a:solidFill>
            </c:spPr>
            <c:extLst>
              <c:ext xmlns:c16="http://schemas.microsoft.com/office/drawing/2014/chart" uri="{C3380CC4-5D6E-409C-BE32-E72D297353CC}">
                <c16:uniqueId val="{00000001-80F7-456D-A13C-F1FBCD0C5D5B}"/>
              </c:ext>
            </c:extLst>
          </c:dPt>
          <c:dPt>
            <c:idx val="1"/>
            <c:bubble3D val="0"/>
            <c:spPr>
              <a:solidFill>
                <a:srgbClr val="CD23B1"/>
              </a:solidFill>
            </c:spPr>
            <c:extLst>
              <c:ext xmlns:c16="http://schemas.microsoft.com/office/drawing/2014/chart" uri="{C3380CC4-5D6E-409C-BE32-E72D297353CC}">
                <c16:uniqueId val="{00000003-80F7-456D-A13C-F1FBCD0C5D5B}"/>
              </c:ext>
            </c:extLst>
          </c:dPt>
          <c:dPt>
            <c:idx val="2"/>
            <c:bubble3D val="0"/>
            <c:spPr>
              <a:solidFill>
                <a:srgbClr val="D444BC"/>
              </a:solidFill>
            </c:spPr>
            <c:extLst>
              <c:ext xmlns:c16="http://schemas.microsoft.com/office/drawing/2014/chart" uri="{C3380CC4-5D6E-409C-BE32-E72D297353CC}">
                <c16:uniqueId val="{00000005-80F7-456D-A13C-F1FBCD0C5D5B}"/>
              </c:ext>
            </c:extLst>
          </c:dPt>
          <c:dPt>
            <c:idx val="3"/>
            <c:bubble3D val="0"/>
            <c:spPr>
              <a:solidFill>
                <a:srgbClr val="D46CC3"/>
              </a:solidFill>
            </c:spPr>
            <c:extLst>
              <c:ext xmlns:c16="http://schemas.microsoft.com/office/drawing/2014/chart" uri="{C3380CC4-5D6E-409C-BE32-E72D297353CC}">
                <c16:uniqueId val="{00000007-80F7-456D-A13C-F1FBCD0C5D5B}"/>
              </c:ext>
            </c:extLst>
          </c:dPt>
          <c:dPt>
            <c:idx val="4"/>
            <c:bubble3D val="0"/>
            <c:spPr>
              <a:solidFill>
                <a:srgbClr val="D791CB"/>
              </a:solidFill>
            </c:spPr>
            <c:extLst>
              <c:ext xmlns:c16="http://schemas.microsoft.com/office/drawing/2014/chart" uri="{C3380CC4-5D6E-409C-BE32-E72D297353CC}">
                <c16:uniqueId val="{00000009-80F7-456D-A13C-F1FBCD0C5D5B}"/>
              </c:ext>
            </c:extLst>
          </c:dPt>
          <c:dPt>
            <c:idx val="5"/>
            <c:bubble3D val="0"/>
            <c:spPr>
              <a:solidFill>
                <a:srgbClr val="DEB2D7"/>
              </a:solidFill>
            </c:spPr>
            <c:extLst>
              <c:ext xmlns:c16="http://schemas.microsoft.com/office/drawing/2014/chart" uri="{C3380CC4-5D6E-409C-BE32-E72D297353CC}">
                <c16:uniqueId val="{0000000B-80F7-456D-A13C-F1FBCD0C5D5B}"/>
              </c:ext>
            </c:extLst>
          </c:dPt>
          <c:dPt>
            <c:idx val="6"/>
            <c:bubble3D val="0"/>
            <c:spPr>
              <a:solidFill>
                <a:srgbClr val="EACEE5"/>
              </a:solidFill>
            </c:spPr>
            <c:extLst>
              <c:ext xmlns:c16="http://schemas.microsoft.com/office/drawing/2014/chart" uri="{C3380CC4-5D6E-409C-BE32-E72D297353CC}">
                <c16:uniqueId val="{0000000D-80F7-456D-A13C-F1FBCD0C5D5B}"/>
              </c:ext>
            </c:extLst>
          </c:dPt>
          <c:dPt>
            <c:idx val="7"/>
            <c:bubble3D val="0"/>
            <c:spPr>
              <a:solidFill>
                <a:srgbClr val="EFDDEC"/>
              </a:solidFill>
            </c:spPr>
            <c:extLst>
              <c:ext xmlns:c16="http://schemas.microsoft.com/office/drawing/2014/chart" uri="{C3380CC4-5D6E-409C-BE32-E72D297353CC}">
                <c16:uniqueId val="{0000000F-80F7-456D-A13C-F1FBCD0C5D5B}"/>
              </c:ext>
            </c:extLst>
          </c:dPt>
          <c:dPt>
            <c:idx val="8"/>
            <c:bubble3D val="0"/>
            <c:spPr>
              <a:solidFill>
                <a:srgbClr val="F1E5EF"/>
              </a:solidFill>
            </c:spPr>
            <c:extLst>
              <c:ext xmlns:c16="http://schemas.microsoft.com/office/drawing/2014/chart" uri="{C3380CC4-5D6E-409C-BE32-E72D297353CC}">
                <c16:uniqueId val="{00000011-80F7-456D-A13C-F1FBCD0C5D5B}"/>
              </c:ext>
            </c:extLst>
          </c:dPt>
          <c:dPt>
            <c:idx val="9"/>
            <c:bubble3D val="0"/>
            <c:spPr>
              <a:solidFill>
                <a:srgbClr val="F4ECF3"/>
              </a:solidFill>
            </c:spPr>
            <c:extLst>
              <c:ext xmlns:c16="http://schemas.microsoft.com/office/drawing/2014/chart" uri="{C3380CC4-5D6E-409C-BE32-E72D297353CC}">
                <c16:uniqueId val="{00000013-80F7-456D-A13C-F1FBCD0C5D5B}"/>
              </c:ext>
            </c:extLst>
          </c:dPt>
          <c:dPt>
            <c:idx val="10"/>
            <c:bubble3D val="0"/>
            <c:spPr>
              <a:solidFill>
                <a:srgbClr val="F8F2F7"/>
              </a:solidFill>
            </c:spPr>
            <c:extLst>
              <c:ext xmlns:c16="http://schemas.microsoft.com/office/drawing/2014/chart" uri="{C3380CC4-5D6E-409C-BE32-E72D297353CC}">
                <c16:uniqueId val="{00000015-80F7-456D-A13C-F1FBCD0C5D5B}"/>
              </c:ext>
            </c:extLst>
          </c:dPt>
          <c:dLbls>
            <c:dLbl>
              <c:idx val="0"/>
              <c:layout>
                <c:manualLayout>
                  <c:x val="-0.10037695010205584"/>
                  <c:y val="2.647610334539042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F7-456D-A13C-F1FBCD0C5D5B}"/>
                </c:ext>
              </c:extLst>
            </c:dLbl>
            <c:dLbl>
              <c:idx val="1"/>
              <c:layout>
                <c:manualLayout>
                  <c:x val="6.263661888009675E-2"/>
                  <c:y val="-5.140028912107750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F7-456D-A13C-F1FBCD0C5D5B}"/>
                </c:ext>
              </c:extLst>
            </c:dLbl>
            <c:dLbl>
              <c:idx val="2"/>
              <c:layout>
                <c:manualLayout>
                  <c:x val="0.20543022426394136"/>
                  <c:y val="-2.51335961076459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0F7-456D-A13C-F1FBCD0C5D5B}"/>
                </c:ext>
              </c:extLst>
            </c:dLbl>
            <c:dLbl>
              <c:idx val="3"/>
              <c:layout>
                <c:manualLayout>
                  <c:x val="-3.143219650880618E-2"/>
                  <c:y val="-5.265717185404535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0F7-456D-A13C-F1FBCD0C5D5B}"/>
                </c:ext>
              </c:extLst>
            </c:dLbl>
            <c:dLbl>
              <c:idx val="4"/>
              <c:layout>
                <c:manualLayout>
                  <c:x val="-4.8313813121471663E-2"/>
                  <c:y val="1.198642515916498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0F7-456D-A13C-F1FBCD0C5D5B}"/>
                </c:ext>
              </c:extLst>
            </c:dLbl>
            <c:dLbl>
              <c:idx val="5"/>
              <c:layout>
                <c:manualLayout>
                  <c:x val="-6.5259828271624146E-2"/>
                  <c:y val="-2.878096579833119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0F7-456D-A13C-F1FBCD0C5D5B}"/>
                </c:ext>
              </c:extLst>
            </c:dLbl>
            <c:dLbl>
              <c:idx val="6"/>
              <c:layout>
                <c:manualLayout>
                  <c:x val="-3.7386606295066217E-2"/>
                  <c:y val="1.586722879103515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0F7-456D-A13C-F1FBCD0C5D5B}"/>
                </c:ext>
              </c:extLst>
            </c:dLbl>
            <c:dLbl>
              <c:idx val="7"/>
              <c:layout>
                <c:manualLayout>
                  <c:x val="-0.10780891725027263"/>
                  <c:y val="2.325645768880295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0F7-456D-A13C-F1FBCD0C5D5B}"/>
                </c:ext>
              </c:extLst>
            </c:dLbl>
            <c:dLbl>
              <c:idx val="8"/>
              <c:layout>
                <c:manualLayout>
                  <c:x val="-0.1364675150203381"/>
                  <c:y val="-1.03036738415162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0F7-456D-A13C-F1FBCD0C5D5B}"/>
                </c:ext>
              </c:extLst>
            </c:dLbl>
            <c:dLbl>
              <c:idx val="9"/>
              <c:layout>
                <c:manualLayout>
                  <c:x val="-1.2336621429430325E-2"/>
                  <c:y val="-2.588985707324590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0F7-456D-A13C-F1FBCD0C5D5B}"/>
                </c:ext>
              </c:extLst>
            </c:dLbl>
            <c:dLbl>
              <c:idx val="10"/>
              <c:layout>
                <c:manualLayout>
                  <c:x val="-1.1656694571946279E-2"/>
                  <c:y val="-0.10585816650565358"/>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0F7-456D-A13C-F1FBCD0C5D5B}"/>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'Copper-Lead-Zinc - Exports'!$A$12:$A$22</c:f>
              <c:strCache>
                <c:ptCount val="11"/>
                <c:pt idx="0">
                  <c:v>Philippines</c:v>
                </c:pt>
                <c:pt idx="1">
                  <c:v>Korea, Republic Of (South)</c:v>
                </c:pt>
                <c:pt idx="2">
                  <c:v>Japan</c:v>
                </c:pt>
                <c:pt idx="3">
                  <c:v>Germany</c:v>
                </c:pt>
                <c:pt idx="4">
                  <c:v>China</c:v>
                </c:pt>
                <c:pt idx="5">
                  <c:v>Sweden</c:v>
                </c:pt>
                <c:pt idx="6">
                  <c:v>Finland</c:v>
                </c:pt>
                <c:pt idx="7">
                  <c:v>Taiwan</c:v>
                </c:pt>
                <c:pt idx="8">
                  <c:v>India</c:v>
                </c:pt>
                <c:pt idx="9">
                  <c:v>n/a</c:v>
                </c:pt>
                <c:pt idx="10">
                  <c:v>Other</c:v>
                </c:pt>
              </c:strCache>
            </c:strRef>
          </c:cat>
          <c:val>
            <c:numRef>
              <c:f>'Copper-Lead-Zinc - Exports'!$D$12:$D$22</c:f>
              <c:numCache>
                <c:formatCode>0.0%</c:formatCode>
                <c:ptCount val="11"/>
                <c:pt idx="0">
                  <c:v>0.29596078385230828</c:v>
                </c:pt>
                <c:pt idx="1">
                  <c:v>0.19429285905544016</c:v>
                </c:pt>
                <c:pt idx="2">
                  <c:v>0.14726278672538848</c:v>
                </c:pt>
                <c:pt idx="3">
                  <c:v>0.11783673320171363</c:v>
                </c:pt>
                <c:pt idx="4">
                  <c:v>0.11171339904698359</c:v>
                </c:pt>
                <c:pt idx="5">
                  <c:v>6.2458053854693919E-2</c:v>
                </c:pt>
                <c:pt idx="6">
                  <c:v>4.9104893740899359E-2</c:v>
                </c:pt>
                <c:pt idx="7">
                  <c:v>1.1126869897751532E-2</c:v>
                </c:pt>
                <c:pt idx="8">
                  <c:v>1.0243620624821086E-2</c:v>
                </c:pt>
                <c:pt idx="9">
                  <c:v>0</c:v>
                </c:pt>
                <c:pt idx="10">
                  <c:v>0</c:v>
                </c:pt>
              </c:numCache>
            </c:numRef>
          </c:val>
          <c:extLst>
            <c:ext xmlns:c16="http://schemas.microsoft.com/office/drawing/2014/chart" uri="{C3380CC4-5D6E-409C-BE32-E72D297353CC}">
              <c16:uniqueId val="{00000016-80F7-456D-A13C-F1FBCD0C5D5B}"/>
            </c:ext>
          </c:extLst>
        </c:ser>
        <c:dLbls>
          <c:showLegendKey val="0"/>
          <c:showVal val="1"/>
          <c:showCatName val="1"/>
          <c:showSerName val="0"/>
          <c:showPercent val="0"/>
          <c:showBubbleSize val="0"/>
          <c:showLeaderLines val="1"/>
        </c:dLbls>
        <c:firstSliceAng val="289"/>
      </c:pieChart>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a:t>Major Commodities by Value (Last 2 years)</a:t>
            </a:r>
          </a:p>
        </c:rich>
      </c:tx>
      <c:layout>
        <c:manualLayout>
          <c:xMode val="edge"/>
          <c:yMode val="edge"/>
          <c:x val="0.21331253893922161"/>
          <c:y val="3.77274594863044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9705584678447841"/>
          <c:y val="0.19278460086589028"/>
          <c:w val="0.76444078493978662"/>
          <c:h val="0.67917111722608048"/>
        </c:manualLayout>
      </c:layout>
      <c:barChart>
        <c:barDir val="bar"/>
        <c:grouping val="clustered"/>
        <c:varyColors val="0"/>
        <c:ser>
          <c:idx val="0"/>
          <c:order val="0"/>
          <c:tx>
            <c:strRef>
              <c:f>'Q&amp;V 2-years'!$I$12:$J$12</c:f>
              <c:strCache>
                <c:ptCount val="1"/>
                <c:pt idx="0">
                  <c:v>2024 </c:v>
                </c:pt>
              </c:strCache>
            </c:strRef>
          </c:tx>
          <c:spPr>
            <a:solidFill>
              <a:schemeClr val="accent5">
                <a:shade val="65000"/>
              </a:schemeClr>
            </a:solidFill>
            <a:ln>
              <a:noFill/>
            </a:ln>
            <a:effectLst/>
          </c:spPr>
          <c:invertIfNegative val="0"/>
          <c:cat>
            <c:strRef>
              <c:f>'Q&amp;V 2-years'!$H$14:$H$23</c:f>
              <c:strCache>
                <c:ptCount val="10"/>
                <c:pt idx="0">
                  <c:v>Iron ore</c:v>
                </c:pt>
                <c:pt idx="1">
                  <c:v>Gold</c:v>
                </c:pt>
                <c:pt idx="2">
                  <c:v>LNG</c:v>
                </c:pt>
                <c:pt idx="3">
                  <c:v>Alumina</c:v>
                </c:pt>
                <c:pt idx="4">
                  <c:v>Condensate</c:v>
                </c:pt>
                <c:pt idx="5">
                  <c:v>Lithium</c:v>
                </c:pt>
                <c:pt idx="6">
                  <c:v>Domestic Gas</c:v>
                </c:pt>
                <c:pt idx="7">
                  <c:v>Crude Oil</c:v>
                </c:pt>
                <c:pt idx="8">
                  <c:v>Mineral Sands</c:v>
                </c:pt>
                <c:pt idx="9">
                  <c:v>Nickel</c:v>
                </c:pt>
              </c:strCache>
            </c:strRef>
          </c:cat>
          <c:val>
            <c:numRef>
              <c:f>'Q&amp;V 2-years'!$I$14:$I$23</c:f>
              <c:numCache>
                <c:formatCode>#,##0.00</c:formatCode>
                <c:ptCount val="10"/>
                <c:pt idx="0">
                  <c:v>136103.45978899999</c:v>
                </c:pt>
                <c:pt idx="1">
                  <c:v>23720.697939999998</c:v>
                </c:pt>
                <c:pt idx="2">
                  <c:v>35685.555839451976</c:v>
                </c:pt>
                <c:pt idx="3">
                  <c:v>7367.9030140000004</c:v>
                </c:pt>
                <c:pt idx="4">
                  <c:v>7929.0895441452794</c:v>
                </c:pt>
                <c:pt idx="5">
                  <c:v>5032.6976560000003</c:v>
                </c:pt>
                <c:pt idx="6">
                  <c:v>3171.3579945775127</c:v>
                </c:pt>
                <c:pt idx="7">
                  <c:v>2374.1320814876594</c:v>
                </c:pt>
                <c:pt idx="8">
                  <c:v>1299.6254836709882</c:v>
                </c:pt>
                <c:pt idx="9">
                  <c:v>3284.0819762207707</c:v>
                </c:pt>
              </c:numCache>
            </c:numRef>
          </c:val>
          <c:extLst>
            <c:ext xmlns:c16="http://schemas.microsoft.com/office/drawing/2014/chart" uri="{C3380CC4-5D6E-409C-BE32-E72D297353CC}">
              <c16:uniqueId val="{00000000-C65F-471D-9E78-BB3007AD2848}"/>
            </c:ext>
          </c:extLst>
        </c:ser>
        <c:ser>
          <c:idx val="2"/>
          <c:order val="1"/>
          <c:tx>
            <c:strRef>
              <c:f>'Q&amp;V 2-years'!$K$12:$L$12</c:f>
              <c:strCache>
                <c:ptCount val="1"/>
                <c:pt idx="0">
                  <c:v>2025 </c:v>
                </c:pt>
              </c:strCache>
            </c:strRef>
          </c:tx>
          <c:spPr>
            <a:solidFill>
              <a:schemeClr val="accent5">
                <a:tint val="65000"/>
              </a:schemeClr>
            </a:solidFill>
            <a:ln>
              <a:noFill/>
            </a:ln>
            <a:effectLst/>
          </c:spPr>
          <c:invertIfNegative val="0"/>
          <c:cat>
            <c:strRef>
              <c:f>'Q&amp;V 2-years'!$H$14:$H$23</c:f>
              <c:strCache>
                <c:ptCount val="10"/>
                <c:pt idx="0">
                  <c:v>Iron ore</c:v>
                </c:pt>
                <c:pt idx="1">
                  <c:v>Gold</c:v>
                </c:pt>
                <c:pt idx="2">
                  <c:v>LNG</c:v>
                </c:pt>
                <c:pt idx="3">
                  <c:v>Alumina</c:v>
                </c:pt>
                <c:pt idx="4">
                  <c:v>Condensate</c:v>
                </c:pt>
                <c:pt idx="5">
                  <c:v>Lithium</c:v>
                </c:pt>
                <c:pt idx="6">
                  <c:v>Domestic Gas</c:v>
                </c:pt>
                <c:pt idx="7">
                  <c:v>Crude Oil</c:v>
                </c:pt>
                <c:pt idx="8">
                  <c:v>Mineral Sands</c:v>
                </c:pt>
                <c:pt idx="9">
                  <c:v>Nickel</c:v>
                </c:pt>
              </c:strCache>
            </c:strRef>
          </c:cat>
          <c:val>
            <c:numRef>
              <c:f>'Q&amp;V 2-years'!$K$14:$K$23</c:f>
              <c:numCache>
                <c:formatCode>#,##0.00</c:formatCode>
                <c:ptCount val="10"/>
                <c:pt idx="0">
                  <c:v>126234.28572037708</c:v>
                </c:pt>
                <c:pt idx="1">
                  <c:v>36318.524898999996</c:v>
                </c:pt>
                <c:pt idx="2">
                  <c:v>31851.512460181777</c:v>
                </c:pt>
                <c:pt idx="3">
                  <c:v>7702.5620019999988</c:v>
                </c:pt>
                <c:pt idx="4">
                  <c:v>6702.9042690502311</c:v>
                </c:pt>
                <c:pt idx="5">
                  <c:v>4461.8779101333876</c:v>
                </c:pt>
                <c:pt idx="6">
                  <c:v>3279.049874192759</c:v>
                </c:pt>
                <c:pt idx="7">
                  <c:v>1844.6232474012049</c:v>
                </c:pt>
                <c:pt idx="8">
                  <c:v>1512.3545486932703</c:v>
                </c:pt>
                <c:pt idx="9">
                  <c:v>1265.536116</c:v>
                </c:pt>
              </c:numCache>
            </c:numRef>
          </c:val>
          <c:extLst>
            <c:ext xmlns:c16="http://schemas.microsoft.com/office/drawing/2014/chart" uri="{C3380CC4-5D6E-409C-BE32-E72D297353CC}">
              <c16:uniqueId val="{00000002-C65F-471D-9E78-BB3007AD2848}"/>
            </c:ext>
          </c:extLst>
        </c:ser>
        <c:dLbls>
          <c:showLegendKey val="0"/>
          <c:showVal val="0"/>
          <c:showCatName val="0"/>
          <c:showSerName val="0"/>
          <c:showPercent val="0"/>
          <c:showBubbleSize val="0"/>
        </c:dLbls>
        <c:gapWidth val="150"/>
        <c:axId val="116648960"/>
        <c:axId val="116470528"/>
      </c:barChart>
      <c:catAx>
        <c:axId val="116648960"/>
        <c:scaling>
          <c:orientation val="maxMin"/>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16470528"/>
        <c:crossesAt val="0"/>
        <c:auto val="1"/>
        <c:lblAlgn val="ctr"/>
        <c:lblOffset val="100"/>
        <c:tickLblSkip val="1"/>
        <c:tickMarkSkip val="1"/>
        <c:noMultiLvlLbl val="0"/>
      </c:catAx>
      <c:valAx>
        <c:axId val="116470528"/>
        <c:scaling>
          <c:orientation val="minMax"/>
          <c:min val="0"/>
        </c:scaling>
        <c:delete val="0"/>
        <c:axPos val="b"/>
        <c:majorGridlines>
          <c:spPr>
            <a:ln w="9525" cap="flat" cmpd="sng" algn="ctr">
              <a:solidFill>
                <a:schemeClr val="tx1">
                  <a:tint val="75000"/>
                  <a:shade val="95000"/>
                  <a:satMod val="105000"/>
                </a:schemeClr>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 Million</a:t>
                </a:r>
              </a:p>
            </c:rich>
          </c:tx>
          <c:layout>
            <c:manualLayout>
              <c:xMode val="edge"/>
              <c:yMode val="edge"/>
              <c:x val="6.4518652777274893E-2"/>
              <c:y val="0.8850580324004010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_ ;\-#,##0\ "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16648960"/>
        <c:crosses val="max"/>
        <c:crossBetween val="between"/>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prstDash val="solid"/>
      <a:round/>
    </a:ln>
    <a:effectLst/>
  </c:spPr>
  <c:txPr>
    <a:bodyPr/>
    <a:lstStyle/>
    <a:p>
      <a:pPr>
        <a:defRPr/>
      </a:pPr>
      <a:endParaRPr lang="en-US"/>
    </a:p>
  </c:txPr>
  <c:printSettings>
    <c:headerFooter alignWithMargins="0"/>
    <c:pageMargins b="1" l="0.75000000000000178" r="0.75000000000000178" t="1" header="0.5" footer="0.5"/>
    <c:pageSetup paperSize="9" orientation="landscape"/>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br>
              <a:rPr lang="en-AU"/>
            </a:br>
            <a:r>
              <a:rPr lang="en-AU" sz="1100"/>
              <a:t>Western</a:t>
            </a:r>
            <a:r>
              <a:rPr lang="en-AU" sz="1100" baseline="0"/>
              <a:t> Australia vs Rest of Australia</a:t>
            </a:r>
            <a:endParaRPr lang="en-AU"/>
          </a:p>
        </c:rich>
      </c:tx>
      <c:layout>
        <c:manualLayout>
          <c:xMode val="edge"/>
          <c:yMode val="edge"/>
          <c:x val="0.31532190457220927"/>
          <c:y val="3.7221014743628371E-2"/>
        </c:manualLayout>
      </c:layout>
      <c:overlay val="0"/>
    </c:title>
    <c:autoTitleDeleted val="0"/>
    <c:plotArea>
      <c:layout>
        <c:manualLayout>
          <c:layoutTarget val="inner"/>
          <c:xMode val="edge"/>
          <c:yMode val="edge"/>
          <c:x val="0.12594806716739121"/>
          <c:y val="0.28785520328354247"/>
          <c:w val="0.83421537657681499"/>
          <c:h val="0.52473206560524444"/>
        </c:manualLayout>
      </c:layout>
      <c:barChart>
        <c:barDir val="col"/>
        <c:grouping val="stacked"/>
        <c:varyColors val="0"/>
        <c:ser>
          <c:idx val="1"/>
          <c:order val="0"/>
          <c:tx>
            <c:v>Western Australia</c:v>
          </c:tx>
          <c:spPr>
            <a:solidFill>
              <a:srgbClr val="FF66CC"/>
            </a:solidFill>
          </c:spPr>
          <c:invertIfNegative val="0"/>
          <c:cat>
            <c:numRef>
              <c:f>'Copper-Lead-Zinc - WA vs Aus'!$A$10:$A$54</c:f>
              <c:numCache>
                <c:formatCode>General</c:formatCode>
                <c:ptCount val="4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numCache>
            </c:numRef>
          </c:cat>
          <c:val>
            <c:numRef>
              <c:f>'Copper-Lead-Zinc - WA vs Aus'!$D$10:$D$54</c:f>
              <c:numCache>
                <c:formatCode>#,##0.00</c:formatCode>
                <c:ptCount val="45"/>
                <c:pt idx="0">
                  <c:v>0</c:v>
                </c:pt>
                <c:pt idx="1">
                  <c:v>0</c:v>
                </c:pt>
                <c:pt idx="2">
                  <c:v>0</c:v>
                </c:pt>
                <c:pt idx="3">
                  <c:v>0</c:v>
                </c:pt>
                <c:pt idx="4">
                  <c:v>0</c:v>
                </c:pt>
                <c:pt idx="5">
                  <c:v>0</c:v>
                </c:pt>
                <c:pt idx="6">
                  <c:v>0</c:v>
                </c:pt>
                <c:pt idx="7">
                  <c:v>0</c:v>
                </c:pt>
                <c:pt idx="8">
                  <c:v>0</c:v>
                </c:pt>
                <c:pt idx="9">
                  <c:v>7.8460000000000001</c:v>
                </c:pt>
                <c:pt idx="10">
                  <c:v>13.606</c:v>
                </c:pt>
                <c:pt idx="11">
                  <c:v>10.698</c:v>
                </c:pt>
                <c:pt idx="12">
                  <c:v>20.963999999999999</c:v>
                </c:pt>
                <c:pt idx="13">
                  <c:v>32.276000000000003</c:v>
                </c:pt>
                <c:pt idx="14">
                  <c:v>20.286999999999999</c:v>
                </c:pt>
                <c:pt idx="15">
                  <c:v>15.641999999999999</c:v>
                </c:pt>
                <c:pt idx="16">
                  <c:v>17.080275999999998</c:v>
                </c:pt>
                <c:pt idx="17">
                  <c:v>23.201461999999999</c:v>
                </c:pt>
                <c:pt idx="18">
                  <c:v>39.518000000000001</c:v>
                </c:pt>
                <c:pt idx="19">
                  <c:v>55.280813999999999</c:v>
                </c:pt>
                <c:pt idx="20">
                  <c:v>73.081000000000003</c:v>
                </c:pt>
                <c:pt idx="21">
                  <c:v>91.38300000000001</c:v>
                </c:pt>
                <c:pt idx="22">
                  <c:v>70.397000000000006</c:v>
                </c:pt>
                <c:pt idx="23">
                  <c:v>49.823</c:v>
                </c:pt>
                <c:pt idx="24">
                  <c:v>1.1747399999999999</c:v>
                </c:pt>
                <c:pt idx="25">
                  <c:v>28.595314999999999</c:v>
                </c:pt>
                <c:pt idx="26">
                  <c:v>70.95348899999999</c:v>
                </c:pt>
                <c:pt idx="27">
                  <c:v>37.091524999999997</c:v>
                </c:pt>
                <c:pt idx="28">
                  <c:v>18.538827999999999</c:v>
                </c:pt>
                <c:pt idx="29">
                  <c:v>22.755433000000004</c:v>
                </c:pt>
                <c:pt idx="30">
                  <c:v>52.922928999999996</c:v>
                </c:pt>
                <c:pt idx="31">
                  <c:v>8.3429219999999997</c:v>
                </c:pt>
                <c:pt idx="32">
                  <c:v>8.135294</c:v>
                </c:pt>
                <c:pt idx="33">
                  <c:v>52.261510000000001</c:v>
                </c:pt>
                <c:pt idx="34">
                  <c:v>80.888499999999993</c:v>
                </c:pt>
                <c:pt idx="35">
                  <c:v>20.259029999999999</c:v>
                </c:pt>
                <c:pt idx="36">
                  <c:v>4.76091</c:v>
                </c:pt>
                <c:pt idx="37">
                  <c:v>5.9010800000000003</c:v>
                </c:pt>
                <c:pt idx="38">
                  <c:v>6.0910000000000011</c:v>
                </c:pt>
                <c:pt idx="39">
                  <c:v>2.9168000000000003</c:v>
                </c:pt>
                <c:pt idx="40">
                  <c:v>1.3745150000000002</c:v>
                </c:pt>
                <c:pt idx="41">
                  <c:v>1.2656350000000001</c:v>
                </c:pt>
                <c:pt idx="42">
                  <c:v>0</c:v>
                </c:pt>
                <c:pt idx="43">
                  <c:v>36.339978000000002</c:v>
                </c:pt>
                <c:pt idx="44">
                  <c:v>56.217292</c:v>
                </c:pt>
              </c:numCache>
            </c:numRef>
          </c:val>
          <c:extLst>
            <c:ext xmlns:c16="http://schemas.microsoft.com/office/drawing/2014/chart" uri="{C3380CC4-5D6E-409C-BE32-E72D297353CC}">
              <c16:uniqueId val="{00000000-0EAF-4CC1-B696-D033C197598D}"/>
            </c:ext>
          </c:extLst>
        </c:ser>
        <c:ser>
          <c:idx val="2"/>
          <c:order val="1"/>
          <c:tx>
            <c:v>Rest of Australia</c:v>
          </c:tx>
          <c:spPr>
            <a:solidFill>
              <a:srgbClr val="DEB2D7"/>
            </a:solidFill>
          </c:spPr>
          <c:invertIfNegative val="0"/>
          <c:cat>
            <c:numRef>
              <c:f>'Copper-Lead-Zinc - WA vs Aus'!$A$10:$A$54</c:f>
              <c:numCache>
                <c:formatCode>General</c:formatCode>
                <c:ptCount val="4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numCache>
            </c:numRef>
          </c:cat>
          <c:val>
            <c:numRef>
              <c:f>'Copper-Lead-Zinc - WA vs Aus'!$E$10:$E$54</c:f>
              <c:numCache>
                <c:formatCode>#,##0.00</c:formatCode>
                <c:ptCount val="45"/>
                <c:pt idx="0">
                  <c:v>398</c:v>
                </c:pt>
                <c:pt idx="1">
                  <c:v>388</c:v>
                </c:pt>
                <c:pt idx="2">
                  <c:v>455</c:v>
                </c:pt>
                <c:pt idx="3">
                  <c:v>481</c:v>
                </c:pt>
                <c:pt idx="4">
                  <c:v>441</c:v>
                </c:pt>
                <c:pt idx="5">
                  <c:v>498</c:v>
                </c:pt>
                <c:pt idx="6">
                  <c:v>445</c:v>
                </c:pt>
                <c:pt idx="7">
                  <c:v>489</c:v>
                </c:pt>
                <c:pt idx="8">
                  <c:v>462</c:v>
                </c:pt>
                <c:pt idx="9">
                  <c:v>495</c:v>
                </c:pt>
                <c:pt idx="10">
                  <c:v>564.69900000000007</c:v>
                </c:pt>
                <c:pt idx="11">
                  <c:v>565.72300000000007</c:v>
                </c:pt>
                <c:pt idx="12">
                  <c:v>565.00263450000011</c:v>
                </c:pt>
                <c:pt idx="13">
                  <c:v>508.07449600000001</c:v>
                </c:pt>
                <c:pt idx="14">
                  <c:v>491.67572100000001</c:v>
                </c:pt>
                <c:pt idx="15">
                  <c:v>449.36164880000001</c:v>
                </c:pt>
                <c:pt idx="16">
                  <c:v>509.97193960000004</c:v>
                </c:pt>
                <c:pt idx="17">
                  <c:v>506.69124799999997</c:v>
                </c:pt>
                <c:pt idx="18">
                  <c:v>580.16828559999999</c:v>
                </c:pt>
                <c:pt idx="19">
                  <c:v>621.56818600000008</c:v>
                </c:pt>
                <c:pt idx="20">
                  <c:v>626.2713</c:v>
                </c:pt>
                <c:pt idx="21">
                  <c:v>667.72134999999992</c:v>
                </c:pt>
                <c:pt idx="22">
                  <c:v>623.45499999999993</c:v>
                </c:pt>
                <c:pt idx="23">
                  <c:v>637.91300000000001</c:v>
                </c:pt>
                <c:pt idx="24">
                  <c:v>672.41225999999995</c:v>
                </c:pt>
                <c:pt idx="25">
                  <c:v>737.619685</c:v>
                </c:pt>
                <c:pt idx="26">
                  <c:v>597.06951099999992</c:v>
                </c:pt>
                <c:pt idx="27">
                  <c:v>603.55647499999986</c:v>
                </c:pt>
                <c:pt idx="28">
                  <c:v>631.29</c:v>
                </c:pt>
                <c:pt idx="29">
                  <c:v>561</c:v>
                </c:pt>
                <c:pt idx="30">
                  <c:v>616</c:v>
                </c:pt>
                <c:pt idx="31">
                  <c:v>604</c:v>
                </c:pt>
                <c:pt idx="32">
                  <c:v>613</c:v>
                </c:pt>
                <c:pt idx="33">
                  <c:v>664</c:v>
                </c:pt>
                <c:pt idx="34">
                  <c:v>642</c:v>
                </c:pt>
                <c:pt idx="35">
                  <c:v>634</c:v>
                </c:pt>
                <c:pt idx="36">
                  <c:v>436</c:v>
                </c:pt>
                <c:pt idx="37">
                  <c:v>387</c:v>
                </c:pt>
                <c:pt idx="38">
                  <c:v>438</c:v>
                </c:pt>
                <c:pt idx="39">
                  <c:v>506.08320000000003</c:v>
                </c:pt>
                <c:pt idx="40">
                  <c:v>488.88600000000002</c:v>
                </c:pt>
                <c:pt idx="41">
                  <c:v>480.55599999999998</c:v>
                </c:pt>
                <c:pt idx="42">
                  <c:v>435.267</c:v>
                </c:pt>
                <c:pt idx="43">
                  <c:v>435.90227894444399</c:v>
                </c:pt>
                <c:pt idx="44">
                  <c:v>414.78300000000002</c:v>
                </c:pt>
              </c:numCache>
            </c:numRef>
          </c:val>
          <c:extLst>
            <c:ext xmlns:c16="http://schemas.microsoft.com/office/drawing/2014/chart" uri="{C3380CC4-5D6E-409C-BE32-E72D297353CC}">
              <c16:uniqueId val="{00000001-0EAF-4CC1-B696-D033C197598D}"/>
            </c:ext>
          </c:extLst>
        </c:ser>
        <c:dLbls>
          <c:showLegendKey val="0"/>
          <c:showVal val="0"/>
          <c:showCatName val="0"/>
          <c:showSerName val="0"/>
          <c:showPercent val="0"/>
          <c:showBubbleSize val="0"/>
        </c:dLbls>
        <c:gapWidth val="60"/>
        <c:overlap val="100"/>
        <c:axId val="115752320"/>
        <c:axId val="115758208"/>
      </c:barChart>
      <c:dateAx>
        <c:axId val="11575232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5758208"/>
        <c:crosses val="autoZero"/>
        <c:auto val="0"/>
        <c:lblOffset val="100"/>
        <c:baseTimeUnit val="days"/>
        <c:majorUnit val="2"/>
        <c:majorTimeUnit val="days"/>
        <c:minorUnit val="5"/>
      </c:dateAx>
      <c:valAx>
        <c:axId val="115758208"/>
        <c:scaling>
          <c:orientation val="minMax"/>
        </c:scaling>
        <c:delete val="0"/>
        <c:axPos val="l"/>
        <c:majorGridlines/>
        <c:title>
          <c:tx>
            <c:rich>
              <a:bodyPr rot="-5400000" vert="horz"/>
              <a:lstStyle/>
              <a:p>
                <a:pPr>
                  <a:defRPr/>
                </a:pPr>
                <a:r>
                  <a:rPr lang="en-AU"/>
                  <a:t>Thousand Tonnes</a:t>
                </a:r>
              </a:p>
            </c:rich>
          </c:tx>
          <c:layout>
            <c:manualLayout>
              <c:xMode val="edge"/>
              <c:yMode val="edge"/>
              <c:x val="2.3593136194934684E-2"/>
              <c:y val="0.43021228342944701"/>
            </c:manualLayout>
          </c:layout>
          <c:overlay val="0"/>
        </c:title>
        <c:numFmt formatCode="#,##0" sourceLinked="0"/>
        <c:majorTickMark val="out"/>
        <c:minorTickMark val="none"/>
        <c:tickLblPos val="nextTo"/>
        <c:txPr>
          <a:bodyPr rot="0" vert="horz"/>
          <a:lstStyle/>
          <a:p>
            <a:pPr>
              <a:defRPr/>
            </a:pPr>
            <a:endParaRPr lang="en-US"/>
          </a:p>
        </c:txPr>
        <c:crossAx val="115752320"/>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br>
              <a:rPr lang="en-AU"/>
            </a:br>
            <a:r>
              <a:rPr lang="en-AU" sz="1100"/>
              <a:t>Western</a:t>
            </a:r>
            <a:r>
              <a:rPr lang="en-AU" sz="1100" baseline="0"/>
              <a:t> Australia vs Rest of Australia</a:t>
            </a:r>
            <a:endParaRPr lang="en-AU"/>
          </a:p>
        </c:rich>
      </c:tx>
      <c:layout>
        <c:manualLayout>
          <c:xMode val="edge"/>
          <c:yMode val="edge"/>
          <c:x val="0.31532190457220927"/>
          <c:y val="3.7221014743628371E-2"/>
        </c:manualLayout>
      </c:layout>
      <c:overlay val="0"/>
    </c:title>
    <c:autoTitleDeleted val="0"/>
    <c:plotArea>
      <c:layout>
        <c:manualLayout>
          <c:layoutTarget val="inner"/>
          <c:xMode val="edge"/>
          <c:yMode val="edge"/>
          <c:x val="0.12594806716739121"/>
          <c:y val="0.28785520328354247"/>
          <c:w val="0.83421537657681499"/>
          <c:h val="0.52473206560524444"/>
        </c:manualLayout>
      </c:layout>
      <c:barChart>
        <c:barDir val="col"/>
        <c:grouping val="stacked"/>
        <c:varyColors val="0"/>
        <c:ser>
          <c:idx val="1"/>
          <c:order val="0"/>
          <c:tx>
            <c:v>Western Australia</c:v>
          </c:tx>
          <c:spPr>
            <a:solidFill>
              <a:srgbClr val="FF66CC"/>
            </a:solidFill>
          </c:spPr>
          <c:invertIfNegative val="0"/>
          <c:cat>
            <c:numRef>
              <c:f>'Copper-Lead-Zinc - WA vs Aus'!$A$10:$A$54</c:f>
              <c:numCache>
                <c:formatCode>General</c:formatCode>
                <c:ptCount val="4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numCache>
            </c:numRef>
          </c:cat>
          <c:val>
            <c:numRef>
              <c:f>'Copper-Lead-Zinc - WA vs Aus'!$F$10:$F$54</c:f>
              <c:numCache>
                <c:formatCode>#,##0.00</c:formatCode>
                <c:ptCount val="45"/>
                <c:pt idx="0">
                  <c:v>0</c:v>
                </c:pt>
                <c:pt idx="1">
                  <c:v>3.613</c:v>
                </c:pt>
                <c:pt idx="2">
                  <c:v>48.018000000000001</c:v>
                </c:pt>
                <c:pt idx="3">
                  <c:v>13.157999999999999</c:v>
                </c:pt>
                <c:pt idx="4">
                  <c:v>35.64</c:v>
                </c:pt>
                <c:pt idx="5">
                  <c:v>51.976999999999997</c:v>
                </c:pt>
                <c:pt idx="6">
                  <c:v>23.969000000000001</c:v>
                </c:pt>
                <c:pt idx="7">
                  <c:v>0</c:v>
                </c:pt>
                <c:pt idx="8">
                  <c:v>20.25</c:v>
                </c:pt>
                <c:pt idx="9">
                  <c:v>38.064</c:v>
                </c:pt>
                <c:pt idx="10">
                  <c:v>51.704000000000001</c:v>
                </c:pt>
                <c:pt idx="11">
                  <c:v>112.015</c:v>
                </c:pt>
                <c:pt idx="12">
                  <c:v>141.38499999999999</c:v>
                </c:pt>
                <c:pt idx="13">
                  <c:v>141.096</c:v>
                </c:pt>
                <c:pt idx="14">
                  <c:v>123.621</c:v>
                </c:pt>
                <c:pt idx="15">
                  <c:v>126.336</c:v>
                </c:pt>
                <c:pt idx="16">
                  <c:v>106.85529852100001</c:v>
                </c:pt>
                <c:pt idx="17">
                  <c:v>117.198171</c:v>
                </c:pt>
                <c:pt idx="18">
                  <c:v>149.33000000000001</c:v>
                </c:pt>
                <c:pt idx="19">
                  <c:v>222.53985500000002</c:v>
                </c:pt>
                <c:pt idx="20">
                  <c:v>257.71199999999999</c:v>
                </c:pt>
                <c:pt idx="21">
                  <c:v>210.83700000000002</c:v>
                </c:pt>
                <c:pt idx="22">
                  <c:v>218.803</c:v>
                </c:pt>
                <c:pt idx="23">
                  <c:v>148.83994000000001</c:v>
                </c:pt>
                <c:pt idx="24">
                  <c:v>51.78387</c:v>
                </c:pt>
                <c:pt idx="25">
                  <c:v>59.104380000000006</c:v>
                </c:pt>
                <c:pt idx="26">
                  <c:v>109.06339100000001</c:v>
                </c:pt>
                <c:pt idx="27">
                  <c:v>173.33780000000002</c:v>
                </c:pt>
                <c:pt idx="28">
                  <c:v>189.81195299999999</c:v>
                </c:pt>
                <c:pt idx="29">
                  <c:v>99.811695999999984</c:v>
                </c:pt>
                <c:pt idx="30">
                  <c:v>81.515219999999999</c:v>
                </c:pt>
                <c:pt idx="31">
                  <c:v>74.400736999999992</c:v>
                </c:pt>
                <c:pt idx="32">
                  <c:v>57.112677000000005</c:v>
                </c:pt>
                <c:pt idx="33">
                  <c:v>47.985600000000005</c:v>
                </c:pt>
                <c:pt idx="34">
                  <c:v>72.763530000000003</c:v>
                </c:pt>
                <c:pt idx="35">
                  <c:v>77.178319999999999</c:v>
                </c:pt>
                <c:pt idx="36">
                  <c:v>94.963539999999995</c:v>
                </c:pt>
                <c:pt idx="37">
                  <c:v>71.788228000000004</c:v>
                </c:pt>
                <c:pt idx="38">
                  <c:v>68.823993000000002</c:v>
                </c:pt>
                <c:pt idx="39">
                  <c:v>77.819270000000003</c:v>
                </c:pt>
                <c:pt idx="40">
                  <c:v>62.050920000000005</c:v>
                </c:pt>
                <c:pt idx="41">
                  <c:v>69.051431000000008</c:v>
                </c:pt>
                <c:pt idx="42">
                  <c:v>70.478444999999994</c:v>
                </c:pt>
                <c:pt idx="43">
                  <c:v>48.765287000000001</c:v>
                </c:pt>
                <c:pt idx="44">
                  <c:v>53.413800000000002</c:v>
                </c:pt>
              </c:numCache>
            </c:numRef>
          </c:val>
          <c:extLst>
            <c:ext xmlns:c16="http://schemas.microsoft.com/office/drawing/2014/chart" uri="{C3380CC4-5D6E-409C-BE32-E72D297353CC}">
              <c16:uniqueId val="{00000000-27B6-4951-9CEB-1270CFEDF98B}"/>
            </c:ext>
          </c:extLst>
        </c:ser>
        <c:ser>
          <c:idx val="2"/>
          <c:order val="1"/>
          <c:tx>
            <c:v>Rest of Australia</c:v>
          </c:tx>
          <c:spPr>
            <a:solidFill>
              <a:srgbClr val="DEB2D7"/>
            </a:solidFill>
          </c:spPr>
          <c:invertIfNegative val="0"/>
          <c:cat>
            <c:numRef>
              <c:f>'Copper-Lead-Zinc - WA vs Aus'!$A$10:$A$54</c:f>
              <c:numCache>
                <c:formatCode>General</c:formatCode>
                <c:ptCount val="4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numCache>
            </c:numRef>
          </c:cat>
          <c:val>
            <c:numRef>
              <c:f>'Copper-Lead-Zinc - WA vs Aus'!$G$10:$G$54</c:f>
              <c:numCache>
                <c:formatCode>#,##0.00</c:formatCode>
                <c:ptCount val="45"/>
                <c:pt idx="0">
                  <c:v>495</c:v>
                </c:pt>
                <c:pt idx="1">
                  <c:v>518</c:v>
                </c:pt>
                <c:pt idx="2">
                  <c:v>665</c:v>
                </c:pt>
                <c:pt idx="3">
                  <c:v>699</c:v>
                </c:pt>
                <c:pt idx="4">
                  <c:v>677</c:v>
                </c:pt>
                <c:pt idx="5">
                  <c:v>759</c:v>
                </c:pt>
                <c:pt idx="6">
                  <c:v>712</c:v>
                </c:pt>
                <c:pt idx="7">
                  <c:v>778</c:v>
                </c:pt>
                <c:pt idx="8">
                  <c:v>760</c:v>
                </c:pt>
                <c:pt idx="9">
                  <c:v>803</c:v>
                </c:pt>
                <c:pt idx="10">
                  <c:v>882.57560000000012</c:v>
                </c:pt>
                <c:pt idx="11">
                  <c:v>900.30520000000001</c:v>
                </c:pt>
                <c:pt idx="12">
                  <c:v>923.9254406</c:v>
                </c:pt>
                <c:pt idx="13">
                  <c:v>880.42057299999999</c:v>
                </c:pt>
                <c:pt idx="14">
                  <c:v>845.69662699999992</c:v>
                </c:pt>
                <c:pt idx="15">
                  <c:v>817.34446200000002</c:v>
                </c:pt>
                <c:pt idx="16">
                  <c:v>907.12170147899997</c:v>
                </c:pt>
                <c:pt idx="17">
                  <c:v>840.23782899999992</c:v>
                </c:pt>
                <c:pt idx="18">
                  <c:v>870.02799999999991</c:v>
                </c:pt>
                <c:pt idx="19">
                  <c:v>897.12634500000013</c:v>
                </c:pt>
                <c:pt idx="20">
                  <c:v>1121.9626999999998</c:v>
                </c:pt>
                <c:pt idx="21">
                  <c:v>1265.751859</c:v>
                </c:pt>
                <c:pt idx="22">
                  <c:v>1221.1280000000002</c:v>
                </c:pt>
                <c:pt idx="23">
                  <c:v>1293.2950599999999</c:v>
                </c:pt>
                <c:pt idx="24">
                  <c:v>1245.47513</c:v>
                </c:pt>
                <c:pt idx="25">
                  <c:v>1269.63562</c:v>
                </c:pt>
                <c:pt idx="26">
                  <c:v>1217.611609</c:v>
                </c:pt>
                <c:pt idx="27">
                  <c:v>1307.9872</c:v>
                </c:pt>
                <c:pt idx="28">
                  <c:v>1292.77</c:v>
                </c:pt>
                <c:pt idx="29">
                  <c:v>1166</c:v>
                </c:pt>
                <c:pt idx="30">
                  <c:v>1346</c:v>
                </c:pt>
                <c:pt idx="31">
                  <c:v>1387</c:v>
                </c:pt>
                <c:pt idx="32">
                  <c:v>1428</c:v>
                </c:pt>
                <c:pt idx="33">
                  <c:v>1419</c:v>
                </c:pt>
                <c:pt idx="34">
                  <c:v>1421</c:v>
                </c:pt>
                <c:pt idx="35">
                  <c:v>1508</c:v>
                </c:pt>
                <c:pt idx="36">
                  <c:v>806</c:v>
                </c:pt>
                <c:pt idx="37">
                  <c:v>767</c:v>
                </c:pt>
                <c:pt idx="38">
                  <c:v>1056</c:v>
                </c:pt>
                <c:pt idx="39">
                  <c:v>1252.18073</c:v>
                </c:pt>
                <c:pt idx="40">
                  <c:v>1235.1289999999999</c:v>
                </c:pt>
                <c:pt idx="41">
                  <c:v>1242.5637971425899</c:v>
                </c:pt>
                <c:pt idx="42">
                  <c:v>1147.1879069680499</c:v>
                </c:pt>
                <c:pt idx="43">
                  <c:v>1052.3896274067201</c:v>
                </c:pt>
                <c:pt idx="44">
                  <c:v>1042.586</c:v>
                </c:pt>
              </c:numCache>
            </c:numRef>
          </c:val>
          <c:extLst>
            <c:ext xmlns:c16="http://schemas.microsoft.com/office/drawing/2014/chart" uri="{C3380CC4-5D6E-409C-BE32-E72D297353CC}">
              <c16:uniqueId val="{00000001-27B6-4951-9CEB-1270CFEDF98B}"/>
            </c:ext>
          </c:extLst>
        </c:ser>
        <c:dLbls>
          <c:showLegendKey val="0"/>
          <c:showVal val="0"/>
          <c:showCatName val="0"/>
          <c:showSerName val="0"/>
          <c:showPercent val="0"/>
          <c:showBubbleSize val="0"/>
        </c:dLbls>
        <c:gapWidth val="60"/>
        <c:overlap val="100"/>
        <c:axId val="115752320"/>
        <c:axId val="115758208"/>
      </c:barChart>
      <c:dateAx>
        <c:axId val="11575232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5758208"/>
        <c:crosses val="autoZero"/>
        <c:auto val="0"/>
        <c:lblOffset val="100"/>
        <c:baseTimeUnit val="days"/>
        <c:majorUnit val="2"/>
        <c:majorTimeUnit val="days"/>
        <c:minorUnit val="5"/>
      </c:dateAx>
      <c:valAx>
        <c:axId val="115758208"/>
        <c:scaling>
          <c:orientation val="minMax"/>
        </c:scaling>
        <c:delete val="0"/>
        <c:axPos val="l"/>
        <c:majorGridlines/>
        <c:title>
          <c:tx>
            <c:rich>
              <a:bodyPr rot="-5400000" vert="horz"/>
              <a:lstStyle/>
              <a:p>
                <a:pPr>
                  <a:defRPr/>
                </a:pPr>
                <a:r>
                  <a:rPr lang="en-AU"/>
                  <a:t>Thousand Tonnes</a:t>
                </a:r>
              </a:p>
            </c:rich>
          </c:tx>
          <c:layout>
            <c:manualLayout>
              <c:xMode val="edge"/>
              <c:yMode val="edge"/>
              <c:x val="2.3593136194934684E-2"/>
              <c:y val="0.43021228342944701"/>
            </c:manualLayout>
          </c:layout>
          <c:overlay val="0"/>
        </c:title>
        <c:numFmt formatCode="#,##0" sourceLinked="0"/>
        <c:majorTickMark val="out"/>
        <c:minorTickMark val="none"/>
        <c:tickLblPos val="nextTo"/>
        <c:txPr>
          <a:bodyPr rot="0" vert="horz"/>
          <a:lstStyle/>
          <a:p>
            <a:pPr>
              <a:defRPr/>
            </a:pPr>
            <a:endParaRPr lang="en-US"/>
          </a:p>
        </c:txPr>
        <c:crossAx val="115752320"/>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br>
              <a:rPr lang="en-AU"/>
            </a:br>
            <a:r>
              <a:rPr lang="en-AU" sz="1100"/>
              <a:t>Western</a:t>
            </a:r>
            <a:r>
              <a:rPr lang="en-AU" sz="1100" baseline="0"/>
              <a:t> Australia vs Rest of Australia</a:t>
            </a:r>
            <a:endParaRPr lang="en-AU"/>
          </a:p>
        </c:rich>
      </c:tx>
      <c:layout>
        <c:manualLayout>
          <c:xMode val="edge"/>
          <c:yMode val="edge"/>
          <c:x val="0.31532190457220927"/>
          <c:y val="3.7221014743628371E-2"/>
        </c:manualLayout>
      </c:layout>
      <c:overlay val="0"/>
    </c:title>
    <c:autoTitleDeleted val="0"/>
    <c:plotArea>
      <c:layout>
        <c:manualLayout>
          <c:layoutTarget val="inner"/>
          <c:xMode val="edge"/>
          <c:yMode val="edge"/>
          <c:x val="0.12594806716739121"/>
          <c:y val="0.28785520328354247"/>
          <c:w val="0.83421537657681499"/>
          <c:h val="0.52473206560524444"/>
        </c:manualLayout>
      </c:layout>
      <c:barChart>
        <c:barDir val="col"/>
        <c:grouping val="stacked"/>
        <c:varyColors val="0"/>
        <c:ser>
          <c:idx val="1"/>
          <c:order val="0"/>
          <c:tx>
            <c:v>Western Australia</c:v>
          </c:tx>
          <c:spPr>
            <a:solidFill>
              <a:srgbClr val="FF66CC"/>
            </a:solidFill>
            <a:ln>
              <a:noFill/>
            </a:ln>
          </c:spPr>
          <c:invertIfNegative val="0"/>
          <c:cat>
            <c:numRef>
              <c:f>'Copper-Lead-Zinc - WA vs Aus'!$A$10:$A$54</c:f>
              <c:numCache>
                <c:formatCode>General</c:formatCode>
                <c:ptCount val="4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numCache>
            </c:numRef>
          </c:cat>
          <c:val>
            <c:numRef>
              <c:f>'Copper-Lead-Zinc - WA vs Aus'!$B$10:$B$54</c:f>
              <c:numCache>
                <c:formatCode>#,##0.00</c:formatCode>
                <c:ptCount val="45"/>
                <c:pt idx="0">
                  <c:v>3.1320000000000001</c:v>
                </c:pt>
                <c:pt idx="1">
                  <c:v>4.4240000000000004</c:v>
                </c:pt>
                <c:pt idx="2">
                  <c:v>17.603999999999999</c:v>
                </c:pt>
                <c:pt idx="3">
                  <c:v>11.449</c:v>
                </c:pt>
                <c:pt idx="4">
                  <c:v>12.005000000000001</c:v>
                </c:pt>
                <c:pt idx="5">
                  <c:v>10.403</c:v>
                </c:pt>
                <c:pt idx="6">
                  <c:v>7.774</c:v>
                </c:pt>
                <c:pt idx="7">
                  <c:v>2.91</c:v>
                </c:pt>
                <c:pt idx="8">
                  <c:v>7.4260000000000002</c:v>
                </c:pt>
                <c:pt idx="9">
                  <c:v>19.038</c:v>
                </c:pt>
                <c:pt idx="10">
                  <c:v>14.959</c:v>
                </c:pt>
                <c:pt idx="11">
                  <c:v>11.792999999999999</c:v>
                </c:pt>
                <c:pt idx="12">
                  <c:v>12.09362</c:v>
                </c:pt>
                <c:pt idx="13">
                  <c:v>28.98</c:v>
                </c:pt>
                <c:pt idx="14">
                  <c:v>35.109000000000002</c:v>
                </c:pt>
                <c:pt idx="15">
                  <c:v>24.312000000000001</c:v>
                </c:pt>
                <c:pt idx="16">
                  <c:v>23.071999999999999</c:v>
                </c:pt>
                <c:pt idx="17">
                  <c:v>28.318000000000001</c:v>
                </c:pt>
                <c:pt idx="18">
                  <c:v>28.24</c:v>
                </c:pt>
                <c:pt idx="19">
                  <c:v>26.228000000000002</c:v>
                </c:pt>
                <c:pt idx="20">
                  <c:v>34.037999999999997</c:v>
                </c:pt>
                <c:pt idx="21">
                  <c:v>50.237000000000002</c:v>
                </c:pt>
                <c:pt idx="22">
                  <c:v>64.286999999999992</c:v>
                </c:pt>
                <c:pt idx="23">
                  <c:v>60.176090000000002</c:v>
                </c:pt>
                <c:pt idx="24">
                  <c:v>42.260094000000002</c:v>
                </c:pt>
                <c:pt idx="25">
                  <c:v>85.220481000000007</c:v>
                </c:pt>
                <c:pt idx="26">
                  <c:v>99.242470999999995</c:v>
                </c:pt>
                <c:pt idx="27">
                  <c:v>105.40498599999999</c:v>
                </c:pt>
                <c:pt idx="28">
                  <c:v>119.055948</c:v>
                </c:pt>
                <c:pt idx="29">
                  <c:v>151.49643399999999</c:v>
                </c:pt>
                <c:pt idx="30">
                  <c:v>155.65068099999999</c:v>
                </c:pt>
                <c:pt idx="31">
                  <c:v>144.95804783199998</c:v>
                </c:pt>
                <c:pt idx="32">
                  <c:v>185.75001993699999</c:v>
                </c:pt>
                <c:pt idx="33">
                  <c:v>216.05661499999999</c:v>
                </c:pt>
                <c:pt idx="34">
                  <c:v>197.08071799999999</c:v>
                </c:pt>
                <c:pt idx="35">
                  <c:v>189.41435100000001</c:v>
                </c:pt>
                <c:pt idx="36">
                  <c:v>181.53603299999997</c:v>
                </c:pt>
                <c:pt idx="37">
                  <c:v>160.27640700000001</c:v>
                </c:pt>
                <c:pt idx="38">
                  <c:v>165.92057600000001</c:v>
                </c:pt>
                <c:pt idx="39">
                  <c:v>172.11437000000001</c:v>
                </c:pt>
                <c:pt idx="40">
                  <c:v>147.23582699999997</c:v>
                </c:pt>
                <c:pt idx="41">
                  <c:v>148.743044</c:v>
                </c:pt>
                <c:pt idx="42">
                  <c:v>144.10000300000002</c:v>
                </c:pt>
                <c:pt idx="43">
                  <c:v>107.19488042252641</c:v>
                </c:pt>
                <c:pt idx="44">
                  <c:v>72.314515</c:v>
                </c:pt>
              </c:numCache>
            </c:numRef>
          </c:val>
          <c:extLst>
            <c:ext xmlns:c16="http://schemas.microsoft.com/office/drawing/2014/chart" uri="{C3380CC4-5D6E-409C-BE32-E72D297353CC}">
              <c16:uniqueId val="{00000000-E9CE-4882-9A2A-BB1FAC180705}"/>
            </c:ext>
          </c:extLst>
        </c:ser>
        <c:ser>
          <c:idx val="2"/>
          <c:order val="1"/>
          <c:tx>
            <c:v>Rest of Australia</c:v>
          </c:tx>
          <c:spPr>
            <a:solidFill>
              <a:srgbClr val="DEB2D7"/>
            </a:solidFill>
          </c:spPr>
          <c:invertIfNegative val="0"/>
          <c:cat>
            <c:numRef>
              <c:f>'Copper-Lead-Zinc - WA vs Aus'!$A$10:$A$54</c:f>
              <c:numCache>
                <c:formatCode>General</c:formatCode>
                <c:ptCount val="4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numCache>
            </c:numRef>
          </c:cat>
          <c:val>
            <c:numRef>
              <c:f>'Copper-Lead-Zinc - WA vs Aus'!$C$10:$C$54</c:f>
              <c:numCache>
                <c:formatCode>#,##0.00</c:formatCode>
                <c:ptCount val="45"/>
                <c:pt idx="0">
                  <c:v>242</c:v>
                </c:pt>
                <c:pt idx="1">
                  <c:v>231</c:v>
                </c:pt>
                <c:pt idx="2">
                  <c:v>245</c:v>
                </c:pt>
                <c:pt idx="3">
                  <c:v>262</c:v>
                </c:pt>
                <c:pt idx="4">
                  <c:v>236</c:v>
                </c:pt>
                <c:pt idx="5">
                  <c:v>260</c:v>
                </c:pt>
                <c:pt idx="6">
                  <c:v>248</c:v>
                </c:pt>
                <c:pt idx="7">
                  <c:v>233</c:v>
                </c:pt>
                <c:pt idx="8">
                  <c:v>238</c:v>
                </c:pt>
                <c:pt idx="9">
                  <c:v>296</c:v>
                </c:pt>
                <c:pt idx="10">
                  <c:v>314.11700000000002</c:v>
                </c:pt>
                <c:pt idx="11">
                  <c:v>315.83949999999999</c:v>
                </c:pt>
                <c:pt idx="12">
                  <c:v>369.25614999999999</c:v>
                </c:pt>
                <c:pt idx="13">
                  <c:v>392.97141999999997</c:v>
                </c:pt>
                <c:pt idx="14">
                  <c:v>383.27244780000001</c:v>
                </c:pt>
                <c:pt idx="15">
                  <c:v>326.44694399999997</c:v>
                </c:pt>
                <c:pt idx="16">
                  <c:v>509.58433325999999</c:v>
                </c:pt>
                <c:pt idx="17">
                  <c:v>520.75490000000002</c:v>
                </c:pt>
                <c:pt idx="18">
                  <c:v>589.6879899999999</c:v>
                </c:pt>
                <c:pt idx="19">
                  <c:v>711.61930000000007</c:v>
                </c:pt>
                <c:pt idx="20">
                  <c:v>804.81131599999992</c:v>
                </c:pt>
                <c:pt idx="21">
                  <c:v>848.10496999999998</c:v>
                </c:pt>
                <c:pt idx="22">
                  <c:v>807.99442999999997</c:v>
                </c:pt>
                <c:pt idx="23">
                  <c:v>770.21165999999994</c:v>
                </c:pt>
                <c:pt idx="24">
                  <c:v>833.115906</c:v>
                </c:pt>
                <c:pt idx="25">
                  <c:v>842.99651900000003</c:v>
                </c:pt>
                <c:pt idx="26">
                  <c:v>779.63111179999987</c:v>
                </c:pt>
                <c:pt idx="27">
                  <c:v>757.12953350999999</c:v>
                </c:pt>
                <c:pt idx="28">
                  <c:v>759.88395200000014</c:v>
                </c:pt>
                <c:pt idx="29">
                  <c:v>710</c:v>
                </c:pt>
                <c:pt idx="30">
                  <c:v>703</c:v>
                </c:pt>
                <c:pt idx="31">
                  <c:v>820</c:v>
                </c:pt>
                <c:pt idx="32">
                  <c:v>729</c:v>
                </c:pt>
                <c:pt idx="33">
                  <c:v>792</c:v>
                </c:pt>
                <c:pt idx="34">
                  <c:v>787</c:v>
                </c:pt>
                <c:pt idx="35">
                  <c:v>800</c:v>
                </c:pt>
                <c:pt idx="36">
                  <c:v>769</c:v>
                </c:pt>
                <c:pt idx="37">
                  <c:v>672</c:v>
                </c:pt>
                <c:pt idx="38">
                  <c:v>727.3</c:v>
                </c:pt>
                <c:pt idx="39">
                  <c:v>761.88562999999999</c:v>
                </c:pt>
                <c:pt idx="40">
                  <c:v>712.960410031577</c:v>
                </c:pt>
                <c:pt idx="41">
                  <c:v>652.399</c:v>
                </c:pt>
                <c:pt idx="42">
                  <c:v>687.255</c:v>
                </c:pt>
                <c:pt idx="43">
                  <c:v>671.59545812999988</c:v>
                </c:pt>
                <c:pt idx="44">
                  <c:v>676.00300000000004</c:v>
                </c:pt>
              </c:numCache>
            </c:numRef>
          </c:val>
          <c:extLst>
            <c:ext xmlns:c16="http://schemas.microsoft.com/office/drawing/2014/chart" uri="{C3380CC4-5D6E-409C-BE32-E72D297353CC}">
              <c16:uniqueId val="{00000001-E9CE-4882-9A2A-BB1FAC180705}"/>
            </c:ext>
          </c:extLst>
        </c:ser>
        <c:dLbls>
          <c:showLegendKey val="0"/>
          <c:showVal val="0"/>
          <c:showCatName val="0"/>
          <c:showSerName val="0"/>
          <c:showPercent val="0"/>
          <c:showBubbleSize val="0"/>
        </c:dLbls>
        <c:gapWidth val="60"/>
        <c:overlap val="100"/>
        <c:axId val="115752320"/>
        <c:axId val="115758208"/>
      </c:barChart>
      <c:dateAx>
        <c:axId val="11575232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5758208"/>
        <c:crosses val="autoZero"/>
        <c:auto val="0"/>
        <c:lblOffset val="100"/>
        <c:baseTimeUnit val="days"/>
        <c:majorUnit val="2"/>
        <c:majorTimeUnit val="days"/>
        <c:minorUnit val="5"/>
      </c:dateAx>
      <c:valAx>
        <c:axId val="115758208"/>
        <c:scaling>
          <c:orientation val="minMax"/>
        </c:scaling>
        <c:delete val="0"/>
        <c:axPos val="l"/>
        <c:majorGridlines/>
        <c:title>
          <c:tx>
            <c:rich>
              <a:bodyPr rot="-5400000" vert="horz"/>
              <a:lstStyle/>
              <a:p>
                <a:pPr>
                  <a:defRPr/>
                </a:pPr>
                <a:r>
                  <a:rPr lang="en-AU"/>
                  <a:t>Thousand Tonnes</a:t>
                </a:r>
              </a:p>
            </c:rich>
          </c:tx>
          <c:layout>
            <c:manualLayout>
              <c:xMode val="edge"/>
              <c:yMode val="edge"/>
              <c:x val="2.3593136194934684E-2"/>
              <c:y val="0.43021228342944701"/>
            </c:manualLayout>
          </c:layout>
          <c:overlay val="0"/>
        </c:title>
        <c:numFmt formatCode="#,##0" sourceLinked="0"/>
        <c:majorTickMark val="out"/>
        <c:minorTickMark val="none"/>
        <c:tickLblPos val="nextTo"/>
        <c:txPr>
          <a:bodyPr rot="0" vert="horz"/>
          <a:lstStyle/>
          <a:p>
            <a:pPr>
              <a:defRPr/>
            </a:pPr>
            <a:endParaRPr lang="en-US"/>
          </a:p>
        </c:txPr>
        <c:crossAx val="115752320"/>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Western Australia vs Rest of Australia</a:t>
            </a:r>
          </a:p>
          <a:p>
            <a:pPr>
              <a:defRPr/>
            </a:pPr>
            <a:r>
              <a:rPr lang="en-AU" sz="1100"/>
              <a:t>Last 10 Years</a:t>
            </a:r>
          </a:p>
        </c:rich>
      </c:tx>
      <c:overlay val="0"/>
    </c:title>
    <c:autoTitleDeleted val="0"/>
    <c:plotArea>
      <c:layout>
        <c:manualLayout>
          <c:layoutTarget val="inner"/>
          <c:xMode val="edge"/>
          <c:yMode val="edge"/>
          <c:x val="0.12530661116447425"/>
          <c:y val="0.32084381822535973"/>
          <c:w val="0.84012360738391478"/>
          <c:h val="0.48154014398750467"/>
        </c:manualLayout>
      </c:layout>
      <c:lineChart>
        <c:grouping val="standard"/>
        <c:varyColors val="0"/>
        <c:ser>
          <c:idx val="0"/>
          <c:order val="0"/>
          <c:tx>
            <c:v>Western Australia</c:v>
          </c:tx>
          <c:spPr>
            <a:ln w="28575">
              <a:solidFill>
                <a:srgbClr val="FF66CC"/>
              </a:solidFill>
            </a:ln>
          </c:spPr>
          <c:marker>
            <c:symbol val="diamond"/>
            <c:size val="5"/>
            <c:spPr>
              <a:solidFill>
                <a:srgbClr val="FF00FF"/>
              </a:solidFill>
              <a:ln>
                <a:noFill/>
              </a:ln>
            </c:spPr>
          </c:marker>
          <c:cat>
            <c:numRef>
              <c:f>'Copper-Lead-Zinc - WA vs Aus'!$S$14:$S$23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'Copper-Lead-Zinc - WA vs Aus'!$T$14:$T$23</c:f>
              <c:numCache>
                <c:formatCode>#,##0.00</c:formatCode>
                <c:ptCount val="10"/>
                <c:pt idx="0">
                  <c:v>189.41435100000001</c:v>
                </c:pt>
                <c:pt idx="1">
                  <c:v>181.53603299999997</c:v>
                </c:pt>
                <c:pt idx="2">
                  <c:v>160.27640700000001</c:v>
                </c:pt>
                <c:pt idx="3">
                  <c:v>165.92057600000001</c:v>
                </c:pt>
                <c:pt idx="4">
                  <c:v>172.11437000000001</c:v>
                </c:pt>
                <c:pt idx="5">
                  <c:v>147.23582699999997</c:v>
                </c:pt>
                <c:pt idx="6">
                  <c:v>148.743044</c:v>
                </c:pt>
                <c:pt idx="7">
                  <c:v>144.10000300000002</c:v>
                </c:pt>
                <c:pt idx="8">
                  <c:v>107.19488042252641</c:v>
                </c:pt>
                <c:pt idx="9">
                  <c:v>72.314515</c:v>
                </c:pt>
              </c:numCache>
            </c:numRef>
          </c:val>
          <c:smooth val="0"/>
          <c:extLst>
            <c:ext xmlns:c16="http://schemas.microsoft.com/office/drawing/2014/chart" uri="{C3380CC4-5D6E-409C-BE32-E72D297353CC}">
              <c16:uniqueId val="{00000000-CFB7-4DF8-AB05-765565D65DD4}"/>
            </c:ext>
          </c:extLst>
        </c:ser>
        <c:ser>
          <c:idx val="1"/>
          <c:order val="1"/>
          <c:tx>
            <c:v>Rest of Australia</c:v>
          </c:tx>
          <c:spPr>
            <a:ln w="28575">
              <a:solidFill>
                <a:srgbClr val="FAD6F2"/>
              </a:solidFill>
            </a:ln>
          </c:spPr>
          <c:marker>
            <c:symbol val="square"/>
            <c:size val="5"/>
            <c:spPr>
              <a:solidFill>
                <a:srgbClr val="FFCCFF"/>
              </a:solidFill>
              <a:ln>
                <a:noFill/>
              </a:ln>
            </c:spPr>
          </c:marker>
          <c:cat>
            <c:numRef>
              <c:f>'Copper-Lead-Zinc - WA vs Aus'!$S$14:$S$23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'Copper-Lead-Zinc - WA vs Aus'!$U$14:$U$23</c:f>
              <c:numCache>
                <c:formatCode>#,##0.00</c:formatCode>
                <c:ptCount val="10"/>
                <c:pt idx="0">
                  <c:v>800</c:v>
                </c:pt>
                <c:pt idx="1">
                  <c:v>769</c:v>
                </c:pt>
                <c:pt idx="2">
                  <c:v>672</c:v>
                </c:pt>
                <c:pt idx="3">
                  <c:v>727.3</c:v>
                </c:pt>
                <c:pt idx="4">
                  <c:v>761.88562999999999</c:v>
                </c:pt>
                <c:pt idx="5">
                  <c:v>712.960410031577</c:v>
                </c:pt>
                <c:pt idx="6">
                  <c:v>652.399</c:v>
                </c:pt>
                <c:pt idx="7">
                  <c:v>687.255</c:v>
                </c:pt>
                <c:pt idx="8">
                  <c:v>671.59545812999988</c:v>
                </c:pt>
                <c:pt idx="9">
                  <c:v>676.00300000000004</c:v>
                </c:pt>
              </c:numCache>
            </c:numRef>
          </c:val>
          <c:smooth val="0"/>
          <c:extLst>
            <c:ext xmlns:c16="http://schemas.microsoft.com/office/drawing/2014/chart" uri="{C3380CC4-5D6E-409C-BE32-E72D297353CC}">
              <c16:uniqueId val="{00000001-CFB7-4DF8-AB05-765565D65DD4}"/>
            </c:ext>
          </c:extLst>
        </c:ser>
        <c:dLbls>
          <c:showLegendKey val="0"/>
          <c:showVal val="0"/>
          <c:showCatName val="0"/>
          <c:showSerName val="0"/>
          <c:showPercent val="0"/>
          <c:showBubbleSize val="0"/>
        </c:dLbls>
        <c:marker val="1"/>
        <c:smooth val="0"/>
        <c:axId val="130634880"/>
        <c:axId val="115776512"/>
      </c:lineChart>
      <c:valAx>
        <c:axId val="115776512"/>
        <c:scaling>
          <c:orientation val="minMax"/>
        </c:scaling>
        <c:delete val="0"/>
        <c:axPos val="l"/>
        <c:majorGridlines/>
        <c:title>
          <c:tx>
            <c:rich>
              <a:bodyPr/>
              <a:lstStyle/>
              <a:p>
                <a:pPr>
                  <a:defRPr sz="1000"/>
                </a:pPr>
                <a:r>
                  <a:rPr lang="en-AU" sz="1000" b="1" i="0" baseline="0">
                    <a:effectLst/>
                  </a:rPr>
                  <a:t>Thousand Tonnes</a:t>
                </a:r>
                <a:endParaRPr lang="en-AU" sz="1000">
                  <a:effectLst/>
                </a:endParaRPr>
              </a:p>
            </c:rich>
          </c:tx>
          <c:layout>
            <c:manualLayout>
              <c:xMode val="edge"/>
              <c:yMode val="edge"/>
              <c:x val="1.743613351965629E-2"/>
              <c:y val="0.43675819715194408"/>
            </c:manualLayout>
          </c:layout>
          <c:overlay val="0"/>
        </c:title>
        <c:numFmt formatCode="#,##0" sourceLinked="0"/>
        <c:majorTickMark val="out"/>
        <c:minorTickMark val="none"/>
        <c:tickLblPos val="nextTo"/>
        <c:crossAx val="130634880"/>
        <c:crosses val="autoZero"/>
        <c:crossBetween val="between"/>
      </c:valAx>
      <c:catAx>
        <c:axId val="130634880"/>
        <c:scaling>
          <c:orientation val="minMax"/>
        </c:scaling>
        <c:delete val="0"/>
        <c:axPos val="b"/>
        <c:title>
          <c:tx>
            <c:rich>
              <a:bodyPr/>
              <a:lstStyle/>
              <a:p>
                <a:pPr>
                  <a:defRPr sz="900"/>
                </a:pPr>
                <a:r>
                  <a:rPr lang="en-AU" sz="900" b="1" i="0" baseline="0">
                    <a:effectLst/>
                  </a:rPr>
                  <a:t>Source:  DEM</a:t>
                </a:r>
                <a:r>
                  <a:rPr lang="en-AU" sz="900" b="1" i="0" u="none" strike="noStrike" baseline="0">
                    <a:effectLst/>
                  </a:rPr>
                  <a:t>IRS</a:t>
                </a:r>
                <a:r>
                  <a:rPr lang="en-AU" sz="900" b="1" i="0" baseline="0">
                    <a:effectLst/>
                  </a:rPr>
                  <a:t> and OoCE</a:t>
                </a:r>
                <a:endParaRPr lang="en-AU" sz="900">
                  <a:effectLst/>
                </a:endParaRPr>
              </a:p>
            </c:rich>
          </c:tx>
          <c:layout>
            <c:manualLayout>
              <c:xMode val="edge"/>
              <c:yMode val="edge"/>
              <c:x val="1.1167128220884573E-2"/>
              <c:y val="0.93921690848479655"/>
            </c:manualLayout>
          </c:layout>
          <c:overlay val="0"/>
        </c:title>
        <c:numFmt formatCode="General" sourceLinked="1"/>
        <c:majorTickMark val="out"/>
        <c:minorTickMark val="none"/>
        <c:tickLblPos val="nextTo"/>
        <c:txPr>
          <a:bodyPr rot="-2700000"/>
          <a:lstStyle/>
          <a:p>
            <a:pPr>
              <a:defRPr/>
            </a:pPr>
            <a:endParaRPr lang="en-US"/>
          </a:p>
        </c:txPr>
        <c:crossAx val="1157765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Western Australia vs Rest of Australia</a:t>
            </a:r>
          </a:p>
          <a:p>
            <a:pPr>
              <a:defRPr/>
            </a:pPr>
            <a:r>
              <a:rPr lang="en-AU" sz="1100"/>
              <a:t>Last 10 Years</a:t>
            </a:r>
          </a:p>
        </c:rich>
      </c:tx>
      <c:overlay val="0"/>
    </c:title>
    <c:autoTitleDeleted val="0"/>
    <c:plotArea>
      <c:layout>
        <c:manualLayout>
          <c:layoutTarget val="inner"/>
          <c:xMode val="edge"/>
          <c:yMode val="edge"/>
          <c:x val="0.12530661116447425"/>
          <c:y val="0.32084381822535973"/>
          <c:w val="0.84012360738391478"/>
          <c:h val="0.48154014398750467"/>
        </c:manualLayout>
      </c:layout>
      <c:lineChart>
        <c:grouping val="standard"/>
        <c:varyColors val="0"/>
        <c:ser>
          <c:idx val="0"/>
          <c:order val="0"/>
          <c:tx>
            <c:v>Western Australia</c:v>
          </c:tx>
          <c:spPr>
            <a:ln w="28575">
              <a:solidFill>
                <a:srgbClr val="FF66CC"/>
              </a:solidFill>
            </a:ln>
          </c:spPr>
          <c:marker>
            <c:symbol val="diamond"/>
            <c:size val="5"/>
            <c:spPr>
              <a:solidFill>
                <a:srgbClr val="FF00FF"/>
              </a:solidFill>
              <a:ln>
                <a:noFill/>
              </a:ln>
            </c:spPr>
          </c:marker>
          <c:cat>
            <c:numRef>
              <c:f>'Copper-Lead-Zinc - WA vs Aus'!$S$14:$S$23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'Copper-Lead-Zinc - WA vs Aus'!$V$14:$V$23</c:f>
              <c:numCache>
                <c:formatCode>#,##0.00</c:formatCode>
                <c:ptCount val="10"/>
                <c:pt idx="0">
                  <c:v>20.259029999999999</c:v>
                </c:pt>
                <c:pt idx="1">
                  <c:v>4.76091</c:v>
                </c:pt>
                <c:pt idx="2">
                  <c:v>5.9010800000000003</c:v>
                </c:pt>
                <c:pt idx="3">
                  <c:v>6.0910000000000011</c:v>
                </c:pt>
                <c:pt idx="4">
                  <c:v>2.9168000000000003</c:v>
                </c:pt>
                <c:pt idx="5">
                  <c:v>1.3745150000000002</c:v>
                </c:pt>
                <c:pt idx="6">
                  <c:v>1.2656350000000001</c:v>
                </c:pt>
                <c:pt idx="7">
                  <c:v>0</c:v>
                </c:pt>
                <c:pt idx="8">
                  <c:v>36.339978000000002</c:v>
                </c:pt>
                <c:pt idx="9">
                  <c:v>56.217292</c:v>
                </c:pt>
              </c:numCache>
            </c:numRef>
          </c:val>
          <c:smooth val="0"/>
          <c:extLst>
            <c:ext xmlns:c16="http://schemas.microsoft.com/office/drawing/2014/chart" uri="{C3380CC4-5D6E-409C-BE32-E72D297353CC}">
              <c16:uniqueId val="{00000000-E288-4D85-B10C-FCE66D042689}"/>
            </c:ext>
          </c:extLst>
        </c:ser>
        <c:ser>
          <c:idx val="1"/>
          <c:order val="1"/>
          <c:tx>
            <c:v>Rest of Australia</c:v>
          </c:tx>
          <c:spPr>
            <a:ln w="28575">
              <a:solidFill>
                <a:srgbClr val="DEB2D7"/>
              </a:solidFill>
            </a:ln>
          </c:spPr>
          <c:marker>
            <c:symbol val="square"/>
            <c:size val="5"/>
            <c:spPr>
              <a:solidFill>
                <a:srgbClr val="FFCCFF"/>
              </a:solidFill>
              <a:ln>
                <a:noFill/>
              </a:ln>
            </c:spPr>
          </c:marker>
          <c:cat>
            <c:numRef>
              <c:f>'Copper-Lead-Zinc - WA vs Aus'!$S$14:$S$23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'Copper-Lead-Zinc - WA vs Aus'!$W$14:$W$23</c:f>
              <c:numCache>
                <c:formatCode>#,##0.00</c:formatCode>
                <c:ptCount val="10"/>
                <c:pt idx="0">
                  <c:v>634</c:v>
                </c:pt>
                <c:pt idx="1">
                  <c:v>436</c:v>
                </c:pt>
                <c:pt idx="2">
                  <c:v>387</c:v>
                </c:pt>
                <c:pt idx="3">
                  <c:v>438</c:v>
                </c:pt>
                <c:pt idx="4">
                  <c:v>506.08320000000003</c:v>
                </c:pt>
                <c:pt idx="5">
                  <c:v>488.88600000000002</c:v>
                </c:pt>
                <c:pt idx="6">
                  <c:v>480.55599999999998</c:v>
                </c:pt>
                <c:pt idx="7">
                  <c:v>435.267</c:v>
                </c:pt>
                <c:pt idx="8">
                  <c:v>435.90227894444399</c:v>
                </c:pt>
                <c:pt idx="9">
                  <c:v>414.78300000000002</c:v>
                </c:pt>
              </c:numCache>
            </c:numRef>
          </c:val>
          <c:smooth val="0"/>
          <c:extLst>
            <c:ext xmlns:c16="http://schemas.microsoft.com/office/drawing/2014/chart" uri="{C3380CC4-5D6E-409C-BE32-E72D297353CC}">
              <c16:uniqueId val="{00000001-E288-4D85-B10C-FCE66D042689}"/>
            </c:ext>
          </c:extLst>
        </c:ser>
        <c:dLbls>
          <c:showLegendKey val="0"/>
          <c:showVal val="0"/>
          <c:showCatName val="0"/>
          <c:showSerName val="0"/>
          <c:showPercent val="0"/>
          <c:showBubbleSize val="0"/>
        </c:dLbls>
        <c:marker val="1"/>
        <c:smooth val="0"/>
        <c:axId val="130634880"/>
        <c:axId val="115776512"/>
      </c:lineChart>
      <c:valAx>
        <c:axId val="115776512"/>
        <c:scaling>
          <c:orientation val="minMax"/>
        </c:scaling>
        <c:delete val="0"/>
        <c:axPos val="l"/>
        <c:majorGridlines/>
        <c:title>
          <c:tx>
            <c:rich>
              <a:bodyPr/>
              <a:lstStyle/>
              <a:p>
                <a:pPr>
                  <a:defRPr sz="1000"/>
                </a:pPr>
                <a:r>
                  <a:rPr lang="en-AU" sz="1000" b="1" i="0" baseline="0">
                    <a:effectLst/>
                  </a:rPr>
                  <a:t>Thousand Tonnes</a:t>
                </a:r>
                <a:endParaRPr lang="en-AU" sz="1000">
                  <a:effectLst/>
                </a:endParaRPr>
              </a:p>
            </c:rich>
          </c:tx>
          <c:layout>
            <c:manualLayout>
              <c:xMode val="edge"/>
              <c:yMode val="edge"/>
              <c:x val="1.743613351965629E-2"/>
              <c:y val="0.43675819715194408"/>
            </c:manualLayout>
          </c:layout>
          <c:overlay val="0"/>
        </c:title>
        <c:numFmt formatCode="#,##0" sourceLinked="0"/>
        <c:majorTickMark val="out"/>
        <c:minorTickMark val="none"/>
        <c:tickLblPos val="nextTo"/>
        <c:crossAx val="130634880"/>
        <c:crosses val="autoZero"/>
        <c:crossBetween val="between"/>
      </c:valAx>
      <c:catAx>
        <c:axId val="130634880"/>
        <c:scaling>
          <c:orientation val="minMax"/>
        </c:scaling>
        <c:delete val="0"/>
        <c:axPos val="b"/>
        <c:title>
          <c:tx>
            <c:rich>
              <a:bodyPr/>
              <a:lstStyle/>
              <a:p>
                <a:pPr>
                  <a:defRPr sz="900"/>
                </a:pPr>
                <a:r>
                  <a:rPr lang="en-AU" sz="900" b="1" i="0" baseline="0">
                    <a:effectLst/>
                  </a:rPr>
                  <a:t>Source:  DEM</a:t>
                </a:r>
                <a:r>
                  <a:rPr lang="en-AU" sz="900" b="1" i="0" u="none" strike="noStrike" baseline="0">
                    <a:effectLst/>
                  </a:rPr>
                  <a:t>IRS</a:t>
                </a:r>
                <a:r>
                  <a:rPr lang="en-AU" sz="900" b="1" i="0" baseline="0">
                    <a:effectLst/>
                  </a:rPr>
                  <a:t> and OoCE</a:t>
                </a:r>
                <a:endParaRPr lang="en-AU" sz="900">
                  <a:effectLst/>
                </a:endParaRPr>
              </a:p>
            </c:rich>
          </c:tx>
          <c:layout>
            <c:manualLayout>
              <c:xMode val="edge"/>
              <c:yMode val="edge"/>
              <c:x val="1.1167128220884573E-2"/>
              <c:y val="0.93921690848479655"/>
            </c:manualLayout>
          </c:layout>
          <c:overlay val="0"/>
        </c:title>
        <c:numFmt formatCode="General" sourceLinked="1"/>
        <c:majorTickMark val="out"/>
        <c:minorTickMark val="none"/>
        <c:tickLblPos val="nextTo"/>
        <c:txPr>
          <a:bodyPr rot="-2700000"/>
          <a:lstStyle/>
          <a:p>
            <a:pPr>
              <a:defRPr/>
            </a:pPr>
            <a:endParaRPr lang="en-US"/>
          </a:p>
        </c:txPr>
        <c:crossAx val="1157765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Western Australia vs Rest of Australia</a:t>
            </a:r>
          </a:p>
          <a:p>
            <a:pPr>
              <a:defRPr/>
            </a:pPr>
            <a:r>
              <a:rPr lang="en-AU" sz="1100"/>
              <a:t>Last 10 Years</a:t>
            </a:r>
          </a:p>
        </c:rich>
      </c:tx>
      <c:overlay val="0"/>
    </c:title>
    <c:autoTitleDeleted val="0"/>
    <c:plotArea>
      <c:layout>
        <c:manualLayout>
          <c:layoutTarget val="inner"/>
          <c:xMode val="edge"/>
          <c:yMode val="edge"/>
          <c:x val="0.12530661116447425"/>
          <c:y val="0.32084381822535973"/>
          <c:w val="0.84012360738391478"/>
          <c:h val="0.48154014398750467"/>
        </c:manualLayout>
      </c:layout>
      <c:lineChart>
        <c:grouping val="standard"/>
        <c:varyColors val="0"/>
        <c:ser>
          <c:idx val="0"/>
          <c:order val="0"/>
          <c:tx>
            <c:v>Western Australia</c:v>
          </c:tx>
          <c:spPr>
            <a:ln w="28575">
              <a:solidFill>
                <a:srgbClr val="FF66CC"/>
              </a:solidFill>
            </a:ln>
          </c:spPr>
          <c:marker>
            <c:symbol val="diamond"/>
            <c:size val="5"/>
            <c:spPr>
              <a:solidFill>
                <a:srgbClr val="FF00FF"/>
              </a:solidFill>
              <a:ln>
                <a:noFill/>
              </a:ln>
            </c:spPr>
          </c:marker>
          <c:cat>
            <c:numRef>
              <c:f>'Copper-Lead-Zinc - WA vs Aus'!$S$14:$S$23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'Copper-Lead-Zinc - WA vs Aus'!$X$14:$X$23</c:f>
              <c:numCache>
                <c:formatCode>#,##0.00</c:formatCode>
                <c:ptCount val="10"/>
                <c:pt idx="0">
                  <c:v>77.178319999999999</c:v>
                </c:pt>
                <c:pt idx="1">
                  <c:v>94.963539999999995</c:v>
                </c:pt>
                <c:pt idx="2">
                  <c:v>71.788228000000004</c:v>
                </c:pt>
                <c:pt idx="3">
                  <c:v>68.823993000000002</c:v>
                </c:pt>
                <c:pt idx="4">
                  <c:v>77.819270000000003</c:v>
                </c:pt>
                <c:pt idx="5">
                  <c:v>62.050920000000005</c:v>
                </c:pt>
                <c:pt idx="6">
                  <c:v>69.051431000000008</c:v>
                </c:pt>
                <c:pt idx="7">
                  <c:v>70.478444999999994</c:v>
                </c:pt>
                <c:pt idx="8">
                  <c:v>48.765287000000001</c:v>
                </c:pt>
                <c:pt idx="9">
                  <c:v>53.413800000000002</c:v>
                </c:pt>
              </c:numCache>
            </c:numRef>
          </c:val>
          <c:smooth val="0"/>
          <c:extLst>
            <c:ext xmlns:c16="http://schemas.microsoft.com/office/drawing/2014/chart" uri="{C3380CC4-5D6E-409C-BE32-E72D297353CC}">
              <c16:uniqueId val="{00000000-D507-49BE-80C0-61D1FD9CC7B7}"/>
            </c:ext>
          </c:extLst>
        </c:ser>
        <c:ser>
          <c:idx val="1"/>
          <c:order val="1"/>
          <c:tx>
            <c:v>Rest of Australia</c:v>
          </c:tx>
          <c:spPr>
            <a:ln w="28575">
              <a:solidFill>
                <a:srgbClr val="DEB2D7"/>
              </a:solidFill>
            </a:ln>
          </c:spPr>
          <c:marker>
            <c:symbol val="square"/>
            <c:size val="5"/>
            <c:spPr>
              <a:solidFill>
                <a:srgbClr val="FFCCFF"/>
              </a:solidFill>
              <a:ln>
                <a:noFill/>
              </a:ln>
            </c:spPr>
          </c:marker>
          <c:cat>
            <c:numRef>
              <c:f>'Copper-Lead-Zinc - WA vs Aus'!$S$14:$S$23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'Copper-Lead-Zinc - WA vs Aus'!$Y$14:$Y$23</c:f>
              <c:numCache>
                <c:formatCode>#,##0.00</c:formatCode>
                <c:ptCount val="10"/>
                <c:pt idx="0">
                  <c:v>1508</c:v>
                </c:pt>
                <c:pt idx="1">
                  <c:v>806</c:v>
                </c:pt>
                <c:pt idx="2">
                  <c:v>767</c:v>
                </c:pt>
                <c:pt idx="3">
                  <c:v>1056</c:v>
                </c:pt>
                <c:pt idx="4">
                  <c:v>1252.18073</c:v>
                </c:pt>
                <c:pt idx="5">
                  <c:v>1235.1289999999999</c:v>
                </c:pt>
                <c:pt idx="6">
                  <c:v>1242.5637971425899</c:v>
                </c:pt>
                <c:pt idx="7">
                  <c:v>1147.1879069680499</c:v>
                </c:pt>
                <c:pt idx="8">
                  <c:v>1052.3896274067201</c:v>
                </c:pt>
                <c:pt idx="9">
                  <c:v>1042.586</c:v>
                </c:pt>
              </c:numCache>
            </c:numRef>
          </c:val>
          <c:smooth val="0"/>
          <c:extLst>
            <c:ext xmlns:c16="http://schemas.microsoft.com/office/drawing/2014/chart" uri="{C3380CC4-5D6E-409C-BE32-E72D297353CC}">
              <c16:uniqueId val="{00000001-D507-49BE-80C0-61D1FD9CC7B7}"/>
            </c:ext>
          </c:extLst>
        </c:ser>
        <c:dLbls>
          <c:showLegendKey val="0"/>
          <c:showVal val="0"/>
          <c:showCatName val="0"/>
          <c:showSerName val="0"/>
          <c:showPercent val="0"/>
          <c:showBubbleSize val="0"/>
        </c:dLbls>
        <c:marker val="1"/>
        <c:smooth val="0"/>
        <c:axId val="130634880"/>
        <c:axId val="115776512"/>
      </c:lineChart>
      <c:valAx>
        <c:axId val="115776512"/>
        <c:scaling>
          <c:orientation val="minMax"/>
        </c:scaling>
        <c:delete val="0"/>
        <c:axPos val="l"/>
        <c:majorGridlines/>
        <c:title>
          <c:tx>
            <c:rich>
              <a:bodyPr/>
              <a:lstStyle/>
              <a:p>
                <a:pPr>
                  <a:defRPr sz="1000"/>
                </a:pPr>
                <a:r>
                  <a:rPr lang="en-AU" sz="1000" b="1" i="0" baseline="0">
                    <a:effectLst/>
                  </a:rPr>
                  <a:t>Thousand Tonnes</a:t>
                </a:r>
                <a:endParaRPr lang="en-AU" sz="1000">
                  <a:effectLst/>
                </a:endParaRPr>
              </a:p>
            </c:rich>
          </c:tx>
          <c:layout>
            <c:manualLayout>
              <c:xMode val="edge"/>
              <c:yMode val="edge"/>
              <c:x val="1.743613351965629E-2"/>
              <c:y val="0.43675819715194408"/>
            </c:manualLayout>
          </c:layout>
          <c:overlay val="0"/>
        </c:title>
        <c:numFmt formatCode="#,##0" sourceLinked="0"/>
        <c:majorTickMark val="out"/>
        <c:minorTickMark val="none"/>
        <c:tickLblPos val="nextTo"/>
        <c:crossAx val="130634880"/>
        <c:crosses val="autoZero"/>
        <c:crossBetween val="between"/>
      </c:valAx>
      <c:catAx>
        <c:axId val="130634880"/>
        <c:scaling>
          <c:orientation val="minMax"/>
        </c:scaling>
        <c:delete val="0"/>
        <c:axPos val="b"/>
        <c:title>
          <c:tx>
            <c:rich>
              <a:bodyPr/>
              <a:lstStyle/>
              <a:p>
                <a:pPr>
                  <a:defRPr sz="900"/>
                </a:pPr>
                <a:r>
                  <a:rPr lang="en-AU" sz="900" b="1" i="0" baseline="0">
                    <a:effectLst/>
                  </a:rPr>
                  <a:t>Source:  DEM</a:t>
                </a:r>
                <a:r>
                  <a:rPr lang="en-AU" sz="900" b="1" i="0" u="none" strike="noStrike" baseline="0">
                    <a:effectLst/>
                  </a:rPr>
                  <a:t>IRS</a:t>
                </a:r>
                <a:r>
                  <a:rPr lang="en-AU" sz="900" b="1" i="0" baseline="0">
                    <a:effectLst/>
                  </a:rPr>
                  <a:t> and OoCE</a:t>
                </a:r>
                <a:endParaRPr lang="en-AU" sz="900">
                  <a:effectLst/>
                </a:endParaRPr>
              </a:p>
            </c:rich>
          </c:tx>
          <c:layout>
            <c:manualLayout>
              <c:xMode val="edge"/>
              <c:yMode val="edge"/>
              <c:x val="1.1167128220884573E-2"/>
              <c:y val="0.93921690848479655"/>
            </c:manualLayout>
          </c:layout>
          <c:overlay val="0"/>
        </c:title>
        <c:numFmt formatCode="General" sourceLinked="1"/>
        <c:majorTickMark val="out"/>
        <c:minorTickMark val="none"/>
        <c:tickLblPos val="nextTo"/>
        <c:txPr>
          <a:bodyPr rot="-2700000"/>
          <a:lstStyle/>
          <a:p>
            <a:pPr>
              <a:defRPr/>
            </a:pPr>
            <a:endParaRPr lang="en-US"/>
          </a:p>
        </c:txPr>
        <c:crossAx val="1157765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Gold</a:t>
            </a:r>
          </a:p>
          <a:p>
            <a:pPr>
              <a:defRPr/>
            </a:pPr>
            <a:r>
              <a:rPr lang="en-US" sz="1100"/>
              <a:t>Annual Prices, Historic</a:t>
            </a:r>
            <a:endParaRPr lang="en-AU" sz="1100"/>
          </a:p>
        </c:rich>
      </c:tx>
      <c:overlay val="0"/>
    </c:title>
    <c:autoTitleDeleted val="0"/>
    <c:plotArea>
      <c:layout>
        <c:manualLayout>
          <c:layoutTarget val="inner"/>
          <c:xMode val="edge"/>
          <c:yMode val="edge"/>
          <c:x val="9.7556572820006349E-2"/>
          <c:y val="0.21594454486890244"/>
          <c:w val="0.83100014127612065"/>
          <c:h val="0.57345882610200993"/>
        </c:manualLayout>
      </c:layout>
      <c:lineChart>
        <c:grouping val="standard"/>
        <c:varyColors val="0"/>
        <c:ser>
          <c:idx val="0"/>
          <c:order val="0"/>
          <c:tx>
            <c:strRef>
              <c:f>'Gold - Prices'!$F$9</c:f>
              <c:strCache>
                <c:ptCount val="1"/>
                <c:pt idx="0">
                  <c:v>US$ per ounce</c:v>
                </c:pt>
              </c:strCache>
            </c:strRef>
          </c:tx>
          <c:spPr>
            <a:ln w="28575">
              <a:solidFill>
                <a:srgbClr val="C89600"/>
              </a:solidFill>
            </a:ln>
          </c:spPr>
          <c:marker>
            <c:symbol val="none"/>
          </c:marker>
          <c:cat>
            <c:numRef>
              <c:f>'Gold - Prices'!$E$10:$E$64</c:f>
              <c:numCache>
                <c:formatCode>General</c:formatCode>
                <c:ptCount val="55"/>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numCache>
            </c:numRef>
          </c:cat>
          <c:val>
            <c:numRef>
              <c:f>'Gold - Prices'!$F$10:$F$64</c:f>
              <c:numCache>
                <c:formatCode>#,##0.00</c:formatCode>
                <c:ptCount val="55"/>
                <c:pt idx="0">
                  <c:v>35.706835625000004</c:v>
                </c:pt>
                <c:pt idx="1">
                  <c:v>48.537630145000001</c:v>
                </c:pt>
                <c:pt idx="2">
                  <c:v>67.983213187027317</c:v>
                </c:pt>
                <c:pt idx="3">
                  <c:v>112.09585983443016</c:v>
                </c:pt>
                <c:pt idx="4">
                  <c:v>122.9133828900956</c:v>
                </c:pt>
                <c:pt idx="5">
                  <c:v>103.75646281980045</c:v>
                </c:pt>
                <c:pt idx="6">
                  <c:v>132.87159356359371</c:v>
                </c:pt>
                <c:pt idx="7">
                  <c:v>168.26940290151194</c:v>
                </c:pt>
                <c:pt idx="8">
                  <c:v>275.6130443156224</c:v>
                </c:pt>
                <c:pt idx="9">
                  <c:v>536.39079665008728</c:v>
                </c:pt>
                <c:pt idx="10">
                  <c:v>399.94802762718473</c:v>
                </c:pt>
                <c:pt idx="11">
                  <c:v>373.89996587284605</c:v>
                </c:pt>
                <c:pt idx="12">
                  <c:v>447.83279001100169</c:v>
                </c:pt>
                <c:pt idx="13">
                  <c:v>360.68333333333334</c:v>
                </c:pt>
                <c:pt idx="14">
                  <c:v>317.22499999999997</c:v>
                </c:pt>
                <c:pt idx="15">
                  <c:v>367.38749999999999</c:v>
                </c:pt>
                <c:pt idx="16">
                  <c:v>446.80166666666668</c:v>
                </c:pt>
                <c:pt idx="17">
                  <c:v>437.51499999999993</c:v>
                </c:pt>
                <c:pt idx="18">
                  <c:v>381.83166666666665</c:v>
                </c:pt>
                <c:pt idx="19">
                  <c:v>383.67083333333329</c:v>
                </c:pt>
                <c:pt idx="20">
                  <c:v>362.57666666666665</c:v>
                </c:pt>
                <c:pt idx="21">
                  <c:v>343.83916666666664</c:v>
                </c:pt>
                <c:pt idx="22">
                  <c:v>359.80916666666661</c:v>
                </c:pt>
                <c:pt idx="23">
                  <c:v>384.08416666666659</c:v>
                </c:pt>
                <c:pt idx="24">
                  <c:v>384.23499999999996</c:v>
                </c:pt>
                <c:pt idx="25">
                  <c:v>387.79999999999995</c:v>
                </c:pt>
                <c:pt idx="26">
                  <c:v>331.16833333333335</c:v>
                </c:pt>
                <c:pt idx="27">
                  <c:v>294.31824074074069</c:v>
                </c:pt>
                <c:pt idx="28">
                  <c:v>278.80983333333336</c:v>
                </c:pt>
                <c:pt idx="29">
                  <c:v>279.07016666666664</c:v>
                </c:pt>
                <c:pt idx="30">
                  <c:v>270.98433333333332</c:v>
                </c:pt>
                <c:pt idx="31">
                  <c:v>309.90974999999997</c:v>
                </c:pt>
                <c:pt idx="32">
                  <c:v>363.41191666666668</c:v>
                </c:pt>
                <c:pt idx="33">
                  <c:v>409.18650000000002</c:v>
                </c:pt>
                <c:pt idx="34">
                  <c:v>444.86325000000005</c:v>
                </c:pt>
                <c:pt idx="35">
                  <c:v>604.28508333333332</c:v>
                </c:pt>
                <c:pt idx="36">
                  <c:v>696.61141666666674</c:v>
                </c:pt>
                <c:pt idx="37">
                  <c:v>871.50808333333327</c:v>
                </c:pt>
                <c:pt idx="38">
                  <c:v>972.84858333333341</c:v>
                </c:pt>
                <c:pt idx="39">
                  <c:v>1224.5156666666664</c:v>
                </c:pt>
                <c:pt idx="40">
                  <c:v>1568.3911666666665</c:v>
                </c:pt>
                <c:pt idx="41">
                  <c:v>1668.8206666666663</c:v>
                </c:pt>
                <c:pt idx="42">
                  <c:v>1410.8681666666664</c:v>
                </c:pt>
                <c:pt idx="43">
                  <c:v>1266.1936666666666</c:v>
                </c:pt>
                <c:pt idx="44">
                  <c:v>1160.1145833333333</c:v>
                </c:pt>
                <c:pt idx="45">
                  <c:v>1248.3405833333334</c:v>
                </c:pt>
                <c:pt idx="46">
                  <c:v>1257.1273333333331</c:v>
                </c:pt>
                <c:pt idx="47">
                  <c:v>1269.1405000000002</c:v>
                </c:pt>
                <c:pt idx="48">
                  <c:v>1392.1745833333334</c:v>
                </c:pt>
                <c:pt idx="49">
                  <c:v>1769.5873333333336</c:v>
                </c:pt>
                <c:pt idx="50">
                  <c:v>1799.576</c:v>
                </c:pt>
                <c:pt idx="51">
                  <c:v>1800.7952499999999</c:v>
                </c:pt>
                <c:pt idx="52">
                  <c:v>1942.7394999999999</c:v>
                </c:pt>
                <c:pt idx="53">
                  <c:v>2387.0400833333333</c:v>
                </c:pt>
                <c:pt idx="54">
                  <c:v>3434.779833333334</c:v>
                </c:pt>
              </c:numCache>
            </c:numRef>
          </c:val>
          <c:smooth val="0"/>
          <c:extLst>
            <c:ext xmlns:c16="http://schemas.microsoft.com/office/drawing/2014/chart" uri="{C3380CC4-5D6E-409C-BE32-E72D297353CC}">
              <c16:uniqueId val="{00000000-2817-42F7-9ADF-B9D085952F02}"/>
            </c:ext>
          </c:extLst>
        </c:ser>
        <c:ser>
          <c:idx val="1"/>
          <c:order val="1"/>
          <c:tx>
            <c:strRef>
              <c:f>'Gold - Prices'!$G$9</c:f>
              <c:strCache>
                <c:ptCount val="1"/>
                <c:pt idx="0">
                  <c:v>A$ per ounce</c:v>
                </c:pt>
              </c:strCache>
            </c:strRef>
          </c:tx>
          <c:spPr>
            <a:ln w="28575">
              <a:solidFill>
                <a:srgbClr val="FFC000"/>
              </a:solidFill>
            </a:ln>
          </c:spPr>
          <c:marker>
            <c:symbol val="none"/>
          </c:marker>
          <c:cat>
            <c:numRef>
              <c:f>'Gold - Prices'!$E$10:$E$64</c:f>
              <c:numCache>
                <c:formatCode>General</c:formatCode>
                <c:ptCount val="55"/>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numCache>
            </c:numRef>
          </c:cat>
          <c:val>
            <c:numRef>
              <c:f>'Gold - Prices'!$G$10:$G$64</c:f>
              <c:numCache>
                <c:formatCode>#,##0.00</c:formatCode>
                <c:ptCount val="55"/>
                <c:pt idx="0">
                  <c:v>40.804166666666667</c:v>
                </c:pt>
                <c:pt idx="1">
                  <c:v>58.159166666666657</c:v>
                </c:pt>
                <c:pt idx="2">
                  <c:v>97.35802890547501</c:v>
                </c:pt>
                <c:pt idx="3">
                  <c:v>159.438611728875</c:v>
                </c:pt>
                <c:pt idx="4">
                  <c:v>160.96236135876666</c:v>
                </c:pt>
                <c:pt idx="5">
                  <c:v>124.81329892480835</c:v>
                </c:pt>
                <c:pt idx="6">
                  <c:v>147.75641759620834</c:v>
                </c:pt>
                <c:pt idx="7">
                  <c:v>193.25000246828333</c:v>
                </c:pt>
                <c:pt idx="8">
                  <c:v>307.16288279422503</c:v>
                </c:pt>
                <c:pt idx="9">
                  <c:v>612.62523050664993</c:v>
                </c:pt>
                <c:pt idx="10">
                  <c:v>459.40341630442504</c:v>
                </c:pt>
                <c:pt idx="11">
                  <c:v>375.89852143419165</c:v>
                </c:pt>
                <c:pt idx="12">
                  <c:v>447.93605702293326</c:v>
                </c:pt>
                <c:pt idx="13">
                  <c:v>410.15416666666664</c:v>
                </c:pt>
                <c:pt idx="14">
                  <c:v>453.74583333333339</c:v>
                </c:pt>
                <c:pt idx="15">
                  <c:v>553.46249999999998</c:v>
                </c:pt>
                <c:pt idx="16">
                  <c:v>639.26249999999993</c:v>
                </c:pt>
                <c:pt idx="17">
                  <c:v>562.99249999999995</c:v>
                </c:pt>
                <c:pt idx="18">
                  <c:v>483.81833333333338</c:v>
                </c:pt>
                <c:pt idx="19">
                  <c:v>493.27333333333331</c:v>
                </c:pt>
                <c:pt idx="20">
                  <c:v>467.42333333333335</c:v>
                </c:pt>
                <c:pt idx="21">
                  <c:v>469.76500000000004</c:v>
                </c:pt>
                <c:pt idx="22">
                  <c:v>530.61</c:v>
                </c:pt>
                <c:pt idx="23">
                  <c:v>499.25210832669535</c:v>
                </c:pt>
                <c:pt idx="24">
                  <c:v>517.43880151020551</c:v>
                </c:pt>
                <c:pt idx="25">
                  <c:v>494.79666666666662</c:v>
                </c:pt>
                <c:pt idx="26">
                  <c:v>447.61416666666668</c:v>
                </c:pt>
                <c:pt idx="27">
                  <c:v>469.56999999999994</c:v>
                </c:pt>
                <c:pt idx="28">
                  <c:v>433.45000000000005</c:v>
                </c:pt>
                <c:pt idx="29">
                  <c:v>479.93333333333339</c:v>
                </c:pt>
                <c:pt idx="30">
                  <c:v>525.91416666666669</c:v>
                </c:pt>
                <c:pt idx="31">
                  <c:v>571.49833333333333</c:v>
                </c:pt>
                <c:pt idx="32">
                  <c:v>560.54750000000001</c:v>
                </c:pt>
                <c:pt idx="33">
                  <c:v>557.0533333333334</c:v>
                </c:pt>
                <c:pt idx="34">
                  <c:v>584.83499999999992</c:v>
                </c:pt>
                <c:pt idx="35">
                  <c:v>802.76083333333338</c:v>
                </c:pt>
                <c:pt idx="36">
                  <c:v>830.21083333333343</c:v>
                </c:pt>
                <c:pt idx="37">
                  <c:v>1029.3374999999999</c:v>
                </c:pt>
                <c:pt idx="38">
                  <c:v>1235.6508333333334</c:v>
                </c:pt>
                <c:pt idx="39">
                  <c:v>1335.4691666666668</c:v>
                </c:pt>
                <c:pt idx="40">
                  <c:v>1535.4658333333334</c:v>
                </c:pt>
                <c:pt idx="41">
                  <c:v>1619.6091666666669</c:v>
                </c:pt>
                <c:pt idx="42">
                  <c:v>1465.1966666666665</c:v>
                </c:pt>
                <c:pt idx="43">
                  <c:v>1413.0983333333334</c:v>
                </c:pt>
                <c:pt idx="44">
                  <c:v>1554.5133333333331</c:v>
                </c:pt>
                <c:pt idx="45">
                  <c:v>1687.5441666666668</c:v>
                </c:pt>
                <c:pt idx="46">
                  <c:v>1645.8166666666666</c:v>
                </c:pt>
                <c:pt idx="47">
                  <c:v>1700.585</c:v>
                </c:pt>
                <c:pt idx="48">
                  <c:v>2009.4724999999996</c:v>
                </c:pt>
                <c:pt idx="49">
                  <c:v>2566.8400000000006</c:v>
                </c:pt>
                <c:pt idx="50">
                  <c:v>2402.1908333333336</c:v>
                </c:pt>
                <c:pt idx="51">
                  <c:v>2594.8344265415394</c:v>
                </c:pt>
                <c:pt idx="52">
                  <c:v>2926.8317733365329</c:v>
                </c:pt>
                <c:pt idx="53">
                  <c:v>3622.4859166666665</c:v>
                </c:pt>
                <c:pt idx="54">
                  <c:v>5324.3818183007561</c:v>
                </c:pt>
              </c:numCache>
            </c:numRef>
          </c:val>
          <c:smooth val="0"/>
          <c:extLst>
            <c:ext xmlns:c16="http://schemas.microsoft.com/office/drawing/2014/chart" uri="{C3380CC4-5D6E-409C-BE32-E72D297353CC}">
              <c16:uniqueId val="{00000001-2817-42F7-9ADF-B9D085952F02}"/>
            </c:ext>
          </c:extLst>
        </c:ser>
        <c:dLbls>
          <c:showLegendKey val="0"/>
          <c:showVal val="0"/>
          <c:showCatName val="0"/>
          <c:showSerName val="0"/>
          <c:showPercent val="0"/>
          <c:showBubbleSize val="0"/>
        </c:dLbls>
        <c:smooth val="0"/>
        <c:axId val="132144512"/>
        <c:axId val="132150784"/>
      </c:lineChart>
      <c:catAx>
        <c:axId val="132144512"/>
        <c:scaling>
          <c:orientation val="minMax"/>
        </c:scaling>
        <c:delete val="0"/>
        <c:axPos val="b"/>
        <c:title>
          <c:tx>
            <c:rich>
              <a:bodyPr/>
              <a:lstStyle/>
              <a:p>
                <a:pPr>
                  <a:defRPr sz="900"/>
                </a:pPr>
                <a:r>
                  <a:rPr lang="en-AU" sz="900"/>
                  <a:t>Source: Perth Mint and LBMA</a:t>
                </a:r>
              </a:p>
            </c:rich>
          </c:tx>
          <c:layout>
            <c:manualLayout>
              <c:xMode val="edge"/>
              <c:yMode val="edge"/>
              <c:x val="7.114215423596631E-3"/>
              <c:y val="0.93987054406419024"/>
            </c:manualLayout>
          </c:layout>
          <c:overlay val="0"/>
        </c:title>
        <c:numFmt formatCode="General" sourceLinked="1"/>
        <c:majorTickMark val="out"/>
        <c:minorTickMark val="none"/>
        <c:tickLblPos val="nextTo"/>
        <c:spPr>
          <a:ln/>
        </c:spPr>
        <c:txPr>
          <a:bodyPr rot="-2700000"/>
          <a:lstStyle/>
          <a:p>
            <a:pPr>
              <a:defRPr/>
            </a:pPr>
            <a:endParaRPr lang="en-US"/>
          </a:p>
        </c:txPr>
        <c:crossAx val="132150784"/>
        <c:crosses val="autoZero"/>
        <c:auto val="1"/>
        <c:lblAlgn val="ctr"/>
        <c:lblOffset val="100"/>
        <c:noMultiLvlLbl val="1"/>
      </c:catAx>
      <c:valAx>
        <c:axId val="132150784"/>
        <c:scaling>
          <c:orientation val="minMax"/>
        </c:scaling>
        <c:delete val="0"/>
        <c:axPos val="l"/>
        <c:majorGridlines/>
        <c:title>
          <c:tx>
            <c:rich>
              <a:bodyPr rot="-5400000" vert="horz"/>
              <a:lstStyle/>
              <a:p>
                <a:pPr>
                  <a:defRPr/>
                </a:pPr>
                <a:r>
                  <a:rPr lang="en-AU"/>
                  <a:t>$</a:t>
                </a:r>
                <a:r>
                  <a:rPr lang="en-AU" baseline="0"/>
                  <a:t> per </a:t>
                </a:r>
                <a:r>
                  <a:rPr lang="en-AU"/>
                  <a:t>ounce</a:t>
                </a:r>
              </a:p>
            </c:rich>
          </c:tx>
          <c:layout>
            <c:manualLayout>
              <c:xMode val="edge"/>
              <c:yMode val="edge"/>
              <c:x val="1.5645336082818879E-2"/>
              <c:y val="0.43371231095159529"/>
            </c:manualLayout>
          </c:layout>
          <c:overlay val="0"/>
        </c:title>
        <c:numFmt formatCode="#,##0" sourceLinked="0"/>
        <c:majorTickMark val="out"/>
        <c:minorTickMark val="none"/>
        <c:tickLblPos val="nextTo"/>
        <c:spPr>
          <a:ln/>
        </c:spPr>
        <c:crossAx val="132144512"/>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Monthly Prices, Last 5 Years</a:t>
            </a:r>
          </a:p>
        </c:rich>
      </c:tx>
      <c:layout>
        <c:manualLayout>
          <c:xMode val="edge"/>
          <c:yMode val="edge"/>
          <c:x val="0.37649732147927539"/>
          <c:y val="2.0337978773235541E-2"/>
        </c:manualLayout>
      </c:layout>
      <c:overlay val="0"/>
    </c:title>
    <c:autoTitleDeleted val="0"/>
    <c:plotArea>
      <c:layout/>
      <c:lineChart>
        <c:grouping val="standard"/>
        <c:varyColors val="0"/>
        <c:ser>
          <c:idx val="0"/>
          <c:order val="0"/>
          <c:tx>
            <c:v>US$</c:v>
          </c:tx>
          <c:spPr>
            <a:ln w="28575">
              <a:solidFill>
                <a:srgbClr val="C89600"/>
              </a:solidFill>
            </a:ln>
          </c:spPr>
          <c:marker>
            <c:symbol val="none"/>
          </c:marker>
          <c:cat>
            <c:numRef>
              <c:f>'Gold - Prices'!$A$10:$A$70</c:f>
              <c:numCache>
                <c:formatCode>mmm\-yy</c:formatCode>
                <c:ptCount val="61"/>
                <c:pt idx="0">
                  <c:v>44166</c:v>
                </c:pt>
                <c:pt idx="1">
                  <c:v>44197</c:v>
                </c:pt>
                <c:pt idx="2">
                  <c:v>44228</c:v>
                </c:pt>
                <c:pt idx="3">
                  <c:v>44256</c:v>
                </c:pt>
                <c:pt idx="4">
                  <c:v>44287</c:v>
                </c:pt>
                <c:pt idx="5">
                  <c:v>44317</c:v>
                </c:pt>
                <c:pt idx="6">
                  <c:v>44317</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pt idx="37">
                  <c:v>45292</c:v>
                </c:pt>
                <c:pt idx="38">
                  <c:v>45323</c:v>
                </c:pt>
                <c:pt idx="39">
                  <c:v>45352</c:v>
                </c:pt>
                <c:pt idx="40">
                  <c:v>45383</c:v>
                </c:pt>
                <c:pt idx="41">
                  <c:v>45413</c:v>
                </c:pt>
                <c:pt idx="42">
                  <c:v>45444</c:v>
                </c:pt>
                <c:pt idx="43">
                  <c:v>45474</c:v>
                </c:pt>
                <c:pt idx="44">
                  <c:v>45505</c:v>
                </c:pt>
                <c:pt idx="45">
                  <c:v>45536</c:v>
                </c:pt>
                <c:pt idx="46">
                  <c:v>45566</c:v>
                </c:pt>
                <c:pt idx="47">
                  <c:v>45597</c:v>
                </c:pt>
                <c:pt idx="48">
                  <c:v>45627</c:v>
                </c:pt>
                <c:pt idx="49">
                  <c:v>45658</c:v>
                </c:pt>
                <c:pt idx="50">
                  <c:v>45689</c:v>
                </c:pt>
                <c:pt idx="51">
                  <c:v>45717</c:v>
                </c:pt>
                <c:pt idx="52">
                  <c:v>45748</c:v>
                </c:pt>
                <c:pt idx="53">
                  <c:v>45778</c:v>
                </c:pt>
                <c:pt idx="54">
                  <c:v>45809</c:v>
                </c:pt>
                <c:pt idx="55">
                  <c:v>45839</c:v>
                </c:pt>
                <c:pt idx="56">
                  <c:v>45870</c:v>
                </c:pt>
                <c:pt idx="57">
                  <c:v>45901</c:v>
                </c:pt>
                <c:pt idx="58">
                  <c:v>45931</c:v>
                </c:pt>
                <c:pt idx="59">
                  <c:v>45962</c:v>
                </c:pt>
                <c:pt idx="60">
                  <c:v>45992</c:v>
                </c:pt>
              </c:numCache>
            </c:numRef>
          </c:cat>
          <c:val>
            <c:numRef>
              <c:f>'Gold - Prices'!$B$10:$B$70</c:f>
              <c:numCache>
                <c:formatCode>#,##0.00</c:formatCode>
                <c:ptCount val="61"/>
                <c:pt idx="0">
                  <c:v>1855.9549999999999</c:v>
                </c:pt>
                <c:pt idx="1">
                  <c:v>1866.9849999999999</c:v>
                </c:pt>
                <c:pt idx="2">
                  <c:v>1808.175</c:v>
                </c:pt>
                <c:pt idx="3">
                  <c:v>1718.2280000000001</c:v>
                </c:pt>
                <c:pt idx="4">
                  <c:v>1761.6780000000001</c:v>
                </c:pt>
                <c:pt idx="5">
                  <c:v>1853.2239999999999</c:v>
                </c:pt>
                <c:pt idx="6">
                  <c:v>1853.2239999999999</c:v>
                </c:pt>
                <c:pt idx="7">
                  <c:v>1807.0930000000001</c:v>
                </c:pt>
                <c:pt idx="8">
                  <c:v>1783.9690000000001</c:v>
                </c:pt>
                <c:pt idx="9">
                  <c:v>1777.252</c:v>
                </c:pt>
                <c:pt idx="10">
                  <c:v>1776.855</c:v>
                </c:pt>
                <c:pt idx="11">
                  <c:v>1820.2339999999999</c:v>
                </c:pt>
                <c:pt idx="12">
                  <c:v>1786.653</c:v>
                </c:pt>
                <c:pt idx="13">
                  <c:v>1816.7650000000001</c:v>
                </c:pt>
                <c:pt idx="14">
                  <c:v>1856.2950000000001</c:v>
                </c:pt>
                <c:pt idx="15">
                  <c:v>1947.828</c:v>
                </c:pt>
                <c:pt idx="16">
                  <c:v>1933.9</c:v>
                </c:pt>
                <c:pt idx="17">
                  <c:v>1848.3019999999999</c:v>
                </c:pt>
                <c:pt idx="18">
                  <c:v>1833.825</c:v>
                </c:pt>
                <c:pt idx="19">
                  <c:v>1736.3710000000001</c:v>
                </c:pt>
                <c:pt idx="20">
                  <c:v>1765.655</c:v>
                </c:pt>
                <c:pt idx="21">
                  <c:v>1682.9670000000001</c:v>
                </c:pt>
                <c:pt idx="22">
                  <c:v>1664.4449999999999</c:v>
                </c:pt>
                <c:pt idx="23">
                  <c:v>1726.4480000000001</c:v>
                </c:pt>
                <c:pt idx="24">
                  <c:v>1796.742</c:v>
                </c:pt>
                <c:pt idx="25">
                  <c:v>1898.6289999999999</c:v>
                </c:pt>
                <c:pt idx="26">
                  <c:v>1854.54</c:v>
                </c:pt>
                <c:pt idx="27">
                  <c:v>1912.73</c:v>
                </c:pt>
                <c:pt idx="28">
                  <c:v>2000.4169999999999</c:v>
                </c:pt>
                <c:pt idx="29">
                  <c:v>1990.2180000000001</c:v>
                </c:pt>
                <c:pt idx="30">
                  <c:v>1942.9</c:v>
                </c:pt>
                <c:pt idx="31">
                  <c:v>1948.855</c:v>
                </c:pt>
                <c:pt idx="32">
                  <c:v>1920.0250000000001</c:v>
                </c:pt>
                <c:pt idx="33">
                  <c:v>1916.96</c:v>
                </c:pt>
                <c:pt idx="34">
                  <c:v>1913.0360000000001</c:v>
                </c:pt>
                <c:pt idx="35">
                  <c:v>1985.2729999999999</c:v>
                </c:pt>
                <c:pt idx="36">
                  <c:v>2029.2909999999999</c:v>
                </c:pt>
                <c:pt idx="37">
                  <c:v>2034.0409999999999</c:v>
                </c:pt>
                <c:pt idx="38">
                  <c:v>2023.2380000000001</c:v>
                </c:pt>
                <c:pt idx="39">
                  <c:v>2158.0129999999999</c:v>
                </c:pt>
                <c:pt idx="40">
                  <c:v>2335.4899999999998</c:v>
                </c:pt>
                <c:pt idx="41">
                  <c:v>2352.14</c:v>
                </c:pt>
                <c:pt idx="42">
                  <c:v>2326.3330000000001</c:v>
                </c:pt>
                <c:pt idx="43">
                  <c:v>2395.3069999999998</c:v>
                </c:pt>
                <c:pt idx="44">
                  <c:v>2467.9670000000001</c:v>
                </c:pt>
                <c:pt idx="45">
                  <c:v>2567.1239999999998</c:v>
                </c:pt>
                <c:pt idx="46">
                  <c:v>2690.078</c:v>
                </c:pt>
                <c:pt idx="47">
                  <c:v>2650.683</c:v>
                </c:pt>
                <c:pt idx="48">
                  <c:v>2644.067</c:v>
                </c:pt>
                <c:pt idx="49">
                  <c:v>2709.6889999999999</c:v>
                </c:pt>
                <c:pt idx="50">
                  <c:v>2894.7249999999999</c:v>
                </c:pt>
                <c:pt idx="51">
                  <c:v>2983.2550000000001</c:v>
                </c:pt>
                <c:pt idx="52">
                  <c:v>3207.4830000000002</c:v>
                </c:pt>
                <c:pt idx="53">
                  <c:v>3277.99</c:v>
                </c:pt>
                <c:pt idx="54">
                  <c:v>3352.002</c:v>
                </c:pt>
                <c:pt idx="55">
                  <c:v>3338.3130000000001</c:v>
                </c:pt>
                <c:pt idx="56">
                  <c:v>3362.9929999999999</c:v>
                </c:pt>
                <c:pt idx="57">
                  <c:v>3665.1950000000002</c:v>
                </c:pt>
                <c:pt idx="58">
                  <c:v>4053.2759999999998</c:v>
                </c:pt>
                <c:pt idx="59">
                  <c:v>4082.953</c:v>
                </c:pt>
                <c:pt idx="60">
                  <c:v>4289.4840000000004</c:v>
                </c:pt>
              </c:numCache>
            </c:numRef>
          </c:val>
          <c:smooth val="0"/>
          <c:extLst>
            <c:ext xmlns:c16="http://schemas.microsoft.com/office/drawing/2014/chart" uri="{C3380CC4-5D6E-409C-BE32-E72D297353CC}">
              <c16:uniqueId val="{00000000-D848-4645-95C8-4C8D2D31A179}"/>
            </c:ext>
          </c:extLst>
        </c:ser>
        <c:ser>
          <c:idx val="1"/>
          <c:order val="1"/>
          <c:tx>
            <c:v>A$</c:v>
          </c:tx>
          <c:spPr>
            <a:ln w="28575">
              <a:solidFill>
                <a:srgbClr val="FFC000"/>
              </a:solidFill>
            </a:ln>
          </c:spPr>
          <c:marker>
            <c:symbol val="none"/>
          </c:marker>
          <c:cat>
            <c:numRef>
              <c:f>'Gold - Prices'!$A$10:$A$70</c:f>
              <c:numCache>
                <c:formatCode>mmm\-yy</c:formatCode>
                <c:ptCount val="61"/>
                <c:pt idx="0">
                  <c:v>44166</c:v>
                </c:pt>
                <c:pt idx="1">
                  <c:v>44197</c:v>
                </c:pt>
                <c:pt idx="2">
                  <c:v>44228</c:v>
                </c:pt>
                <c:pt idx="3">
                  <c:v>44256</c:v>
                </c:pt>
                <c:pt idx="4">
                  <c:v>44287</c:v>
                </c:pt>
                <c:pt idx="5">
                  <c:v>44317</c:v>
                </c:pt>
                <c:pt idx="6">
                  <c:v>44317</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pt idx="37">
                  <c:v>45292</c:v>
                </c:pt>
                <c:pt idx="38">
                  <c:v>45323</c:v>
                </c:pt>
                <c:pt idx="39">
                  <c:v>45352</c:v>
                </c:pt>
                <c:pt idx="40">
                  <c:v>45383</c:v>
                </c:pt>
                <c:pt idx="41">
                  <c:v>45413</c:v>
                </c:pt>
                <c:pt idx="42">
                  <c:v>45444</c:v>
                </c:pt>
                <c:pt idx="43">
                  <c:v>45474</c:v>
                </c:pt>
                <c:pt idx="44">
                  <c:v>45505</c:v>
                </c:pt>
                <c:pt idx="45">
                  <c:v>45536</c:v>
                </c:pt>
                <c:pt idx="46">
                  <c:v>45566</c:v>
                </c:pt>
                <c:pt idx="47">
                  <c:v>45597</c:v>
                </c:pt>
                <c:pt idx="48">
                  <c:v>45627</c:v>
                </c:pt>
                <c:pt idx="49">
                  <c:v>45658</c:v>
                </c:pt>
                <c:pt idx="50">
                  <c:v>45689</c:v>
                </c:pt>
                <c:pt idx="51">
                  <c:v>45717</c:v>
                </c:pt>
                <c:pt idx="52">
                  <c:v>45748</c:v>
                </c:pt>
                <c:pt idx="53">
                  <c:v>45778</c:v>
                </c:pt>
                <c:pt idx="54">
                  <c:v>45809</c:v>
                </c:pt>
                <c:pt idx="55">
                  <c:v>45839</c:v>
                </c:pt>
                <c:pt idx="56">
                  <c:v>45870</c:v>
                </c:pt>
                <c:pt idx="57">
                  <c:v>45901</c:v>
                </c:pt>
                <c:pt idx="58">
                  <c:v>45931</c:v>
                </c:pt>
                <c:pt idx="59">
                  <c:v>45962</c:v>
                </c:pt>
                <c:pt idx="60">
                  <c:v>45992</c:v>
                </c:pt>
              </c:numCache>
            </c:numRef>
          </c:cat>
          <c:val>
            <c:numRef>
              <c:f>'Gold - Prices'!$C$10:$C$70</c:f>
              <c:numCache>
                <c:formatCode>#,##0.00</c:formatCode>
                <c:ptCount val="61"/>
                <c:pt idx="0">
                  <c:v>2472.54</c:v>
                </c:pt>
                <c:pt idx="1">
                  <c:v>2420.9499999999998</c:v>
                </c:pt>
                <c:pt idx="2">
                  <c:v>2340.19</c:v>
                </c:pt>
                <c:pt idx="3">
                  <c:v>2241.92</c:v>
                </c:pt>
                <c:pt idx="4">
                  <c:v>2289.79</c:v>
                </c:pt>
                <c:pt idx="5">
                  <c:v>2385.63</c:v>
                </c:pt>
                <c:pt idx="6">
                  <c:v>2385.63</c:v>
                </c:pt>
                <c:pt idx="7">
                  <c:v>2436.5100000000002</c:v>
                </c:pt>
                <c:pt idx="8">
                  <c:v>2449.9299999999998</c:v>
                </c:pt>
                <c:pt idx="9">
                  <c:v>2437.69</c:v>
                </c:pt>
                <c:pt idx="10">
                  <c:v>2405.17</c:v>
                </c:pt>
                <c:pt idx="11">
                  <c:v>2495.37</c:v>
                </c:pt>
                <c:pt idx="12">
                  <c:v>2514.13</c:v>
                </c:pt>
                <c:pt idx="13">
                  <c:v>2538.2399999999998</c:v>
                </c:pt>
                <c:pt idx="14">
                  <c:v>2595.4325389285709</c:v>
                </c:pt>
                <c:pt idx="15">
                  <c:v>2640.7890441935479</c:v>
                </c:pt>
                <c:pt idx="16">
                  <c:v>2630.7344226666669</c:v>
                </c:pt>
                <c:pt idx="17">
                  <c:v>2623.7636222580645</c:v>
                </c:pt>
                <c:pt idx="18">
                  <c:v>2618.6942396666664</c:v>
                </c:pt>
                <c:pt idx="19">
                  <c:v>2539.8083667741939</c:v>
                </c:pt>
                <c:pt idx="20">
                  <c:v>2537.6864038709678</c:v>
                </c:pt>
                <c:pt idx="21">
                  <c:v>2517.5442363333336</c:v>
                </c:pt>
                <c:pt idx="22">
                  <c:v>2617.8040206451606</c:v>
                </c:pt>
                <c:pt idx="23">
                  <c:v>2614.5277180000003</c:v>
                </c:pt>
                <c:pt idx="24">
                  <c:v>2662.9885051612905</c:v>
                </c:pt>
                <c:pt idx="25">
                  <c:v>2730.4556435483869</c:v>
                </c:pt>
                <c:pt idx="26">
                  <c:v>2690.315099285714</c:v>
                </c:pt>
                <c:pt idx="27">
                  <c:v>2866.6851138709671</c:v>
                </c:pt>
                <c:pt idx="28">
                  <c:v>2986.6147209999999</c:v>
                </c:pt>
                <c:pt idx="29">
                  <c:v>2995.570909032258</c:v>
                </c:pt>
                <c:pt idx="30">
                  <c:v>2895.1332883333334</c:v>
                </c:pt>
                <c:pt idx="31">
                  <c:v>2894.3292848387096</c:v>
                </c:pt>
                <c:pt idx="32">
                  <c:v>2960.7191825806453</c:v>
                </c:pt>
                <c:pt idx="33">
                  <c:v>2984.2054969999999</c:v>
                </c:pt>
                <c:pt idx="34">
                  <c:v>3023.2649787096775</c:v>
                </c:pt>
                <c:pt idx="35">
                  <c:v>3052.067697</c:v>
                </c:pt>
                <c:pt idx="36">
                  <c:v>3042.6198648387099</c:v>
                </c:pt>
                <c:pt idx="37">
                  <c:v>3063.5120000000002</c:v>
                </c:pt>
                <c:pt idx="38">
                  <c:v>3103.3919999999998</c:v>
                </c:pt>
                <c:pt idx="39">
                  <c:v>3300.4520000000002</c:v>
                </c:pt>
                <c:pt idx="40">
                  <c:v>3594.018</c:v>
                </c:pt>
                <c:pt idx="41">
                  <c:v>3547.9270000000001</c:v>
                </c:pt>
                <c:pt idx="42">
                  <c:v>3501.97</c:v>
                </c:pt>
                <c:pt idx="43">
                  <c:v>3587.6579999999999</c:v>
                </c:pt>
                <c:pt idx="44">
                  <c:v>3716.59</c:v>
                </c:pt>
                <c:pt idx="45">
                  <c:v>3797.5410000000002</c:v>
                </c:pt>
                <c:pt idx="46">
                  <c:v>4014.0279999999998</c:v>
                </c:pt>
                <c:pt idx="47">
                  <c:v>4074.1979999999999</c:v>
                </c:pt>
                <c:pt idx="48">
                  <c:v>4168.5450000000001</c:v>
                </c:pt>
                <c:pt idx="49">
                  <c:v>4343.05496032258</c:v>
                </c:pt>
                <c:pt idx="50">
                  <c:v>4585.1236410714291</c:v>
                </c:pt>
                <c:pt idx="51">
                  <c:v>4733.5496432258042</c:v>
                </c:pt>
                <c:pt idx="52">
                  <c:v>5118.9012359999997</c:v>
                </c:pt>
                <c:pt idx="53">
                  <c:v>5101.8207448387093</c:v>
                </c:pt>
                <c:pt idx="54">
                  <c:v>5155.9045203333326</c:v>
                </c:pt>
                <c:pt idx="55">
                  <c:v>5109.9593212903219</c:v>
                </c:pt>
                <c:pt idx="56">
                  <c:v>5189.0058141935488</c:v>
                </c:pt>
                <c:pt idx="57">
                  <c:v>5561.4530583333335</c:v>
                </c:pt>
                <c:pt idx="58">
                  <c:v>6208.3185016129037</c:v>
                </c:pt>
                <c:pt idx="59">
                  <c:v>6273.2346800000023</c:v>
                </c:pt>
                <c:pt idx="60">
                  <c:v>6512.2556983870982</c:v>
                </c:pt>
              </c:numCache>
            </c:numRef>
          </c:val>
          <c:smooth val="0"/>
          <c:extLst>
            <c:ext xmlns:c16="http://schemas.microsoft.com/office/drawing/2014/chart" uri="{C3380CC4-5D6E-409C-BE32-E72D297353CC}">
              <c16:uniqueId val="{00000001-D848-4645-95C8-4C8D2D31A179}"/>
            </c:ext>
          </c:extLst>
        </c:ser>
        <c:dLbls>
          <c:showLegendKey val="0"/>
          <c:showVal val="0"/>
          <c:showCatName val="0"/>
          <c:showSerName val="0"/>
          <c:showPercent val="0"/>
          <c:showBubbleSize val="0"/>
        </c:dLbls>
        <c:smooth val="0"/>
        <c:axId val="132174976"/>
        <c:axId val="132173184"/>
      </c:lineChart>
      <c:valAx>
        <c:axId val="132173184"/>
        <c:scaling>
          <c:orientation val="minMax"/>
          <c:min val="0"/>
        </c:scaling>
        <c:delete val="0"/>
        <c:axPos val="l"/>
        <c:majorGridlines/>
        <c:title>
          <c:tx>
            <c:rich>
              <a:bodyPr/>
              <a:lstStyle/>
              <a:p>
                <a:pPr>
                  <a:defRPr/>
                </a:pPr>
                <a:r>
                  <a:rPr lang="en-AU"/>
                  <a:t>$</a:t>
                </a:r>
                <a:r>
                  <a:rPr lang="en-AU" baseline="0"/>
                  <a:t> per </a:t>
                </a:r>
                <a:r>
                  <a:rPr lang="en-AU"/>
                  <a:t>ounce</a:t>
                </a:r>
              </a:p>
            </c:rich>
          </c:tx>
          <c:layout>
            <c:manualLayout>
              <c:xMode val="edge"/>
              <c:yMode val="edge"/>
              <c:x val="1.4023586125956727E-2"/>
              <c:y val="0.4867510879617582"/>
            </c:manualLayout>
          </c:layout>
          <c:overlay val="0"/>
        </c:title>
        <c:numFmt formatCode="#,##0" sourceLinked="0"/>
        <c:majorTickMark val="out"/>
        <c:minorTickMark val="none"/>
        <c:tickLblPos val="nextTo"/>
        <c:crossAx val="132174976"/>
        <c:crosses val="autoZero"/>
        <c:crossBetween val="midCat"/>
      </c:valAx>
      <c:dateAx>
        <c:axId val="132174976"/>
        <c:scaling>
          <c:orientation val="minMax"/>
        </c:scaling>
        <c:delete val="0"/>
        <c:axPos val="b"/>
        <c:title>
          <c:tx>
            <c:rich>
              <a:bodyPr/>
              <a:lstStyle/>
              <a:p>
                <a:pPr>
                  <a:defRPr sz="900"/>
                </a:pPr>
                <a:r>
                  <a:rPr lang="en-AU" sz="900"/>
                  <a:t>Source: Perth</a:t>
                </a:r>
                <a:r>
                  <a:rPr lang="en-AU" sz="900" baseline="0"/>
                  <a:t> Mint </a:t>
                </a:r>
                <a:r>
                  <a:rPr lang="en-AU" sz="900"/>
                  <a:t>and </a:t>
                </a:r>
                <a:r>
                  <a:rPr lang="en-AU" sz="900" b="1" i="0" u="none" strike="noStrike" kern="1200" baseline="0">
                    <a:solidFill>
                      <a:sysClr val="windowText" lastClr="000000"/>
                    </a:solidFill>
                  </a:rPr>
                  <a:t>LBMA</a:t>
                </a:r>
                <a:endParaRPr lang="en-AU" sz="900"/>
              </a:p>
            </c:rich>
          </c:tx>
          <c:layout>
            <c:manualLayout>
              <c:xMode val="edge"/>
              <c:yMode val="edge"/>
              <c:x val="6.0101083396957404E-3"/>
              <c:y val="0.94531619284781088"/>
            </c:manualLayout>
          </c:layout>
          <c:overlay val="0"/>
        </c:title>
        <c:numFmt formatCode="mmm\-yy" sourceLinked="1"/>
        <c:majorTickMark val="out"/>
        <c:minorTickMark val="none"/>
        <c:tickLblPos val="nextTo"/>
        <c:txPr>
          <a:bodyPr rot="-2700000"/>
          <a:lstStyle/>
          <a:p>
            <a:pPr>
              <a:defRPr/>
            </a:pPr>
            <a:endParaRPr lang="en-US"/>
          </a:p>
        </c:txPr>
        <c:crossAx val="132173184"/>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spPr>
            <a:solidFill>
              <a:srgbClr val="FFC000"/>
            </a:solidFill>
          </c:spPr>
          <c:invertIfNegative val="0"/>
          <c:cat>
            <c:numRef>
              <c:f>'Gold - Q&amp;V'!$O$12:$O$20</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'Gold - Q&amp;V'!$P$12:$P$20</c:f>
              <c:numCache>
                <c:formatCode>0.00</c:formatCode>
                <c:ptCount val="9"/>
                <c:pt idx="0">
                  <c:v>54.666288051767729</c:v>
                </c:pt>
                <c:pt idx="1">
                  <c:v>47.555709063749035</c:v>
                </c:pt>
                <c:pt idx="2">
                  <c:v>50.953982965936142</c:v>
                </c:pt>
                <c:pt idx="3">
                  <c:v>52.346521546787841</c:v>
                </c:pt>
                <c:pt idx="4">
                  <c:v>52.395144741171961</c:v>
                </c:pt>
                <c:pt idx="5">
                  <c:v>53.050198114661896</c:v>
                </c:pt>
                <c:pt idx="6">
                  <c:v>51.121384895110999</c:v>
                </c:pt>
                <c:pt idx="7">
                  <c:v>55.337566367309535</c:v>
                </c:pt>
                <c:pt idx="8">
                  <c:v>52.706917190331204</c:v>
                </c:pt>
              </c:numCache>
            </c:numRef>
          </c:val>
          <c:extLst>
            <c:ext xmlns:c16="http://schemas.microsoft.com/office/drawing/2014/chart" uri="{C3380CC4-5D6E-409C-BE32-E72D297353CC}">
              <c16:uniqueId val="{00000000-CE1A-4277-830D-1E4CAA4445DC}"/>
            </c:ext>
          </c:extLst>
        </c:ser>
        <c:dLbls>
          <c:showLegendKey val="0"/>
          <c:showVal val="0"/>
          <c:showCatName val="0"/>
          <c:showSerName val="0"/>
          <c:showPercent val="0"/>
          <c:showBubbleSize val="0"/>
        </c:dLbls>
        <c:gapWidth val="40"/>
        <c:axId val="118701440"/>
        <c:axId val="118699520"/>
      </c:barChart>
      <c:lineChart>
        <c:grouping val="standard"/>
        <c:varyColors val="0"/>
        <c:ser>
          <c:idx val="1"/>
          <c:order val="1"/>
          <c:tx>
            <c:v>Value</c:v>
          </c:tx>
          <c:spPr>
            <a:ln w="28575">
              <a:solidFill>
                <a:srgbClr val="C89600"/>
              </a:solidFill>
            </a:ln>
          </c:spPr>
          <c:marker>
            <c:symbol val="none"/>
          </c:marker>
          <c:cat>
            <c:numRef>
              <c:f>'Gold - Q&amp;V'!$O$12:$O$20</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'Gold - Q&amp;V'!$Q$12:$Q$20</c:f>
              <c:numCache>
                <c:formatCode>#,##0.00</c:formatCode>
                <c:ptCount val="9"/>
                <c:pt idx="0">
                  <c:v>5336.8239469999999</c:v>
                </c:pt>
                <c:pt idx="1">
                  <c:v>4804.5484839999999</c:v>
                </c:pt>
                <c:pt idx="2">
                  <c:v>5812.8118899999999</c:v>
                </c:pt>
                <c:pt idx="3">
                  <c:v>6228.5578049999995</c:v>
                </c:pt>
                <c:pt idx="4">
                  <c:v>6874.7797609999998</c:v>
                </c:pt>
                <c:pt idx="5">
                  <c:v>7773.7780210000001</c:v>
                </c:pt>
                <c:pt idx="6">
                  <c:v>8418.8779119999999</c:v>
                </c:pt>
                <c:pt idx="7">
                  <c:v>9416.7860430000001</c:v>
                </c:pt>
                <c:pt idx="8">
                  <c:v>10709.082923</c:v>
                </c:pt>
              </c:numCache>
            </c:numRef>
          </c:val>
          <c:smooth val="0"/>
          <c:extLst>
            <c:ext xmlns:c16="http://schemas.microsoft.com/office/drawing/2014/chart" uri="{C3380CC4-5D6E-409C-BE32-E72D297353CC}">
              <c16:uniqueId val="{00000001-CE1A-4277-830D-1E4CAA4445DC}"/>
            </c:ext>
          </c:extLst>
        </c:ser>
        <c:dLbls>
          <c:showLegendKey val="0"/>
          <c:showVal val="0"/>
          <c:showCatName val="0"/>
          <c:showSerName val="0"/>
          <c:showPercent val="0"/>
          <c:showBubbleSize val="0"/>
        </c:dLbls>
        <c:marker val="1"/>
        <c:smooth val="0"/>
        <c:axId val="118695424"/>
        <c:axId val="118697344"/>
      </c:lineChart>
      <c:catAx>
        <c:axId val="118695424"/>
        <c:scaling>
          <c:orientation val="minMax"/>
        </c:scaling>
        <c:delete val="0"/>
        <c:axPos val="b"/>
        <c:title>
          <c:tx>
            <c:rich>
              <a:bodyPr/>
              <a:lstStyle/>
              <a:p>
                <a:pPr>
                  <a:defRPr sz="900"/>
                </a:pPr>
                <a:r>
                  <a:rPr lang="en-AU" sz="900"/>
                  <a:t>Source: DTF</a:t>
                </a:r>
                <a:r>
                  <a:rPr lang="en-AU" sz="900" baseline="0"/>
                  <a:t> and DMPE</a:t>
                </a:r>
                <a:endParaRPr lang="en-AU" sz="900"/>
              </a:p>
            </c:rich>
          </c:tx>
          <c:layout>
            <c:manualLayout>
              <c:xMode val="edge"/>
              <c:yMode val="edge"/>
              <c:x val="6.828030912650258E-3"/>
              <c:y val="0.94429725109716078"/>
            </c:manualLayout>
          </c:layout>
          <c:overlay val="0"/>
          <c:spPr>
            <a:noFill/>
          </c:spPr>
        </c:title>
        <c:numFmt formatCode="mmm\-yy" sourceLinked="1"/>
        <c:majorTickMark val="out"/>
        <c:minorTickMark val="none"/>
        <c:tickLblPos val="nextTo"/>
        <c:txPr>
          <a:bodyPr rot="-2700000" vert="horz"/>
          <a:lstStyle/>
          <a:p>
            <a:pPr>
              <a:defRPr/>
            </a:pPr>
            <a:endParaRPr lang="en-US"/>
          </a:p>
        </c:txPr>
        <c:crossAx val="118697344"/>
        <c:crosses val="autoZero"/>
        <c:auto val="0"/>
        <c:lblAlgn val="ctr"/>
        <c:lblOffset val="100"/>
        <c:tickLblSkip val="1"/>
        <c:noMultiLvlLbl val="1"/>
      </c:catAx>
      <c:valAx>
        <c:axId val="118697344"/>
        <c:scaling>
          <c:orientation val="minMax"/>
          <c:min val="0"/>
        </c:scaling>
        <c:delete val="0"/>
        <c:axPos val="l"/>
        <c:majorGridlines/>
        <c:title>
          <c:tx>
            <c:rich>
              <a:bodyPr rot="-5400000" vert="horz"/>
              <a:lstStyle/>
              <a:p>
                <a:pPr>
                  <a:defRPr/>
                </a:pPr>
                <a:r>
                  <a:rPr lang="en-AU"/>
                  <a:t>$ Million</a:t>
                </a:r>
              </a:p>
            </c:rich>
          </c:tx>
          <c:layout>
            <c:manualLayout>
              <c:xMode val="edge"/>
              <c:yMode val="edge"/>
              <c:x val="1.9667392643814421E-2"/>
              <c:y val="0.46485182229212479"/>
            </c:manualLayout>
          </c:layout>
          <c:overlay val="0"/>
        </c:title>
        <c:numFmt formatCode="#,##0" sourceLinked="0"/>
        <c:majorTickMark val="out"/>
        <c:minorTickMark val="none"/>
        <c:tickLblPos val="nextTo"/>
        <c:crossAx val="118695424"/>
        <c:crosses val="autoZero"/>
        <c:crossBetween val="between"/>
      </c:valAx>
      <c:valAx>
        <c:axId val="118699520"/>
        <c:scaling>
          <c:orientation val="minMax"/>
          <c:max val="60"/>
          <c:min val="0"/>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18701440"/>
        <c:crosses val="max"/>
        <c:crossBetween val="between"/>
      </c:valAx>
      <c:catAx>
        <c:axId val="118701440"/>
        <c:scaling>
          <c:orientation val="minMax"/>
        </c:scaling>
        <c:delete val="1"/>
        <c:axPos val="b"/>
        <c:numFmt formatCode="mmm\-yy" sourceLinked="1"/>
        <c:majorTickMark val="out"/>
        <c:minorTickMark val="none"/>
        <c:tickLblPos val="nextTo"/>
        <c:crossAx val="118699520"/>
        <c:crosses val="autoZero"/>
        <c:auto val="0"/>
        <c:lblAlgn val="ctr"/>
        <c:lblOffset val="100"/>
        <c:noMultiLvlLbl val="1"/>
      </c:catAx>
    </c:plotArea>
    <c:legend>
      <c:legendPos val="t"/>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Year</a:t>
            </a:r>
          </a:p>
        </c:rich>
      </c:tx>
      <c:overlay val="0"/>
    </c:title>
    <c:autoTitleDeleted val="0"/>
    <c:plotArea>
      <c:layout/>
      <c:barChart>
        <c:barDir val="col"/>
        <c:grouping val="clustered"/>
        <c:varyColors val="0"/>
        <c:ser>
          <c:idx val="0"/>
          <c:order val="0"/>
          <c:tx>
            <c:strRef>
              <c:f>'Gold - Q&amp;V'!$P$36</c:f>
              <c:strCache>
                <c:ptCount val="1"/>
                <c:pt idx="0">
                  <c:v>Quantity (t)</c:v>
                </c:pt>
              </c:strCache>
            </c:strRef>
          </c:tx>
          <c:spPr>
            <a:solidFill>
              <a:srgbClr val="FFC000"/>
            </a:solidFill>
            <a:ln>
              <a:noFill/>
            </a:ln>
          </c:spPr>
          <c:invertIfNegative val="0"/>
          <c:cat>
            <c:numRef>
              <c:f>'Gold - Q&amp;V'!$O$37:$O$56</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'Gold - Q&amp;V'!$P$37:$P$56</c:f>
              <c:numCache>
                <c:formatCode>#,##0.00</c:formatCode>
                <c:ptCount val="20"/>
                <c:pt idx="0">
                  <c:v>162.96885743588496</c:v>
                </c:pt>
                <c:pt idx="1">
                  <c:v>151.4486196955454</c:v>
                </c:pt>
                <c:pt idx="2">
                  <c:v>132.07406222857139</c:v>
                </c:pt>
                <c:pt idx="3">
                  <c:v>146.42769796810049</c:v>
                </c:pt>
                <c:pt idx="4">
                  <c:v>182.89928812222109</c:v>
                </c:pt>
                <c:pt idx="5">
                  <c:v>179.60791441262091</c:v>
                </c:pt>
                <c:pt idx="6">
                  <c:v>181.29090201866299</c:v>
                </c:pt>
                <c:pt idx="7">
                  <c:v>187.46183645020102</c:v>
                </c:pt>
                <c:pt idx="8">
                  <c:v>194.61577561329449</c:v>
                </c:pt>
                <c:pt idx="9">
                  <c:v>194.47144014692842</c:v>
                </c:pt>
                <c:pt idx="10">
                  <c:v>197.07233863062316</c:v>
                </c:pt>
                <c:pt idx="11">
                  <c:v>210.99182809083629</c:v>
                </c:pt>
                <c:pt idx="12">
                  <c:v>211.09598533001119</c:v>
                </c:pt>
                <c:pt idx="13">
                  <c:v>213.87697104706592</c:v>
                </c:pt>
                <c:pt idx="14">
                  <c:v>209.72645486184581</c:v>
                </c:pt>
                <c:pt idx="15">
                  <c:v>207.37680836642937</c:v>
                </c:pt>
                <c:pt idx="16">
                  <c:v>214.56949247739956</c:v>
                </c:pt>
                <c:pt idx="17">
                  <c:v>211.6168668580421</c:v>
                </c:pt>
                <c:pt idx="18">
                  <c:v>203.25135831764499</c:v>
                </c:pt>
                <c:pt idx="19">
                  <c:v>212.21606656741363</c:v>
                </c:pt>
              </c:numCache>
            </c:numRef>
          </c:val>
          <c:extLst>
            <c:ext xmlns:c16="http://schemas.microsoft.com/office/drawing/2014/chart" uri="{C3380CC4-5D6E-409C-BE32-E72D297353CC}">
              <c16:uniqueId val="{00000000-9278-4F34-83A4-401F9206F862}"/>
            </c:ext>
          </c:extLst>
        </c:ser>
        <c:dLbls>
          <c:showLegendKey val="0"/>
          <c:showVal val="0"/>
          <c:showCatName val="0"/>
          <c:showSerName val="0"/>
          <c:showPercent val="0"/>
          <c:showBubbleSize val="0"/>
        </c:dLbls>
        <c:gapWidth val="40"/>
        <c:axId val="118829440"/>
        <c:axId val="118749440"/>
      </c:barChart>
      <c:lineChart>
        <c:grouping val="standard"/>
        <c:varyColors val="0"/>
        <c:ser>
          <c:idx val="1"/>
          <c:order val="1"/>
          <c:tx>
            <c:strRef>
              <c:f>'Gold - Q&amp;V'!$Q$36</c:f>
              <c:strCache>
                <c:ptCount val="1"/>
                <c:pt idx="0">
                  <c:v>Value ($ Million)</c:v>
                </c:pt>
              </c:strCache>
            </c:strRef>
          </c:tx>
          <c:spPr>
            <a:ln w="28575">
              <a:solidFill>
                <a:srgbClr val="C89600"/>
              </a:solidFill>
            </a:ln>
          </c:spPr>
          <c:marker>
            <c:symbol val="none"/>
          </c:marker>
          <c:cat>
            <c:numRef>
              <c:f>'Gold - Q&amp;V'!$O$37:$O$56</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'Gold - Q&amp;V'!$Q$37:$Q$56</c:f>
              <c:numCache>
                <c:formatCode>#,##0.00</c:formatCode>
                <c:ptCount val="20"/>
                <c:pt idx="0">
                  <c:v>4208.3325699999996</c:v>
                </c:pt>
                <c:pt idx="1">
                  <c:v>4039.0577289999997</c:v>
                </c:pt>
                <c:pt idx="2">
                  <c:v>4399.5130680000002</c:v>
                </c:pt>
                <c:pt idx="3">
                  <c:v>5814.4216130000004</c:v>
                </c:pt>
                <c:pt idx="4">
                  <c:v>7849.1314590000002</c:v>
                </c:pt>
                <c:pt idx="5">
                  <c:v>8793.8925789999994</c:v>
                </c:pt>
                <c:pt idx="6">
                  <c:v>9380.5396099999998</c:v>
                </c:pt>
                <c:pt idx="7">
                  <c:v>8743.0332229999985</c:v>
                </c:pt>
                <c:pt idx="8">
                  <c:v>8780.646553999999</c:v>
                </c:pt>
                <c:pt idx="9">
                  <c:v>9627.6513769999983</c:v>
                </c:pt>
                <c:pt idx="10">
                  <c:v>10629.36248</c:v>
                </c:pt>
                <c:pt idx="11">
                  <c:v>11126.621227</c:v>
                </c:pt>
                <c:pt idx="12">
                  <c:v>11515.697427999998</c:v>
                </c:pt>
                <c:pt idx="13">
                  <c:v>13810.68989</c:v>
                </c:pt>
                <c:pt idx="14">
                  <c:v>17270.493809</c:v>
                </c:pt>
                <c:pt idx="15">
                  <c:v>15981.479809999997</c:v>
                </c:pt>
                <c:pt idx="16">
                  <c:v>17877.996870999999</c:v>
                </c:pt>
                <c:pt idx="17">
                  <c:v>19929.109067000001</c:v>
                </c:pt>
                <c:pt idx="18">
                  <c:v>23720.697939999998</c:v>
                </c:pt>
                <c:pt idx="19">
                  <c:v>36318.524899000004</c:v>
                </c:pt>
              </c:numCache>
            </c:numRef>
          </c:val>
          <c:smooth val="0"/>
          <c:extLst>
            <c:ext xmlns:c16="http://schemas.microsoft.com/office/drawing/2014/chart" uri="{C3380CC4-5D6E-409C-BE32-E72D297353CC}">
              <c16:uniqueId val="{00000001-9278-4F34-83A4-401F9206F862}"/>
            </c:ext>
          </c:extLst>
        </c:ser>
        <c:dLbls>
          <c:showLegendKey val="0"/>
          <c:showVal val="0"/>
          <c:showCatName val="0"/>
          <c:showSerName val="0"/>
          <c:showPercent val="0"/>
          <c:showBubbleSize val="0"/>
        </c:dLbls>
        <c:marker val="1"/>
        <c:smooth val="0"/>
        <c:axId val="118745344"/>
        <c:axId val="118747520"/>
      </c:lineChart>
      <c:catAx>
        <c:axId val="118745344"/>
        <c:scaling>
          <c:orientation val="minMax"/>
        </c:scaling>
        <c:delete val="0"/>
        <c:axPos val="b"/>
        <c:title>
          <c:tx>
            <c:rich>
              <a:bodyPr/>
              <a:lstStyle/>
              <a:p>
                <a:pPr>
                  <a:defRPr/>
                </a:pPr>
                <a:r>
                  <a:rPr lang="en-AU" sz="900"/>
                  <a:t>Source:</a:t>
                </a:r>
                <a:r>
                  <a:rPr lang="en-AU" sz="900" baseline="0"/>
                  <a:t> DTF and DMPE</a:t>
                </a:r>
                <a:endParaRPr lang="en-AU" sz="900"/>
              </a:p>
            </c:rich>
          </c:tx>
          <c:layout>
            <c:manualLayout>
              <c:xMode val="edge"/>
              <c:yMode val="edge"/>
              <c:x val="1.5915954545156714E-2"/>
              <c:y val="0.93794295968289965"/>
            </c:manualLayout>
          </c:layout>
          <c:overlay val="0"/>
          <c:spPr>
            <a:noFill/>
          </c:spPr>
        </c:title>
        <c:numFmt formatCode="@@@@@@@@@" sourceLinked="0"/>
        <c:majorTickMark val="out"/>
        <c:minorTickMark val="none"/>
        <c:tickLblPos val="nextTo"/>
        <c:txPr>
          <a:bodyPr rot="-2700000"/>
          <a:lstStyle/>
          <a:p>
            <a:pPr>
              <a:defRPr sz="900"/>
            </a:pPr>
            <a:endParaRPr lang="en-US"/>
          </a:p>
        </c:txPr>
        <c:crossAx val="118747520"/>
        <c:crosses val="autoZero"/>
        <c:auto val="0"/>
        <c:lblAlgn val="ctr"/>
        <c:lblOffset val="100"/>
        <c:tickLblSkip val="1"/>
        <c:noMultiLvlLbl val="0"/>
      </c:catAx>
      <c:valAx>
        <c:axId val="118747520"/>
        <c:scaling>
          <c:orientation val="minMax"/>
          <c:max val="4000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8745344"/>
        <c:crosses val="autoZero"/>
        <c:crossBetween val="between"/>
        <c:majorUnit val="8000"/>
      </c:valAx>
      <c:valAx>
        <c:axId val="118749440"/>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18829440"/>
        <c:crosses val="max"/>
        <c:crossBetween val="between"/>
      </c:valAx>
      <c:catAx>
        <c:axId val="118829440"/>
        <c:scaling>
          <c:orientation val="minMax"/>
        </c:scaling>
        <c:delete val="1"/>
        <c:axPos val="b"/>
        <c:numFmt formatCode="General" sourceLinked="1"/>
        <c:majorTickMark val="out"/>
        <c:minorTickMark val="none"/>
        <c:tickLblPos val="nextTo"/>
        <c:crossAx val="11874944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800" b="1" i="0" u="none" strike="noStrike" kern="1200" cap="none" spc="50" baseline="0">
                <a:solidFill>
                  <a:sysClr val="windowText" lastClr="000000"/>
                </a:solidFill>
                <a:latin typeface="+mn-lt"/>
                <a:ea typeface="+mn-ea"/>
                <a:cs typeface="+mn-cs"/>
              </a:defRPr>
            </a:pPr>
            <a:r>
              <a:rPr lang="en-US"/>
              <a:t>Western Australia's Global Production Share 2024</a:t>
            </a:r>
          </a:p>
        </c:rich>
      </c:tx>
      <c:layout>
        <c:manualLayout>
          <c:xMode val="edge"/>
          <c:yMode val="edge"/>
          <c:x val="0.13043838378334197"/>
          <c:y val="1.7977629839750757E-2"/>
        </c:manualLayout>
      </c:layout>
      <c:overlay val="0"/>
      <c:spPr>
        <a:noFill/>
        <a:ln>
          <a:noFill/>
        </a:ln>
        <a:effectLst/>
      </c:spPr>
      <c:txPr>
        <a:bodyPr rot="0" spcFirstLastPara="1" vertOverflow="ellipsis" vert="horz" wrap="square" anchor="ctr" anchorCtr="1"/>
        <a:lstStyle/>
        <a:p>
          <a:pPr>
            <a:defRPr sz="1800" b="1" i="0" u="none" strike="noStrike" kern="1200" cap="none"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2436797380525453"/>
          <c:y val="0.30306775052145951"/>
          <c:w val="0.69363207816844685"/>
          <c:h val="0.60906743878745395"/>
        </c:manualLayout>
      </c:layout>
      <c:barChart>
        <c:barDir val="bar"/>
        <c:grouping val="percentStacked"/>
        <c:varyColors val="0"/>
        <c:ser>
          <c:idx val="0"/>
          <c:order val="0"/>
          <c:tx>
            <c:strRef>
              <c:f>'WA vs Australia vs the World'!$C$8</c:f>
              <c:strCache>
                <c:ptCount val="1"/>
                <c:pt idx="0">
                  <c:v>Western Australia</c:v>
                </c:pt>
              </c:strCache>
            </c:strRef>
          </c:tx>
          <c:spPr>
            <a:solidFill>
              <a:schemeClr val="accent3">
                <a:shade val="65000"/>
                <a:alpha val="70000"/>
              </a:schemeClr>
            </a:solidFill>
            <a:ln>
              <a:noFill/>
            </a:ln>
            <a:effectLst/>
          </c:spPr>
          <c:invertIfNegative val="0"/>
          <c:cat>
            <c:strRef>
              <c:extLst>
                <c:ext xmlns:c15="http://schemas.microsoft.com/office/drawing/2012/chart" uri="{02D57815-91ED-43cb-92C2-25804820EDAC}">
                  <c15:fullRef>
                    <c15:sqref>'WA vs Australia vs the World'!$B$9:$B$27</c15:sqref>
                  </c15:fullRef>
                </c:ext>
              </c:extLst>
              <c:f>('WA vs Australia vs the World'!$B$9:$B$12,'WA vs Australia vs the World'!$B$14:$B$27)</c:f>
              <c:strCache>
                <c:ptCount val="18"/>
                <c:pt idx="0">
                  <c:v>Alumina</c:v>
                </c:pt>
                <c:pt idx="1">
                  <c:v>Cobalt</c:v>
                </c:pt>
                <c:pt idx="2">
                  <c:v>Copper</c:v>
                </c:pt>
                <c:pt idx="3">
                  <c:v>Crude Oil</c:v>
                </c:pt>
                <c:pt idx="4">
                  <c:v>Garnet</c:v>
                </c:pt>
                <c:pt idx="5">
                  <c:v>Gold</c:v>
                </c:pt>
                <c:pt idx="6">
                  <c:v>Ilmenite</c:v>
                </c:pt>
                <c:pt idx="7">
                  <c:v>Iron ore</c:v>
                </c:pt>
                <c:pt idx="8">
                  <c:v>Lead</c:v>
                </c:pt>
                <c:pt idx="9">
                  <c:v>Lithium</c:v>
                </c:pt>
                <c:pt idx="10">
                  <c:v>LNG</c:v>
                </c:pt>
                <c:pt idx="11">
                  <c:v>Manganese</c:v>
                </c:pt>
                <c:pt idx="12">
                  <c:v>Nickel</c:v>
                </c:pt>
                <c:pt idx="13">
                  <c:v>Rare Earth Oxides</c:v>
                </c:pt>
                <c:pt idx="14">
                  <c:v>Rutile</c:v>
                </c:pt>
                <c:pt idx="15">
                  <c:v>Salt</c:v>
                </c:pt>
                <c:pt idx="16">
                  <c:v>Zinc</c:v>
                </c:pt>
                <c:pt idx="17">
                  <c:v>Zircon</c:v>
                </c:pt>
              </c:strCache>
            </c:strRef>
          </c:cat>
          <c:val>
            <c:numRef>
              <c:extLst>
                <c:ext xmlns:c15="http://schemas.microsoft.com/office/drawing/2012/chart" uri="{02D57815-91ED-43cb-92C2-25804820EDAC}">
                  <c15:fullRef>
                    <c15:sqref>'WA vs Australia vs the World'!$C$9:$C$27</c15:sqref>
                  </c15:fullRef>
                </c:ext>
              </c:extLst>
              <c:f>('WA vs Australia vs the World'!$C$9:$C$12,'WA vs Australia vs the World'!$C$14:$C$27)</c:f>
              <c:numCache>
                <c:formatCode>0.00%</c:formatCode>
                <c:ptCount val="18"/>
                <c:pt idx="0">
                  <c:v>8.0973770728180128E-2</c:v>
                </c:pt>
                <c:pt idx="1">
                  <c:v>1.6494282465883133E-2</c:v>
                </c:pt>
                <c:pt idx="2">
                  <c:v>3.173351551480959E-3</c:v>
                </c:pt>
                <c:pt idx="3">
                  <c:v>6.1267431660906439E-4</c:v>
                </c:pt>
                <c:pt idx="4">
                  <c:v>0.37132991591444375</c:v>
                </c:pt>
                <c:pt idx="5">
                  <c:v>6.2615598027127004E-2</c:v>
                </c:pt>
                <c:pt idx="6">
                  <c:v>1.7882379349046015E-2</c:v>
                </c:pt>
                <c:pt idx="7">
                  <c:v>0.35603079792690695</c:v>
                </c:pt>
                <c:pt idx="8">
                  <c:v>1.2832001826067108E-2</c:v>
                </c:pt>
                <c:pt idx="9">
                  <c:v>0.41595100528928214</c:v>
                </c:pt>
                <c:pt idx="10">
                  <c:v>0.11898266166491375</c:v>
                </c:pt>
                <c:pt idx="11">
                  <c:v>2.9092407297028739E-2</c:v>
                </c:pt>
                <c:pt idx="12">
                  <c:v>3.4939018763017776E-2</c:v>
                </c:pt>
                <c:pt idx="13">
                  <c:v>7.6330736702920149E-2</c:v>
                </c:pt>
                <c:pt idx="14">
                  <c:v>0.27830296296296297</c:v>
                </c:pt>
                <c:pt idx="15">
                  <c:v>3.5887267025089604E-2</c:v>
                </c:pt>
                <c:pt idx="16">
                  <c:v>4.4675476748076278E-3</c:v>
                </c:pt>
                <c:pt idx="17">
                  <c:v>7.5267558528428091E-2</c:v>
                </c:pt>
              </c:numCache>
            </c:numRef>
          </c:val>
          <c:extLst>
            <c:ext xmlns:c16="http://schemas.microsoft.com/office/drawing/2014/chart" uri="{C3380CC4-5D6E-409C-BE32-E72D297353CC}">
              <c16:uniqueId val="{00000000-FA8A-4B24-A4DC-80FB033C6C7A}"/>
            </c:ext>
          </c:extLst>
        </c:ser>
        <c:ser>
          <c:idx val="1"/>
          <c:order val="1"/>
          <c:tx>
            <c:strRef>
              <c:f>'WA vs Australia vs the World'!$D$8</c:f>
              <c:strCache>
                <c:ptCount val="1"/>
                <c:pt idx="0">
                  <c:v>Rest of Australia</c:v>
                </c:pt>
              </c:strCache>
            </c:strRef>
          </c:tx>
          <c:spPr>
            <a:solidFill>
              <a:schemeClr val="accent3">
                <a:alpha val="70000"/>
              </a:schemeClr>
            </a:solidFill>
            <a:ln>
              <a:noFill/>
            </a:ln>
            <a:effectLst/>
          </c:spPr>
          <c:invertIfNegative val="0"/>
          <c:cat>
            <c:strRef>
              <c:extLst>
                <c:ext xmlns:c15="http://schemas.microsoft.com/office/drawing/2012/chart" uri="{02D57815-91ED-43cb-92C2-25804820EDAC}">
                  <c15:fullRef>
                    <c15:sqref>'WA vs Australia vs the World'!$B$9:$B$27</c15:sqref>
                  </c15:fullRef>
                </c:ext>
              </c:extLst>
              <c:f>('WA vs Australia vs the World'!$B$9:$B$12,'WA vs Australia vs the World'!$B$14:$B$27)</c:f>
              <c:strCache>
                <c:ptCount val="18"/>
                <c:pt idx="0">
                  <c:v>Alumina</c:v>
                </c:pt>
                <c:pt idx="1">
                  <c:v>Cobalt</c:v>
                </c:pt>
                <c:pt idx="2">
                  <c:v>Copper</c:v>
                </c:pt>
                <c:pt idx="3">
                  <c:v>Crude Oil</c:v>
                </c:pt>
                <c:pt idx="4">
                  <c:v>Garnet</c:v>
                </c:pt>
                <c:pt idx="5">
                  <c:v>Gold</c:v>
                </c:pt>
                <c:pt idx="6">
                  <c:v>Ilmenite</c:v>
                </c:pt>
                <c:pt idx="7">
                  <c:v>Iron ore</c:v>
                </c:pt>
                <c:pt idx="8">
                  <c:v>Lead</c:v>
                </c:pt>
                <c:pt idx="9">
                  <c:v>Lithium</c:v>
                </c:pt>
                <c:pt idx="10">
                  <c:v>LNG</c:v>
                </c:pt>
                <c:pt idx="11">
                  <c:v>Manganese</c:v>
                </c:pt>
                <c:pt idx="12">
                  <c:v>Nickel</c:v>
                </c:pt>
                <c:pt idx="13">
                  <c:v>Rare Earth Oxides</c:v>
                </c:pt>
                <c:pt idx="14">
                  <c:v>Rutile</c:v>
                </c:pt>
                <c:pt idx="15">
                  <c:v>Salt</c:v>
                </c:pt>
                <c:pt idx="16">
                  <c:v>Zinc</c:v>
                </c:pt>
                <c:pt idx="17">
                  <c:v>Zircon</c:v>
                </c:pt>
              </c:strCache>
            </c:strRef>
          </c:cat>
          <c:val>
            <c:numRef>
              <c:extLst>
                <c:ext xmlns:c15="http://schemas.microsoft.com/office/drawing/2012/chart" uri="{02D57815-91ED-43cb-92C2-25804820EDAC}">
                  <c15:fullRef>
                    <c15:sqref>'WA vs Australia vs the World'!$D$9:$D$27</c15:sqref>
                  </c15:fullRef>
                </c:ext>
              </c:extLst>
              <c:f>('WA vs Australia vs the World'!$D$9:$D$12,'WA vs Australia vs the World'!$D$14:$D$27)</c:f>
              <c:numCache>
                <c:formatCode>0.00%</c:formatCode>
                <c:ptCount val="18"/>
                <c:pt idx="0">
                  <c:v>4.0134378764248843E-2</c:v>
                </c:pt>
                <c:pt idx="1">
                  <c:v>0</c:v>
                </c:pt>
                <c:pt idx="2">
                  <c:v>2.9795618829337095E-2</c:v>
                </c:pt>
                <c:pt idx="3">
                  <c:v>3.4423886462400078E-4</c:v>
                </c:pt>
                <c:pt idx="4">
                  <c:v>0</c:v>
                </c:pt>
                <c:pt idx="5">
                  <c:v>2.4930641183723797E-2</c:v>
                </c:pt>
                <c:pt idx="6">
                  <c:v>2.7010998877665546E-2</c:v>
                </c:pt>
                <c:pt idx="7">
                  <c:v>4.3509169871841667E-3</c:v>
                </c:pt>
                <c:pt idx="8">
                  <c:v>9.4677699155443967E-2</c:v>
                </c:pt>
                <c:pt idx="9">
                  <c:v>3.9875906778215108E-3</c:v>
                </c:pt>
                <c:pt idx="10">
                  <c:v>8.0986378430973768E-2</c:v>
                </c:pt>
                <c:pt idx="11">
                  <c:v>0.13681664714420957</c:v>
                </c:pt>
                <c:pt idx="12">
                  <c:v>0</c:v>
                </c:pt>
                <c:pt idx="13">
                  <c:v>0</c:v>
                </c:pt>
                <c:pt idx="14">
                  <c:v>0.15742688453159043</c:v>
                </c:pt>
                <c:pt idx="15">
                  <c:v>2.9418847072879332E-3</c:v>
                </c:pt>
                <c:pt idx="16">
                  <c:v>8.7201906992305123E-2</c:v>
                </c:pt>
                <c:pt idx="17">
                  <c:v>0.25918060200668896</c:v>
                </c:pt>
              </c:numCache>
            </c:numRef>
          </c:val>
          <c:extLst>
            <c:ext xmlns:c16="http://schemas.microsoft.com/office/drawing/2014/chart" uri="{C3380CC4-5D6E-409C-BE32-E72D297353CC}">
              <c16:uniqueId val="{00000001-FA8A-4B24-A4DC-80FB033C6C7A}"/>
            </c:ext>
          </c:extLst>
        </c:ser>
        <c:ser>
          <c:idx val="2"/>
          <c:order val="2"/>
          <c:tx>
            <c:strRef>
              <c:f>'WA vs Australia vs the World'!$E$8</c:f>
              <c:strCache>
                <c:ptCount val="1"/>
                <c:pt idx="0">
                  <c:v>Rest of World</c:v>
                </c:pt>
              </c:strCache>
            </c:strRef>
          </c:tx>
          <c:spPr>
            <a:solidFill>
              <a:schemeClr val="accent3">
                <a:tint val="65000"/>
                <a:alpha val="70000"/>
              </a:schemeClr>
            </a:solidFill>
            <a:ln>
              <a:noFill/>
            </a:ln>
            <a:effectLst/>
          </c:spPr>
          <c:invertIfNegative val="0"/>
          <c:cat>
            <c:strRef>
              <c:extLst>
                <c:ext xmlns:c15="http://schemas.microsoft.com/office/drawing/2012/chart" uri="{02D57815-91ED-43cb-92C2-25804820EDAC}">
                  <c15:fullRef>
                    <c15:sqref>'WA vs Australia vs the World'!$B$9:$B$27</c15:sqref>
                  </c15:fullRef>
                </c:ext>
              </c:extLst>
              <c:f>('WA vs Australia vs the World'!$B$9:$B$12,'WA vs Australia vs the World'!$B$14:$B$27)</c:f>
              <c:strCache>
                <c:ptCount val="18"/>
                <c:pt idx="0">
                  <c:v>Alumina</c:v>
                </c:pt>
                <c:pt idx="1">
                  <c:v>Cobalt</c:v>
                </c:pt>
                <c:pt idx="2">
                  <c:v>Copper</c:v>
                </c:pt>
                <c:pt idx="3">
                  <c:v>Crude Oil</c:v>
                </c:pt>
                <c:pt idx="4">
                  <c:v>Garnet</c:v>
                </c:pt>
                <c:pt idx="5">
                  <c:v>Gold</c:v>
                </c:pt>
                <c:pt idx="6">
                  <c:v>Ilmenite</c:v>
                </c:pt>
                <c:pt idx="7">
                  <c:v>Iron ore</c:v>
                </c:pt>
                <c:pt idx="8">
                  <c:v>Lead</c:v>
                </c:pt>
                <c:pt idx="9">
                  <c:v>Lithium</c:v>
                </c:pt>
                <c:pt idx="10">
                  <c:v>LNG</c:v>
                </c:pt>
                <c:pt idx="11">
                  <c:v>Manganese</c:v>
                </c:pt>
                <c:pt idx="12">
                  <c:v>Nickel</c:v>
                </c:pt>
                <c:pt idx="13">
                  <c:v>Rare Earth Oxides</c:v>
                </c:pt>
                <c:pt idx="14">
                  <c:v>Rutile</c:v>
                </c:pt>
                <c:pt idx="15">
                  <c:v>Salt</c:v>
                </c:pt>
                <c:pt idx="16">
                  <c:v>Zinc</c:v>
                </c:pt>
                <c:pt idx="17">
                  <c:v>Zircon</c:v>
                </c:pt>
              </c:strCache>
            </c:strRef>
          </c:cat>
          <c:val>
            <c:numRef>
              <c:extLst>
                <c:ext xmlns:c15="http://schemas.microsoft.com/office/drawing/2012/chart" uri="{02D57815-91ED-43cb-92C2-25804820EDAC}">
                  <c15:fullRef>
                    <c15:sqref>'WA vs Australia vs the World'!$E$9:$E$27</c15:sqref>
                  </c15:fullRef>
                </c:ext>
              </c:extLst>
              <c:f>('WA vs Australia vs the World'!$E$9:$E$12,'WA vs Australia vs the World'!$E$14:$E$27)</c:f>
              <c:numCache>
                <c:formatCode>0.00%</c:formatCode>
                <c:ptCount val="18"/>
                <c:pt idx="0">
                  <c:v>0.87889185050757102</c:v>
                </c:pt>
                <c:pt idx="1">
                  <c:v>0.98350571753411686</c:v>
                </c:pt>
                <c:pt idx="2">
                  <c:v>0.96703102961918197</c:v>
                </c:pt>
                <c:pt idx="3">
                  <c:v>0.99904308681876697</c:v>
                </c:pt>
                <c:pt idx="4">
                  <c:v>0.62867008408555625</c:v>
                </c:pt>
                <c:pt idx="5">
                  <c:v>0.91245376078914919</c:v>
                </c:pt>
                <c:pt idx="6">
                  <c:v>0.95510662177328842</c:v>
                </c:pt>
                <c:pt idx="7">
                  <c:v>0.6396182850859089</c:v>
                </c:pt>
                <c:pt idx="8">
                  <c:v>0.89249029901848886</c:v>
                </c:pt>
                <c:pt idx="9">
                  <c:v>0.58006140403289641</c:v>
                </c:pt>
                <c:pt idx="10">
                  <c:v>0.80003095990411244</c:v>
                </c:pt>
                <c:pt idx="11">
                  <c:v>0.83409094555876173</c:v>
                </c:pt>
                <c:pt idx="12">
                  <c:v>0.96506098123698225</c:v>
                </c:pt>
                <c:pt idx="13">
                  <c:v>0.92366926329707988</c:v>
                </c:pt>
                <c:pt idx="14">
                  <c:v>0.56427015250544654</c:v>
                </c:pt>
                <c:pt idx="15">
                  <c:v>0.96117084826762245</c:v>
                </c:pt>
                <c:pt idx="16">
                  <c:v>0.90833054533288726</c:v>
                </c:pt>
                <c:pt idx="17">
                  <c:v>0.66555183946488294</c:v>
                </c:pt>
              </c:numCache>
            </c:numRef>
          </c:val>
          <c:extLst>
            <c:ext xmlns:c16="http://schemas.microsoft.com/office/drawing/2014/chart" uri="{C3380CC4-5D6E-409C-BE32-E72D297353CC}">
              <c16:uniqueId val="{00000002-FA8A-4B24-A4DC-80FB033C6C7A}"/>
            </c:ext>
          </c:extLst>
        </c:ser>
        <c:dLbls>
          <c:showLegendKey val="0"/>
          <c:showVal val="0"/>
          <c:showCatName val="0"/>
          <c:showSerName val="0"/>
          <c:showPercent val="0"/>
          <c:showBubbleSize val="0"/>
        </c:dLbls>
        <c:gapWidth val="50"/>
        <c:overlap val="100"/>
        <c:axId val="422851712"/>
        <c:axId val="422853248"/>
      </c:barChart>
      <c:catAx>
        <c:axId val="422851712"/>
        <c:scaling>
          <c:orientation val="maxMin"/>
        </c:scaling>
        <c:delete val="0"/>
        <c:axPos val="l"/>
        <c:numFmt formatCode="General" sourceLinked="0"/>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2853248"/>
        <c:crosses val="autoZero"/>
        <c:auto val="1"/>
        <c:lblAlgn val="ctr"/>
        <c:lblOffset val="100"/>
        <c:tickLblSkip val="1"/>
        <c:noMultiLvlLbl val="0"/>
      </c:catAx>
      <c:valAx>
        <c:axId val="422853248"/>
        <c:scaling>
          <c:orientation val="minMax"/>
          <c:max val="1"/>
          <c:min val="0"/>
        </c:scaling>
        <c:delete val="0"/>
        <c:axPos val="t"/>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2851712"/>
        <c:crosses val="autoZero"/>
        <c:crossBetween val="between"/>
      </c:valAx>
      <c:spPr>
        <a:noFill/>
        <a:ln>
          <a:noFill/>
        </a:ln>
        <a:effectLst/>
      </c:spPr>
    </c:plotArea>
    <c:legend>
      <c:legendPos val="t"/>
      <c:layout>
        <c:manualLayout>
          <c:xMode val="edge"/>
          <c:yMode val="edge"/>
          <c:x val="0.21685715028195732"/>
          <c:y val="0.17005511933753545"/>
          <c:w val="0.56858276798445173"/>
          <c:h val="5.31918484535908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'Gold - Exports'!$W$1</c:f>
          <c:strCache>
            <c:ptCount val="1"/>
            <c:pt idx="0">
              <c:v>Gold Exports 2025
Total Value: $33,997,406,000</c:v>
            </c:pt>
          </c:strCache>
        </c:strRef>
      </c:tx>
      <c:overlay val="0"/>
      <c:txPr>
        <a:bodyPr/>
        <a:lstStyle/>
        <a:p>
          <a:pPr>
            <a:defRPr/>
          </a:pPr>
          <a:endParaRPr lang="en-US"/>
        </a:p>
      </c:txPr>
    </c:title>
    <c:autoTitleDeleted val="0"/>
    <c:plotArea>
      <c:layout>
        <c:manualLayout>
          <c:layoutTarget val="inner"/>
          <c:xMode val="edge"/>
          <c:yMode val="edge"/>
          <c:x val="0.30992292895025642"/>
          <c:y val="0.31560212366141038"/>
          <c:w val="0.38015397518871347"/>
          <c:h val="0.63358995864785583"/>
        </c:manualLayout>
      </c:layout>
      <c:pieChart>
        <c:varyColors val="0"/>
        <c:ser>
          <c:idx val="0"/>
          <c:order val="0"/>
          <c:spPr>
            <a:solidFill>
              <a:srgbClr val="FFC059"/>
            </a:solidFill>
          </c:spPr>
          <c:explosion val="1"/>
          <c:dPt>
            <c:idx val="0"/>
            <c:bubble3D val="0"/>
            <c:spPr>
              <a:solidFill>
                <a:srgbClr val="C89600"/>
              </a:solidFill>
            </c:spPr>
            <c:extLst>
              <c:ext xmlns:c16="http://schemas.microsoft.com/office/drawing/2014/chart" uri="{C3380CC4-5D6E-409C-BE32-E72D297353CC}">
                <c16:uniqueId val="{00000001-0C65-4BFC-9359-0F155561524E}"/>
              </c:ext>
            </c:extLst>
          </c:dPt>
          <c:dPt>
            <c:idx val="1"/>
            <c:bubble3D val="0"/>
            <c:spPr>
              <a:solidFill>
                <a:srgbClr val="E79B00"/>
              </a:solidFill>
            </c:spPr>
            <c:extLst>
              <c:ext xmlns:c16="http://schemas.microsoft.com/office/drawing/2014/chart" uri="{C3380CC4-5D6E-409C-BE32-E72D297353CC}">
                <c16:uniqueId val="{00000003-0C65-4BFC-9359-0F155561524E}"/>
              </c:ext>
            </c:extLst>
          </c:dPt>
          <c:dPt>
            <c:idx val="2"/>
            <c:bubble3D val="0"/>
            <c:spPr>
              <a:solidFill>
                <a:srgbClr val="FEB93A"/>
              </a:solidFill>
            </c:spPr>
            <c:extLst>
              <c:ext xmlns:c16="http://schemas.microsoft.com/office/drawing/2014/chart" uri="{C3380CC4-5D6E-409C-BE32-E72D297353CC}">
                <c16:uniqueId val="{00000005-0C65-4BFC-9359-0F155561524E}"/>
              </c:ext>
            </c:extLst>
          </c:dPt>
          <c:dPt>
            <c:idx val="3"/>
            <c:bubble3D val="0"/>
            <c:spPr>
              <a:solidFill>
                <a:srgbClr val="FFCB00"/>
              </a:solidFill>
            </c:spPr>
            <c:extLst>
              <c:ext xmlns:c16="http://schemas.microsoft.com/office/drawing/2014/chart" uri="{C3380CC4-5D6E-409C-BE32-E72D297353CC}">
                <c16:uniqueId val="{00000007-0C65-4BFC-9359-0F155561524E}"/>
              </c:ext>
            </c:extLst>
          </c:dPt>
          <c:dPt>
            <c:idx val="4"/>
            <c:bubble3D val="0"/>
            <c:spPr>
              <a:solidFill>
                <a:srgbClr val="FFE100"/>
              </a:solidFill>
            </c:spPr>
            <c:extLst>
              <c:ext xmlns:c16="http://schemas.microsoft.com/office/drawing/2014/chart" uri="{C3380CC4-5D6E-409C-BE32-E72D297353CC}">
                <c16:uniqueId val="{00000009-0C65-4BFC-9359-0F155561524E}"/>
              </c:ext>
            </c:extLst>
          </c:dPt>
          <c:dPt>
            <c:idx val="5"/>
            <c:bubble3D val="0"/>
            <c:spPr>
              <a:solidFill>
                <a:srgbClr val="FFF600"/>
              </a:solidFill>
            </c:spPr>
            <c:extLst>
              <c:ext xmlns:c16="http://schemas.microsoft.com/office/drawing/2014/chart" uri="{C3380CC4-5D6E-409C-BE32-E72D297353CC}">
                <c16:uniqueId val="{0000000B-0C65-4BFC-9359-0F155561524E}"/>
              </c:ext>
            </c:extLst>
          </c:dPt>
          <c:dPt>
            <c:idx val="6"/>
            <c:bubble3D val="0"/>
            <c:spPr>
              <a:solidFill>
                <a:srgbClr val="FFFF00"/>
              </a:solidFill>
            </c:spPr>
            <c:extLst>
              <c:ext xmlns:c16="http://schemas.microsoft.com/office/drawing/2014/chart" uri="{C3380CC4-5D6E-409C-BE32-E72D297353CC}">
                <c16:uniqueId val="{0000000D-0C65-4BFC-9359-0F155561524E}"/>
              </c:ext>
            </c:extLst>
          </c:dPt>
          <c:dPt>
            <c:idx val="7"/>
            <c:bubble3D val="0"/>
            <c:spPr>
              <a:solidFill>
                <a:srgbClr val="FFFF66"/>
              </a:solidFill>
            </c:spPr>
            <c:extLst>
              <c:ext xmlns:c16="http://schemas.microsoft.com/office/drawing/2014/chart" uri="{C3380CC4-5D6E-409C-BE32-E72D297353CC}">
                <c16:uniqueId val="{0000000F-0C65-4BFC-9359-0F155561524E}"/>
              </c:ext>
            </c:extLst>
          </c:dPt>
          <c:dPt>
            <c:idx val="8"/>
            <c:bubble3D val="0"/>
            <c:spPr>
              <a:solidFill>
                <a:srgbClr val="FFFF99"/>
              </a:solidFill>
            </c:spPr>
            <c:extLst>
              <c:ext xmlns:c16="http://schemas.microsoft.com/office/drawing/2014/chart" uri="{C3380CC4-5D6E-409C-BE32-E72D297353CC}">
                <c16:uniqueId val="{00000011-0C65-4BFC-9359-0F155561524E}"/>
              </c:ext>
            </c:extLst>
          </c:dPt>
          <c:dPt>
            <c:idx val="9"/>
            <c:bubble3D val="0"/>
            <c:spPr>
              <a:solidFill>
                <a:srgbClr val="FFFFCC"/>
              </a:solidFill>
            </c:spPr>
            <c:extLst>
              <c:ext xmlns:c16="http://schemas.microsoft.com/office/drawing/2014/chart" uri="{C3380CC4-5D6E-409C-BE32-E72D297353CC}">
                <c16:uniqueId val="{00000013-0C65-4BFC-9359-0F155561524E}"/>
              </c:ext>
            </c:extLst>
          </c:dPt>
          <c:dPt>
            <c:idx val="10"/>
            <c:bubble3D val="0"/>
            <c:spPr>
              <a:solidFill>
                <a:schemeClr val="bg1"/>
              </a:solidFill>
            </c:spPr>
            <c:extLst>
              <c:ext xmlns:c16="http://schemas.microsoft.com/office/drawing/2014/chart" uri="{C3380CC4-5D6E-409C-BE32-E72D297353CC}">
                <c16:uniqueId val="{00000015-0C65-4BFC-9359-0F155561524E}"/>
              </c:ext>
            </c:extLst>
          </c:dPt>
          <c:dLbls>
            <c:dLbl>
              <c:idx val="0"/>
              <c:layout>
                <c:manualLayout>
                  <c:x val="-0.12195946700078135"/>
                  <c:y val="-0.14159667541557305"/>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7104727045417745"/>
                      <c:h val="0.1766379202599675"/>
                    </c:manualLayout>
                  </c15:layout>
                </c:ext>
                <c:ext xmlns:c16="http://schemas.microsoft.com/office/drawing/2014/chart" uri="{C3380CC4-5D6E-409C-BE32-E72D297353CC}">
                  <c16:uniqueId val="{00000001-0C65-4BFC-9359-0F155561524E}"/>
                </c:ext>
              </c:extLst>
            </c:dLbl>
            <c:dLbl>
              <c:idx val="1"/>
              <c:layout>
                <c:manualLayout>
                  <c:x val="-5.5209577340193369E-2"/>
                  <c:y val="-5.5746531683539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65-4BFC-9359-0F155561524E}"/>
                </c:ext>
              </c:extLst>
            </c:dLbl>
            <c:dLbl>
              <c:idx val="2"/>
              <c:layout>
                <c:manualLayout>
                  <c:x val="-9.6308216598209956E-2"/>
                  <c:y val="-5.661672821870717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65-4BFC-9359-0F155561524E}"/>
                </c:ext>
              </c:extLst>
            </c:dLbl>
            <c:dLbl>
              <c:idx val="3"/>
              <c:layout>
                <c:manualLayout>
                  <c:x val="-0.12664789338690294"/>
                  <c:y val="-3.925533644577613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65-4BFC-9359-0F155561524E}"/>
                </c:ext>
              </c:extLst>
            </c:dLbl>
            <c:dLbl>
              <c:idx val="4"/>
              <c:layout>
                <c:manualLayout>
                  <c:x val="-0.10787710078381432"/>
                  <c:y val="-4.1661440550019746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31468799885207971"/>
                      <c:h val="0.11685852321557151"/>
                    </c:manualLayout>
                  </c15:layout>
                </c:ext>
                <c:ext xmlns:c16="http://schemas.microsoft.com/office/drawing/2014/chart" uri="{C3380CC4-5D6E-409C-BE32-E72D297353CC}">
                  <c16:uniqueId val="{00000009-0C65-4BFC-9359-0F155561524E}"/>
                </c:ext>
              </c:extLst>
            </c:dLbl>
            <c:dLbl>
              <c:idx val="5"/>
              <c:layout>
                <c:manualLayout>
                  <c:x val="0.13305361937361834"/>
                  <c:y val="-0.13366874595221051"/>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65-4BFC-9359-0F155561524E}"/>
                </c:ext>
              </c:extLst>
            </c:dLbl>
            <c:dLbl>
              <c:idx val="6"/>
              <c:layout>
                <c:manualLayout>
                  <c:x val="9.9265844997495828E-2"/>
                  <c:y val="-9.26084674198333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65-4BFC-9359-0F155561524E}"/>
                </c:ext>
              </c:extLst>
            </c:dLbl>
            <c:dLbl>
              <c:idx val="7"/>
              <c:layout>
                <c:manualLayout>
                  <c:x val="0.10291093814134052"/>
                  <c:y val="-1.534839666780782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65-4BFC-9359-0F155561524E}"/>
                </c:ext>
              </c:extLst>
            </c:dLbl>
            <c:dLbl>
              <c:idx val="8"/>
              <c:layout>
                <c:manualLayout>
                  <c:x val="0.10085834679560321"/>
                  <c:y val="4.60070752025562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C65-4BFC-9359-0F155561524E}"/>
                </c:ext>
              </c:extLst>
            </c:dLbl>
            <c:dLbl>
              <c:idx val="9"/>
              <c:layout>
                <c:manualLayout>
                  <c:x val="0.10762804219056549"/>
                  <c:y val="9.966039027730229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C65-4BFC-9359-0F155561524E}"/>
                </c:ext>
              </c:extLst>
            </c:dLbl>
            <c:dLbl>
              <c:idx val="10"/>
              <c:layout>
                <c:manualLayout>
                  <c:x val="8.2355049951611137E-2"/>
                  <c:y val="0.1679525276731712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C65-4BFC-9359-0F155561524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'Gold - Exports'!$A$12:$A$22</c:f>
              <c:strCache>
                <c:ptCount val="11"/>
                <c:pt idx="0">
                  <c:v>United States of America</c:v>
                </c:pt>
                <c:pt idx="1">
                  <c:v>Hong Kong (SAR of China)</c:v>
                </c:pt>
                <c:pt idx="2">
                  <c:v>United Kingdom, Channel Islands and Isle of Man, nfd</c:v>
                </c:pt>
                <c:pt idx="3">
                  <c:v>India</c:v>
                </c:pt>
                <c:pt idx="4">
                  <c:v>China (excludes SARs and Taiwan)</c:v>
                </c:pt>
                <c:pt idx="5">
                  <c:v>Korea, Republic of (South)</c:v>
                </c:pt>
                <c:pt idx="6">
                  <c:v>Singapore</c:v>
                </c:pt>
                <c:pt idx="7">
                  <c:v>United Arab Emirates</c:v>
                </c:pt>
                <c:pt idx="8">
                  <c:v>Germany</c:v>
                </c:pt>
                <c:pt idx="9">
                  <c:v>New Zealand</c:v>
                </c:pt>
                <c:pt idx="10">
                  <c:v>Other</c:v>
                </c:pt>
              </c:strCache>
            </c:strRef>
          </c:cat>
          <c:val>
            <c:numRef>
              <c:f>'Gold - Exports'!$D$12:$D$22</c:f>
              <c:numCache>
                <c:formatCode>0.0%</c:formatCode>
                <c:ptCount val="11"/>
                <c:pt idx="0">
                  <c:v>0.38643154127700213</c:v>
                </c:pt>
                <c:pt idx="1">
                  <c:v>0.22881404540099323</c:v>
                </c:pt>
                <c:pt idx="2">
                  <c:v>9.870220686837107E-2</c:v>
                </c:pt>
                <c:pt idx="3">
                  <c:v>9.3334297328449112E-2</c:v>
                </c:pt>
                <c:pt idx="4">
                  <c:v>9.3007507690439681E-2</c:v>
                </c:pt>
                <c:pt idx="5">
                  <c:v>5.6461572391728942E-2</c:v>
                </c:pt>
                <c:pt idx="6">
                  <c:v>3.0418114840879331E-2</c:v>
                </c:pt>
                <c:pt idx="7">
                  <c:v>5.1691296683046934E-3</c:v>
                </c:pt>
                <c:pt idx="8">
                  <c:v>4.0023641803730555E-3</c:v>
                </c:pt>
                <c:pt idx="9">
                  <c:v>2.4504810749384821E-3</c:v>
                </c:pt>
                <c:pt idx="10" formatCode="0.00%">
                  <c:v>1.2087392785202495E-3</c:v>
                </c:pt>
              </c:numCache>
            </c:numRef>
          </c:val>
          <c:extLst>
            <c:ext xmlns:c16="http://schemas.microsoft.com/office/drawing/2014/chart" uri="{C3380CC4-5D6E-409C-BE32-E72D297353CC}">
              <c16:uniqueId val="{00000016-0C65-4BFC-9359-0F155561524E}"/>
            </c:ext>
          </c:extLst>
        </c:ser>
        <c:dLbls>
          <c:showLegendKey val="0"/>
          <c:showVal val="1"/>
          <c:showCatName val="1"/>
          <c:showSerName val="0"/>
          <c:showPercent val="0"/>
          <c:showBubbleSize val="0"/>
          <c:showLeaderLines val="1"/>
        </c:dLbls>
        <c:firstSliceAng val="90"/>
      </c:pieChart>
    </c:plotArea>
    <c:plotVisOnly val="1"/>
    <c:dispBlanksAs val="gap"/>
    <c:showDLblsOverMax val="0"/>
  </c:chart>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br>
              <a:rPr lang="en-AU"/>
            </a:br>
            <a:r>
              <a:rPr lang="en-AU" sz="1100"/>
              <a:t>Western Australia vs Rest of Australia</a:t>
            </a:r>
          </a:p>
        </c:rich>
      </c:tx>
      <c:layout>
        <c:manualLayout>
          <c:xMode val="edge"/>
          <c:yMode val="edge"/>
          <c:x val="0.29717709499360584"/>
          <c:y val="3.7220828955003456E-2"/>
        </c:manualLayout>
      </c:layout>
      <c:overlay val="0"/>
    </c:title>
    <c:autoTitleDeleted val="0"/>
    <c:plotArea>
      <c:layout>
        <c:manualLayout>
          <c:layoutTarget val="inner"/>
          <c:xMode val="edge"/>
          <c:yMode val="edge"/>
          <c:x val="0.13242720559261792"/>
          <c:y val="0.23384037935530555"/>
          <c:w val="0.79759776331876764"/>
          <c:h val="0.6236357157049498"/>
        </c:manualLayout>
      </c:layout>
      <c:barChart>
        <c:barDir val="col"/>
        <c:grouping val="stacked"/>
        <c:varyColors val="0"/>
        <c:ser>
          <c:idx val="0"/>
          <c:order val="0"/>
          <c:tx>
            <c:v>Western Australia</c:v>
          </c:tx>
          <c:spPr>
            <a:solidFill>
              <a:srgbClr val="C89600"/>
            </a:solidFill>
          </c:spPr>
          <c:invertIfNegative val="0"/>
          <c:cat>
            <c:numRef>
              <c:extLst>
                <c:ext xmlns:c15="http://schemas.microsoft.com/office/drawing/2012/chart" uri="{02D57815-91ED-43cb-92C2-25804820EDAC}">
                  <c15:fullRef>
                    <c15:sqref>'Gold - WA vs Aus'!$A$9:$A$143</c15:sqref>
                  </c15:fullRef>
                </c:ext>
              </c:extLst>
              <c:f>'Gold - WA vs Aus'!$A$11:$A$143</c:f>
              <c:numCache>
                <c:formatCode>General</c:formatCode>
                <c:ptCount val="133"/>
                <c:pt idx="0">
                  <c:v>1892</c:v>
                </c:pt>
                <c:pt idx="1">
                  <c:v>1893</c:v>
                </c:pt>
                <c:pt idx="2">
                  <c:v>1894</c:v>
                </c:pt>
                <c:pt idx="3">
                  <c:v>1895</c:v>
                </c:pt>
                <c:pt idx="4">
                  <c:v>1896</c:v>
                </c:pt>
                <c:pt idx="5">
                  <c:v>1897</c:v>
                </c:pt>
                <c:pt idx="6">
                  <c:v>1898</c:v>
                </c:pt>
                <c:pt idx="7">
                  <c:v>1899</c:v>
                </c:pt>
                <c:pt idx="8">
                  <c:v>1900</c:v>
                </c:pt>
                <c:pt idx="9">
                  <c:v>1901</c:v>
                </c:pt>
                <c:pt idx="10">
                  <c:v>1902</c:v>
                </c:pt>
                <c:pt idx="11">
                  <c:v>1903</c:v>
                </c:pt>
                <c:pt idx="12">
                  <c:v>1904</c:v>
                </c:pt>
                <c:pt idx="13">
                  <c:v>1905</c:v>
                </c:pt>
                <c:pt idx="14">
                  <c:v>1906</c:v>
                </c:pt>
                <c:pt idx="15">
                  <c:v>1907</c:v>
                </c:pt>
                <c:pt idx="16">
                  <c:v>1908</c:v>
                </c:pt>
                <c:pt idx="17">
                  <c:v>1909</c:v>
                </c:pt>
                <c:pt idx="18">
                  <c:v>1910</c:v>
                </c:pt>
                <c:pt idx="19">
                  <c:v>1911</c:v>
                </c:pt>
                <c:pt idx="20">
                  <c:v>1912</c:v>
                </c:pt>
                <c:pt idx="21">
                  <c:v>1913</c:v>
                </c:pt>
                <c:pt idx="22">
                  <c:v>1914</c:v>
                </c:pt>
                <c:pt idx="23">
                  <c:v>1915</c:v>
                </c:pt>
                <c:pt idx="24">
                  <c:v>1916</c:v>
                </c:pt>
                <c:pt idx="25">
                  <c:v>1917</c:v>
                </c:pt>
                <c:pt idx="26">
                  <c:v>1918</c:v>
                </c:pt>
                <c:pt idx="27">
                  <c:v>1919</c:v>
                </c:pt>
                <c:pt idx="28">
                  <c:v>1920</c:v>
                </c:pt>
                <c:pt idx="29">
                  <c:v>1921</c:v>
                </c:pt>
                <c:pt idx="30">
                  <c:v>1922</c:v>
                </c:pt>
                <c:pt idx="31">
                  <c:v>1923</c:v>
                </c:pt>
                <c:pt idx="32">
                  <c:v>1924</c:v>
                </c:pt>
                <c:pt idx="33">
                  <c:v>1925</c:v>
                </c:pt>
                <c:pt idx="34">
                  <c:v>1926</c:v>
                </c:pt>
                <c:pt idx="35">
                  <c:v>1927</c:v>
                </c:pt>
                <c:pt idx="36">
                  <c:v>1928</c:v>
                </c:pt>
                <c:pt idx="37">
                  <c:v>1929</c:v>
                </c:pt>
                <c:pt idx="38">
                  <c:v>1930</c:v>
                </c:pt>
                <c:pt idx="39">
                  <c:v>1931</c:v>
                </c:pt>
                <c:pt idx="40">
                  <c:v>1932</c:v>
                </c:pt>
                <c:pt idx="41">
                  <c:v>1933</c:v>
                </c:pt>
                <c:pt idx="42">
                  <c:v>1934</c:v>
                </c:pt>
                <c:pt idx="43">
                  <c:v>1935</c:v>
                </c:pt>
                <c:pt idx="44">
                  <c:v>1936</c:v>
                </c:pt>
                <c:pt idx="45">
                  <c:v>1937</c:v>
                </c:pt>
                <c:pt idx="46">
                  <c:v>1938</c:v>
                </c:pt>
                <c:pt idx="47">
                  <c:v>1939</c:v>
                </c:pt>
                <c:pt idx="48">
                  <c:v>1940</c:v>
                </c:pt>
                <c:pt idx="49">
                  <c:v>1941</c:v>
                </c:pt>
                <c:pt idx="50">
                  <c:v>1942</c:v>
                </c:pt>
                <c:pt idx="51">
                  <c:v>1943</c:v>
                </c:pt>
                <c:pt idx="52">
                  <c:v>1944</c:v>
                </c:pt>
                <c:pt idx="53">
                  <c:v>1945</c:v>
                </c:pt>
                <c:pt idx="54">
                  <c:v>1946</c:v>
                </c:pt>
                <c:pt idx="55">
                  <c:v>1947</c:v>
                </c:pt>
                <c:pt idx="56">
                  <c:v>1948</c:v>
                </c:pt>
                <c:pt idx="57">
                  <c:v>1949</c:v>
                </c:pt>
                <c:pt idx="58">
                  <c:v>1950</c:v>
                </c:pt>
                <c:pt idx="59">
                  <c:v>1951</c:v>
                </c:pt>
                <c:pt idx="60">
                  <c:v>1952</c:v>
                </c:pt>
                <c:pt idx="61">
                  <c:v>1953</c:v>
                </c:pt>
                <c:pt idx="62">
                  <c:v>1954</c:v>
                </c:pt>
                <c:pt idx="63">
                  <c:v>1955</c:v>
                </c:pt>
                <c:pt idx="64">
                  <c:v>1956</c:v>
                </c:pt>
                <c:pt idx="65">
                  <c:v>1957</c:v>
                </c:pt>
                <c:pt idx="66">
                  <c:v>1958</c:v>
                </c:pt>
                <c:pt idx="67">
                  <c:v>1959</c:v>
                </c:pt>
                <c:pt idx="68">
                  <c:v>1960</c:v>
                </c:pt>
                <c:pt idx="69">
                  <c:v>1961</c:v>
                </c:pt>
                <c:pt idx="70">
                  <c:v>1962</c:v>
                </c:pt>
                <c:pt idx="71">
                  <c:v>1963</c:v>
                </c:pt>
                <c:pt idx="72">
                  <c:v>1964</c:v>
                </c:pt>
                <c:pt idx="73">
                  <c:v>1965</c:v>
                </c:pt>
                <c:pt idx="74">
                  <c:v>1966</c:v>
                </c:pt>
                <c:pt idx="75">
                  <c:v>1967</c:v>
                </c:pt>
                <c:pt idx="76">
                  <c:v>1968</c:v>
                </c:pt>
                <c:pt idx="77">
                  <c:v>1969</c:v>
                </c:pt>
                <c:pt idx="78">
                  <c:v>1970</c:v>
                </c:pt>
                <c:pt idx="79">
                  <c:v>1971</c:v>
                </c:pt>
                <c:pt idx="80">
                  <c:v>1972</c:v>
                </c:pt>
                <c:pt idx="81">
                  <c:v>1973</c:v>
                </c:pt>
                <c:pt idx="82">
                  <c:v>1974</c:v>
                </c:pt>
                <c:pt idx="83">
                  <c:v>1975</c:v>
                </c:pt>
                <c:pt idx="84">
                  <c:v>1976</c:v>
                </c:pt>
                <c:pt idx="85">
                  <c:v>1977</c:v>
                </c:pt>
                <c:pt idx="86">
                  <c:v>1978</c:v>
                </c:pt>
                <c:pt idx="87">
                  <c:v>1979</c:v>
                </c:pt>
                <c:pt idx="88">
                  <c:v>1980</c:v>
                </c:pt>
                <c:pt idx="89">
                  <c:v>1981</c:v>
                </c:pt>
                <c:pt idx="90">
                  <c:v>1982</c:v>
                </c:pt>
                <c:pt idx="91">
                  <c:v>1983</c:v>
                </c:pt>
                <c:pt idx="92">
                  <c:v>1984</c:v>
                </c:pt>
                <c:pt idx="93">
                  <c:v>1985</c:v>
                </c:pt>
                <c:pt idx="94">
                  <c:v>1986</c:v>
                </c:pt>
                <c:pt idx="95">
                  <c:v>1987</c:v>
                </c:pt>
                <c:pt idx="96">
                  <c:v>1988</c:v>
                </c:pt>
                <c:pt idx="97">
                  <c:v>1989</c:v>
                </c:pt>
                <c:pt idx="98">
                  <c:v>1990</c:v>
                </c:pt>
                <c:pt idx="99">
                  <c:v>1991</c:v>
                </c:pt>
                <c:pt idx="100">
                  <c:v>1992</c:v>
                </c:pt>
                <c:pt idx="101">
                  <c:v>1993</c:v>
                </c:pt>
                <c:pt idx="102">
                  <c:v>1994</c:v>
                </c:pt>
                <c:pt idx="103">
                  <c:v>1995</c:v>
                </c:pt>
                <c:pt idx="104">
                  <c:v>1996</c:v>
                </c:pt>
                <c:pt idx="105">
                  <c:v>1997</c:v>
                </c:pt>
                <c:pt idx="106">
                  <c:v>1998</c:v>
                </c:pt>
                <c:pt idx="107">
                  <c:v>1999</c:v>
                </c:pt>
                <c:pt idx="108">
                  <c:v>2000</c:v>
                </c:pt>
                <c:pt idx="109">
                  <c:v>2001</c:v>
                </c:pt>
                <c:pt idx="110">
                  <c:v>2002</c:v>
                </c:pt>
                <c:pt idx="111">
                  <c:v>2003</c:v>
                </c:pt>
                <c:pt idx="112">
                  <c:v>2004</c:v>
                </c:pt>
                <c:pt idx="113">
                  <c:v>2005</c:v>
                </c:pt>
                <c:pt idx="114">
                  <c:v>2006</c:v>
                </c:pt>
                <c:pt idx="115">
                  <c:v>2007</c:v>
                </c:pt>
                <c:pt idx="116">
                  <c:v>2008</c:v>
                </c:pt>
                <c:pt idx="117">
                  <c:v>2009</c:v>
                </c:pt>
                <c:pt idx="118">
                  <c:v>2010</c:v>
                </c:pt>
                <c:pt idx="119">
                  <c:v>2011</c:v>
                </c:pt>
                <c:pt idx="120">
                  <c:v>2012</c:v>
                </c:pt>
                <c:pt idx="121">
                  <c:v>2013</c:v>
                </c:pt>
                <c:pt idx="122">
                  <c:v>2014</c:v>
                </c:pt>
                <c:pt idx="123">
                  <c:v>2015</c:v>
                </c:pt>
                <c:pt idx="124">
                  <c:v>2016</c:v>
                </c:pt>
                <c:pt idx="125">
                  <c:v>2017</c:v>
                </c:pt>
                <c:pt idx="126">
                  <c:v>2018</c:v>
                </c:pt>
                <c:pt idx="127">
                  <c:v>2019</c:v>
                </c:pt>
                <c:pt idx="128">
                  <c:v>2020</c:v>
                </c:pt>
                <c:pt idx="129">
                  <c:v>2021</c:v>
                </c:pt>
                <c:pt idx="130">
                  <c:v>2022</c:v>
                </c:pt>
                <c:pt idx="131">
                  <c:v>2023</c:v>
                </c:pt>
                <c:pt idx="132">
                  <c:v>2024</c:v>
                </c:pt>
              </c:numCache>
            </c:numRef>
          </c:cat>
          <c:val>
            <c:numRef>
              <c:extLst>
                <c:ext xmlns:c15="http://schemas.microsoft.com/office/drawing/2012/chart" uri="{02D57815-91ED-43cb-92C2-25804820EDAC}">
                  <c15:fullRef>
                    <c15:sqref>'Gold - WA vs Aus'!$B$9:$B$143</c15:sqref>
                  </c15:fullRef>
                </c:ext>
              </c:extLst>
              <c:f>'Gold - WA vs Aus'!$B$11:$B$143</c:f>
              <c:numCache>
                <c:formatCode>#,##0.00</c:formatCode>
                <c:ptCount val="133"/>
                <c:pt idx="0">
                  <c:v>1.6569130000000001</c:v>
                </c:pt>
                <c:pt idx="1">
                  <c:v>3.0855579999999998</c:v>
                </c:pt>
                <c:pt idx="2">
                  <c:v>5.7633179999999999</c:v>
                </c:pt>
                <c:pt idx="3">
                  <c:v>6.441872</c:v>
                </c:pt>
                <c:pt idx="4">
                  <c:v>7.8261940000000001</c:v>
                </c:pt>
                <c:pt idx="5">
                  <c:v>18.2789</c:v>
                </c:pt>
                <c:pt idx="6">
                  <c:v>29.50365</c:v>
                </c:pt>
                <c:pt idx="7">
                  <c:v>44.892300000000006</c:v>
                </c:pt>
                <c:pt idx="8">
                  <c:v>41.324719999999999</c:v>
                </c:pt>
                <c:pt idx="9">
                  <c:v>49.205489999999998</c:v>
                </c:pt>
                <c:pt idx="10">
                  <c:v>55.71705</c:v>
                </c:pt>
                <c:pt idx="11">
                  <c:v>61.036239999999999</c:v>
                </c:pt>
                <c:pt idx="12">
                  <c:v>59.52693</c:v>
                </c:pt>
                <c:pt idx="13">
                  <c:v>57.250809999999994</c:v>
                </c:pt>
                <c:pt idx="14">
                  <c:v>54.004820000000002</c:v>
                </c:pt>
                <c:pt idx="15">
                  <c:v>52.00479</c:v>
                </c:pt>
                <c:pt idx="16">
                  <c:v>49.031699999999994</c:v>
                </c:pt>
                <c:pt idx="17">
                  <c:v>49.031699999999994</c:v>
                </c:pt>
                <c:pt idx="18">
                  <c:v>44.236339999999998</c:v>
                </c:pt>
                <c:pt idx="19">
                  <c:v>41.647150000000003</c:v>
                </c:pt>
                <c:pt idx="20">
                  <c:v>39.434379999999997</c:v>
                </c:pt>
                <c:pt idx="21">
                  <c:v>40.406179999999999</c:v>
                </c:pt>
                <c:pt idx="22">
                  <c:v>37.767060000000001</c:v>
                </c:pt>
                <c:pt idx="23">
                  <c:v>37.184160000000006</c:v>
                </c:pt>
                <c:pt idx="24">
                  <c:v>32.090290000000003</c:v>
                </c:pt>
                <c:pt idx="25">
                  <c:v>29.77908</c:v>
                </c:pt>
                <c:pt idx="26">
                  <c:v>26.625990000000002</c:v>
                </c:pt>
                <c:pt idx="27">
                  <c:v>21.40588</c:v>
                </c:pt>
                <c:pt idx="28">
                  <c:v>19.491289999999999</c:v>
                </c:pt>
                <c:pt idx="29">
                  <c:v>16.346629999999998</c:v>
                </c:pt>
                <c:pt idx="30">
                  <c:v>16.68824</c:v>
                </c:pt>
                <c:pt idx="31">
                  <c:v>15.41714</c:v>
                </c:pt>
                <c:pt idx="32">
                  <c:v>14.251860000000001</c:v>
                </c:pt>
                <c:pt idx="33">
                  <c:v>13.51549</c:v>
                </c:pt>
                <c:pt idx="34">
                  <c:v>13.322559999999999</c:v>
                </c:pt>
                <c:pt idx="35">
                  <c:v>12.64264</c:v>
                </c:pt>
                <c:pt idx="36">
                  <c:v>12.19501</c:v>
                </c:pt>
                <c:pt idx="37">
                  <c:v>11.57249</c:v>
                </c:pt>
                <c:pt idx="38">
                  <c:v>13.05622</c:v>
                </c:pt>
                <c:pt idx="39">
                  <c:v>16.113</c:v>
                </c:pt>
                <c:pt idx="40">
                  <c:v>18.644069999999999</c:v>
                </c:pt>
                <c:pt idx="41">
                  <c:v>19.810680000000001</c:v>
                </c:pt>
                <c:pt idx="42">
                  <c:v>19.90222</c:v>
                </c:pt>
                <c:pt idx="43">
                  <c:v>20.09751</c:v>
                </c:pt>
                <c:pt idx="44">
                  <c:v>26.513279999999998</c:v>
                </c:pt>
                <c:pt idx="45">
                  <c:v>31.330179999999999</c:v>
                </c:pt>
                <c:pt idx="46">
                  <c:v>36.482810000000001</c:v>
                </c:pt>
                <c:pt idx="47">
                  <c:v>36.959809999999997</c:v>
                </c:pt>
                <c:pt idx="48">
                  <c:v>35.919629999999998</c:v>
                </c:pt>
                <c:pt idx="49">
                  <c:v>34.384169999999997</c:v>
                </c:pt>
                <c:pt idx="50">
                  <c:v>26.306450000000002</c:v>
                </c:pt>
                <c:pt idx="51">
                  <c:v>16.539189999999998</c:v>
                </c:pt>
                <c:pt idx="52">
                  <c:v>14.69914</c:v>
                </c:pt>
                <c:pt idx="53">
                  <c:v>14.61572</c:v>
                </c:pt>
                <c:pt idx="54">
                  <c:v>19.240839999999999</c:v>
                </c:pt>
                <c:pt idx="55">
                  <c:v>21.82694</c:v>
                </c:pt>
                <c:pt idx="56">
                  <c:v>20.61354</c:v>
                </c:pt>
                <c:pt idx="57">
                  <c:v>20.203949999999999</c:v>
                </c:pt>
                <c:pt idx="58">
                  <c:v>18.930610000000001</c:v>
                </c:pt>
                <c:pt idx="59">
                  <c:v>20.162669999999999</c:v>
                </c:pt>
                <c:pt idx="60">
                  <c:v>22.62678</c:v>
                </c:pt>
                <c:pt idx="61">
                  <c:v>25.608460000000001</c:v>
                </c:pt>
                <c:pt idx="62">
                  <c:v>26.810950000000002</c:v>
                </c:pt>
                <c:pt idx="63">
                  <c:v>25.950430000000001</c:v>
                </c:pt>
                <c:pt idx="64">
                  <c:v>25.306330000000003</c:v>
                </c:pt>
                <c:pt idx="65">
                  <c:v>26.42989</c:v>
                </c:pt>
                <c:pt idx="66">
                  <c:v>27.209910000000001</c:v>
                </c:pt>
                <c:pt idx="67">
                  <c:v>26.779130000000002</c:v>
                </c:pt>
                <c:pt idx="68">
                  <c:v>27.058979999999998</c:v>
                </c:pt>
                <c:pt idx="69">
                  <c:v>27.080490000000001</c:v>
                </c:pt>
                <c:pt idx="70">
                  <c:v>26.750209999999999</c:v>
                </c:pt>
                <c:pt idx="71">
                  <c:v>24.971730000000001</c:v>
                </c:pt>
                <c:pt idx="72">
                  <c:v>22.25395</c:v>
                </c:pt>
                <c:pt idx="73">
                  <c:v>20.414930000000002</c:v>
                </c:pt>
                <c:pt idx="74">
                  <c:v>19.503490000000003</c:v>
                </c:pt>
                <c:pt idx="75">
                  <c:v>17.845759999999999</c:v>
                </c:pt>
                <c:pt idx="76">
                  <c:v>16.047840000000001</c:v>
                </c:pt>
                <c:pt idx="77">
                  <c:v>13.68755</c:v>
                </c:pt>
                <c:pt idx="78">
                  <c:v>10.89833</c:v>
                </c:pt>
                <c:pt idx="79">
                  <c:v>10.73376</c:v>
                </c:pt>
                <c:pt idx="80">
                  <c:v>10.47786</c:v>
                </c:pt>
                <c:pt idx="81">
                  <c:v>8.5868889999999993</c:v>
                </c:pt>
                <c:pt idx="82">
                  <c:v>6.5834330000000003</c:v>
                </c:pt>
                <c:pt idx="83">
                  <c:v>7.1049750000000005</c:v>
                </c:pt>
                <c:pt idx="84">
                  <c:v>7.0914160000000006</c:v>
                </c:pt>
                <c:pt idx="85">
                  <c:v>10.74737</c:v>
                </c:pt>
                <c:pt idx="86">
                  <c:v>13.332420000000001</c:v>
                </c:pt>
                <c:pt idx="87">
                  <c:v>11.581989999999999</c:v>
                </c:pt>
                <c:pt idx="88">
                  <c:v>11.232940000000001</c:v>
                </c:pt>
                <c:pt idx="89">
                  <c:v>12.046629999999999</c:v>
                </c:pt>
                <c:pt idx="90">
                  <c:v>20.75675</c:v>
                </c:pt>
                <c:pt idx="91">
                  <c:v>23.88092</c:v>
                </c:pt>
                <c:pt idx="92">
                  <c:v>32.110979999999998</c:v>
                </c:pt>
                <c:pt idx="93">
                  <c:v>41.195999999999998</c:v>
                </c:pt>
                <c:pt idx="94">
                  <c:v>53.639470000000003</c:v>
                </c:pt>
                <c:pt idx="95">
                  <c:v>79.164000000000001</c:v>
                </c:pt>
                <c:pt idx="96">
                  <c:v>108.133</c:v>
                </c:pt>
                <c:pt idx="97">
                  <c:v>150.459</c:v>
                </c:pt>
                <c:pt idx="98">
                  <c:v>187.744</c:v>
                </c:pt>
                <c:pt idx="99">
                  <c:v>184.41</c:v>
                </c:pt>
                <c:pt idx="100">
                  <c:v>182.45</c:v>
                </c:pt>
                <c:pt idx="101">
                  <c:v>182.154</c:v>
                </c:pt>
                <c:pt idx="102">
                  <c:v>192.953</c:v>
                </c:pt>
                <c:pt idx="103">
                  <c:v>196.791</c:v>
                </c:pt>
                <c:pt idx="104">
                  <c:v>228.005</c:v>
                </c:pt>
                <c:pt idx="105">
                  <c:v>238.33535699999999</c:v>
                </c:pt>
                <c:pt idx="106">
                  <c:v>231.375</c:v>
                </c:pt>
                <c:pt idx="107">
                  <c:v>211.70000000000002</c:v>
                </c:pt>
                <c:pt idx="108">
                  <c:v>199.62</c:v>
                </c:pt>
                <c:pt idx="109">
                  <c:v>192.20000000000002</c:v>
                </c:pt>
                <c:pt idx="110">
                  <c:v>188.75</c:v>
                </c:pt>
                <c:pt idx="111">
                  <c:v>187.59</c:v>
                </c:pt>
                <c:pt idx="112">
                  <c:v>163.88</c:v>
                </c:pt>
                <c:pt idx="113">
                  <c:v>167.28508118838118</c:v>
                </c:pt>
                <c:pt idx="114">
                  <c:v>162.96885743588496</c:v>
                </c:pt>
                <c:pt idx="115">
                  <c:v>151.4486196955454</c:v>
                </c:pt>
                <c:pt idx="116">
                  <c:v>132.07406222857139</c:v>
                </c:pt>
                <c:pt idx="117">
                  <c:v>146.42769796810049</c:v>
                </c:pt>
                <c:pt idx="118">
                  <c:v>182.89928812222109</c:v>
                </c:pt>
                <c:pt idx="119">
                  <c:v>179.60791441262091</c:v>
                </c:pt>
                <c:pt idx="120">
                  <c:v>181.29090201866299</c:v>
                </c:pt>
                <c:pt idx="121">
                  <c:v>187.46183645020102</c:v>
                </c:pt>
                <c:pt idx="122">
                  <c:v>194.61577561329449</c:v>
                </c:pt>
                <c:pt idx="123">
                  <c:v>194.47144014692842</c:v>
                </c:pt>
                <c:pt idx="124">
                  <c:v>197.07233863062316</c:v>
                </c:pt>
                <c:pt idx="125">
                  <c:v>210.99182809083629</c:v>
                </c:pt>
                <c:pt idx="126">
                  <c:v>211.09598533001119</c:v>
                </c:pt>
                <c:pt idx="127">
                  <c:v>213.87697104706592</c:v>
                </c:pt>
                <c:pt idx="128">
                  <c:v>209.72645486184581</c:v>
                </c:pt>
                <c:pt idx="129">
                  <c:v>207.37680836642937</c:v>
                </c:pt>
                <c:pt idx="130">
                  <c:v>214.56949247739956</c:v>
                </c:pt>
                <c:pt idx="131">
                  <c:v>211.6168668580421</c:v>
                </c:pt>
                <c:pt idx="132">
                  <c:v>203.25135831764499</c:v>
                </c:pt>
              </c:numCache>
            </c:numRef>
          </c:val>
          <c:extLst>
            <c:ext xmlns:c16="http://schemas.microsoft.com/office/drawing/2014/chart" uri="{C3380CC4-5D6E-409C-BE32-E72D297353CC}">
              <c16:uniqueId val="{00000000-46BF-4580-A817-71A87206B1A8}"/>
            </c:ext>
          </c:extLst>
        </c:ser>
        <c:ser>
          <c:idx val="1"/>
          <c:order val="1"/>
          <c:tx>
            <c:v>Rest of Australia</c:v>
          </c:tx>
          <c:spPr>
            <a:solidFill>
              <a:srgbClr val="FFC000"/>
            </a:solidFill>
          </c:spPr>
          <c:invertIfNegative val="0"/>
          <c:cat>
            <c:numRef>
              <c:extLst>
                <c:ext xmlns:c15="http://schemas.microsoft.com/office/drawing/2012/chart" uri="{02D57815-91ED-43cb-92C2-25804820EDAC}">
                  <c15:fullRef>
                    <c15:sqref>'Gold - WA vs Aus'!$A$9:$A$143</c15:sqref>
                  </c15:fullRef>
                </c:ext>
              </c:extLst>
              <c:f>'Gold - WA vs Aus'!$A$11:$A$143</c:f>
              <c:numCache>
                <c:formatCode>General</c:formatCode>
                <c:ptCount val="133"/>
                <c:pt idx="0">
                  <c:v>1892</c:v>
                </c:pt>
                <c:pt idx="1">
                  <c:v>1893</c:v>
                </c:pt>
                <c:pt idx="2">
                  <c:v>1894</c:v>
                </c:pt>
                <c:pt idx="3">
                  <c:v>1895</c:v>
                </c:pt>
                <c:pt idx="4">
                  <c:v>1896</c:v>
                </c:pt>
                <c:pt idx="5">
                  <c:v>1897</c:v>
                </c:pt>
                <c:pt idx="6">
                  <c:v>1898</c:v>
                </c:pt>
                <c:pt idx="7">
                  <c:v>1899</c:v>
                </c:pt>
                <c:pt idx="8">
                  <c:v>1900</c:v>
                </c:pt>
                <c:pt idx="9">
                  <c:v>1901</c:v>
                </c:pt>
                <c:pt idx="10">
                  <c:v>1902</c:v>
                </c:pt>
                <c:pt idx="11">
                  <c:v>1903</c:v>
                </c:pt>
                <c:pt idx="12">
                  <c:v>1904</c:v>
                </c:pt>
                <c:pt idx="13">
                  <c:v>1905</c:v>
                </c:pt>
                <c:pt idx="14">
                  <c:v>1906</c:v>
                </c:pt>
                <c:pt idx="15">
                  <c:v>1907</c:v>
                </c:pt>
                <c:pt idx="16">
                  <c:v>1908</c:v>
                </c:pt>
                <c:pt idx="17">
                  <c:v>1909</c:v>
                </c:pt>
                <c:pt idx="18">
                  <c:v>1910</c:v>
                </c:pt>
                <c:pt idx="19">
                  <c:v>1911</c:v>
                </c:pt>
                <c:pt idx="20">
                  <c:v>1912</c:v>
                </c:pt>
                <c:pt idx="21">
                  <c:v>1913</c:v>
                </c:pt>
                <c:pt idx="22">
                  <c:v>1914</c:v>
                </c:pt>
                <c:pt idx="23">
                  <c:v>1915</c:v>
                </c:pt>
                <c:pt idx="24">
                  <c:v>1916</c:v>
                </c:pt>
                <c:pt idx="25">
                  <c:v>1917</c:v>
                </c:pt>
                <c:pt idx="26">
                  <c:v>1918</c:v>
                </c:pt>
                <c:pt idx="27">
                  <c:v>1919</c:v>
                </c:pt>
                <c:pt idx="28">
                  <c:v>1920</c:v>
                </c:pt>
                <c:pt idx="29">
                  <c:v>1921</c:v>
                </c:pt>
                <c:pt idx="30">
                  <c:v>1922</c:v>
                </c:pt>
                <c:pt idx="31">
                  <c:v>1923</c:v>
                </c:pt>
                <c:pt idx="32">
                  <c:v>1924</c:v>
                </c:pt>
                <c:pt idx="33">
                  <c:v>1925</c:v>
                </c:pt>
                <c:pt idx="34">
                  <c:v>1926</c:v>
                </c:pt>
                <c:pt idx="35">
                  <c:v>1927</c:v>
                </c:pt>
                <c:pt idx="36">
                  <c:v>1928</c:v>
                </c:pt>
                <c:pt idx="37">
                  <c:v>1929</c:v>
                </c:pt>
                <c:pt idx="38">
                  <c:v>1930</c:v>
                </c:pt>
                <c:pt idx="39">
                  <c:v>1931</c:v>
                </c:pt>
                <c:pt idx="40">
                  <c:v>1932</c:v>
                </c:pt>
                <c:pt idx="41">
                  <c:v>1933</c:v>
                </c:pt>
                <c:pt idx="42">
                  <c:v>1934</c:v>
                </c:pt>
                <c:pt idx="43">
                  <c:v>1935</c:v>
                </c:pt>
                <c:pt idx="44">
                  <c:v>1936</c:v>
                </c:pt>
                <c:pt idx="45">
                  <c:v>1937</c:v>
                </c:pt>
                <c:pt idx="46">
                  <c:v>1938</c:v>
                </c:pt>
                <c:pt idx="47">
                  <c:v>1939</c:v>
                </c:pt>
                <c:pt idx="48">
                  <c:v>1940</c:v>
                </c:pt>
                <c:pt idx="49">
                  <c:v>1941</c:v>
                </c:pt>
                <c:pt idx="50">
                  <c:v>1942</c:v>
                </c:pt>
                <c:pt idx="51">
                  <c:v>1943</c:v>
                </c:pt>
                <c:pt idx="52">
                  <c:v>1944</c:v>
                </c:pt>
                <c:pt idx="53">
                  <c:v>1945</c:v>
                </c:pt>
                <c:pt idx="54">
                  <c:v>1946</c:v>
                </c:pt>
                <c:pt idx="55">
                  <c:v>1947</c:v>
                </c:pt>
                <c:pt idx="56">
                  <c:v>1948</c:v>
                </c:pt>
                <c:pt idx="57">
                  <c:v>1949</c:v>
                </c:pt>
                <c:pt idx="58">
                  <c:v>1950</c:v>
                </c:pt>
                <c:pt idx="59">
                  <c:v>1951</c:v>
                </c:pt>
                <c:pt idx="60">
                  <c:v>1952</c:v>
                </c:pt>
                <c:pt idx="61">
                  <c:v>1953</c:v>
                </c:pt>
                <c:pt idx="62">
                  <c:v>1954</c:v>
                </c:pt>
                <c:pt idx="63">
                  <c:v>1955</c:v>
                </c:pt>
                <c:pt idx="64">
                  <c:v>1956</c:v>
                </c:pt>
                <c:pt idx="65">
                  <c:v>1957</c:v>
                </c:pt>
                <c:pt idx="66">
                  <c:v>1958</c:v>
                </c:pt>
                <c:pt idx="67">
                  <c:v>1959</c:v>
                </c:pt>
                <c:pt idx="68">
                  <c:v>1960</c:v>
                </c:pt>
                <c:pt idx="69">
                  <c:v>1961</c:v>
                </c:pt>
                <c:pt idx="70">
                  <c:v>1962</c:v>
                </c:pt>
                <c:pt idx="71">
                  <c:v>1963</c:v>
                </c:pt>
                <c:pt idx="72">
                  <c:v>1964</c:v>
                </c:pt>
                <c:pt idx="73">
                  <c:v>1965</c:v>
                </c:pt>
                <c:pt idx="74">
                  <c:v>1966</c:v>
                </c:pt>
                <c:pt idx="75">
                  <c:v>1967</c:v>
                </c:pt>
                <c:pt idx="76">
                  <c:v>1968</c:v>
                </c:pt>
                <c:pt idx="77">
                  <c:v>1969</c:v>
                </c:pt>
                <c:pt idx="78">
                  <c:v>1970</c:v>
                </c:pt>
                <c:pt idx="79">
                  <c:v>1971</c:v>
                </c:pt>
                <c:pt idx="80">
                  <c:v>1972</c:v>
                </c:pt>
                <c:pt idx="81">
                  <c:v>1973</c:v>
                </c:pt>
                <c:pt idx="82">
                  <c:v>1974</c:v>
                </c:pt>
                <c:pt idx="83">
                  <c:v>1975</c:v>
                </c:pt>
                <c:pt idx="84">
                  <c:v>1976</c:v>
                </c:pt>
                <c:pt idx="85">
                  <c:v>1977</c:v>
                </c:pt>
                <c:pt idx="86">
                  <c:v>1978</c:v>
                </c:pt>
                <c:pt idx="87">
                  <c:v>1979</c:v>
                </c:pt>
                <c:pt idx="88">
                  <c:v>1980</c:v>
                </c:pt>
                <c:pt idx="89">
                  <c:v>1981</c:v>
                </c:pt>
                <c:pt idx="90">
                  <c:v>1982</c:v>
                </c:pt>
                <c:pt idx="91">
                  <c:v>1983</c:v>
                </c:pt>
                <c:pt idx="92">
                  <c:v>1984</c:v>
                </c:pt>
                <c:pt idx="93">
                  <c:v>1985</c:v>
                </c:pt>
                <c:pt idx="94">
                  <c:v>1986</c:v>
                </c:pt>
                <c:pt idx="95">
                  <c:v>1987</c:v>
                </c:pt>
                <c:pt idx="96">
                  <c:v>1988</c:v>
                </c:pt>
                <c:pt idx="97">
                  <c:v>1989</c:v>
                </c:pt>
                <c:pt idx="98">
                  <c:v>1990</c:v>
                </c:pt>
                <c:pt idx="99">
                  <c:v>1991</c:v>
                </c:pt>
                <c:pt idx="100">
                  <c:v>1992</c:v>
                </c:pt>
                <c:pt idx="101">
                  <c:v>1993</c:v>
                </c:pt>
                <c:pt idx="102">
                  <c:v>1994</c:v>
                </c:pt>
                <c:pt idx="103">
                  <c:v>1995</c:v>
                </c:pt>
                <c:pt idx="104">
                  <c:v>1996</c:v>
                </c:pt>
                <c:pt idx="105">
                  <c:v>1997</c:v>
                </c:pt>
                <c:pt idx="106">
                  <c:v>1998</c:v>
                </c:pt>
                <c:pt idx="107">
                  <c:v>1999</c:v>
                </c:pt>
                <c:pt idx="108">
                  <c:v>2000</c:v>
                </c:pt>
                <c:pt idx="109">
                  <c:v>2001</c:v>
                </c:pt>
                <c:pt idx="110">
                  <c:v>2002</c:v>
                </c:pt>
                <c:pt idx="111">
                  <c:v>2003</c:v>
                </c:pt>
                <c:pt idx="112">
                  <c:v>2004</c:v>
                </c:pt>
                <c:pt idx="113">
                  <c:v>2005</c:v>
                </c:pt>
                <c:pt idx="114">
                  <c:v>2006</c:v>
                </c:pt>
                <c:pt idx="115">
                  <c:v>2007</c:v>
                </c:pt>
                <c:pt idx="116">
                  <c:v>2008</c:v>
                </c:pt>
                <c:pt idx="117">
                  <c:v>2009</c:v>
                </c:pt>
                <c:pt idx="118">
                  <c:v>2010</c:v>
                </c:pt>
                <c:pt idx="119">
                  <c:v>2011</c:v>
                </c:pt>
                <c:pt idx="120">
                  <c:v>2012</c:v>
                </c:pt>
                <c:pt idx="121">
                  <c:v>2013</c:v>
                </c:pt>
                <c:pt idx="122">
                  <c:v>2014</c:v>
                </c:pt>
                <c:pt idx="123">
                  <c:v>2015</c:v>
                </c:pt>
                <c:pt idx="124">
                  <c:v>2016</c:v>
                </c:pt>
                <c:pt idx="125">
                  <c:v>2017</c:v>
                </c:pt>
                <c:pt idx="126">
                  <c:v>2018</c:v>
                </c:pt>
                <c:pt idx="127">
                  <c:v>2019</c:v>
                </c:pt>
                <c:pt idx="128">
                  <c:v>2020</c:v>
                </c:pt>
                <c:pt idx="129">
                  <c:v>2021</c:v>
                </c:pt>
                <c:pt idx="130">
                  <c:v>2022</c:v>
                </c:pt>
                <c:pt idx="131">
                  <c:v>2023</c:v>
                </c:pt>
                <c:pt idx="132">
                  <c:v>2024</c:v>
                </c:pt>
              </c:numCache>
            </c:numRef>
          </c:cat>
          <c:val>
            <c:numRef>
              <c:extLst>
                <c:ext xmlns:c15="http://schemas.microsoft.com/office/drawing/2012/chart" uri="{02D57815-91ED-43cb-92C2-25804820EDAC}">
                  <c15:fullRef>
                    <c15:sqref>'Gold - WA vs Aus'!$C$9:$C$143</c15:sqref>
                  </c15:fullRef>
                </c:ext>
              </c:extLst>
              <c:f>'Gold - WA vs Aus'!$C$11:$C$143</c:f>
              <c:numCache>
                <c:formatCode>#,##0.00</c:formatCode>
                <c:ptCount val="133"/>
                <c:pt idx="0">
                  <c:v>41.384076999999998</c:v>
                </c:pt>
                <c:pt idx="1">
                  <c:v>42.217962</c:v>
                </c:pt>
                <c:pt idx="2">
                  <c:v>49.169462000000003</c:v>
                </c:pt>
                <c:pt idx="3">
                  <c:v>49.512628000000007</c:v>
                </c:pt>
                <c:pt idx="4">
                  <c:v>49.497975999999994</c:v>
                </c:pt>
                <c:pt idx="5">
                  <c:v>54.138829999999992</c:v>
                </c:pt>
                <c:pt idx="6">
                  <c:v>56.012799999999991</c:v>
                </c:pt>
                <c:pt idx="7">
                  <c:v>61.525300000000001</c:v>
                </c:pt>
                <c:pt idx="8">
                  <c:v>58.101740000000007</c:v>
                </c:pt>
                <c:pt idx="9">
                  <c:v>53.436310000000006</c:v>
                </c:pt>
                <c:pt idx="10">
                  <c:v>52.741749999999996</c:v>
                </c:pt>
                <c:pt idx="11">
                  <c:v>58.338259999999998</c:v>
                </c:pt>
                <c:pt idx="12">
                  <c:v>57.158269999999995</c:v>
                </c:pt>
                <c:pt idx="13">
                  <c:v>56.770389999999999</c:v>
                </c:pt>
                <c:pt idx="14">
                  <c:v>53.096979999999995</c:v>
                </c:pt>
                <c:pt idx="15">
                  <c:v>46.95617</c:v>
                </c:pt>
                <c:pt idx="16">
                  <c:v>46.601350000000004</c:v>
                </c:pt>
                <c:pt idx="17">
                  <c:v>43.31427</c:v>
                </c:pt>
                <c:pt idx="18">
                  <c:v>40.393820000000005</c:v>
                </c:pt>
                <c:pt idx="19">
                  <c:v>35.615839999999999</c:v>
                </c:pt>
                <c:pt idx="20">
                  <c:v>32.910220000000002</c:v>
                </c:pt>
                <c:pt idx="21">
                  <c:v>28.25262</c:v>
                </c:pt>
                <c:pt idx="22">
                  <c:v>26.1569</c:v>
                </c:pt>
                <c:pt idx="23">
                  <c:v>23.371409999999997</c:v>
                </c:pt>
                <c:pt idx="24">
                  <c:v>19.722379999999994</c:v>
                </c:pt>
                <c:pt idx="25">
                  <c:v>15.512810000000002</c:v>
                </c:pt>
                <c:pt idx="26">
                  <c:v>12.974579999999996</c:v>
                </c:pt>
                <c:pt idx="27">
                  <c:v>11.815799999999999</c:v>
                </c:pt>
                <c:pt idx="28">
                  <c:v>9.8596299999999992</c:v>
                </c:pt>
                <c:pt idx="29">
                  <c:v>7.2299600000000019</c:v>
                </c:pt>
                <c:pt idx="30">
                  <c:v>6.8094999999999999</c:v>
                </c:pt>
                <c:pt idx="31">
                  <c:v>6.7370599999999996</c:v>
                </c:pt>
                <c:pt idx="32">
                  <c:v>6.7721300000000006</c:v>
                </c:pt>
                <c:pt idx="33">
                  <c:v>3.8771999999999984</c:v>
                </c:pt>
                <c:pt idx="34">
                  <c:v>2.8921799999999998</c:v>
                </c:pt>
                <c:pt idx="35">
                  <c:v>3.1669800000000006</c:v>
                </c:pt>
                <c:pt idx="36">
                  <c:v>2.0400900000000011</c:v>
                </c:pt>
                <c:pt idx="37">
                  <c:v>1.7136700000000005</c:v>
                </c:pt>
                <c:pt idx="38">
                  <c:v>1.4921799999999994</c:v>
                </c:pt>
                <c:pt idx="39">
                  <c:v>2.3973900000000015</c:v>
                </c:pt>
                <c:pt idx="40">
                  <c:v>3.568010000000001</c:v>
                </c:pt>
                <c:pt idx="41">
                  <c:v>6.0135099999999966</c:v>
                </c:pt>
                <c:pt idx="42">
                  <c:v>7.6743999999999986</c:v>
                </c:pt>
                <c:pt idx="43">
                  <c:v>8.2219499999999996</c:v>
                </c:pt>
                <c:pt idx="44">
                  <c:v>10.181080000000005</c:v>
                </c:pt>
                <c:pt idx="45">
                  <c:v>11.759949999999996</c:v>
                </c:pt>
                <c:pt idx="46">
                  <c:v>13.034979999999997</c:v>
                </c:pt>
                <c:pt idx="47">
                  <c:v>14.227080000000001</c:v>
                </c:pt>
                <c:pt idx="48">
                  <c:v>15.214450000000006</c:v>
                </c:pt>
                <c:pt idx="49">
                  <c:v>12.168340000000008</c:v>
                </c:pt>
                <c:pt idx="50">
                  <c:v>9.5803399999999961</c:v>
                </c:pt>
                <c:pt idx="51">
                  <c:v>6.8282000000000025</c:v>
                </c:pt>
                <c:pt idx="52">
                  <c:v>5.7317099999999996</c:v>
                </c:pt>
                <c:pt idx="53">
                  <c:v>5.8258900000000011</c:v>
                </c:pt>
                <c:pt idx="54">
                  <c:v>6.4033499999999997</c:v>
                </c:pt>
                <c:pt idx="55">
                  <c:v>7.3373600000000003</c:v>
                </c:pt>
                <c:pt idx="56">
                  <c:v>6.9288099999999986</c:v>
                </c:pt>
                <c:pt idx="57">
                  <c:v>7.4488400000000006</c:v>
                </c:pt>
                <c:pt idx="58">
                  <c:v>8.1150099999999981</c:v>
                </c:pt>
                <c:pt idx="59">
                  <c:v>7.6920800000000007</c:v>
                </c:pt>
                <c:pt idx="60">
                  <c:v>7.8681599999999996</c:v>
                </c:pt>
                <c:pt idx="61">
                  <c:v>7.8334100000000007</c:v>
                </c:pt>
                <c:pt idx="62">
                  <c:v>7.9547100000000022</c:v>
                </c:pt>
                <c:pt idx="63">
                  <c:v>6.678329999999999</c:v>
                </c:pt>
                <c:pt idx="64">
                  <c:v>6.7246799999999922</c:v>
                </c:pt>
                <c:pt idx="65">
                  <c:v>7.2844400000000036</c:v>
                </c:pt>
                <c:pt idx="66">
                  <c:v>7.1276999999999973</c:v>
                </c:pt>
                <c:pt idx="67">
                  <c:v>6.9713700000000003</c:v>
                </c:pt>
                <c:pt idx="68">
                  <c:v>6.7414500000000004</c:v>
                </c:pt>
                <c:pt idx="69">
                  <c:v>6.3959299999999963</c:v>
                </c:pt>
                <c:pt idx="70">
                  <c:v>6.4943300000000015</c:v>
                </c:pt>
                <c:pt idx="71">
                  <c:v>6.8772999999999982</c:v>
                </c:pt>
                <c:pt idx="72">
                  <c:v>7.7246400000000008</c:v>
                </c:pt>
                <c:pt idx="73">
                  <c:v>6.8828199999999988</c:v>
                </c:pt>
                <c:pt idx="74">
                  <c:v>9.0179299999999962</c:v>
                </c:pt>
                <c:pt idx="75">
                  <c:v>7.2029899999999998</c:v>
                </c:pt>
                <c:pt idx="76">
                  <c:v>8.2683</c:v>
                </c:pt>
                <c:pt idx="77">
                  <c:v>8.1438199999999998</c:v>
                </c:pt>
                <c:pt idx="78">
                  <c:v>8.3834</c:v>
                </c:pt>
                <c:pt idx="79">
                  <c:v>10.184239999999999</c:v>
                </c:pt>
                <c:pt idx="80">
                  <c:v>12.883140000000001</c:v>
                </c:pt>
                <c:pt idx="81">
                  <c:v>8.5871110000000002</c:v>
                </c:pt>
                <c:pt idx="82">
                  <c:v>9.3605669999999996</c:v>
                </c:pt>
                <c:pt idx="83">
                  <c:v>9.2810249999999996</c:v>
                </c:pt>
                <c:pt idx="84">
                  <c:v>8.5455839999999998</c:v>
                </c:pt>
                <c:pt idx="85">
                  <c:v>8.6696300000000015</c:v>
                </c:pt>
                <c:pt idx="86">
                  <c:v>6.8095799999999986</c:v>
                </c:pt>
                <c:pt idx="87">
                  <c:v>8.9840099999999996</c:v>
                </c:pt>
                <c:pt idx="88">
                  <c:v>5.8020599999999991</c:v>
                </c:pt>
                <c:pt idx="89">
                  <c:v>6.3273700000000002</c:v>
                </c:pt>
                <c:pt idx="90">
                  <c:v>6.2042499999999983</c:v>
                </c:pt>
                <c:pt idx="91">
                  <c:v>6.7100800000000014</c:v>
                </c:pt>
                <c:pt idx="92">
                  <c:v>8.1980199999999996</c:v>
                </c:pt>
                <c:pt idx="93">
                  <c:v>17.258720000000004</c:v>
                </c:pt>
                <c:pt idx="94">
                  <c:v>21.439529999999991</c:v>
                </c:pt>
                <c:pt idx="95">
                  <c:v>32.257660000000001</c:v>
                </c:pt>
                <c:pt idx="96">
                  <c:v>46.432700000000011</c:v>
                </c:pt>
                <c:pt idx="97">
                  <c:v>56.530500000000018</c:v>
                </c:pt>
                <c:pt idx="98">
                  <c:v>65.951999999999998</c:v>
                </c:pt>
                <c:pt idx="99">
                  <c:v>55.257999999999981</c:v>
                </c:pt>
                <c:pt idx="100">
                  <c:v>58.68</c:v>
                </c:pt>
                <c:pt idx="101">
                  <c:v>63.709000000000003</c:v>
                </c:pt>
                <c:pt idx="102">
                  <c:v>62.046999999999997</c:v>
                </c:pt>
                <c:pt idx="103">
                  <c:v>56.308999999999997</c:v>
                </c:pt>
                <c:pt idx="104">
                  <c:v>60.875</c:v>
                </c:pt>
                <c:pt idx="105">
                  <c:v>75.114643000000001</c:v>
                </c:pt>
                <c:pt idx="106">
                  <c:v>78.225000000000023</c:v>
                </c:pt>
                <c:pt idx="107">
                  <c:v>87.765999999999991</c:v>
                </c:pt>
                <c:pt idx="108">
                  <c:v>96.00800000000001</c:v>
                </c:pt>
                <c:pt idx="109">
                  <c:v>92.826310999999976</c:v>
                </c:pt>
                <c:pt idx="110">
                  <c:v>77.281331999999992</c:v>
                </c:pt>
                <c:pt idx="111">
                  <c:v>96.716024000000004</c:v>
                </c:pt>
                <c:pt idx="112">
                  <c:v>94.578000000000003</c:v>
                </c:pt>
                <c:pt idx="113">
                  <c:v>92.165999999999997</c:v>
                </c:pt>
                <c:pt idx="114">
                  <c:v>80.349999999999994</c:v>
                </c:pt>
                <c:pt idx="115">
                  <c:v>92.31</c:v>
                </c:pt>
                <c:pt idx="116">
                  <c:v>83.175999999999988</c:v>
                </c:pt>
                <c:pt idx="117">
                  <c:v>71.5</c:v>
                </c:pt>
                <c:pt idx="118">
                  <c:v>77.5</c:v>
                </c:pt>
                <c:pt idx="119">
                  <c:v>78.400000000000006</c:v>
                </c:pt>
                <c:pt idx="120">
                  <c:v>69.5</c:v>
                </c:pt>
                <c:pt idx="121">
                  <c:v>81.7</c:v>
                </c:pt>
                <c:pt idx="122">
                  <c:v>85.5</c:v>
                </c:pt>
                <c:pt idx="123">
                  <c:v>89.7</c:v>
                </c:pt>
                <c:pt idx="124">
                  <c:v>94.1</c:v>
                </c:pt>
                <c:pt idx="125">
                  <c:v>87.5</c:v>
                </c:pt>
                <c:pt idx="126">
                  <c:v>96.2</c:v>
                </c:pt>
                <c:pt idx="127">
                  <c:v>111.12302895293399</c:v>
                </c:pt>
                <c:pt idx="128">
                  <c:v>107.941</c:v>
                </c:pt>
                <c:pt idx="129">
                  <c:v>94.019000000000005</c:v>
                </c:pt>
                <c:pt idx="130">
                  <c:v>86.501999999999995</c:v>
                </c:pt>
                <c:pt idx="131">
                  <c:v>84.437139532133983</c:v>
                </c:pt>
                <c:pt idx="132">
                  <c:v>80.875</c:v>
                </c:pt>
              </c:numCache>
            </c:numRef>
          </c:val>
          <c:extLst>
            <c:ext xmlns:c16="http://schemas.microsoft.com/office/drawing/2014/chart" uri="{C3380CC4-5D6E-409C-BE32-E72D297353CC}">
              <c16:uniqueId val="{00000001-46BF-4580-A817-71A87206B1A8}"/>
            </c:ext>
          </c:extLst>
        </c:ser>
        <c:dLbls>
          <c:showLegendKey val="0"/>
          <c:showVal val="0"/>
          <c:showCatName val="0"/>
          <c:showSerName val="0"/>
          <c:showPercent val="0"/>
          <c:showBubbleSize val="0"/>
        </c:dLbls>
        <c:gapWidth val="60"/>
        <c:overlap val="100"/>
        <c:axId val="116122752"/>
        <c:axId val="116124288"/>
      </c:barChart>
      <c:catAx>
        <c:axId val="116122752"/>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6124288"/>
        <c:crosses val="autoZero"/>
        <c:auto val="0"/>
        <c:lblAlgn val="ctr"/>
        <c:lblOffset val="100"/>
        <c:tickLblSkip val="12"/>
        <c:tickMarkSkip val="1"/>
        <c:noMultiLvlLbl val="1"/>
      </c:catAx>
      <c:valAx>
        <c:axId val="116124288"/>
        <c:scaling>
          <c:orientation val="minMax"/>
        </c:scaling>
        <c:delete val="0"/>
        <c:axPos val="l"/>
        <c:majorGridlines/>
        <c:title>
          <c:tx>
            <c:rich>
              <a:bodyPr rot="-5400000" vert="horz"/>
              <a:lstStyle/>
              <a:p>
                <a:pPr>
                  <a:defRPr/>
                </a:pPr>
                <a:r>
                  <a:rPr lang="en-AU"/>
                  <a:t>Tonnes</a:t>
                </a:r>
              </a:p>
            </c:rich>
          </c:tx>
          <c:layout>
            <c:manualLayout>
              <c:xMode val="edge"/>
              <c:yMode val="edge"/>
              <c:x val="1.5845064670199301E-2"/>
              <c:y val="0.5032092375428896"/>
            </c:manualLayout>
          </c:layout>
          <c:overlay val="0"/>
        </c:title>
        <c:numFmt formatCode="#,##0" sourceLinked="0"/>
        <c:majorTickMark val="out"/>
        <c:minorTickMark val="none"/>
        <c:tickLblPos val="nextTo"/>
        <c:txPr>
          <a:bodyPr rot="0" vert="horz"/>
          <a:lstStyle/>
          <a:p>
            <a:pPr>
              <a:defRPr/>
            </a:pPr>
            <a:endParaRPr lang="en-US"/>
          </a:p>
        </c:txPr>
        <c:crossAx val="116122752"/>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Western Australia vs Rest of Australia</a:t>
            </a:r>
          </a:p>
          <a:p>
            <a:pPr>
              <a:defRPr/>
            </a:pPr>
            <a:r>
              <a:rPr lang="en-AU" sz="1100"/>
              <a:t>Last 10 Years</a:t>
            </a:r>
          </a:p>
        </c:rich>
      </c:tx>
      <c:overlay val="0"/>
    </c:title>
    <c:autoTitleDeleted val="0"/>
    <c:plotArea>
      <c:layout>
        <c:manualLayout>
          <c:layoutTarget val="inner"/>
          <c:xMode val="edge"/>
          <c:yMode val="edge"/>
          <c:x val="0.13237463663652563"/>
          <c:y val="0.28259493425390797"/>
          <c:w val="0.83230932076895714"/>
          <c:h val="0.5548036667830315"/>
        </c:manualLayout>
      </c:layout>
      <c:lineChart>
        <c:grouping val="standard"/>
        <c:varyColors val="0"/>
        <c:ser>
          <c:idx val="0"/>
          <c:order val="0"/>
          <c:tx>
            <c:v>Western Australia</c:v>
          </c:tx>
          <c:spPr>
            <a:ln w="28575">
              <a:solidFill>
                <a:srgbClr val="C89600"/>
              </a:solidFill>
            </a:ln>
          </c:spPr>
          <c:marker>
            <c:symbol val="square"/>
            <c:size val="5"/>
            <c:spPr>
              <a:solidFill>
                <a:srgbClr val="C89600"/>
              </a:solidFill>
              <a:ln>
                <a:noFill/>
              </a:ln>
            </c:spPr>
          </c:marker>
          <c:cat>
            <c:numRef>
              <c:f>'Gold - WA vs Aus'!$P$12:$P$21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'Gold - WA vs Aus'!$Q$12:$Q$21</c:f>
              <c:numCache>
                <c:formatCode>#,##0.00</c:formatCode>
                <c:ptCount val="10"/>
                <c:pt idx="0">
                  <c:v>194.47144014692842</c:v>
                </c:pt>
                <c:pt idx="1">
                  <c:v>197.07233863062316</c:v>
                </c:pt>
                <c:pt idx="2">
                  <c:v>210.99182809083629</c:v>
                </c:pt>
                <c:pt idx="3">
                  <c:v>211.09598533001119</c:v>
                </c:pt>
                <c:pt idx="4">
                  <c:v>213.87697104706592</c:v>
                </c:pt>
                <c:pt idx="5">
                  <c:v>209.72645486184581</c:v>
                </c:pt>
                <c:pt idx="6">
                  <c:v>207.37680836642937</c:v>
                </c:pt>
                <c:pt idx="7">
                  <c:v>214.56949247739956</c:v>
                </c:pt>
                <c:pt idx="8">
                  <c:v>211.6168668580421</c:v>
                </c:pt>
                <c:pt idx="9">
                  <c:v>203.25135831764499</c:v>
                </c:pt>
              </c:numCache>
            </c:numRef>
          </c:val>
          <c:smooth val="0"/>
          <c:extLst>
            <c:ext xmlns:c16="http://schemas.microsoft.com/office/drawing/2014/chart" uri="{C3380CC4-5D6E-409C-BE32-E72D297353CC}">
              <c16:uniqueId val="{00000000-89D5-4EC5-AAA5-72E448E78B4F}"/>
            </c:ext>
          </c:extLst>
        </c:ser>
        <c:ser>
          <c:idx val="1"/>
          <c:order val="1"/>
          <c:tx>
            <c:v>Rest of Australia</c:v>
          </c:tx>
          <c:spPr>
            <a:ln w="28575">
              <a:solidFill>
                <a:srgbClr val="FFC000"/>
              </a:solidFill>
            </a:ln>
          </c:spPr>
          <c:marker>
            <c:symbol val="diamond"/>
            <c:size val="5"/>
            <c:spPr>
              <a:solidFill>
                <a:srgbClr val="FFC000"/>
              </a:solidFill>
              <a:ln>
                <a:solidFill>
                  <a:srgbClr val="FFC000"/>
                </a:solidFill>
              </a:ln>
            </c:spPr>
          </c:marker>
          <c:cat>
            <c:numRef>
              <c:f>'Gold - WA vs Aus'!$P$12:$P$21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'Gold - WA vs Aus'!$R$12:$R$21</c:f>
              <c:numCache>
                <c:formatCode>#,##0.00</c:formatCode>
                <c:ptCount val="10"/>
                <c:pt idx="0">
                  <c:v>89.7</c:v>
                </c:pt>
                <c:pt idx="1">
                  <c:v>94.1</c:v>
                </c:pt>
                <c:pt idx="2">
                  <c:v>87.5</c:v>
                </c:pt>
                <c:pt idx="3">
                  <c:v>96.2</c:v>
                </c:pt>
                <c:pt idx="4">
                  <c:v>111.12302895293399</c:v>
                </c:pt>
                <c:pt idx="5">
                  <c:v>107.941</c:v>
                </c:pt>
                <c:pt idx="6">
                  <c:v>94.019000000000005</c:v>
                </c:pt>
                <c:pt idx="7">
                  <c:v>86.501999999999995</c:v>
                </c:pt>
                <c:pt idx="8">
                  <c:v>84.437139532133983</c:v>
                </c:pt>
                <c:pt idx="9">
                  <c:v>80.875</c:v>
                </c:pt>
              </c:numCache>
            </c:numRef>
          </c:val>
          <c:smooth val="0"/>
          <c:extLst>
            <c:ext xmlns:c16="http://schemas.microsoft.com/office/drawing/2014/chart" uri="{C3380CC4-5D6E-409C-BE32-E72D297353CC}">
              <c16:uniqueId val="{00000001-89D5-4EC5-AAA5-72E448E78B4F}"/>
            </c:ext>
          </c:extLst>
        </c:ser>
        <c:dLbls>
          <c:showLegendKey val="0"/>
          <c:showVal val="0"/>
          <c:showCatName val="0"/>
          <c:showSerName val="0"/>
          <c:showPercent val="0"/>
          <c:showBubbleSize val="0"/>
        </c:dLbls>
        <c:marker val="1"/>
        <c:smooth val="0"/>
        <c:axId val="118454912"/>
        <c:axId val="118453376"/>
      </c:lineChart>
      <c:valAx>
        <c:axId val="118453376"/>
        <c:scaling>
          <c:orientation val="minMax"/>
          <c:max val="350"/>
        </c:scaling>
        <c:delete val="0"/>
        <c:axPos val="l"/>
        <c:majorGridlines/>
        <c:title>
          <c:tx>
            <c:rich>
              <a:bodyPr/>
              <a:lstStyle/>
              <a:p>
                <a:pPr>
                  <a:defRPr/>
                </a:pPr>
                <a:r>
                  <a:rPr lang="en-AU"/>
                  <a:t>Tonnes</a:t>
                </a:r>
              </a:p>
            </c:rich>
          </c:tx>
          <c:layout>
            <c:manualLayout>
              <c:xMode val="edge"/>
              <c:yMode val="edge"/>
              <c:x val="1.8416195717942105E-2"/>
              <c:y val="0.51968415777041566"/>
            </c:manualLayout>
          </c:layout>
          <c:overlay val="0"/>
        </c:title>
        <c:numFmt formatCode="0" sourceLinked="0"/>
        <c:majorTickMark val="out"/>
        <c:minorTickMark val="none"/>
        <c:tickLblPos val="nextTo"/>
        <c:crossAx val="118454912"/>
        <c:crosses val="autoZero"/>
        <c:crossBetween val="between"/>
      </c:valAx>
      <c:catAx>
        <c:axId val="118454912"/>
        <c:scaling>
          <c:orientation val="minMax"/>
        </c:scaling>
        <c:delete val="0"/>
        <c:axPos val="b"/>
        <c:title>
          <c:tx>
            <c:rich>
              <a:bodyPr/>
              <a:lstStyle/>
              <a:p>
                <a:pPr>
                  <a:defRPr sz="900"/>
                </a:pPr>
                <a:r>
                  <a:rPr lang="en-AU" sz="900"/>
                  <a:t>Source:  DMPE and OoCE</a:t>
                </a:r>
              </a:p>
            </c:rich>
          </c:tx>
          <c:layout>
            <c:manualLayout>
              <c:xMode val="edge"/>
              <c:yMode val="edge"/>
              <c:x val="6.5988164627392874E-3"/>
              <c:y val="0.94184575244415314"/>
            </c:manualLayout>
          </c:layout>
          <c:overlay val="0"/>
        </c:title>
        <c:numFmt formatCode="General" sourceLinked="1"/>
        <c:majorTickMark val="out"/>
        <c:minorTickMark val="none"/>
        <c:tickLblPos val="nextTo"/>
        <c:txPr>
          <a:bodyPr rot="-2700000"/>
          <a:lstStyle/>
          <a:p>
            <a:pPr>
              <a:defRPr/>
            </a:pPr>
            <a:endParaRPr lang="en-US"/>
          </a:p>
        </c:txPr>
        <c:crossAx val="118453376"/>
        <c:crosses val="autoZero"/>
        <c:auto val="0"/>
        <c:lblAlgn val="ctr"/>
        <c:lblOffset val="100"/>
        <c:noMultiLvlLbl val="0"/>
      </c:catAx>
    </c:plotArea>
    <c:legend>
      <c:legendPos val="t"/>
      <c:layout>
        <c:manualLayout>
          <c:xMode val="edge"/>
          <c:yMode val="edge"/>
          <c:x val="0.25001435378757603"/>
          <c:y val="0.21129591559675728"/>
          <c:w val="0.46748216899716016"/>
          <c:h val="5.9385594042124047E-2"/>
        </c:manualLayout>
      </c:layou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Iron Ore</a:t>
            </a:r>
          </a:p>
          <a:p>
            <a:pPr>
              <a:defRPr/>
            </a:pPr>
            <a:r>
              <a:rPr lang="en-US" sz="1100"/>
              <a:t>Annual Prices, Historic</a:t>
            </a:r>
          </a:p>
        </c:rich>
      </c:tx>
      <c:layout>
        <c:manualLayout>
          <c:xMode val="edge"/>
          <c:yMode val="edge"/>
          <c:x val="0.40918361767279099"/>
          <c:y val="2.5493766600521373E-2"/>
        </c:manualLayout>
      </c:layout>
      <c:overlay val="0"/>
    </c:title>
    <c:autoTitleDeleted val="0"/>
    <c:plotArea>
      <c:layout>
        <c:manualLayout>
          <c:layoutTarget val="inner"/>
          <c:xMode val="edge"/>
          <c:yMode val="edge"/>
          <c:x val="0.11711834284605645"/>
          <c:y val="0.24235740740740738"/>
          <c:w val="0.85819722735720405"/>
          <c:h val="0.54556666666666653"/>
        </c:manualLayout>
      </c:layout>
      <c:lineChart>
        <c:grouping val="standard"/>
        <c:varyColors val="0"/>
        <c:ser>
          <c:idx val="0"/>
          <c:order val="0"/>
          <c:tx>
            <c:v>US$</c:v>
          </c:tx>
          <c:spPr>
            <a:ln w="28575">
              <a:solidFill>
                <a:srgbClr val="C00000"/>
              </a:solidFill>
            </a:ln>
          </c:spPr>
          <c:marker>
            <c:symbol val="none"/>
          </c:marker>
          <c:cat>
            <c:numRef>
              <c:f>'Iron Ore - Prices'!$E$11:$E$25</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'Iron Ore - Prices'!$F$11:$F$25</c:f>
              <c:numCache>
                <c:formatCode>#,##0.00</c:formatCode>
                <c:ptCount val="15"/>
                <c:pt idx="0">
                  <c:v>167.58166666666668</c:v>
                </c:pt>
                <c:pt idx="1">
                  <c:v>128.42583333333334</c:v>
                </c:pt>
                <c:pt idx="2">
                  <c:v>135.18833333333333</c:v>
                </c:pt>
                <c:pt idx="3">
                  <c:v>96.352916666666673</c:v>
                </c:pt>
                <c:pt idx="4">
                  <c:v>54.300833333333337</c:v>
                </c:pt>
                <c:pt idx="5">
                  <c:v>57.74583333333333</c:v>
                </c:pt>
                <c:pt idx="6">
                  <c:v>71.602500000000006</c:v>
                </c:pt>
                <c:pt idx="7">
                  <c:v>69.38</c:v>
                </c:pt>
                <c:pt idx="8">
                  <c:v>93.331666666666663</c:v>
                </c:pt>
                <c:pt idx="9">
                  <c:v>108.10916666666668</c:v>
                </c:pt>
                <c:pt idx="10">
                  <c:v>160.02833333333336</c:v>
                </c:pt>
                <c:pt idx="11">
                  <c:v>120.40749999999998</c:v>
                </c:pt>
                <c:pt idx="12">
                  <c:v>119.73416666666667</c:v>
                </c:pt>
                <c:pt idx="13">
                  <c:v>109.38499999999999</c:v>
                </c:pt>
                <c:pt idx="14">
                  <c:v>101.99666666666667</c:v>
                </c:pt>
              </c:numCache>
            </c:numRef>
          </c:val>
          <c:smooth val="0"/>
          <c:extLst>
            <c:ext xmlns:c16="http://schemas.microsoft.com/office/drawing/2014/chart" uri="{C3380CC4-5D6E-409C-BE32-E72D297353CC}">
              <c16:uniqueId val="{00000000-466D-4178-9B33-69109FD470FA}"/>
            </c:ext>
          </c:extLst>
        </c:ser>
        <c:ser>
          <c:idx val="1"/>
          <c:order val="1"/>
          <c:tx>
            <c:v>A$</c:v>
          </c:tx>
          <c:spPr>
            <a:ln w="28575"/>
          </c:spPr>
          <c:marker>
            <c:symbol val="none"/>
          </c:marker>
          <c:cat>
            <c:numRef>
              <c:f>'Iron Ore - Prices'!$E$11:$E$25</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'Iron Ore - Prices'!$G$11:$G$25</c:f>
              <c:numCache>
                <c:formatCode>#,##0.00</c:formatCode>
                <c:ptCount val="15"/>
                <c:pt idx="0">
                  <c:v>162.39359500074252</c:v>
                </c:pt>
                <c:pt idx="1">
                  <c:v>124.02123322821585</c:v>
                </c:pt>
                <c:pt idx="2">
                  <c:v>139.71546765309628</c:v>
                </c:pt>
                <c:pt idx="3">
                  <c:v>106.50278486438286</c:v>
                </c:pt>
                <c:pt idx="4">
                  <c:v>71.974003408098795</c:v>
                </c:pt>
                <c:pt idx="5">
                  <c:v>77.489999999999995</c:v>
                </c:pt>
                <c:pt idx="6">
                  <c:v>93.28703937731278</c:v>
                </c:pt>
                <c:pt idx="7">
                  <c:v>92.802397500993834</c:v>
                </c:pt>
                <c:pt idx="8">
                  <c:v>134.30853316588613</c:v>
                </c:pt>
                <c:pt idx="9">
                  <c:v>155.54133628125152</c:v>
                </c:pt>
                <c:pt idx="10">
                  <c:v>212.07700457820101</c:v>
                </c:pt>
                <c:pt idx="11">
                  <c:v>172.36656467958414</c:v>
                </c:pt>
                <c:pt idx="12">
                  <c:v>180.18389635046742</c:v>
                </c:pt>
                <c:pt idx="13">
                  <c:v>165.7946199745007</c:v>
                </c:pt>
                <c:pt idx="14">
                  <c:v>158.28167250960928</c:v>
                </c:pt>
              </c:numCache>
            </c:numRef>
          </c:val>
          <c:smooth val="0"/>
          <c:extLst>
            <c:ext xmlns:c16="http://schemas.microsoft.com/office/drawing/2014/chart" uri="{C3380CC4-5D6E-409C-BE32-E72D297353CC}">
              <c16:uniqueId val="{00000002-466D-4178-9B33-69109FD470FA}"/>
            </c:ext>
          </c:extLst>
        </c:ser>
        <c:dLbls>
          <c:showLegendKey val="0"/>
          <c:showVal val="0"/>
          <c:showCatName val="0"/>
          <c:showSerName val="0"/>
          <c:showPercent val="0"/>
          <c:showBubbleSize val="0"/>
        </c:dLbls>
        <c:smooth val="0"/>
        <c:axId val="132711168"/>
        <c:axId val="132713088"/>
      </c:lineChart>
      <c:catAx>
        <c:axId val="132711168"/>
        <c:scaling>
          <c:orientation val="minMax"/>
        </c:scaling>
        <c:delete val="0"/>
        <c:axPos val="b"/>
        <c:title>
          <c:tx>
            <c:rich>
              <a:bodyPr/>
              <a:lstStyle/>
              <a:p>
                <a:pPr>
                  <a:defRPr/>
                </a:pPr>
                <a:r>
                  <a:rPr lang="en-AU"/>
                  <a:t>Source: Argus Metals</a:t>
                </a:r>
              </a:p>
            </c:rich>
          </c:tx>
          <c:layout>
            <c:manualLayout>
              <c:xMode val="edge"/>
              <c:yMode val="edge"/>
              <c:x val="0"/>
              <c:y val="0.94175931639875143"/>
            </c:manualLayout>
          </c:layout>
          <c:overlay val="0"/>
        </c:title>
        <c:numFmt formatCode="General" sourceLinked="1"/>
        <c:majorTickMark val="out"/>
        <c:minorTickMark val="none"/>
        <c:tickLblPos val="nextTo"/>
        <c:spPr>
          <a:ln/>
        </c:spPr>
        <c:txPr>
          <a:bodyPr rot="-2700000"/>
          <a:lstStyle/>
          <a:p>
            <a:pPr>
              <a:defRPr/>
            </a:pPr>
            <a:endParaRPr lang="en-US"/>
          </a:p>
        </c:txPr>
        <c:crossAx val="132713088"/>
        <c:crosses val="autoZero"/>
        <c:auto val="0"/>
        <c:lblAlgn val="ctr"/>
        <c:lblOffset val="100"/>
        <c:noMultiLvlLbl val="0"/>
      </c:catAx>
      <c:valAx>
        <c:axId val="132713088"/>
        <c:scaling>
          <c:orientation val="minMax"/>
        </c:scaling>
        <c:delete val="0"/>
        <c:axPos val="l"/>
        <c:majorGridlines/>
        <c:title>
          <c:tx>
            <c:rich>
              <a:bodyPr rot="-5400000" vert="horz"/>
              <a:lstStyle/>
              <a:p>
                <a:pPr>
                  <a:defRPr/>
                </a:pPr>
                <a:r>
                  <a:rPr lang="en-AU"/>
                  <a:t>$</a:t>
                </a:r>
                <a:r>
                  <a:rPr lang="en-AU" baseline="0"/>
                  <a:t> per </a:t>
                </a:r>
                <a:r>
                  <a:rPr lang="en-AU"/>
                  <a:t>tonne</a:t>
                </a:r>
              </a:p>
            </c:rich>
          </c:tx>
          <c:layout>
            <c:manualLayout>
              <c:xMode val="edge"/>
              <c:yMode val="edge"/>
              <c:x val="1.7832263690035943E-2"/>
              <c:y val="0.4111179575832104"/>
            </c:manualLayout>
          </c:layout>
          <c:overlay val="0"/>
        </c:title>
        <c:numFmt formatCode="#,##0" sourceLinked="0"/>
        <c:majorTickMark val="out"/>
        <c:minorTickMark val="none"/>
        <c:tickLblPos val="nextTo"/>
        <c:spPr>
          <a:ln/>
        </c:spPr>
        <c:crossAx val="132711168"/>
        <c:crosses val="autoZero"/>
        <c:crossBetween val="midCat"/>
      </c:valAx>
    </c:plotArea>
    <c:legend>
      <c:legendPos val="t"/>
      <c:layout>
        <c:manualLayout>
          <c:xMode val="edge"/>
          <c:yMode val="edge"/>
          <c:x val="0.42242944444444447"/>
          <c:y val="0.15002824074074078"/>
          <c:w val="0.15611480205599301"/>
          <c:h val="5.4859027399056765E-2"/>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Monthly Prices, Last 5 Years</a:t>
            </a:r>
          </a:p>
        </c:rich>
      </c:tx>
      <c:layout>
        <c:manualLayout>
          <c:xMode val="edge"/>
          <c:yMode val="edge"/>
          <c:x val="0.39106697544396002"/>
          <c:y val="1.556420233463035E-2"/>
        </c:manualLayout>
      </c:layout>
      <c:overlay val="0"/>
    </c:title>
    <c:autoTitleDeleted val="0"/>
    <c:plotArea>
      <c:layout>
        <c:manualLayout>
          <c:layoutTarget val="inner"/>
          <c:xMode val="edge"/>
          <c:yMode val="edge"/>
          <c:x val="8.5343062949245208E-2"/>
          <c:y val="0.21888722080946107"/>
          <c:w val="0.8884584796625089"/>
          <c:h val="0.61863639613141741"/>
        </c:manualLayout>
      </c:layout>
      <c:lineChart>
        <c:grouping val="standard"/>
        <c:varyColors val="0"/>
        <c:ser>
          <c:idx val="0"/>
          <c:order val="0"/>
          <c:tx>
            <c:v>US$</c:v>
          </c:tx>
          <c:spPr>
            <a:ln w="28575">
              <a:solidFill>
                <a:srgbClr val="C00000"/>
              </a:solidFill>
            </a:ln>
          </c:spPr>
          <c:marker>
            <c:symbol val="none"/>
          </c:marker>
          <c:cat>
            <c:numRef>
              <c:f>'Iron Ore - Prices'!$A$11:$A$71</c:f>
              <c:numCache>
                <c:formatCode>mmm\-yy</c:formatCode>
                <c:ptCount val="61"/>
                <c:pt idx="0">
                  <c:v>44166</c:v>
                </c:pt>
                <c:pt idx="1">
                  <c:v>44197</c:v>
                </c:pt>
                <c:pt idx="2">
                  <c:v>44228</c:v>
                </c:pt>
                <c:pt idx="3">
                  <c:v>44256</c:v>
                </c:pt>
                <c:pt idx="4">
                  <c:v>44287</c:v>
                </c:pt>
                <c:pt idx="5">
                  <c:v>44317</c:v>
                </c:pt>
                <c:pt idx="6">
                  <c:v>44317</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pt idx="37">
                  <c:v>45292</c:v>
                </c:pt>
                <c:pt idx="38">
                  <c:v>45323</c:v>
                </c:pt>
                <c:pt idx="39">
                  <c:v>45352</c:v>
                </c:pt>
                <c:pt idx="40">
                  <c:v>45383</c:v>
                </c:pt>
                <c:pt idx="41">
                  <c:v>45413</c:v>
                </c:pt>
                <c:pt idx="42">
                  <c:v>45444</c:v>
                </c:pt>
                <c:pt idx="43">
                  <c:v>45474</c:v>
                </c:pt>
                <c:pt idx="44">
                  <c:v>45505</c:v>
                </c:pt>
                <c:pt idx="45">
                  <c:v>45536</c:v>
                </c:pt>
                <c:pt idx="46">
                  <c:v>45566</c:v>
                </c:pt>
                <c:pt idx="47">
                  <c:v>45597</c:v>
                </c:pt>
                <c:pt idx="48">
                  <c:v>45627</c:v>
                </c:pt>
                <c:pt idx="49">
                  <c:v>45658</c:v>
                </c:pt>
                <c:pt idx="50">
                  <c:v>45689</c:v>
                </c:pt>
                <c:pt idx="51">
                  <c:v>45717</c:v>
                </c:pt>
                <c:pt idx="52">
                  <c:v>45748</c:v>
                </c:pt>
                <c:pt idx="53">
                  <c:v>45778</c:v>
                </c:pt>
                <c:pt idx="54">
                  <c:v>45809</c:v>
                </c:pt>
                <c:pt idx="55">
                  <c:v>45839</c:v>
                </c:pt>
                <c:pt idx="56">
                  <c:v>45870</c:v>
                </c:pt>
                <c:pt idx="57">
                  <c:v>45901</c:v>
                </c:pt>
                <c:pt idx="58">
                  <c:v>45931</c:v>
                </c:pt>
                <c:pt idx="59">
                  <c:v>45962</c:v>
                </c:pt>
                <c:pt idx="60">
                  <c:v>45992</c:v>
                </c:pt>
              </c:numCache>
            </c:numRef>
          </c:cat>
          <c:val>
            <c:numRef>
              <c:f>'Iron Ore - Prices'!$B$11:$B$71</c:f>
              <c:numCache>
                <c:formatCode>#,##0.00</c:formatCode>
                <c:ptCount val="61"/>
                <c:pt idx="0">
                  <c:v>156</c:v>
                </c:pt>
                <c:pt idx="1">
                  <c:v>168</c:v>
                </c:pt>
                <c:pt idx="2">
                  <c:v>165.36</c:v>
                </c:pt>
                <c:pt idx="3">
                  <c:v>166.9</c:v>
                </c:pt>
                <c:pt idx="4">
                  <c:v>179.85</c:v>
                </c:pt>
                <c:pt idx="5">
                  <c:v>205.37</c:v>
                </c:pt>
                <c:pt idx="6">
                  <c:v>205.37</c:v>
                </c:pt>
                <c:pt idx="7">
                  <c:v>211.88</c:v>
                </c:pt>
                <c:pt idx="8">
                  <c:v>159.19999999999999</c:v>
                </c:pt>
                <c:pt idx="9">
                  <c:v>120.32</c:v>
                </c:pt>
                <c:pt idx="10">
                  <c:v>120.97</c:v>
                </c:pt>
                <c:pt idx="11">
                  <c:v>94.94</c:v>
                </c:pt>
                <c:pt idx="12">
                  <c:v>112.94</c:v>
                </c:pt>
                <c:pt idx="13">
                  <c:v>131.37</c:v>
                </c:pt>
                <c:pt idx="14">
                  <c:v>141.65</c:v>
                </c:pt>
                <c:pt idx="15">
                  <c:v>150.49</c:v>
                </c:pt>
                <c:pt idx="16">
                  <c:v>150.71</c:v>
                </c:pt>
                <c:pt idx="17">
                  <c:v>133.41999999999999</c:v>
                </c:pt>
                <c:pt idx="18">
                  <c:v>130.07</c:v>
                </c:pt>
                <c:pt idx="19">
                  <c:v>107.43</c:v>
                </c:pt>
                <c:pt idx="20">
                  <c:v>104.84</c:v>
                </c:pt>
                <c:pt idx="21">
                  <c:v>98.35</c:v>
                </c:pt>
                <c:pt idx="22">
                  <c:v>92.28</c:v>
                </c:pt>
                <c:pt idx="23">
                  <c:v>93.13</c:v>
                </c:pt>
                <c:pt idx="24">
                  <c:v>111.15</c:v>
                </c:pt>
                <c:pt idx="25">
                  <c:v>122.93</c:v>
                </c:pt>
                <c:pt idx="26">
                  <c:v>125.75</c:v>
                </c:pt>
                <c:pt idx="27">
                  <c:v>126.67</c:v>
                </c:pt>
                <c:pt idx="28">
                  <c:v>115.37</c:v>
                </c:pt>
                <c:pt idx="29">
                  <c:v>104.37</c:v>
                </c:pt>
                <c:pt idx="30">
                  <c:v>112.91</c:v>
                </c:pt>
                <c:pt idx="31">
                  <c:v>112.96</c:v>
                </c:pt>
                <c:pt idx="32">
                  <c:v>109.3</c:v>
                </c:pt>
                <c:pt idx="33">
                  <c:v>120.53</c:v>
                </c:pt>
                <c:pt idx="34">
                  <c:v>118.97</c:v>
                </c:pt>
                <c:pt idx="35">
                  <c:v>130.69</c:v>
                </c:pt>
                <c:pt idx="36">
                  <c:v>136.36000000000001</c:v>
                </c:pt>
                <c:pt idx="37">
                  <c:v>135.19999999999999</c:v>
                </c:pt>
                <c:pt idx="38">
                  <c:v>124.31</c:v>
                </c:pt>
                <c:pt idx="39">
                  <c:v>109.67</c:v>
                </c:pt>
                <c:pt idx="40">
                  <c:v>110.95</c:v>
                </c:pt>
                <c:pt idx="41">
                  <c:v>117.52</c:v>
                </c:pt>
                <c:pt idx="42">
                  <c:v>106.34</c:v>
                </c:pt>
                <c:pt idx="43">
                  <c:v>105.73</c:v>
                </c:pt>
                <c:pt idx="44">
                  <c:v>98.85</c:v>
                </c:pt>
                <c:pt idx="45">
                  <c:v>93.92</c:v>
                </c:pt>
                <c:pt idx="46">
                  <c:v>104.07</c:v>
                </c:pt>
                <c:pt idx="47">
                  <c:v>102.22</c:v>
                </c:pt>
                <c:pt idx="48">
                  <c:v>103.84</c:v>
                </c:pt>
                <c:pt idx="49">
                  <c:v>101.47</c:v>
                </c:pt>
                <c:pt idx="50">
                  <c:v>106.52</c:v>
                </c:pt>
                <c:pt idx="51">
                  <c:v>102.02</c:v>
                </c:pt>
                <c:pt idx="52">
                  <c:v>99.58</c:v>
                </c:pt>
                <c:pt idx="53">
                  <c:v>99.16</c:v>
                </c:pt>
                <c:pt idx="54">
                  <c:v>93.52</c:v>
                </c:pt>
                <c:pt idx="55">
                  <c:v>98.74</c:v>
                </c:pt>
                <c:pt idx="56">
                  <c:v>101.53</c:v>
                </c:pt>
                <c:pt idx="57">
                  <c:v>105.03</c:v>
                </c:pt>
                <c:pt idx="58">
                  <c:v>105.68</c:v>
                </c:pt>
                <c:pt idx="59">
                  <c:v>104.5</c:v>
                </c:pt>
                <c:pt idx="60">
                  <c:v>106.21</c:v>
                </c:pt>
              </c:numCache>
            </c:numRef>
          </c:val>
          <c:smooth val="0"/>
          <c:extLst>
            <c:ext xmlns:c16="http://schemas.microsoft.com/office/drawing/2014/chart" uri="{C3380CC4-5D6E-409C-BE32-E72D297353CC}">
              <c16:uniqueId val="{00000000-9A2A-40B7-829B-361095441FB3}"/>
            </c:ext>
          </c:extLst>
        </c:ser>
        <c:ser>
          <c:idx val="1"/>
          <c:order val="1"/>
          <c:tx>
            <c:v>A$</c:v>
          </c:tx>
          <c:spPr>
            <a:ln w="28575">
              <a:solidFill>
                <a:srgbClr val="CE8E8D"/>
              </a:solidFill>
            </a:ln>
          </c:spPr>
          <c:marker>
            <c:symbol val="none"/>
          </c:marker>
          <c:cat>
            <c:numRef>
              <c:f>'Iron Ore - Prices'!$A$11:$A$71</c:f>
              <c:numCache>
                <c:formatCode>mmm\-yy</c:formatCode>
                <c:ptCount val="61"/>
                <c:pt idx="0">
                  <c:v>44166</c:v>
                </c:pt>
                <c:pt idx="1">
                  <c:v>44197</c:v>
                </c:pt>
                <c:pt idx="2">
                  <c:v>44228</c:v>
                </c:pt>
                <c:pt idx="3">
                  <c:v>44256</c:v>
                </c:pt>
                <c:pt idx="4">
                  <c:v>44287</c:v>
                </c:pt>
                <c:pt idx="5">
                  <c:v>44317</c:v>
                </c:pt>
                <c:pt idx="6">
                  <c:v>44317</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pt idx="37">
                  <c:v>45292</c:v>
                </c:pt>
                <c:pt idx="38">
                  <c:v>45323</c:v>
                </c:pt>
                <c:pt idx="39">
                  <c:v>45352</c:v>
                </c:pt>
                <c:pt idx="40">
                  <c:v>45383</c:v>
                </c:pt>
                <c:pt idx="41">
                  <c:v>45413</c:v>
                </c:pt>
                <c:pt idx="42">
                  <c:v>45444</c:v>
                </c:pt>
                <c:pt idx="43">
                  <c:v>45474</c:v>
                </c:pt>
                <c:pt idx="44">
                  <c:v>45505</c:v>
                </c:pt>
                <c:pt idx="45">
                  <c:v>45536</c:v>
                </c:pt>
                <c:pt idx="46">
                  <c:v>45566</c:v>
                </c:pt>
                <c:pt idx="47">
                  <c:v>45597</c:v>
                </c:pt>
                <c:pt idx="48">
                  <c:v>45627</c:v>
                </c:pt>
                <c:pt idx="49">
                  <c:v>45658</c:v>
                </c:pt>
                <c:pt idx="50">
                  <c:v>45689</c:v>
                </c:pt>
                <c:pt idx="51">
                  <c:v>45717</c:v>
                </c:pt>
                <c:pt idx="52">
                  <c:v>45748</c:v>
                </c:pt>
                <c:pt idx="53">
                  <c:v>45778</c:v>
                </c:pt>
                <c:pt idx="54">
                  <c:v>45809</c:v>
                </c:pt>
                <c:pt idx="55">
                  <c:v>45839</c:v>
                </c:pt>
                <c:pt idx="56">
                  <c:v>45870</c:v>
                </c:pt>
                <c:pt idx="57">
                  <c:v>45901</c:v>
                </c:pt>
                <c:pt idx="58">
                  <c:v>45931</c:v>
                </c:pt>
                <c:pt idx="59">
                  <c:v>45962</c:v>
                </c:pt>
                <c:pt idx="60">
                  <c:v>45992</c:v>
                </c:pt>
              </c:numCache>
            </c:numRef>
          </c:cat>
          <c:val>
            <c:numRef>
              <c:f>'Iron Ore - Prices'!$C$11:$C$71</c:f>
              <c:numCache>
                <c:formatCode>#,##0.00</c:formatCode>
                <c:ptCount val="61"/>
                <c:pt idx="0">
                  <c:v>207.43367314633068</c:v>
                </c:pt>
                <c:pt idx="1">
                  <c:v>217.45202362542659</c:v>
                </c:pt>
                <c:pt idx="2">
                  <c:v>213.24254792347722</c:v>
                </c:pt>
                <c:pt idx="3">
                  <c:v>216.44892274554692</c:v>
                </c:pt>
                <c:pt idx="4">
                  <c:v>233.47136941310865</c:v>
                </c:pt>
                <c:pt idx="5">
                  <c:v>264.67155166065243</c:v>
                </c:pt>
                <c:pt idx="6">
                  <c:v>264.67155166065243</c:v>
                </c:pt>
                <c:pt idx="7">
                  <c:v>285.36900425479814</c:v>
                </c:pt>
                <c:pt idx="8">
                  <c:v>218.0551660263894</c:v>
                </c:pt>
                <c:pt idx="9">
                  <c:v>164.32566657354812</c:v>
                </c:pt>
                <c:pt idx="10">
                  <c:v>163.40783066210093</c:v>
                </c:pt>
                <c:pt idx="11">
                  <c:v>129.8203741686867</c:v>
                </c:pt>
                <c:pt idx="12">
                  <c:v>157.94541894753667</c:v>
                </c:pt>
                <c:pt idx="13">
                  <c:v>182.98401108447513</c:v>
                </c:pt>
                <c:pt idx="14">
                  <c:v>197.90014879185208</c:v>
                </c:pt>
                <c:pt idx="15">
                  <c:v>204.23002259867005</c:v>
                </c:pt>
                <c:pt idx="16">
                  <c:v>203.73099019939173</c:v>
                </c:pt>
                <c:pt idx="17">
                  <c:v>189.19455473624501</c:v>
                </c:pt>
                <c:pt idx="18">
                  <c:v>185.01256460101465</c:v>
                </c:pt>
                <c:pt idx="19">
                  <c:v>156.72099033011003</c:v>
                </c:pt>
                <c:pt idx="20">
                  <c:v>150.63120016196339</c:v>
                </c:pt>
                <c:pt idx="21">
                  <c:v>147.06594416001479</c:v>
                </c:pt>
                <c:pt idx="22">
                  <c:v>145.07381030986184</c:v>
                </c:pt>
                <c:pt idx="23">
                  <c:v>141.23542914653225</c:v>
                </c:pt>
                <c:pt idx="24">
                  <c:v>164.61911003487882</c:v>
                </c:pt>
                <c:pt idx="25">
                  <c:v>176.91078906845883</c:v>
                </c:pt>
                <c:pt idx="26">
                  <c:v>181.86156827582215</c:v>
                </c:pt>
                <c:pt idx="27">
                  <c:v>189.4235520532626</c:v>
                </c:pt>
                <c:pt idx="28">
                  <c:v>172.33019945523245</c:v>
                </c:pt>
                <c:pt idx="29">
                  <c:v>156.92479669481997</c:v>
                </c:pt>
                <c:pt idx="30">
                  <c:v>168.31901753389644</c:v>
                </c:pt>
                <c:pt idx="31">
                  <c:v>167.65684964908934</c:v>
                </c:pt>
                <c:pt idx="32">
                  <c:v>168.46013731259629</c:v>
                </c:pt>
                <c:pt idx="33">
                  <c:v>187.60645433859335</c:v>
                </c:pt>
                <c:pt idx="34">
                  <c:v>187.35011585791094</c:v>
                </c:pt>
                <c:pt idx="35">
                  <c:v>201.31353232367789</c:v>
                </c:pt>
                <c:pt idx="36">
                  <c:v>204.04974364224901</c:v>
                </c:pt>
                <c:pt idx="37">
                  <c:v>203.23695946284511</c:v>
                </c:pt>
                <c:pt idx="38">
                  <c:v>190.36614623972696</c:v>
                </c:pt>
                <c:pt idx="39">
                  <c:v>167.20664130691654</c:v>
                </c:pt>
                <c:pt idx="40">
                  <c:v>170.386921901515</c:v>
                </c:pt>
                <c:pt idx="41">
                  <c:v>177.58214034649717</c:v>
                </c:pt>
                <c:pt idx="42">
                  <c:v>159.96421417656978</c:v>
                </c:pt>
                <c:pt idx="43">
                  <c:v>158.4403484424985</c:v>
                </c:pt>
                <c:pt idx="44">
                  <c:v>148.39689745147797</c:v>
                </c:pt>
                <c:pt idx="45">
                  <c:v>138.75604145121466</c:v>
                </c:pt>
                <c:pt idx="46">
                  <c:v>155.08846560273119</c:v>
                </c:pt>
                <c:pt idx="47">
                  <c:v>156.39876724006035</c:v>
                </c:pt>
                <c:pt idx="48">
                  <c:v>163.71189607195501</c:v>
                </c:pt>
                <c:pt idx="49">
                  <c:v>163.01025091799264</c:v>
                </c:pt>
                <c:pt idx="50">
                  <c:v>169.12768727572961</c:v>
                </c:pt>
                <c:pt idx="51">
                  <c:v>162.01610768707226</c:v>
                </c:pt>
                <c:pt idx="52">
                  <c:v>158.60808624433099</c:v>
                </c:pt>
                <c:pt idx="53">
                  <c:v>153.94147243333265</c:v>
                </c:pt>
                <c:pt idx="54">
                  <c:v>143.99211677033932</c:v>
                </c:pt>
                <c:pt idx="55">
                  <c:v>150.88731056201868</c:v>
                </c:pt>
                <c:pt idx="56">
                  <c:v>156.40452899946087</c:v>
                </c:pt>
                <c:pt idx="57">
                  <c:v>159.2998324727165</c:v>
                </c:pt>
                <c:pt idx="58">
                  <c:v>161.47237559468005</c:v>
                </c:pt>
                <c:pt idx="59">
                  <c:v>160.60121718817234</c:v>
                </c:pt>
                <c:pt idx="60">
                  <c:v>160.01908396946561</c:v>
                </c:pt>
              </c:numCache>
            </c:numRef>
          </c:val>
          <c:smooth val="0"/>
          <c:extLst>
            <c:ext xmlns:c16="http://schemas.microsoft.com/office/drawing/2014/chart" uri="{C3380CC4-5D6E-409C-BE32-E72D297353CC}">
              <c16:uniqueId val="{00000001-9A2A-40B7-829B-361095441FB3}"/>
            </c:ext>
          </c:extLst>
        </c:ser>
        <c:dLbls>
          <c:showLegendKey val="0"/>
          <c:showVal val="0"/>
          <c:showCatName val="0"/>
          <c:showSerName val="0"/>
          <c:showPercent val="0"/>
          <c:showBubbleSize val="0"/>
        </c:dLbls>
        <c:smooth val="0"/>
        <c:axId val="131174784"/>
        <c:axId val="131164800"/>
      </c:lineChart>
      <c:valAx>
        <c:axId val="131164800"/>
        <c:scaling>
          <c:orientation val="minMax"/>
        </c:scaling>
        <c:delete val="0"/>
        <c:axPos val="l"/>
        <c:majorGridlines/>
        <c:title>
          <c:tx>
            <c:rich>
              <a:bodyPr/>
              <a:lstStyle/>
              <a:p>
                <a:pPr>
                  <a:defRPr/>
                </a:pPr>
                <a:r>
                  <a:rPr lang="en-AU"/>
                  <a:t>$</a:t>
                </a:r>
                <a:r>
                  <a:rPr lang="en-AU" baseline="0"/>
                  <a:t> per </a:t>
                </a:r>
                <a:r>
                  <a:rPr lang="en-AU"/>
                  <a:t>tonne</a:t>
                </a:r>
              </a:p>
            </c:rich>
          </c:tx>
          <c:overlay val="0"/>
        </c:title>
        <c:numFmt formatCode="#,##0" sourceLinked="0"/>
        <c:majorTickMark val="out"/>
        <c:minorTickMark val="none"/>
        <c:tickLblPos val="nextTo"/>
        <c:crossAx val="131174784"/>
        <c:crosses val="autoZero"/>
        <c:crossBetween val="midCat"/>
      </c:valAx>
      <c:dateAx>
        <c:axId val="131174784"/>
        <c:scaling>
          <c:orientation val="minMax"/>
        </c:scaling>
        <c:delete val="0"/>
        <c:axPos val="b"/>
        <c:title>
          <c:tx>
            <c:rich>
              <a:bodyPr/>
              <a:lstStyle/>
              <a:p>
                <a:pPr>
                  <a:defRPr/>
                </a:pPr>
                <a:r>
                  <a:rPr lang="en-AU"/>
                  <a:t>Source:</a:t>
                </a:r>
                <a:r>
                  <a:rPr lang="en-AU" baseline="0"/>
                  <a:t> Argus Metals</a:t>
                </a:r>
                <a:endParaRPr lang="en-AU"/>
              </a:p>
            </c:rich>
          </c:tx>
          <c:layout>
            <c:manualLayout>
              <c:xMode val="edge"/>
              <c:yMode val="edge"/>
              <c:x val="0"/>
              <c:y val="0.95356965593308618"/>
            </c:manualLayout>
          </c:layout>
          <c:overlay val="0"/>
        </c:title>
        <c:numFmt formatCode="mmm\-yy" sourceLinked="1"/>
        <c:majorTickMark val="out"/>
        <c:minorTickMark val="none"/>
        <c:tickLblPos val="nextTo"/>
        <c:txPr>
          <a:bodyPr rot="-2700000"/>
          <a:lstStyle/>
          <a:p>
            <a:pPr>
              <a:defRPr/>
            </a:pPr>
            <a:endParaRPr lang="en-US"/>
          </a:p>
        </c:txPr>
        <c:crossAx val="131164800"/>
        <c:crosses val="autoZero"/>
        <c:auto val="0"/>
        <c:lblOffset val="100"/>
        <c:baseTimeUnit val="days"/>
        <c:majorUnit val="3"/>
        <c:majorTimeUnit val="months"/>
        <c:minorUnit val="1"/>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invertIfNegative val="0"/>
          <c:cat>
            <c:numRef>
              <c:f>'Iron Ore - Q&amp;V'!$Q$12:$Q$20</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'Iron Ore - Q&amp;V'!$R$12:$R$20</c:f>
              <c:numCache>
                <c:formatCode>#,##0.00</c:formatCode>
                <c:ptCount val="9"/>
                <c:pt idx="0">
                  <c:v>221.04884128299997</c:v>
                </c:pt>
                <c:pt idx="1">
                  <c:v>204.996959737</c:v>
                </c:pt>
                <c:pt idx="2">
                  <c:v>224.07293183200002</c:v>
                </c:pt>
                <c:pt idx="3">
                  <c:v>216.93364215799997</c:v>
                </c:pt>
                <c:pt idx="4">
                  <c:v>220.56610668399995</c:v>
                </c:pt>
                <c:pt idx="5">
                  <c:v>198.74014446299998</c:v>
                </c:pt>
                <c:pt idx="6">
                  <c:v>230.11696775569996</c:v>
                </c:pt>
                <c:pt idx="7">
                  <c:v>223.375715923</c:v>
                </c:pt>
                <c:pt idx="8">
                  <c:v>237.24972713799997</c:v>
                </c:pt>
              </c:numCache>
            </c:numRef>
          </c:val>
          <c:extLst>
            <c:ext xmlns:c16="http://schemas.microsoft.com/office/drawing/2014/chart" uri="{C3380CC4-5D6E-409C-BE32-E72D297353CC}">
              <c16:uniqueId val="{00000000-F61B-471C-8CCD-2922398DB560}"/>
            </c:ext>
          </c:extLst>
        </c:ser>
        <c:dLbls>
          <c:showLegendKey val="0"/>
          <c:showVal val="0"/>
          <c:showCatName val="0"/>
          <c:showSerName val="0"/>
          <c:showPercent val="0"/>
          <c:showBubbleSize val="0"/>
        </c:dLbls>
        <c:gapWidth val="40"/>
        <c:axId val="133384832"/>
        <c:axId val="133382912"/>
      </c:barChart>
      <c:lineChart>
        <c:grouping val="standard"/>
        <c:varyColors val="0"/>
        <c:ser>
          <c:idx val="1"/>
          <c:order val="1"/>
          <c:tx>
            <c:v>Value</c:v>
          </c:tx>
          <c:spPr>
            <a:ln w="28575"/>
          </c:spPr>
          <c:marker>
            <c:symbol val="none"/>
          </c:marker>
          <c:cat>
            <c:numRef>
              <c:f>'Iron Ore - Q&amp;V'!$Q$12:$Q$20</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'Iron Ore - Q&amp;V'!$S$12:$S$20</c:f>
              <c:numCache>
                <c:formatCode>#,##0.00</c:formatCode>
                <c:ptCount val="9"/>
                <c:pt idx="0">
                  <c:v>39530.294561999995</c:v>
                </c:pt>
                <c:pt idx="1">
                  <c:v>35985.011854999997</c:v>
                </c:pt>
                <c:pt idx="2">
                  <c:v>36614.164529000001</c:v>
                </c:pt>
                <c:pt idx="3">
                  <c:v>31220.927563999998</c:v>
                </c:pt>
                <c:pt idx="4">
                  <c:v>32283.355840999997</c:v>
                </c:pt>
                <c:pt idx="5">
                  <c:v>30228.619219999997</c:v>
                </c:pt>
                <c:pt idx="6">
                  <c:v>32081.521632</c:v>
                </c:pt>
                <c:pt idx="7">
                  <c:v>30974.441146999998</c:v>
                </c:pt>
                <c:pt idx="8">
                  <c:v>32949.703721377096</c:v>
                </c:pt>
              </c:numCache>
            </c:numRef>
          </c:val>
          <c:smooth val="0"/>
          <c:extLst>
            <c:ext xmlns:c16="http://schemas.microsoft.com/office/drawing/2014/chart" uri="{C3380CC4-5D6E-409C-BE32-E72D297353CC}">
              <c16:uniqueId val="{00000001-F61B-471C-8CCD-2922398DB560}"/>
            </c:ext>
          </c:extLst>
        </c:ser>
        <c:dLbls>
          <c:showLegendKey val="0"/>
          <c:showVal val="0"/>
          <c:showCatName val="0"/>
          <c:showSerName val="0"/>
          <c:showPercent val="0"/>
          <c:showBubbleSize val="0"/>
        </c:dLbls>
        <c:marker val="1"/>
        <c:smooth val="0"/>
        <c:axId val="133374720"/>
        <c:axId val="133376640"/>
      </c:lineChart>
      <c:catAx>
        <c:axId val="133374720"/>
        <c:scaling>
          <c:orientation val="minMax"/>
        </c:scaling>
        <c:delete val="0"/>
        <c:axPos val="b"/>
        <c:title>
          <c:tx>
            <c:rich>
              <a:bodyPr/>
              <a:lstStyle/>
              <a:p>
                <a:pPr>
                  <a:defRPr/>
                </a:pPr>
                <a:r>
                  <a:rPr lang="en-AU"/>
                  <a:t>Source: DTF and DMPE</a:t>
                </a:r>
              </a:p>
            </c:rich>
          </c:tx>
          <c:layout>
            <c:manualLayout>
              <c:xMode val="edge"/>
              <c:yMode val="edge"/>
              <c:x val="7.9457071860773165E-3"/>
              <c:y val="0.94411571923668369"/>
            </c:manualLayout>
          </c:layout>
          <c:overlay val="0"/>
          <c:spPr>
            <a:noFill/>
          </c:spPr>
        </c:title>
        <c:numFmt formatCode="mmm\-yy" sourceLinked="1"/>
        <c:majorTickMark val="out"/>
        <c:minorTickMark val="none"/>
        <c:tickLblPos val="nextTo"/>
        <c:txPr>
          <a:bodyPr rot="-2700000"/>
          <a:lstStyle/>
          <a:p>
            <a:pPr>
              <a:defRPr/>
            </a:pPr>
            <a:endParaRPr lang="en-US"/>
          </a:p>
        </c:txPr>
        <c:crossAx val="133376640"/>
        <c:crosses val="autoZero"/>
        <c:auto val="0"/>
        <c:lblAlgn val="ctr"/>
        <c:lblOffset val="100"/>
        <c:noMultiLvlLbl val="0"/>
      </c:catAx>
      <c:valAx>
        <c:axId val="133376640"/>
        <c:scaling>
          <c:orientation val="minMax"/>
          <c:max val="50000"/>
          <c:min val="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3374720"/>
        <c:crosses val="autoZero"/>
        <c:crossBetween val="between"/>
        <c:majorUnit val="10000"/>
      </c:valAx>
      <c:valAx>
        <c:axId val="133382912"/>
        <c:scaling>
          <c:orientation val="minMax"/>
          <c:min val="0"/>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384832"/>
        <c:crosses val="max"/>
        <c:crossBetween val="between"/>
      </c:valAx>
      <c:dateAx>
        <c:axId val="133384832"/>
        <c:scaling>
          <c:orientation val="minMax"/>
        </c:scaling>
        <c:delete val="1"/>
        <c:axPos val="b"/>
        <c:numFmt formatCode="mmm\-yy" sourceLinked="1"/>
        <c:majorTickMark val="out"/>
        <c:minorTickMark val="none"/>
        <c:tickLblPos val="nextTo"/>
        <c:crossAx val="13338291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Year</a:t>
            </a:r>
          </a:p>
        </c:rich>
      </c:tx>
      <c:overlay val="0"/>
    </c:title>
    <c:autoTitleDeleted val="0"/>
    <c:plotArea>
      <c:layout/>
      <c:barChart>
        <c:barDir val="col"/>
        <c:grouping val="clustered"/>
        <c:varyColors val="0"/>
        <c:ser>
          <c:idx val="0"/>
          <c:order val="0"/>
          <c:tx>
            <c:strRef>
              <c:f>'Iron Ore - Q&amp;V'!$R$36</c:f>
              <c:strCache>
                <c:ptCount val="1"/>
                <c:pt idx="0">
                  <c:v>Quantity (Mt)</c:v>
                </c:pt>
              </c:strCache>
            </c:strRef>
          </c:tx>
          <c:invertIfNegative val="0"/>
          <c:cat>
            <c:numRef>
              <c:f>'Iron Ore - Q&amp;V'!$Q$37:$Q$56</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'Iron Ore - Q&amp;V'!$R$37:$R$56</c:f>
              <c:numCache>
                <c:formatCode>#,##0.00</c:formatCode>
                <c:ptCount val="20"/>
                <c:pt idx="0">
                  <c:v>250.325766362</c:v>
                </c:pt>
                <c:pt idx="1">
                  <c:v>264.44915205099994</c:v>
                </c:pt>
                <c:pt idx="2">
                  <c:v>305.88447268200002</c:v>
                </c:pt>
                <c:pt idx="3">
                  <c:v>356.06964630899995</c:v>
                </c:pt>
                <c:pt idx="4">
                  <c:v>393.85115706600004</c:v>
                </c:pt>
                <c:pt idx="5">
                  <c:v>426.67287969500001</c:v>
                </c:pt>
                <c:pt idx="6">
                  <c:v>478.32621689000001</c:v>
                </c:pt>
                <c:pt idx="7">
                  <c:v>544.937833372</c:v>
                </c:pt>
                <c:pt idx="8">
                  <c:v>686.23315313900002</c:v>
                </c:pt>
                <c:pt idx="9">
                  <c:v>742.40984031599999</c:v>
                </c:pt>
                <c:pt idx="10">
                  <c:v>795.71547145499994</c:v>
                </c:pt>
                <c:pt idx="11">
                  <c:v>814.12094474599985</c:v>
                </c:pt>
                <c:pt idx="12">
                  <c:v>813.57781896699998</c:v>
                </c:pt>
                <c:pt idx="13">
                  <c:v>811.78788645099996</c:v>
                </c:pt>
                <c:pt idx="14">
                  <c:v>847.132426775</c:v>
                </c:pt>
                <c:pt idx="15">
                  <c:v>838.29191462300003</c:v>
                </c:pt>
                <c:pt idx="16">
                  <c:v>855.78732936100016</c:v>
                </c:pt>
                <c:pt idx="17">
                  <c:v>860.24326515400003</c:v>
                </c:pt>
                <c:pt idx="18">
                  <c:v>866.56964041099991</c:v>
                </c:pt>
                <c:pt idx="19">
                  <c:v>889.48255527969991</c:v>
                </c:pt>
              </c:numCache>
            </c:numRef>
          </c:val>
          <c:extLst>
            <c:ext xmlns:c16="http://schemas.microsoft.com/office/drawing/2014/chart" uri="{C3380CC4-5D6E-409C-BE32-E72D297353CC}">
              <c16:uniqueId val="{00000000-18D8-4073-8CCB-C1DC0E8EF4D7}"/>
            </c:ext>
          </c:extLst>
        </c:ser>
        <c:dLbls>
          <c:showLegendKey val="0"/>
          <c:showVal val="0"/>
          <c:showCatName val="0"/>
          <c:showSerName val="0"/>
          <c:showPercent val="0"/>
          <c:showBubbleSize val="0"/>
        </c:dLbls>
        <c:gapWidth val="40"/>
        <c:axId val="133430656"/>
        <c:axId val="133428736"/>
      </c:barChart>
      <c:lineChart>
        <c:grouping val="standard"/>
        <c:varyColors val="0"/>
        <c:ser>
          <c:idx val="1"/>
          <c:order val="1"/>
          <c:tx>
            <c:strRef>
              <c:f>'Iron Ore - Q&amp;V'!$S$36</c:f>
              <c:strCache>
                <c:ptCount val="1"/>
                <c:pt idx="0">
                  <c:v>Value ($ Million)</c:v>
                </c:pt>
              </c:strCache>
            </c:strRef>
          </c:tx>
          <c:spPr>
            <a:ln w="28575"/>
          </c:spPr>
          <c:marker>
            <c:symbol val="none"/>
          </c:marker>
          <c:cat>
            <c:numRef>
              <c:f>'Iron Ore - Q&amp;V'!$Q$37:$Q$56</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'Iron Ore - Q&amp;V'!$S$37:$S$56</c:f>
              <c:numCache>
                <c:formatCode>#,##0.00</c:formatCode>
                <c:ptCount val="20"/>
                <c:pt idx="0">
                  <c:v>14780.092745670001</c:v>
                </c:pt>
                <c:pt idx="1">
                  <c:v>16135.90395344</c:v>
                </c:pt>
                <c:pt idx="2">
                  <c:v>31909.855018219998</c:v>
                </c:pt>
                <c:pt idx="3">
                  <c:v>28133.427135669997</c:v>
                </c:pt>
                <c:pt idx="4">
                  <c:v>50262.149327229999</c:v>
                </c:pt>
                <c:pt idx="5">
                  <c:v>62863.290517729998</c:v>
                </c:pt>
                <c:pt idx="6">
                  <c:v>52823.916640019997</c:v>
                </c:pt>
                <c:pt idx="7">
                  <c:v>71124.725319999998</c:v>
                </c:pt>
                <c:pt idx="8">
                  <c:v>65059.73704</c:v>
                </c:pt>
                <c:pt idx="9">
                  <c:v>49630.774950999999</c:v>
                </c:pt>
                <c:pt idx="10">
                  <c:v>55609.172696999995</c:v>
                </c:pt>
                <c:pt idx="11">
                  <c:v>63830.848204999988</c:v>
                </c:pt>
                <c:pt idx="12">
                  <c:v>65755.563037999993</c:v>
                </c:pt>
                <c:pt idx="13">
                  <c:v>99729.341920000006</c:v>
                </c:pt>
                <c:pt idx="14">
                  <c:v>118437.941051</c:v>
                </c:pt>
                <c:pt idx="15">
                  <c:v>157824.71403499998</c:v>
                </c:pt>
                <c:pt idx="16">
                  <c:v>128090.47812699999</c:v>
                </c:pt>
                <c:pt idx="17">
                  <c:v>139783.54434399999</c:v>
                </c:pt>
                <c:pt idx="18">
                  <c:v>136103.45978899999</c:v>
                </c:pt>
                <c:pt idx="19">
                  <c:v>126234.28572037708</c:v>
                </c:pt>
              </c:numCache>
            </c:numRef>
          </c:val>
          <c:smooth val="0"/>
          <c:extLst>
            <c:ext xmlns:c16="http://schemas.microsoft.com/office/drawing/2014/chart" uri="{C3380CC4-5D6E-409C-BE32-E72D297353CC}">
              <c16:uniqueId val="{00000001-18D8-4073-8CCB-C1DC0E8EF4D7}"/>
            </c:ext>
          </c:extLst>
        </c:ser>
        <c:dLbls>
          <c:showLegendKey val="0"/>
          <c:showVal val="0"/>
          <c:showCatName val="0"/>
          <c:showSerName val="0"/>
          <c:showPercent val="0"/>
          <c:showBubbleSize val="0"/>
        </c:dLbls>
        <c:marker val="1"/>
        <c:smooth val="0"/>
        <c:axId val="133424640"/>
        <c:axId val="133426560"/>
      </c:lineChart>
      <c:dateAx>
        <c:axId val="133424640"/>
        <c:scaling>
          <c:orientation val="minMax"/>
        </c:scaling>
        <c:delete val="0"/>
        <c:axPos val="b"/>
        <c:title>
          <c:tx>
            <c:rich>
              <a:bodyPr/>
              <a:lstStyle/>
              <a:p>
                <a:pPr>
                  <a:defRPr/>
                </a:pPr>
                <a:r>
                  <a:rPr lang="en-AU"/>
                  <a:t>Source: DTF and DMPE</a:t>
                </a:r>
              </a:p>
            </c:rich>
          </c:tx>
          <c:layout>
            <c:manualLayout>
              <c:xMode val="edge"/>
              <c:yMode val="edge"/>
              <c:x val="1.5915954545156714E-2"/>
              <c:y val="0.93794295968289965"/>
            </c:manualLayout>
          </c:layout>
          <c:overlay val="0"/>
          <c:spPr>
            <a:noFill/>
          </c:spPr>
        </c:title>
        <c:numFmt formatCode="@@@@@@@@@" sourceLinked="0"/>
        <c:majorTickMark val="out"/>
        <c:minorTickMark val="none"/>
        <c:tickLblPos val="nextTo"/>
        <c:txPr>
          <a:bodyPr rot="-2700000"/>
          <a:lstStyle/>
          <a:p>
            <a:pPr>
              <a:defRPr/>
            </a:pPr>
            <a:endParaRPr lang="en-US"/>
          </a:p>
        </c:txPr>
        <c:crossAx val="133426560"/>
        <c:crosses val="autoZero"/>
        <c:auto val="0"/>
        <c:lblOffset val="100"/>
        <c:baseTimeUnit val="days"/>
        <c:majorUnit val="1"/>
        <c:majorTimeUnit val="days"/>
      </c:dateAx>
      <c:valAx>
        <c:axId val="13342656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3424640"/>
        <c:crosses val="autoZero"/>
        <c:crossBetween val="between"/>
      </c:valAx>
      <c:valAx>
        <c:axId val="133428736"/>
        <c:scaling>
          <c:orientation val="minMax"/>
          <c:max val="900"/>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430656"/>
        <c:crosses val="max"/>
        <c:crossBetween val="between"/>
      </c:valAx>
      <c:catAx>
        <c:axId val="133430656"/>
        <c:scaling>
          <c:orientation val="minMax"/>
        </c:scaling>
        <c:delete val="1"/>
        <c:axPos val="b"/>
        <c:numFmt formatCode="General" sourceLinked="1"/>
        <c:majorTickMark val="out"/>
        <c:minorTickMark val="none"/>
        <c:tickLblPos val="nextTo"/>
        <c:crossAx val="13342873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strRef>
          <c:f>'Iron Ore - Exports'!$W$1</c:f>
          <c:strCache>
            <c:ptCount val="1"/>
            <c:pt idx="0">
              <c:v>Iron Ore Exports 2025
Total Value: $119,657,689,000</c:v>
            </c:pt>
          </c:strCache>
        </c:strRef>
      </c:tx>
      <c:layout>
        <c:manualLayout>
          <c:xMode val="edge"/>
          <c:yMode val="edge"/>
          <c:x val="0.27136186673009277"/>
          <c:y val="2.1960784313725491E-2"/>
        </c:manualLayout>
      </c:layout>
      <c:overlay val="0"/>
    </c:title>
    <c:autoTitleDeleted val="0"/>
    <c:plotArea>
      <c:layout>
        <c:manualLayout>
          <c:layoutTarget val="inner"/>
          <c:xMode val="edge"/>
          <c:yMode val="edge"/>
          <c:x val="0.27751052581066477"/>
          <c:y val="0.21545783192195317"/>
          <c:w val="0.44497894837867047"/>
          <c:h val="0.66012207200515027"/>
        </c:manualLayout>
      </c:layout>
      <c:pieChart>
        <c:varyColors val="1"/>
        <c:ser>
          <c:idx val="0"/>
          <c:order val="0"/>
          <c:dPt>
            <c:idx val="0"/>
            <c:bubble3D val="0"/>
            <c:extLst>
              <c:ext xmlns:c16="http://schemas.microsoft.com/office/drawing/2014/chart" uri="{C3380CC4-5D6E-409C-BE32-E72D297353CC}">
                <c16:uniqueId val="{00000000-6C64-4A8C-AC35-1FA5D4400E61}"/>
              </c:ext>
            </c:extLst>
          </c:dPt>
          <c:dPt>
            <c:idx val="1"/>
            <c:bubble3D val="0"/>
            <c:extLst>
              <c:ext xmlns:c16="http://schemas.microsoft.com/office/drawing/2014/chart" uri="{C3380CC4-5D6E-409C-BE32-E72D297353CC}">
                <c16:uniqueId val="{00000001-6C64-4A8C-AC35-1FA5D4400E61}"/>
              </c:ext>
            </c:extLst>
          </c:dPt>
          <c:dPt>
            <c:idx val="2"/>
            <c:bubble3D val="0"/>
            <c:extLst>
              <c:ext xmlns:c16="http://schemas.microsoft.com/office/drawing/2014/chart" uri="{C3380CC4-5D6E-409C-BE32-E72D297353CC}">
                <c16:uniqueId val="{00000002-6C64-4A8C-AC35-1FA5D4400E61}"/>
              </c:ext>
            </c:extLst>
          </c:dPt>
          <c:dPt>
            <c:idx val="3"/>
            <c:bubble3D val="0"/>
            <c:extLst>
              <c:ext xmlns:c16="http://schemas.microsoft.com/office/drawing/2014/chart" uri="{C3380CC4-5D6E-409C-BE32-E72D297353CC}">
                <c16:uniqueId val="{00000003-6C64-4A8C-AC35-1FA5D4400E61}"/>
              </c:ext>
            </c:extLst>
          </c:dPt>
          <c:dPt>
            <c:idx val="4"/>
            <c:bubble3D val="0"/>
            <c:extLst>
              <c:ext xmlns:c16="http://schemas.microsoft.com/office/drawing/2014/chart" uri="{C3380CC4-5D6E-409C-BE32-E72D297353CC}">
                <c16:uniqueId val="{00000004-6C64-4A8C-AC35-1FA5D4400E61}"/>
              </c:ext>
            </c:extLst>
          </c:dPt>
          <c:dPt>
            <c:idx val="5"/>
            <c:bubble3D val="0"/>
            <c:extLst>
              <c:ext xmlns:c16="http://schemas.microsoft.com/office/drawing/2014/chart" uri="{C3380CC4-5D6E-409C-BE32-E72D297353CC}">
                <c16:uniqueId val="{00000005-6C64-4A8C-AC35-1FA5D4400E61}"/>
              </c:ext>
            </c:extLst>
          </c:dPt>
          <c:dPt>
            <c:idx val="6"/>
            <c:bubble3D val="0"/>
            <c:extLst>
              <c:ext xmlns:c16="http://schemas.microsoft.com/office/drawing/2014/chart" uri="{C3380CC4-5D6E-409C-BE32-E72D297353CC}">
                <c16:uniqueId val="{00000006-6C64-4A8C-AC35-1FA5D4400E61}"/>
              </c:ext>
            </c:extLst>
          </c:dPt>
          <c:dPt>
            <c:idx val="7"/>
            <c:bubble3D val="0"/>
            <c:extLst>
              <c:ext xmlns:c16="http://schemas.microsoft.com/office/drawing/2014/chart" uri="{C3380CC4-5D6E-409C-BE32-E72D297353CC}">
                <c16:uniqueId val="{00000007-6C64-4A8C-AC35-1FA5D4400E61}"/>
              </c:ext>
            </c:extLst>
          </c:dPt>
          <c:dPt>
            <c:idx val="8"/>
            <c:bubble3D val="0"/>
            <c:extLst>
              <c:ext xmlns:c16="http://schemas.microsoft.com/office/drawing/2014/chart" uri="{C3380CC4-5D6E-409C-BE32-E72D297353CC}">
                <c16:uniqueId val="{00000008-6C64-4A8C-AC35-1FA5D4400E61}"/>
              </c:ext>
            </c:extLst>
          </c:dPt>
          <c:dPt>
            <c:idx val="9"/>
            <c:bubble3D val="0"/>
            <c:extLst>
              <c:ext xmlns:c16="http://schemas.microsoft.com/office/drawing/2014/chart" uri="{C3380CC4-5D6E-409C-BE32-E72D297353CC}">
                <c16:uniqueId val="{00000009-6C64-4A8C-AC35-1FA5D4400E61}"/>
              </c:ext>
            </c:extLst>
          </c:dPt>
          <c:dPt>
            <c:idx val="10"/>
            <c:bubble3D val="0"/>
            <c:extLst>
              <c:ext xmlns:c16="http://schemas.microsoft.com/office/drawing/2014/chart" uri="{C3380CC4-5D6E-409C-BE32-E72D297353CC}">
                <c16:uniqueId val="{0000000A-6C64-4A8C-AC35-1FA5D4400E61}"/>
              </c:ext>
            </c:extLst>
          </c:dPt>
          <c:dLbls>
            <c:dLbl>
              <c:idx val="0"/>
              <c:layout>
                <c:manualLayout>
                  <c:x val="-4.2493646958677085E-2"/>
                  <c:y val="-8.268781260832967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64-4A8C-AC35-1FA5D4400E61}"/>
                </c:ext>
              </c:extLst>
            </c:dLbl>
            <c:dLbl>
              <c:idx val="1"/>
              <c:layout>
                <c:manualLayout>
                  <c:x val="8.7484112180730988E-2"/>
                  <c:y val="-2.913385826771659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64-4A8C-AC35-1FA5D4400E61}"/>
                </c:ext>
              </c:extLst>
            </c:dLbl>
            <c:dLbl>
              <c:idx val="2"/>
              <c:layout>
                <c:manualLayout>
                  <c:x val="6.6638505857916183E-2"/>
                  <c:y val="-2.730213069085758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64-4A8C-AC35-1FA5D4400E61}"/>
                </c:ext>
              </c:extLst>
            </c:dLbl>
            <c:dLbl>
              <c:idx val="3"/>
              <c:layout>
                <c:manualLayout>
                  <c:x val="0.12380272815659568"/>
                  <c:y val="6.9875699499826675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64-4A8C-AC35-1FA5D4400E61}"/>
                </c:ext>
              </c:extLst>
            </c:dLbl>
            <c:dLbl>
              <c:idx val="4"/>
              <c:layout>
                <c:manualLayout>
                  <c:x val="8.2424942454924627E-2"/>
                  <c:y val="6.3185266324863862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5016424124121186"/>
                      <c:h val="6.8831934641746931E-2"/>
                    </c:manualLayout>
                  </c15:layout>
                </c:ext>
                <c:ext xmlns:c16="http://schemas.microsoft.com/office/drawing/2014/chart" uri="{C3380CC4-5D6E-409C-BE32-E72D297353CC}">
                  <c16:uniqueId val="{00000004-6C64-4A8C-AC35-1FA5D4400E61}"/>
                </c:ext>
              </c:extLst>
            </c:dLbl>
            <c:dLbl>
              <c:idx val="5"/>
              <c:layout>
                <c:manualLayout>
                  <c:x val="-4.7042700169411755E-2"/>
                  <c:y val="9.346240808113388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64-4A8C-AC35-1FA5D4400E61}"/>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'Iron Ore - Exports'!$A$12:$A$17</c:f>
              <c:strCache>
                <c:ptCount val="6"/>
                <c:pt idx="0">
                  <c:v>China (excludes SARs and Taiwan)</c:v>
                </c:pt>
                <c:pt idx="1">
                  <c:v>Japan</c:v>
                </c:pt>
                <c:pt idx="2">
                  <c:v>Korea, Republic of (South)</c:v>
                </c:pt>
                <c:pt idx="3">
                  <c:v>Taiwan</c:v>
                </c:pt>
                <c:pt idx="4">
                  <c:v>Vietnam</c:v>
                </c:pt>
                <c:pt idx="5">
                  <c:v>Other</c:v>
                </c:pt>
              </c:strCache>
            </c:strRef>
          </c:cat>
          <c:val>
            <c:numRef>
              <c:f>'Iron Ore - Exports'!$D$12:$D$17</c:f>
              <c:numCache>
                <c:formatCode>0.0%</c:formatCode>
                <c:ptCount val="6"/>
                <c:pt idx="0">
                  <c:v>0.85798070193383058</c:v>
                </c:pt>
                <c:pt idx="1">
                  <c:v>5.4201798933288775E-2</c:v>
                </c:pt>
                <c:pt idx="2">
                  <c:v>5.1736608418034881E-2</c:v>
                </c:pt>
                <c:pt idx="3">
                  <c:v>1.3973209862008951E-2</c:v>
                </c:pt>
                <c:pt idx="4">
                  <c:v>1.1610879431241564E-2</c:v>
                </c:pt>
                <c:pt idx="5">
                  <c:v>1.0496801421595231E-2</c:v>
                </c:pt>
              </c:numCache>
            </c:numRef>
          </c:val>
          <c:extLst>
            <c:ext xmlns:c16="http://schemas.microsoft.com/office/drawing/2014/chart" uri="{C3380CC4-5D6E-409C-BE32-E72D297353CC}">
              <c16:uniqueId val="{0000000B-6C64-4A8C-AC35-1FA5D4400E61}"/>
            </c:ext>
          </c:extLst>
        </c:ser>
        <c:dLbls>
          <c:showLegendKey val="0"/>
          <c:showVal val="1"/>
          <c:showCatName val="1"/>
          <c:showSerName val="0"/>
          <c:showPercent val="0"/>
          <c:showBubbleSize val="0"/>
          <c:showLeaderLines val="1"/>
        </c:dLbls>
        <c:firstSliceAng val="135"/>
      </c:pieChart>
    </c:plotArea>
    <c:plotVisOnly val="1"/>
    <c:dispBlanksAs val="gap"/>
    <c:showDLblsOverMax val="0"/>
  </c:chart>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Western Australia vs Rest of Australia</a:t>
            </a:r>
          </a:p>
          <a:p>
            <a:pPr>
              <a:defRPr/>
            </a:pPr>
            <a:r>
              <a:rPr lang="en-AU" sz="1100"/>
              <a:t>Last 10 Years</a:t>
            </a:r>
          </a:p>
        </c:rich>
      </c:tx>
      <c:layout>
        <c:manualLayout>
          <c:xMode val="edge"/>
          <c:yMode val="edge"/>
          <c:x val="0.35734434490875011"/>
          <c:y val="2.5012390438394004E-2"/>
        </c:manualLayout>
      </c:layout>
      <c:overlay val="0"/>
    </c:title>
    <c:autoTitleDeleted val="0"/>
    <c:plotArea>
      <c:layout>
        <c:manualLayout>
          <c:layoutTarget val="inner"/>
          <c:xMode val="edge"/>
          <c:yMode val="edge"/>
          <c:x val="8.3030257839648819E-2"/>
          <c:y val="0.30194515004920897"/>
          <c:w val="0.89808941788610164"/>
          <c:h val="0.54588712276043339"/>
        </c:manualLayout>
      </c:layout>
      <c:lineChart>
        <c:grouping val="standard"/>
        <c:varyColors val="0"/>
        <c:ser>
          <c:idx val="0"/>
          <c:order val="0"/>
          <c:tx>
            <c:v>Western Australia</c:v>
          </c:tx>
          <c:spPr>
            <a:ln w="28575"/>
          </c:spPr>
          <c:cat>
            <c:numRef>
              <c:f>'Iron Ore - WA vs Aus'!$Q$12:$Q$21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'Iron Ore - WA vs Aus'!$R$12:$R$21</c:f>
              <c:numCache>
                <c:formatCode>0.00</c:formatCode>
                <c:ptCount val="10"/>
                <c:pt idx="0">
                  <c:v>742.40984031599999</c:v>
                </c:pt>
                <c:pt idx="1">
                  <c:v>795.71547145499994</c:v>
                </c:pt>
                <c:pt idx="2">
                  <c:v>814.12094474599985</c:v>
                </c:pt>
                <c:pt idx="3">
                  <c:v>813.57781896699998</c:v>
                </c:pt>
                <c:pt idx="4">
                  <c:v>811.78788645099996</c:v>
                </c:pt>
                <c:pt idx="5">
                  <c:v>847.132426775</c:v>
                </c:pt>
                <c:pt idx="6">
                  <c:v>838.29191462300003</c:v>
                </c:pt>
                <c:pt idx="7">
                  <c:v>855.78732936100016</c:v>
                </c:pt>
                <c:pt idx="8">
                  <c:v>860.24326515400003</c:v>
                </c:pt>
                <c:pt idx="9">
                  <c:v>866.56964041099991</c:v>
                </c:pt>
              </c:numCache>
            </c:numRef>
          </c:val>
          <c:smooth val="0"/>
          <c:extLst>
            <c:ext xmlns:c16="http://schemas.microsoft.com/office/drawing/2014/chart" uri="{C3380CC4-5D6E-409C-BE32-E72D297353CC}">
              <c16:uniqueId val="{00000000-388E-46C0-BDD9-63D2DB462EF4}"/>
            </c:ext>
          </c:extLst>
        </c:ser>
        <c:ser>
          <c:idx val="1"/>
          <c:order val="1"/>
          <c:tx>
            <c:v>Rest of Australia</c:v>
          </c:tx>
          <c:spPr>
            <a:ln w="28575"/>
          </c:spPr>
          <c:cat>
            <c:numRef>
              <c:f>'Iron Ore - WA vs Aus'!$Q$12:$Q$21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'Iron Ore - WA vs Aus'!$S$12:$S$21</c:f>
              <c:numCache>
                <c:formatCode>0.00</c:formatCode>
                <c:ptCount val="10"/>
                <c:pt idx="0">
                  <c:v>12.045</c:v>
                </c:pt>
                <c:pt idx="1">
                  <c:v>11.536</c:v>
                </c:pt>
                <c:pt idx="2">
                  <c:v>8.06</c:v>
                </c:pt>
                <c:pt idx="3">
                  <c:v>7.3959999999999999</c:v>
                </c:pt>
                <c:pt idx="4">
                  <c:v>8.0011721213439166</c:v>
                </c:pt>
                <c:pt idx="5">
                  <c:v>8.3033040000000007</c:v>
                </c:pt>
                <c:pt idx="6">
                  <c:v>11.074134000000001</c:v>
                </c:pt>
                <c:pt idx="7">
                  <c:v>10.642755246276</c:v>
                </c:pt>
                <c:pt idx="8">
                  <c:v>10.490027182776993</c:v>
                </c:pt>
                <c:pt idx="9">
                  <c:v>10.589921713602264</c:v>
                </c:pt>
              </c:numCache>
            </c:numRef>
          </c:val>
          <c:smooth val="0"/>
          <c:extLst>
            <c:ext xmlns:c16="http://schemas.microsoft.com/office/drawing/2014/chart" uri="{C3380CC4-5D6E-409C-BE32-E72D297353CC}">
              <c16:uniqueId val="{00000001-388E-46C0-BDD9-63D2DB462EF4}"/>
            </c:ext>
          </c:extLst>
        </c:ser>
        <c:dLbls>
          <c:showLegendKey val="0"/>
          <c:showVal val="0"/>
          <c:showCatName val="0"/>
          <c:showSerName val="0"/>
          <c:showPercent val="0"/>
          <c:showBubbleSize val="0"/>
        </c:dLbls>
        <c:marker val="1"/>
        <c:smooth val="0"/>
        <c:axId val="130907136"/>
        <c:axId val="130905600"/>
      </c:lineChart>
      <c:valAx>
        <c:axId val="130905600"/>
        <c:scaling>
          <c:orientation val="minMax"/>
          <c:max val="1000"/>
        </c:scaling>
        <c:delete val="0"/>
        <c:axPos val="l"/>
        <c:majorGridlines/>
        <c:title>
          <c:tx>
            <c:rich>
              <a:bodyPr/>
              <a:lstStyle/>
              <a:p>
                <a:pPr>
                  <a:defRPr/>
                </a:pPr>
                <a:r>
                  <a:rPr lang="en-AU"/>
                  <a:t>Million tonnes</a:t>
                </a:r>
              </a:p>
            </c:rich>
          </c:tx>
          <c:layout>
            <c:manualLayout>
              <c:xMode val="edge"/>
              <c:yMode val="edge"/>
              <c:x val="1.7458081819299372E-2"/>
              <c:y val="0.47971260754618489"/>
            </c:manualLayout>
          </c:layout>
          <c:overlay val="0"/>
        </c:title>
        <c:numFmt formatCode="#,##0" sourceLinked="0"/>
        <c:majorTickMark val="out"/>
        <c:minorTickMark val="none"/>
        <c:tickLblPos val="nextTo"/>
        <c:crossAx val="130907136"/>
        <c:crosses val="autoZero"/>
        <c:crossBetween val="between"/>
        <c:majorUnit val="200"/>
      </c:valAx>
      <c:catAx>
        <c:axId val="130907136"/>
        <c:scaling>
          <c:orientation val="minMax"/>
        </c:scaling>
        <c:delete val="0"/>
        <c:axPos val="b"/>
        <c:title>
          <c:tx>
            <c:rich>
              <a:bodyPr/>
              <a:lstStyle/>
              <a:p>
                <a:pPr>
                  <a:defRPr/>
                </a:pPr>
                <a:r>
                  <a:rPr lang="en-AU"/>
                  <a:t>Source:  DMPE and OoCE</a:t>
                </a:r>
              </a:p>
            </c:rich>
          </c:tx>
          <c:layout>
            <c:manualLayout>
              <c:xMode val="edge"/>
              <c:yMode val="edge"/>
              <c:x val="2.8875922999701052E-3"/>
              <c:y val="0.94008193062092393"/>
            </c:manualLayout>
          </c:layout>
          <c:overlay val="0"/>
        </c:title>
        <c:numFmt formatCode="General" sourceLinked="1"/>
        <c:majorTickMark val="out"/>
        <c:minorTickMark val="none"/>
        <c:tickLblPos val="nextTo"/>
        <c:txPr>
          <a:bodyPr rot="-2700000"/>
          <a:lstStyle/>
          <a:p>
            <a:pPr>
              <a:defRPr/>
            </a:pPr>
            <a:endParaRPr lang="en-US"/>
          </a:p>
        </c:txPr>
        <c:crossAx val="130905600"/>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br>
              <a:rPr lang="en-AU"/>
            </a:br>
            <a:r>
              <a:rPr lang="en-AU" sz="1100"/>
              <a:t>Western Australia vs Rest of Australia</a:t>
            </a:r>
          </a:p>
        </c:rich>
      </c:tx>
      <c:layout>
        <c:manualLayout>
          <c:xMode val="edge"/>
          <c:yMode val="edge"/>
          <c:x val="0.35468054820784511"/>
          <c:y val="3.7221056945985806E-2"/>
        </c:manualLayout>
      </c:layout>
      <c:overlay val="0"/>
    </c:title>
    <c:autoTitleDeleted val="0"/>
    <c:plotArea>
      <c:layout>
        <c:manualLayout>
          <c:layoutTarget val="inner"/>
          <c:xMode val="edge"/>
          <c:yMode val="edge"/>
          <c:x val="9.4604368327705232E-2"/>
          <c:y val="0.25900505993451844"/>
          <c:w val="0.85154134417309546"/>
          <c:h val="0.57949828045542451"/>
        </c:manualLayout>
      </c:layout>
      <c:barChart>
        <c:barDir val="col"/>
        <c:grouping val="stacked"/>
        <c:varyColors val="0"/>
        <c:ser>
          <c:idx val="0"/>
          <c:order val="0"/>
          <c:tx>
            <c:v>Western Australia</c:v>
          </c:tx>
          <c:invertIfNegative val="0"/>
          <c:cat>
            <c:numRef>
              <c:f>'Iron Ore - WA vs Aus'!$A$9:$A$83</c:f>
              <c:numCache>
                <c:formatCode>General</c:formatCode>
                <c:ptCount val="75"/>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numCache>
            </c:numRef>
          </c:cat>
          <c:val>
            <c:numRef>
              <c:f>'Iron Ore - WA vs Aus'!$B$9:$B$83</c:f>
              <c:numCache>
                <c:formatCode>#,##0.00</c:formatCode>
                <c:ptCount val="75"/>
                <c:pt idx="0">
                  <c:v>1.513401E-2</c:v>
                </c:pt>
                <c:pt idx="1">
                  <c:v>3.6224089999999994E-2</c:v>
                </c:pt>
                <c:pt idx="2">
                  <c:v>0.227379</c:v>
                </c:pt>
                <c:pt idx="3">
                  <c:v>0.71873390000000004</c:v>
                </c:pt>
                <c:pt idx="4">
                  <c:v>0.66220210000000002</c:v>
                </c:pt>
                <c:pt idx="5">
                  <c:v>0.53711259999999994</c:v>
                </c:pt>
                <c:pt idx="6">
                  <c:v>0.34229590000000004</c:v>
                </c:pt>
                <c:pt idx="7">
                  <c:v>0.42291509999999999</c:v>
                </c:pt>
                <c:pt idx="8">
                  <c:v>0.58212140000000001</c:v>
                </c:pt>
                <c:pt idx="9">
                  <c:v>0.73875109999999999</c:v>
                </c:pt>
                <c:pt idx="10">
                  <c:v>0.94336149999999996</c:v>
                </c:pt>
                <c:pt idx="11">
                  <c:v>1.381364</c:v>
                </c:pt>
                <c:pt idx="12">
                  <c:v>1.4537100000000001</c:v>
                </c:pt>
                <c:pt idx="13">
                  <c:v>1.35453</c:v>
                </c:pt>
                <c:pt idx="14">
                  <c:v>1.3795010000000001</c:v>
                </c:pt>
                <c:pt idx="15">
                  <c:v>2.2768980000000001</c:v>
                </c:pt>
                <c:pt idx="16">
                  <c:v>4.2331849999999998</c:v>
                </c:pt>
                <c:pt idx="17">
                  <c:v>10.13655</c:v>
                </c:pt>
                <c:pt idx="18">
                  <c:v>23.25123</c:v>
                </c:pt>
                <c:pt idx="19">
                  <c:v>25.077760000000001</c:v>
                </c:pt>
                <c:pt idx="20">
                  <c:v>43.188070000000003</c:v>
                </c:pt>
                <c:pt idx="21">
                  <c:v>52.025660000000002</c:v>
                </c:pt>
                <c:pt idx="22">
                  <c:v>56.121499999999997</c:v>
                </c:pt>
                <c:pt idx="23">
                  <c:v>75.896479999999997</c:v>
                </c:pt>
                <c:pt idx="24">
                  <c:v>87.000810000000001</c:v>
                </c:pt>
                <c:pt idx="25">
                  <c:v>85.190029999999993</c:v>
                </c:pt>
                <c:pt idx="26">
                  <c:v>85.572789999999998</c:v>
                </c:pt>
                <c:pt idx="27">
                  <c:v>83.517189999999999</c:v>
                </c:pt>
                <c:pt idx="28">
                  <c:v>82.498580000000004</c:v>
                </c:pt>
                <c:pt idx="29">
                  <c:v>85.171980000000005</c:v>
                </c:pt>
                <c:pt idx="30">
                  <c:v>84.971620000000001</c:v>
                </c:pt>
                <c:pt idx="31">
                  <c:v>75.302639999999997</c:v>
                </c:pt>
                <c:pt idx="32">
                  <c:v>78.182389999999998</c:v>
                </c:pt>
                <c:pt idx="33">
                  <c:v>74.983540000000005</c:v>
                </c:pt>
                <c:pt idx="34">
                  <c:v>90.907129999999995</c:v>
                </c:pt>
                <c:pt idx="35">
                  <c:v>88.768079999999998</c:v>
                </c:pt>
                <c:pt idx="36">
                  <c:v>81.290940000000006</c:v>
                </c:pt>
                <c:pt idx="37">
                  <c:v>89.122739999999993</c:v>
                </c:pt>
                <c:pt idx="38">
                  <c:v>98.319090000000003</c:v>
                </c:pt>
                <c:pt idx="39">
                  <c:v>106</c:v>
                </c:pt>
                <c:pt idx="40">
                  <c:v>105</c:v>
                </c:pt>
                <c:pt idx="41">
                  <c:v>113.687</c:v>
                </c:pt>
                <c:pt idx="42">
                  <c:v>108</c:v>
                </c:pt>
                <c:pt idx="43">
                  <c:v>116</c:v>
                </c:pt>
                <c:pt idx="44">
                  <c:v>124.172</c:v>
                </c:pt>
                <c:pt idx="45">
                  <c:v>135.9659</c:v>
                </c:pt>
                <c:pt idx="46">
                  <c:v>133.651298</c:v>
                </c:pt>
                <c:pt idx="47">
                  <c:v>151.718593</c:v>
                </c:pt>
                <c:pt idx="48">
                  <c:v>143.75200000000001</c:v>
                </c:pt>
                <c:pt idx="49">
                  <c:v>143.006</c:v>
                </c:pt>
                <c:pt idx="50">
                  <c:v>158.86599999999999</c:v>
                </c:pt>
                <c:pt idx="51">
                  <c:v>166.01499999999999</c:v>
                </c:pt>
                <c:pt idx="52">
                  <c:v>171.767</c:v>
                </c:pt>
                <c:pt idx="53">
                  <c:v>194.59400316</c:v>
                </c:pt>
                <c:pt idx="54">
                  <c:v>213.53162907000001</c:v>
                </c:pt>
                <c:pt idx="55">
                  <c:v>240.50167369000002</c:v>
                </c:pt>
                <c:pt idx="56">
                  <c:v>250.325766362</c:v>
                </c:pt>
                <c:pt idx="57">
                  <c:v>264.44915205099994</c:v>
                </c:pt>
                <c:pt idx="58">
                  <c:v>305.88447268200002</c:v>
                </c:pt>
                <c:pt idx="59">
                  <c:v>356.06964630899995</c:v>
                </c:pt>
                <c:pt idx="60">
                  <c:v>393.85115706600004</c:v>
                </c:pt>
                <c:pt idx="61">
                  <c:v>426.67287969500001</c:v>
                </c:pt>
                <c:pt idx="62">
                  <c:v>478.32621689000001</c:v>
                </c:pt>
                <c:pt idx="63">
                  <c:v>544.937833372</c:v>
                </c:pt>
                <c:pt idx="64">
                  <c:v>686.23315313900002</c:v>
                </c:pt>
                <c:pt idx="65">
                  <c:v>742.40984031599999</c:v>
                </c:pt>
                <c:pt idx="66">
                  <c:v>795.71547145499994</c:v>
                </c:pt>
                <c:pt idx="67">
                  <c:v>814.12094474599985</c:v>
                </c:pt>
                <c:pt idx="68">
                  <c:v>813.57781896699998</c:v>
                </c:pt>
                <c:pt idx="69">
                  <c:v>811.78788645099996</c:v>
                </c:pt>
                <c:pt idx="70">
                  <c:v>847.132426775</c:v>
                </c:pt>
                <c:pt idx="71">
                  <c:v>838.29191462300003</c:v>
                </c:pt>
                <c:pt idx="72">
                  <c:v>855.78732936100016</c:v>
                </c:pt>
                <c:pt idx="73">
                  <c:v>860.24326515400003</c:v>
                </c:pt>
                <c:pt idx="74">
                  <c:v>866.56964041099991</c:v>
                </c:pt>
              </c:numCache>
            </c:numRef>
          </c:val>
          <c:extLst>
            <c:ext xmlns:c16="http://schemas.microsoft.com/office/drawing/2014/chart" uri="{C3380CC4-5D6E-409C-BE32-E72D297353CC}">
              <c16:uniqueId val="{00000000-9C0D-4F8F-8372-6CB40225C4DE}"/>
            </c:ext>
          </c:extLst>
        </c:ser>
        <c:ser>
          <c:idx val="1"/>
          <c:order val="1"/>
          <c:tx>
            <c:v>Rest of Australia</c:v>
          </c:tx>
          <c:invertIfNegative val="0"/>
          <c:cat>
            <c:numRef>
              <c:f>'Iron Ore - WA vs Aus'!$A$9:$A$83</c:f>
              <c:numCache>
                <c:formatCode>General</c:formatCode>
                <c:ptCount val="75"/>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numCache>
            </c:numRef>
          </c:cat>
          <c:val>
            <c:numRef>
              <c:f>'Iron Ore - WA vs Aus'!$C$9:$C$83</c:f>
              <c:numCache>
                <c:formatCode>#,##0.00</c:formatCode>
                <c:ptCount val="75"/>
                <c:pt idx="0">
                  <c:v>2.403181</c:v>
                </c:pt>
                <c:pt idx="1">
                  <c:v>2.4560900000000001</c:v>
                </c:pt>
                <c:pt idx="2">
                  <c:v>2.7460460000000002</c:v>
                </c:pt>
                <c:pt idx="3">
                  <c:v>2.644549</c:v>
                </c:pt>
                <c:pt idx="4">
                  <c:v>2.9250180000000001</c:v>
                </c:pt>
                <c:pt idx="5">
                  <c:v>3.1059420000000002</c:v>
                </c:pt>
                <c:pt idx="6">
                  <c:v>3.6605099999999999</c:v>
                </c:pt>
                <c:pt idx="7">
                  <c:v>3.458961</c:v>
                </c:pt>
                <c:pt idx="8">
                  <c:v>3.4155190000000002</c:v>
                </c:pt>
                <c:pt idx="9">
                  <c:v>3.492232</c:v>
                </c:pt>
                <c:pt idx="10">
                  <c:v>3.5111849999999998</c:v>
                </c:pt>
                <c:pt idx="11">
                  <c:v>4.0803659999999997</c:v>
                </c:pt>
                <c:pt idx="12">
                  <c:v>3.593019</c:v>
                </c:pt>
                <c:pt idx="13">
                  <c:v>4.3329839999999997</c:v>
                </c:pt>
                <c:pt idx="14">
                  <c:v>4.4646119999999998</c:v>
                </c:pt>
                <c:pt idx="15">
                  <c:v>4.5258060000000002</c:v>
                </c:pt>
                <c:pt idx="16">
                  <c:v>6.8346090000000004</c:v>
                </c:pt>
                <c:pt idx="17">
                  <c:v>7.0214290000000004</c:v>
                </c:pt>
                <c:pt idx="18">
                  <c:v>3.3736510000000002</c:v>
                </c:pt>
                <c:pt idx="19">
                  <c:v>13.497769999999999</c:v>
                </c:pt>
                <c:pt idx="20">
                  <c:v>8.0000599999999995</c:v>
                </c:pt>
                <c:pt idx="21">
                  <c:v>10.037330000000001</c:v>
                </c:pt>
                <c:pt idx="22">
                  <c:v>8.2794930000000004</c:v>
                </c:pt>
                <c:pt idx="23">
                  <c:v>8.9315189999999998</c:v>
                </c:pt>
                <c:pt idx="24">
                  <c:v>9.9491879999999995</c:v>
                </c:pt>
                <c:pt idx="25">
                  <c:v>12.46097</c:v>
                </c:pt>
                <c:pt idx="26">
                  <c:v>7.682334</c:v>
                </c:pt>
                <c:pt idx="27">
                  <c:v>12.406219999999999</c:v>
                </c:pt>
                <c:pt idx="28">
                  <c:v>10.635450000000001</c:v>
                </c:pt>
                <c:pt idx="29">
                  <c:v>6.5450290000000004</c:v>
                </c:pt>
                <c:pt idx="30">
                  <c:v>10.562340000000001</c:v>
                </c:pt>
                <c:pt idx="31">
                  <c:v>9.358727</c:v>
                </c:pt>
                <c:pt idx="32">
                  <c:v>9.5113850000000006</c:v>
                </c:pt>
                <c:pt idx="33">
                  <c:v>6.0537559999999999</c:v>
                </c:pt>
                <c:pt idx="34">
                  <c:v>4.13896</c:v>
                </c:pt>
                <c:pt idx="35">
                  <c:v>8.7090270000000007</c:v>
                </c:pt>
                <c:pt idx="36">
                  <c:v>1.2723880000000001</c:v>
                </c:pt>
                <c:pt idx="37">
                  <c:v>1.25919</c:v>
                </c:pt>
                <c:pt idx="38">
                  <c:v>1.6129899999999999</c:v>
                </c:pt>
                <c:pt idx="39">
                  <c:v>4.5</c:v>
                </c:pt>
                <c:pt idx="40">
                  <c:v>6.3490000000000002</c:v>
                </c:pt>
                <c:pt idx="41">
                  <c:v>3.4470000000000001</c:v>
                </c:pt>
                <c:pt idx="42">
                  <c:v>3.9369999999999998</c:v>
                </c:pt>
                <c:pt idx="43">
                  <c:v>4.1459999999999999</c:v>
                </c:pt>
                <c:pt idx="44">
                  <c:v>4.2309999999999999</c:v>
                </c:pt>
                <c:pt idx="45">
                  <c:v>6.9700949999999997</c:v>
                </c:pt>
                <c:pt idx="46">
                  <c:v>4.2309999999999901</c:v>
                </c:pt>
                <c:pt idx="47">
                  <c:v>6.05</c:v>
                </c:pt>
                <c:pt idx="48">
                  <c:v>9.49</c:v>
                </c:pt>
                <c:pt idx="49">
                  <c:v>8.5527019999999823</c:v>
                </c:pt>
                <c:pt idx="50">
                  <c:v>4.9779999999999998</c:v>
                </c:pt>
                <c:pt idx="51">
                  <c:v>5.202</c:v>
                </c:pt>
                <c:pt idx="52">
                  <c:v>5.202</c:v>
                </c:pt>
                <c:pt idx="53">
                  <c:v>5.7729999999999997</c:v>
                </c:pt>
                <c:pt idx="54">
                  <c:v>5.6210000000000004</c:v>
                </c:pt>
                <c:pt idx="55">
                  <c:v>5.508</c:v>
                </c:pt>
                <c:pt idx="56">
                  <c:v>5.5949999999999998</c:v>
                </c:pt>
                <c:pt idx="57">
                  <c:v>9.2279999999999998</c:v>
                </c:pt>
                <c:pt idx="58">
                  <c:v>11.244000000000002</c:v>
                </c:pt>
                <c:pt idx="59">
                  <c:v>12.558</c:v>
                </c:pt>
                <c:pt idx="60">
                  <c:v>13.754</c:v>
                </c:pt>
                <c:pt idx="61">
                  <c:v>14.381</c:v>
                </c:pt>
                <c:pt idx="62">
                  <c:v>14.849</c:v>
                </c:pt>
                <c:pt idx="63">
                  <c:v>16.393000000000001</c:v>
                </c:pt>
                <c:pt idx="64">
                  <c:v>15.496</c:v>
                </c:pt>
                <c:pt idx="65">
                  <c:v>12.045</c:v>
                </c:pt>
                <c:pt idx="66">
                  <c:v>11.536</c:v>
                </c:pt>
                <c:pt idx="67">
                  <c:v>8.06</c:v>
                </c:pt>
                <c:pt idx="68">
                  <c:v>7.3959999999999999</c:v>
                </c:pt>
                <c:pt idx="69">
                  <c:v>8.0011721213439166</c:v>
                </c:pt>
                <c:pt idx="70">
                  <c:v>8.3033040000000007</c:v>
                </c:pt>
                <c:pt idx="71">
                  <c:v>11.074134000000001</c:v>
                </c:pt>
                <c:pt idx="72">
                  <c:v>10.642755246276</c:v>
                </c:pt>
                <c:pt idx="73">
                  <c:v>10.490027182776993</c:v>
                </c:pt>
                <c:pt idx="74">
                  <c:v>10.589921713602264</c:v>
                </c:pt>
              </c:numCache>
            </c:numRef>
          </c:val>
          <c:extLst>
            <c:ext xmlns:c16="http://schemas.microsoft.com/office/drawing/2014/chart" uri="{C3380CC4-5D6E-409C-BE32-E72D297353CC}">
              <c16:uniqueId val="{00000001-9C0D-4F8F-8372-6CB40225C4DE}"/>
            </c:ext>
          </c:extLst>
        </c:ser>
        <c:dLbls>
          <c:showLegendKey val="0"/>
          <c:showVal val="0"/>
          <c:showCatName val="0"/>
          <c:showSerName val="0"/>
          <c:showPercent val="0"/>
          <c:showBubbleSize val="0"/>
        </c:dLbls>
        <c:gapWidth val="60"/>
        <c:overlap val="100"/>
        <c:axId val="130864640"/>
        <c:axId val="130866176"/>
      </c:barChart>
      <c:dateAx>
        <c:axId val="13086464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0866176"/>
        <c:crosses val="autoZero"/>
        <c:auto val="0"/>
        <c:lblOffset val="100"/>
        <c:baseTimeUnit val="days"/>
        <c:majorUnit val="2"/>
        <c:majorTimeUnit val="days"/>
      </c:dateAx>
      <c:valAx>
        <c:axId val="130866176"/>
        <c:scaling>
          <c:orientation val="minMax"/>
        </c:scaling>
        <c:delete val="0"/>
        <c:axPos val="l"/>
        <c:majorGridlines/>
        <c:title>
          <c:tx>
            <c:rich>
              <a:bodyPr rot="-5400000" vert="horz"/>
              <a:lstStyle/>
              <a:p>
                <a:pPr>
                  <a:defRPr/>
                </a:pPr>
                <a:r>
                  <a:rPr lang="en-AU"/>
                  <a:t>Million tonnes</a:t>
                </a:r>
              </a:p>
            </c:rich>
          </c:tx>
          <c:layout>
            <c:manualLayout>
              <c:xMode val="edge"/>
              <c:yMode val="edge"/>
              <c:x val="7.8266278894163262E-3"/>
              <c:y val="0.44912393375357934"/>
            </c:manualLayout>
          </c:layout>
          <c:overlay val="0"/>
        </c:title>
        <c:numFmt formatCode="0" sourceLinked="0"/>
        <c:majorTickMark val="out"/>
        <c:minorTickMark val="none"/>
        <c:tickLblPos val="nextTo"/>
        <c:txPr>
          <a:bodyPr rot="0" vert="horz"/>
          <a:lstStyle/>
          <a:p>
            <a:pPr>
              <a:defRPr/>
            </a:pPr>
            <a:endParaRPr lang="en-US"/>
          </a:p>
        </c:txPr>
        <c:crossAx val="130864640"/>
        <c:crosses val="autoZero"/>
        <c:crossBetween val="between"/>
        <c:majorUnit val="200"/>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800" b="1"/>
              <a:t>Alumina</a:t>
            </a:r>
          </a:p>
          <a:p>
            <a:pPr>
              <a:defRPr/>
            </a:pPr>
            <a:r>
              <a:rPr lang="en-US" sz="1100" b="1"/>
              <a:t>Annual Prices, Historic</a:t>
            </a:r>
            <a:endParaRPr lang="en-AU"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6394525091913588E-2"/>
          <c:y val="0.23730955637290702"/>
          <c:w val="0.84104870823455324"/>
          <c:h val="0.57406220055515744"/>
        </c:manualLayout>
      </c:layout>
      <c:lineChart>
        <c:grouping val="standard"/>
        <c:varyColors val="0"/>
        <c:ser>
          <c:idx val="0"/>
          <c:order val="0"/>
          <c:tx>
            <c:v>Alumina (LHS)</c:v>
          </c:tx>
          <c:spPr>
            <a:ln w="28575" cap="rnd">
              <a:solidFill>
                <a:schemeClr val="accent3">
                  <a:shade val="76000"/>
                </a:schemeClr>
              </a:solidFill>
              <a:round/>
            </a:ln>
            <a:effectLst/>
          </c:spPr>
          <c:marker>
            <c:symbol val="none"/>
          </c:marker>
          <c:cat>
            <c:numRef>
              <c:f>'Alumina and Bauxite - Prices'!$E$12:$E$50</c:f>
              <c:numCache>
                <c:formatCode>General</c:formatCode>
                <c:ptCount val="39"/>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pt idx="37">
                  <c:v>2024</c:v>
                </c:pt>
                <c:pt idx="38">
                  <c:v>2025</c:v>
                </c:pt>
              </c:numCache>
            </c:numRef>
          </c:cat>
          <c:val>
            <c:numRef>
              <c:f>'Alumina and Bauxite - Prices'!$F$12:$F$50</c:f>
              <c:numCache>
                <c:formatCode>#,##0.00</c:formatCode>
                <c:ptCount val="39"/>
                <c:pt idx="0">
                  <c:v>186.34339604659078</c:v>
                </c:pt>
                <c:pt idx="1">
                  <c:v>215.69999999999996</c:v>
                </c:pt>
                <c:pt idx="2">
                  <c:v>316.38083333333333</c:v>
                </c:pt>
                <c:pt idx="3">
                  <c:v>337.86416666666668</c:v>
                </c:pt>
                <c:pt idx="4">
                  <c:v>268.65083333333337</c:v>
                </c:pt>
                <c:pt idx="5">
                  <c:v>234.71833333333336</c:v>
                </c:pt>
                <c:pt idx="6">
                  <c:v>244.78333333333327</c:v>
                </c:pt>
                <c:pt idx="7">
                  <c:v>207.5008333333333</c:v>
                </c:pt>
                <c:pt idx="8">
                  <c:v>232.52083333333334</c:v>
                </c:pt>
                <c:pt idx="9">
                  <c:v>243.20750000000001</c:v>
                </c:pt>
                <c:pt idx="10">
                  <c:v>251.0058333333333</c:v>
                </c:pt>
                <c:pt idx="11">
                  <c:v>286.06035333522306</c:v>
                </c:pt>
                <c:pt idx="12">
                  <c:v>259.78853448631168</c:v>
                </c:pt>
                <c:pt idx="13">
                  <c:v>342.39166666666665</c:v>
                </c:pt>
                <c:pt idx="14">
                  <c:v>343.46750000000003</c:v>
                </c:pt>
                <c:pt idx="15">
                  <c:v>292.35166666666663</c:v>
                </c:pt>
                <c:pt idx="16">
                  <c:v>271.79333333333335</c:v>
                </c:pt>
                <c:pt idx="17">
                  <c:v>299.24602465354627</c:v>
                </c:pt>
                <c:pt idx="18">
                  <c:v>323.2258039568531</c:v>
                </c:pt>
                <c:pt idx="19">
                  <c:v>401.22070958927651</c:v>
                </c:pt>
                <c:pt idx="20">
                  <c:v>387.61488477893232</c:v>
                </c:pt>
                <c:pt idx="21">
                  <c:v>399.64823109921559</c:v>
                </c:pt>
                <c:pt idx="22">
                  <c:v>287.59035009991879</c:v>
                </c:pt>
                <c:pt idx="23">
                  <c:v>317.5226345655114</c:v>
                </c:pt>
                <c:pt idx="24">
                  <c:v>337.48715453677306</c:v>
                </c:pt>
                <c:pt idx="25">
                  <c:v>285.45540794895652</c:v>
                </c:pt>
                <c:pt idx="26">
                  <c:v>300.93113225204837</c:v>
                </c:pt>
                <c:pt idx="27">
                  <c:v>328.09820567274653</c:v>
                </c:pt>
                <c:pt idx="28">
                  <c:v>382.18209724833213</c:v>
                </c:pt>
                <c:pt idx="29">
                  <c:v>323.18253454181587</c:v>
                </c:pt>
                <c:pt idx="30">
                  <c:v>426.81094261918702</c:v>
                </c:pt>
                <c:pt idx="31">
                  <c:v>591.67384686367222</c:v>
                </c:pt>
                <c:pt idx="32">
                  <c:v>484.89155794037634</c:v>
                </c:pt>
                <c:pt idx="33">
                  <c:v>385.794489805588</c:v>
                </c:pt>
                <c:pt idx="34">
                  <c:v>427.74897718031633</c:v>
                </c:pt>
                <c:pt idx="35">
                  <c:v>522.92946461415875</c:v>
                </c:pt>
                <c:pt idx="36">
                  <c:v>513.63069788225937</c:v>
                </c:pt>
                <c:pt idx="37">
                  <c:v>704.6126718948384</c:v>
                </c:pt>
                <c:pt idx="38">
                  <c:v>663.15575455092562</c:v>
                </c:pt>
              </c:numCache>
            </c:numRef>
          </c:val>
          <c:smooth val="0"/>
          <c:extLst>
            <c:ext xmlns:c16="http://schemas.microsoft.com/office/drawing/2014/chart" uri="{C3380CC4-5D6E-409C-BE32-E72D297353CC}">
              <c16:uniqueId val="{00000000-89D0-418F-8F56-83A088D53D48}"/>
            </c:ext>
          </c:extLst>
        </c:ser>
        <c:dLbls>
          <c:showLegendKey val="0"/>
          <c:showVal val="0"/>
          <c:showCatName val="0"/>
          <c:showSerName val="0"/>
          <c:showPercent val="0"/>
          <c:showBubbleSize val="0"/>
        </c:dLbls>
        <c:marker val="1"/>
        <c:smooth val="0"/>
        <c:axId val="117368320"/>
        <c:axId val="117369856"/>
      </c:lineChart>
      <c:lineChart>
        <c:grouping val="standard"/>
        <c:varyColors val="0"/>
        <c:ser>
          <c:idx val="1"/>
          <c:order val="1"/>
          <c:tx>
            <c:v>Bauxite (RHS)</c:v>
          </c:tx>
          <c:spPr>
            <a:ln w="28575" cap="rnd">
              <a:solidFill>
                <a:schemeClr val="accent3">
                  <a:tint val="77000"/>
                </a:schemeClr>
              </a:solidFill>
              <a:round/>
            </a:ln>
            <a:effectLst/>
          </c:spPr>
          <c:marker>
            <c:symbol val="none"/>
          </c:marker>
          <c:cat>
            <c:numRef>
              <c:f>'Alumina and Bauxite - Prices'!$E$12:$E$50</c:f>
              <c:numCache>
                <c:formatCode>General</c:formatCode>
                <c:ptCount val="39"/>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pt idx="37">
                  <c:v>2024</c:v>
                </c:pt>
                <c:pt idx="38">
                  <c:v>2025</c:v>
                </c:pt>
              </c:numCache>
            </c:numRef>
          </c:cat>
          <c:val>
            <c:numRef>
              <c:f>'Alumina and Bauxite - Prices'!$G$12:$G$50</c:f>
              <c:numCache>
                <c:formatCode>#,##0.00</c:formatCode>
                <c:ptCount val="39"/>
                <c:pt idx="28">
                  <c:v>#N/A</c:v>
                </c:pt>
                <c:pt idx="29">
                  <c:v>42.431706387520379</c:v>
                </c:pt>
                <c:pt idx="30">
                  <c:v>40.60045461962897</c:v>
                </c:pt>
                <c:pt idx="31">
                  <c:v>41.439222229148584</c:v>
                </c:pt>
                <c:pt idx="32">
                  <c:v>40.561801674626579</c:v>
                </c:pt>
                <c:pt idx="33">
                  <c:v>39.587143362165939</c:v>
                </c:pt>
                <c:pt idx="34">
                  <c:v>35.806329255898639</c:v>
                </c:pt>
                <c:pt idx="35">
                  <c:v>31.54838861450078</c:v>
                </c:pt>
                <c:pt idx="36">
                  <c:v>44.288726537090326</c:v>
                </c:pt>
                <c:pt idx="37">
                  <c:v>58.16679076837147</c:v>
                </c:pt>
                <c:pt idx="38">
                  <c:v>82.119685888464772</c:v>
                </c:pt>
              </c:numCache>
            </c:numRef>
          </c:val>
          <c:smooth val="0"/>
          <c:extLst>
            <c:ext xmlns:c16="http://schemas.microsoft.com/office/drawing/2014/chart" uri="{C3380CC4-5D6E-409C-BE32-E72D297353CC}">
              <c16:uniqueId val="{00000001-89D0-418F-8F56-83A088D53D48}"/>
            </c:ext>
          </c:extLst>
        </c:ser>
        <c:dLbls>
          <c:showLegendKey val="0"/>
          <c:showVal val="0"/>
          <c:showCatName val="0"/>
          <c:showSerName val="0"/>
          <c:showPercent val="0"/>
          <c:showBubbleSize val="0"/>
        </c:dLbls>
        <c:marker val="1"/>
        <c:smooth val="0"/>
        <c:axId val="902053696"/>
        <c:axId val="891524472"/>
      </c:lineChart>
      <c:catAx>
        <c:axId val="117368320"/>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AU" sz="900" b="1" i="0" u="none" strike="noStrike" kern="1200" baseline="0">
                    <a:solidFill>
                      <a:sysClr val="windowText" lastClr="000000"/>
                    </a:solidFill>
                    <a:effectLst/>
                  </a:rPr>
                  <a:t>Source:  ABS</a:t>
                </a:r>
              </a:p>
            </c:rich>
          </c:tx>
          <c:layout>
            <c:manualLayout>
              <c:xMode val="edge"/>
              <c:yMode val="edge"/>
              <c:x val="1.0517762487455206E-2"/>
              <c:y val="0.9363659676439011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9856"/>
        <c:crosses val="autoZero"/>
        <c:auto val="1"/>
        <c:lblAlgn val="ctr"/>
        <c:lblOffset val="100"/>
        <c:tickMarkSkip val="1"/>
        <c:noMultiLvlLbl val="0"/>
      </c:catAx>
      <c:valAx>
        <c:axId val="117369856"/>
        <c:scaling>
          <c:orientation val="minMax"/>
          <c:max val="1000"/>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t>A$</a:t>
                </a:r>
                <a:r>
                  <a:rPr lang="en-AU" b="1" baseline="0"/>
                  <a:t> per </a:t>
                </a:r>
                <a:r>
                  <a:rPr lang="en-AU" b="1"/>
                  <a:t>tonne</a:t>
                </a:r>
              </a:p>
            </c:rich>
          </c:tx>
          <c:layout>
            <c:manualLayout>
              <c:xMode val="edge"/>
              <c:yMode val="edge"/>
              <c:x val="1.4021385652140688E-2"/>
              <c:y val="0.4021401920038242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8320"/>
        <c:crosses val="autoZero"/>
        <c:crossBetween val="midCat"/>
      </c:valAx>
      <c:valAx>
        <c:axId val="891524472"/>
        <c:scaling>
          <c:orientation val="minMax"/>
          <c:max val="100"/>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b="1" baseline="0"/>
                  <a:t>A$ p</a:t>
                </a:r>
                <a:r>
                  <a:rPr lang="en-US" b="1"/>
                  <a:t>er tonne </a:t>
                </a:r>
              </a:p>
            </c:rich>
          </c:tx>
          <c:layout>
            <c:manualLayout>
              <c:xMode val="edge"/>
              <c:yMode val="edge"/>
              <c:x val="0.96151986715902449"/>
              <c:y val="0.4082629133652758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02053696"/>
        <c:crosses val="max"/>
        <c:crossBetween val="between"/>
      </c:valAx>
      <c:catAx>
        <c:axId val="902053696"/>
        <c:scaling>
          <c:orientation val="minMax"/>
        </c:scaling>
        <c:delete val="1"/>
        <c:axPos val="b"/>
        <c:numFmt formatCode="General" sourceLinked="1"/>
        <c:majorTickMark val="out"/>
        <c:minorTickMark val="none"/>
        <c:tickLblPos val="nextTo"/>
        <c:crossAx val="891524472"/>
        <c:crosses val="autoZero"/>
        <c:auto val="0"/>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Lithium 
</a:t>
            </a:r>
            <a:r>
              <a:rPr lang="en-US" sz="1100"/>
              <a:t>Annual Prices, Historic</a:t>
            </a:r>
          </a:p>
        </c:rich>
      </c:tx>
      <c:layout>
        <c:manualLayout>
          <c:xMode val="edge"/>
          <c:yMode val="edge"/>
          <c:x val="0.41114587489238397"/>
          <c:y val="2.8560658302079937E-2"/>
        </c:manualLayout>
      </c:layout>
      <c:overlay val="0"/>
    </c:title>
    <c:autoTitleDeleted val="0"/>
    <c:plotArea>
      <c:layout>
        <c:manualLayout>
          <c:layoutTarget val="inner"/>
          <c:xMode val="edge"/>
          <c:yMode val="edge"/>
          <c:x val="0.10569122703595372"/>
          <c:y val="0.2233326756487381"/>
          <c:w val="0.79688360124720647"/>
          <c:h val="0.59389471316592501"/>
        </c:manualLayout>
      </c:layout>
      <c:lineChart>
        <c:grouping val="standard"/>
        <c:varyColors val="0"/>
        <c:ser>
          <c:idx val="2"/>
          <c:order val="0"/>
          <c:tx>
            <c:v>Lithium Hydroxide (LHS)</c:v>
          </c:tx>
          <c:spPr>
            <a:ln w="28575">
              <a:solidFill>
                <a:srgbClr val="F69240"/>
              </a:solidFill>
            </a:ln>
          </c:spPr>
          <c:marker>
            <c:symbol val="none"/>
          </c:marker>
          <c:cat>
            <c:numRef>
              <c:f>'Lithium - Prices'!$E$11:$E$20</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'Lithium - Prices'!$F$11:$F$20</c:f>
              <c:numCache>
                <c:formatCode>#,##0.00</c:formatCode>
                <c:ptCount val="10"/>
                <c:pt idx="0">
                  <c:v>24756.642675188337</c:v>
                </c:pt>
                <c:pt idx="1">
                  <c:v>22008.191697714054</c:v>
                </c:pt>
                <c:pt idx="2">
                  <c:v>20805.067393201785</c:v>
                </c:pt>
                <c:pt idx="3">
                  <c:v>11807.37466021342</c:v>
                </c:pt>
                <c:pt idx="4">
                  <c:v>7298.5137713475133</c:v>
                </c:pt>
                <c:pt idx="5">
                  <c:v>17344.021522889703</c:v>
                </c:pt>
                <c:pt idx="6">
                  <c:v>69010.922039641751</c:v>
                </c:pt>
                <c:pt idx="7">
                  <c:v>39079.229066439708</c:v>
                </c:pt>
                <c:pt idx="8">
                  <c:v>11500.242235636879</c:v>
                </c:pt>
                <c:pt idx="9">
                  <c:v>9890.620358778051</c:v>
                </c:pt>
              </c:numCache>
            </c:numRef>
          </c:val>
          <c:smooth val="0"/>
          <c:extLst>
            <c:ext xmlns:c16="http://schemas.microsoft.com/office/drawing/2014/chart" uri="{C3380CC4-5D6E-409C-BE32-E72D297353CC}">
              <c16:uniqueId val="{00000000-59BD-4099-991F-2D85826F4EBB}"/>
            </c:ext>
          </c:extLst>
        </c:ser>
        <c:dLbls>
          <c:showLegendKey val="0"/>
          <c:showVal val="0"/>
          <c:showCatName val="0"/>
          <c:showSerName val="0"/>
          <c:showPercent val="0"/>
          <c:showBubbleSize val="0"/>
        </c:dLbls>
        <c:marker val="1"/>
        <c:smooth val="0"/>
        <c:axId val="135248128"/>
        <c:axId val="135254400"/>
      </c:lineChart>
      <c:lineChart>
        <c:grouping val="standard"/>
        <c:varyColors val="0"/>
        <c:ser>
          <c:idx val="1"/>
          <c:order val="1"/>
          <c:tx>
            <c:v>Spodumene Concentrate (RHS)</c:v>
          </c:tx>
          <c:spPr>
            <a:ln w="28575">
              <a:solidFill>
                <a:srgbClr val="F6BEA2"/>
              </a:solidFill>
            </a:ln>
          </c:spPr>
          <c:marker>
            <c:symbol val="none"/>
          </c:marker>
          <c:cat>
            <c:numRef>
              <c:f>'Lithium - Prices'!$E$11:$E$20</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'Lithium - Prices'!$G$11:$G$20</c:f>
              <c:numCache>
                <c:formatCode>#,##0.00</c:formatCode>
                <c:ptCount val="10"/>
                <c:pt idx="2">
                  <c:v>1161.2748501841718</c:v>
                </c:pt>
                <c:pt idx="3">
                  <c:v>882.85059201799538</c:v>
                </c:pt>
                <c:pt idx="4">
                  <c:v>626.47649672021919</c:v>
                </c:pt>
                <c:pt idx="5">
                  <c:v>1294.9263687976193</c:v>
                </c:pt>
                <c:pt idx="6">
                  <c:v>6361.5047295008289</c:v>
                </c:pt>
                <c:pt idx="7">
                  <c:v>5568.7256793504785</c:v>
                </c:pt>
                <c:pt idx="8">
                  <c:v>1469.8541969541045</c:v>
                </c:pt>
                <c:pt idx="9">
                  <c:v>1299.6268314828635</c:v>
                </c:pt>
              </c:numCache>
            </c:numRef>
          </c:val>
          <c:smooth val="0"/>
          <c:extLst>
            <c:ext xmlns:c16="http://schemas.microsoft.com/office/drawing/2014/chart" uri="{C3380CC4-5D6E-409C-BE32-E72D297353CC}">
              <c16:uniqueId val="{00000001-59BD-4099-991F-2D85826F4EBB}"/>
            </c:ext>
          </c:extLst>
        </c:ser>
        <c:dLbls>
          <c:showLegendKey val="0"/>
          <c:showVal val="0"/>
          <c:showCatName val="0"/>
          <c:showSerName val="0"/>
          <c:showPercent val="0"/>
          <c:showBubbleSize val="0"/>
        </c:dLbls>
        <c:marker val="1"/>
        <c:smooth val="0"/>
        <c:axId val="1398461832"/>
        <c:axId val="1398464456"/>
      </c:lineChart>
      <c:catAx>
        <c:axId val="135248128"/>
        <c:scaling>
          <c:orientation val="minMax"/>
        </c:scaling>
        <c:delete val="0"/>
        <c:axPos val="b"/>
        <c:title>
          <c:tx>
            <c:rich>
              <a:bodyPr/>
              <a:lstStyle/>
              <a:p>
                <a:pPr>
                  <a:defRPr sz="900"/>
                </a:pPr>
                <a:r>
                  <a:rPr lang="en-AU" sz="900"/>
                  <a:t>Source: Asian Metal</a:t>
                </a:r>
              </a:p>
            </c:rich>
          </c:tx>
          <c:layout>
            <c:manualLayout>
              <c:xMode val="edge"/>
              <c:yMode val="edge"/>
              <c:x val="6.2010083718495703E-3"/>
              <c:y val="0.94853747931069499"/>
            </c:manualLayout>
          </c:layout>
          <c:overlay val="0"/>
        </c:title>
        <c:numFmt formatCode="General" sourceLinked="0"/>
        <c:majorTickMark val="out"/>
        <c:minorTickMark val="none"/>
        <c:tickLblPos val="nextTo"/>
        <c:spPr>
          <a:ln/>
        </c:spPr>
        <c:txPr>
          <a:bodyPr rot="-2700000"/>
          <a:lstStyle/>
          <a:p>
            <a:pPr>
              <a:defRPr/>
            </a:pPr>
            <a:endParaRPr lang="en-US"/>
          </a:p>
        </c:txPr>
        <c:crossAx val="135254400"/>
        <c:crosses val="autoZero"/>
        <c:auto val="1"/>
        <c:lblAlgn val="ctr"/>
        <c:lblOffset val="100"/>
        <c:tickLblSkip val="1"/>
        <c:noMultiLvlLbl val="1"/>
      </c:catAx>
      <c:valAx>
        <c:axId val="135254400"/>
        <c:scaling>
          <c:orientation val="minMax"/>
          <c:max val="100000"/>
        </c:scaling>
        <c:delete val="0"/>
        <c:axPos val="l"/>
        <c:majorGridlines/>
        <c:title>
          <c:tx>
            <c:rich>
              <a:bodyPr rot="-5400000" vert="horz"/>
              <a:lstStyle/>
              <a:p>
                <a:pPr>
                  <a:defRPr/>
                </a:pPr>
                <a:r>
                  <a:rPr lang="en-AU"/>
                  <a:t>US$ per tonne</a:t>
                </a:r>
              </a:p>
            </c:rich>
          </c:tx>
          <c:layout>
            <c:manualLayout>
              <c:xMode val="edge"/>
              <c:yMode val="edge"/>
              <c:x val="1.3820959267075618E-2"/>
              <c:y val="0.43328951222985174"/>
            </c:manualLayout>
          </c:layout>
          <c:overlay val="0"/>
        </c:title>
        <c:numFmt formatCode="#,##0" sourceLinked="0"/>
        <c:majorTickMark val="out"/>
        <c:minorTickMark val="none"/>
        <c:tickLblPos val="nextTo"/>
        <c:spPr>
          <a:ln/>
        </c:spPr>
        <c:crossAx val="135248128"/>
        <c:crosses val="autoZero"/>
        <c:crossBetween val="midCat"/>
        <c:majorUnit val="20000"/>
      </c:valAx>
      <c:valAx>
        <c:axId val="1398464456"/>
        <c:scaling>
          <c:orientation val="minMax"/>
          <c:max val="10000"/>
        </c:scaling>
        <c:delete val="0"/>
        <c:axPos val="r"/>
        <c:title>
          <c:tx>
            <c:rich>
              <a:bodyPr/>
              <a:lstStyle/>
              <a:p>
                <a:pPr>
                  <a:defRPr/>
                </a:pPr>
                <a:r>
                  <a:rPr lang="en-AU"/>
                  <a:t>A$ per tonne</a:t>
                </a:r>
              </a:p>
            </c:rich>
          </c:tx>
          <c:overlay val="0"/>
        </c:title>
        <c:numFmt formatCode="#,##0" sourceLinked="0"/>
        <c:majorTickMark val="out"/>
        <c:minorTickMark val="none"/>
        <c:tickLblPos val="nextTo"/>
        <c:crossAx val="1398461832"/>
        <c:crosses val="max"/>
        <c:crossBetween val="between"/>
        <c:majorUnit val="2000"/>
      </c:valAx>
      <c:catAx>
        <c:axId val="1398461832"/>
        <c:scaling>
          <c:orientation val="minMax"/>
        </c:scaling>
        <c:delete val="1"/>
        <c:axPos val="b"/>
        <c:numFmt formatCode="General" sourceLinked="1"/>
        <c:majorTickMark val="out"/>
        <c:minorTickMark val="none"/>
        <c:tickLblPos val="nextTo"/>
        <c:crossAx val="1398464456"/>
        <c:crosses val="autoZero"/>
        <c:auto val="0"/>
        <c:lblAlgn val="ctr"/>
        <c:lblOffset val="100"/>
        <c:noMultiLvlLbl val="0"/>
      </c:catAx>
    </c:plotArea>
    <c:legend>
      <c:legendPos val="t"/>
      <c:overlay val="0"/>
    </c:legend>
    <c:plotVisOnly val="1"/>
    <c:dispBlanksAs val="gap"/>
    <c:showDLblsOverMax val="0"/>
  </c:chart>
  <c:spPr>
    <a:ln>
      <a:solidFill>
        <a:schemeClr val="tx1">
          <a:tint val="75000"/>
          <a:shade val="95000"/>
          <a:satMod val="105000"/>
          <a:alpha val="92000"/>
        </a:schemeClr>
      </a:solid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Lithium</a:t>
            </a:r>
          </a:p>
          <a:p>
            <a:pPr>
              <a:defRPr/>
            </a:pPr>
            <a:r>
              <a:rPr lang="en-AU" sz="1100"/>
              <a:t>Monthly</a:t>
            </a:r>
            <a:r>
              <a:rPr lang="en-AU" sz="1100" baseline="0"/>
              <a:t> Prices, L</a:t>
            </a:r>
            <a:r>
              <a:rPr lang="en-AU" sz="1100"/>
              <a:t>ast 5 Years</a:t>
            </a:r>
          </a:p>
        </c:rich>
      </c:tx>
      <c:overlay val="0"/>
    </c:title>
    <c:autoTitleDeleted val="0"/>
    <c:plotArea>
      <c:layout>
        <c:manualLayout>
          <c:layoutTarget val="inner"/>
          <c:xMode val="edge"/>
          <c:yMode val="edge"/>
          <c:x val="0.10929442393276532"/>
          <c:y val="0.22143143358003156"/>
          <c:w val="0.79592158613476638"/>
          <c:h val="0.5567030776847548"/>
        </c:manualLayout>
      </c:layout>
      <c:lineChart>
        <c:grouping val="standard"/>
        <c:varyColors val="0"/>
        <c:ser>
          <c:idx val="2"/>
          <c:order val="0"/>
          <c:tx>
            <c:v>Lithium Hydroxide (LHS)</c:v>
          </c:tx>
          <c:spPr>
            <a:ln w="28575">
              <a:solidFill>
                <a:srgbClr val="F69240"/>
              </a:solidFill>
            </a:ln>
          </c:spPr>
          <c:marker>
            <c:symbol val="none"/>
          </c:marker>
          <c:cat>
            <c:numRef>
              <c:f>'Lithium - Prices'!$A$11:$A$71</c:f>
              <c:numCache>
                <c:formatCode>mmm\-yy</c:formatCode>
                <c:ptCount val="61"/>
                <c:pt idx="0">
                  <c:v>44166</c:v>
                </c:pt>
                <c:pt idx="1">
                  <c:v>44197</c:v>
                </c:pt>
                <c:pt idx="2">
                  <c:v>44228</c:v>
                </c:pt>
                <c:pt idx="3">
                  <c:v>44256</c:v>
                </c:pt>
                <c:pt idx="4">
                  <c:v>44287</c:v>
                </c:pt>
                <c:pt idx="5">
                  <c:v>44317</c:v>
                </c:pt>
                <c:pt idx="6">
                  <c:v>44317</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pt idx="37">
                  <c:v>45292</c:v>
                </c:pt>
                <c:pt idx="38">
                  <c:v>45323</c:v>
                </c:pt>
                <c:pt idx="39">
                  <c:v>45352</c:v>
                </c:pt>
                <c:pt idx="40">
                  <c:v>45383</c:v>
                </c:pt>
                <c:pt idx="41">
                  <c:v>45413</c:v>
                </c:pt>
                <c:pt idx="42">
                  <c:v>45444</c:v>
                </c:pt>
                <c:pt idx="43">
                  <c:v>45474</c:v>
                </c:pt>
                <c:pt idx="44">
                  <c:v>45505</c:v>
                </c:pt>
                <c:pt idx="45">
                  <c:v>45536</c:v>
                </c:pt>
                <c:pt idx="46">
                  <c:v>45566</c:v>
                </c:pt>
                <c:pt idx="47">
                  <c:v>45597</c:v>
                </c:pt>
                <c:pt idx="48">
                  <c:v>45627</c:v>
                </c:pt>
                <c:pt idx="49">
                  <c:v>45658</c:v>
                </c:pt>
                <c:pt idx="50">
                  <c:v>45689</c:v>
                </c:pt>
                <c:pt idx="51">
                  <c:v>45717</c:v>
                </c:pt>
                <c:pt idx="52">
                  <c:v>45748</c:v>
                </c:pt>
                <c:pt idx="53">
                  <c:v>45778</c:v>
                </c:pt>
                <c:pt idx="54">
                  <c:v>45809</c:v>
                </c:pt>
                <c:pt idx="55">
                  <c:v>45839</c:v>
                </c:pt>
                <c:pt idx="56">
                  <c:v>45870</c:v>
                </c:pt>
                <c:pt idx="57">
                  <c:v>45901</c:v>
                </c:pt>
                <c:pt idx="58">
                  <c:v>45931</c:v>
                </c:pt>
                <c:pt idx="59">
                  <c:v>45962</c:v>
                </c:pt>
                <c:pt idx="60">
                  <c:v>45992</c:v>
                </c:pt>
              </c:numCache>
            </c:numRef>
          </c:cat>
          <c:val>
            <c:numRef>
              <c:f>'Lithium - Prices'!$B$11:$B$71</c:f>
              <c:numCache>
                <c:formatCode>#,##0.00</c:formatCode>
                <c:ptCount val="61"/>
                <c:pt idx="0">
                  <c:v>7073.6607804063178</c:v>
                </c:pt>
                <c:pt idx="1">
                  <c:v>7983.8371568955763</c:v>
                </c:pt>
                <c:pt idx="2">
                  <c:v>9250.6835674283484</c:v>
                </c:pt>
                <c:pt idx="3">
                  <c:v>10499.060123891291</c:v>
                </c:pt>
                <c:pt idx="4">
                  <c:v>11785.33560363267</c:v>
                </c:pt>
                <c:pt idx="5">
                  <c:v>13249.57583026559</c:v>
                </c:pt>
                <c:pt idx="6">
                  <c:v>13249.57583026559</c:v>
                </c:pt>
                <c:pt idx="7">
                  <c:v>14508.818445033876</c:v>
                </c:pt>
                <c:pt idx="8">
                  <c:v>16785.068307583409</c:v>
                </c:pt>
                <c:pt idx="9">
                  <c:v>22963.317489067074</c:v>
                </c:pt>
                <c:pt idx="10">
                  <c:v>28113.956908549804</c:v>
                </c:pt>
                <c:pt idx="11">
                  <c:v>28558.364254416887</c:v>
                </c:pt>
                <c:pt idx="12">
                  <c:v>30272.472691251791</c:v>
                </c:pt>
                <c:pt idx="13">
                  <c:v>40713.478177145567</c:v>
                </c:pt>
                <c:pt idx="14">
                  <c:v>56978.311792570181</c:v>
                </c:pt>
                <c:pt idx="15">
                  <c:v>72551.840092643746</c:v>
                </c:pt>
                <c:pt idx="16">
                  <c:v>74847.210889658047</c:v>
                </c:pt>
                <c:pt idx="17">
                  <c:v>69192.00478027387</c:v>
                </c:pt>
                <c:pt idx="18">
                  <c:v>71256.455086269038</c:v>
                </c:pt>
                <c:pt idx="19">
                  <c:v>70918.02192836297</c:v>
                </c:pt>
                <c:pt idx="20">
                  <c:v>70328.345507790116</c:v>
                </c:pt>
                <c:pt idx="21">
                  <c:v>69325.522267157154</c:v>
                </c:pt>
                <c:pt idx="22">
                  <c:v>73594.508578656227</c:v>
                </c:pt>
                <c:pt idx="23">
                  <c:v>78847.972986360241</c:v>
                </c:pt>
                <c:pt idx="24">
                  <c:v>79577.392388813882</c:v>
                </c:pt>
                <c:pt idx="25">
                  <c:v>74141.049646210566</c:v>
                </c:pt>
                <c:pt idx="26">
                  <c:v>65667.023151782691</c:v>
                </c:pt>
                <c:pt idx="27">
                  <c:v>53163.830238952949</c:v>
                </c:pt>
                <c:pt idx="28">
                  <c:v>42118.560798413782</c:v>
                </c:pt>
                <c:pt idx="29">
                  <c:v>41677.254484793026</c:v>
                </c:pt>
                <c:pt idx="30">
                  <c:v>43361.820769964157</c:v>
                </c:pt>
                <c:pt idx="31">
                  <c:v>39612.200514729964</c:v>
                </c:pt>
                <c:pt idx="32">
                  <c:v>31038.28596767745</c:v>
                </c:pt>
                <c:pt idx="33">
                  <c:v>23220.109400402143</c:v>
                </c:pt>
                <c:pt idx="34">
                  <c:v>21571.801175382097</c:v>
                </c:pt>
                <c:pt idx="35">
                  <c:v>19098.286519385307</c:v>
                </c:pt>
                <c:pt idx="36">
                  <c:v>14280.526129582391</c:v>
                </c:pt>
                <c:pt idx="37">
                  <c:v>11593.117592150982</c:v>
                </c:pt>
                <c:pt idx="38">
                  <c:v>11459.115131031811</c:v>
                </c:pt>
                <c:pt idx="39">
                  <c:v>14134.837310261082</c:v>
                </c:pt>
                <c:pt idx="40">
                  <c:v>14286.007083951245</c:v>
                </c:pt>
                <c:pt idx="41">
                  <c:v>13608.955741623675</c:v>
                </c:pt>
                <c:pt idx="42">
                  <c:v>12233.785941228462</c:v>
                </c:pt>
                <c:pt idx="43">
                  <c:v>11257.947841173776</c:v>
                </c:pt>
                <c:pt idx="44">
                  <c:v>10401.583366920573</c:v>
                </c:pt>
                <c:pt idx="45">
                  <c:v>10072.932052419847</c:v>
                </c:pt>
                <c:pt idx="46">
                  <c:v>9868.2407633167713</c:v>
                </c:pt>
                <c:pt idx="47">
                  <c:v>9531.2262251369066</c:v>
                </c:pt>
                <c:pt idx="48">
                  <c:v>9555.1577784274032</c:v>
                </c:pt>
                <c:pt idx="49">
                  <c:v>9659.3765263491096</c:v>
                </c:pt>
                <c:pt idx="50">
                  <c:v>9693.8644741625012</c:v>
                </c:pt>
                <c:pt idx="51">
                  <c:v>9570.4523816277087</c:v>
                </c:pt>
                <c:pt idx="52">
                  <c:v>9255.4543819176106</c:v>
                </c:pt>
                <c:pt idx="53">
                  <c:v>9013.6752340812855</c:v>
                </c:pt>
                <c:pt idx="54">
                  <c:v>8382.1837281595017</c:v>
                </c:pt>
                <c:pt idx="55">
                  <c:v>8396.2940259298721</c:v>
                </c:pt>
                <c:pt idx="56">
                  <c:v>10248.819217317938</c:v>
                </c:pt>
                <c:pt idx="57">
                  <c:v>10418.844116863798</c:v>
                </c:pt>
                <c:pt idx="58">
                  <c:v>10525.865478253998</c:v>
                </c:pt>
                <c:pt idx="59">
                  <c:v>11131.001270167286</c:v>
                </c:pt>
                <c:pt idx="60">
                  <c:v>12391.613470506012</c:v>
                </c:pt>
              </c:numCache>
            </c:numRef>
          </c:val>
          <c:smooth val="0"/>
          <c:extLst>
            <c:ext xmlns:c16="http://schemas.microsoft.com/office/drawing/2014/chart" uri="{C3380CC4-5D6E-409C-BE32-E72D297353CC}">
              <c16:uniqueId val="{00000000-9ECE-49C2-9BF2-2A2D06DB99D0}"/>
            </c:ext>
          </c:extLst>
        </c:ser>
        <c:dLbls>
          <c:showLegendKey val="0"/>
          <c:showVal val="0"/>
          <c:showCatName val="0"/>
          <c:showSerName val="0"/>
          <c:showPercent val="0"/>
          <c:showBubbleSize val="0"/>
        </c:dLbls>
        <c:marker val="1"/>
        <c:smooth val="0"/>
        <c:axId val="135298048"/>
        <c:axId val="135296512"/>
      </c:lineChart>
      <c:lineChart>
        <c:grouping val="standard"/>
        <c:varyColors val="0"/>
        <c:ser>
          <c:idx val="1"/>
          <c:order val="1"/>
          <c:tx>
            <c:v>Spodumene Concentrate (RHS)</c:v>
          </c:tx>
          <c:spPr>
            <a:ln w="28575">
              <a:solidFill>
                <a:srgbClr val="F6BEA2"/>
              </a:solidFill>
            </a:ln>
          </c:spPr>
          <c:marker>
            <c:symbol val="none"/>
          </c:marker>
          <c:cat>
            <c:numRef>
              <c:f>'Lithium - Prices'!$A$11:$A$71</c:f>
              <c:numCache>
                <c:formatCode>mmm\-yy</c:formatCode>
                <c:ptCount val="61"/>
                <c:pt idx="0">
                  <c:v>44166</c:v>
                </c:pt>
                <c:pt idx="1">
                  <c:v>44197</c:v>
                </c:pt>
                <c:pt idx="2">
                  <c:v>44228</c:v>
                </c:pt>
                <c:pt idx="3">
                  <c:v>44256</c:v>
                </c:pt>
                <c:pt idx="4">
                  <c:v>44287</c:v>
                </c:pt>
                <c:pt idx="5">
                  <c:v>44317</c:v>
                </c:pt>
                <c:pt idx="6">
                  <c:v>44317</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pt idx="37">
                  <c:v>45292</c:v>
                </c:pt>
                <c:pt idx="38">
                  <c:v>45323</c:v>
                </c:pt>
                <c:pt idx="39">
                  <c:v>45352</c:v>
                </c:pt>
                <c:pt idx="40">
                  <c:v>45383</c:v>
                </c:pt>
                <c:pt idx="41">
                  <c:v>45413</c:v>
                </c:pt>
                <c:pt idx="42">
                  <c:v>45444</c:v>
                </c:pt>
                <c:pt idx="43">
                  <c:v>45474</c:v>
                </c:pt>
                <c:pt idx="44">
                  <c:v>45505</c:v>
                </c:pt>
                <c:pt idx="45">
                  <c:v>45536</c:v>
                </c:pt>
                <c:pt idx="46">
                  <c:v>45566</c:v>
                </c:pt>
                <c:pt idx="47">
                  <c:v>45597</c:v>
                </c:pt>
                <c:pt idx="48">
                  <c:v>45627</c:v>
                </c:pt>
                <c:pt idx="49">
                  <c:v>45658</c:v>
                </c:pt>
                <c:pt idx="50">
                  <c:v>45689</c:v>
                </c:pt>
                <c:pt idx="51">
                  <c:v>45717</c:v>
                </c:pt>
                <c:pt idx="52">
                  <c:v>45748</c:v>
                </c:pt>
                <c:pt idx="53">
                  <c:v>45778</c:v>
                </c:pt>
                <c:pt idx="54">
                  <c:v>45809</c:v>
                </c:pt>
                <c:pt idx="55">
                  <c:v>45839</c:v>
                </c:pt>
                <c:pt idx="56">
                  <c:v>45870</c:v>
                </c:pt>
                <c:pt idx="57">
                  <c:v>45901</c:v>
                </c:pt>
                <c:pt idx="58">
                  <c:v>45931</c:v>
                </c:pt>
                <c:pt idx="59">
                  <c:v>45962</c:v>
                </c:pt>
                <c:pt idx="60">
                  <c:v>45992</c:v>
                </c:pt>
              </c:numCache>
            </c:numRef>
          </c:cat>
          <c:val>
            <c:numRef>
              <c:f>'Lithium - Prices'!$C$11:$C$71</c:f>
              <c:numCache>
                <c:formatCode>#,##0.00</c:formatCode>
                <c:ptCount val="61"/>
                <c:pt idx="0">
                  <c:v>527.54638130817455</c:v>
                </c:pt>
                <c:pt idx="1">
                  <c:v>540.71775517572598</c:v>
                </c:pt>
                <c:pt idx="2">
                  <c:v>559.67141871546391</c:v>
                </c:pt>
                <c:pt idx="3">
                  <c:v>626.2234351476468</c:v>
                </c:pt>
                <c:pt idx="4">
                  <c:v>990.41969026261472</c:v>
                </c:pt>
                <c:pt idx="5">
                  <c:v>818.02415494513571</c:v>
                </c:pt>
                <c:pt idx="6">
                  <c:v>818.02415494513571</c:v>
                </c:pt>
                <c:pt idx="7">
                  <c:v>949.52401359086593</c:v>
                </c:pt>
                <c:pt idx="8">
                  <c:v>1184.1683026891644</c:v>
                </c:pt>
                <c:pt idx="9">
                  <c:v>1356.6291088555733</c:v>
                </c:pt>
                <c:pt idx="10">
                  <c:v>1688.5160645418382</c:v>
                </c:pt>
                <c:pt idx="11">
                  <c:v>2629.1292187208655</c:v>
                </c:pt>
                <c:pt idx="12">
                  <c:v>3327.1886362728255</c:v>
                </c:pt>
                <c:pt idx="13">
                  <c:v>3709.4899821856643</c:v>
                </c:pt>
                <c:pt idx="14">
                  <c:v>3787.0390421437205</c:v>
                </c:pt>
                <c:pt idx="15">
                  <c:v>3749.6681004726247</c:v>
                </c:pt>
                <c:pt idx="16">
                  <c:v>4200.2568435282192</c:v>
                </c:pt>
                <c:pt idx="17">
                  <c:v>5715.3998865570047</c:v>
                </c:pt>
                <c:pt idx="18">
                  <c:v>6400.8344791617283</c:v>
                </c:pt>
                <c:pt idx="19">
                  <c:v>6788.369039679892</c:v>
                </c:pt>
                <c:pt idx="20">
                  <c:v>6854.6535093161601</c:v>
                </c:pt>
                <c:pt idx="21">
                  <c:v>7863.2055654848782</c:v>
                </c:pt>
                <c:pt idx="22">
                  <c:v>9021.9151377949674</c:v>
                </c:pt>
                <c:pt idx="23">
                  <c:v>9262.6207200810641</c:v>
                </c:pt>
                <c:pt idx="24">
                  <c:v>8984.6044476040261</c:v>
                </c:pt>
                <c:pt idx="25">
                  <c:v>8603.8683494754405</c:v>
                </c:pt>
                <c:pt idx="26">
                  <c:v>8560.8712000694177</c:v>
                </c:pt>
                <c:pt idx="27">
                  <c:v>7614.8806272918782</c:v>
                </c:pt>
                <c:pt idx="28">
                  <c:v>6593.2694842280998</c:v>
                </c:pt>
                <c:pt idx="29">
                  <c:v>6027.7795936511257</c:v>
                </c:pt>
                <c:pt idx="30">
                  <c:v>6077.9399446297994</c:v>
                </c:pt>
                <c:pt idx="31">
                  <c:v>6023.7877149460382</c:v>
                </c:pt>
                <c:pt idx="32">
                  <c:v>5205.4490682359519</c:v>
                </c:pt>
                <c:pt idx="33">
                  <c:v>4065.7819251836313</c:v>
                </c:pt>
                <c:pt idx="34">
                  <c:v>3356.1134732626933</c:v>
                </c:pt>
                <c:pt idx="35">
                  <c:v>2666.2759678198586</c:v>
                </c:pt>
                <c:pt idx="36">
                  <c:v>2028.6908034118026</c:v>
                </c:pt>
                <c:pt idx="37">
                  <c:v>1540.1362930300145</c:v>
                </c:pt>
                <c:pt idx="38">
                  <c:v>1533.4191393630906</c:v>
                </c:pt>
                <c:pt idx="39">
                  <c:v>1740.2633043398719</c:v>
                </c:pt>
                <c:pt idx="40">
                  <c:v>1893.1146483610146</c:v>
                </c:pt>
                <c:pt idx="41">
                  <c:v>1842.7924761347876</c:v>
                </c:pt>
                <c:pt idx="42">
                  <c:v>1679.2481810192626</c:v>
                </c:pt>
                <c:pt idx="43">
                  <c:v>1482.9075532795164</c:v>
                </c:pt>
                <c:pt idx="44">
                  <c:v>1274.0065053436749</c:v>
                </c:pt>
                <c:pt idx="45">
                  <c:v>1101.0362803655476</c:v>
                </c:pt>
                <c:pt idx="46">
                  <c:v>1115.3195870702036</c:v>
                </c:pt>
                <c:pt idx="47">
                  <c:v>1190.5094970601738</c:v>
                </c:pt>
                <c:pt idx="48">
                  <c:v>1245.4968980820922</c:v>
                </c:pt>
                <c:pt idx="49">
                  <c:v>1281.4144736842104</c:v>
                </c:pt>
                <c:pt idx="50">
                  <c:v>1294.0205137975934</c:v>
                </c:pt>
                <c:pt idx="51">
                  <c:v>1286.7274170983478</c:v>
                </c:pt>
                <c:pt idx="52">
                  <c:v>1275.6658199834017</c:v>
                </c:pt>
                <c:pt idx="53">
                  <c:v>1046.2772826386099</c:v>
                </c:pt>
                <c:pt idx="54">
                  <c:v>940.36767875839121</c:v>
                </c:pt>
                <c:pt idx="55">
                  <c:v>1106.8991635162877</c:v>
                </c:pt>
                <c:pt idx="56">
                  <c:v>1376.5231456520069</c:v>
                </c:pt>
                <c:pt idx="57">
                  <c:v>1271.9719271152906</c:v>
                </c:pt>
                <c:pt idx="58">
                  <c:v>1323.3614612633262</c:v>
                </c:pt>
                <c:pt idx="59">
                  <c:v>1585.6488596545148</c:v>
                </c:pt>
                <c:pt idx="60">
                  <c:v>1806.6442346323824</c:v>
                </c:pt>
              </c:numCache>
            </c:numRef>
          </c:val>
          <c:smooth val="0"/>
          <c:extLst>
            <c:ext xmlns:c16="http://schemas.microsoft.com/office/drawing/2014/chart" uri="{C3380CC4-5D6E-409C-BE32-E72D297353CC}">
              <c16:uniqueId val="{00000001-9ECE-49C2-9BF2-2A2D06DB99D0}"/>
            </c:ext>
          </c:extLst>
        </c:ser>
        <c:dLbls>
          <c:showLegendKey val="0"/>
          <c:showVal val="0"/>
          <c:showCatName val="0"/>
          <c:showSerName val="0"/>
          <c:showPercent val="0"/>
          <c:showBubbleSize val="0"/>
        </c:dLbls>
        <c:marker val="1"/>
        <c:smooth val="0"/>
        <c:axId val="1127020864"/>
        <c:axId val="1127019224"/>
      </c:lineChart>
      <c:valAx>
        <c:axId val="135296512"/>
        <c:scaling>
          <c:orientation val="minMax"/>
          <c:max val="100000"/>
        </c:scaling>
        <c:delete val="0"/>
        <c:axPos val="l"/>
        <c:majorGridlines/>
        <c:title>
          <c:tx>
            <c:rich>
              <a:bodyPr/>
              <a:lstStyle/>
              <a:p>
                <a:pPr>
                  <a:defRPr sz="1000"/>
                </a:pPr>
                <a:r>
                  <a:rPr lang="en-AU" sz="1000" b="1" i="0" baseline="0">
                    <a:effectLst/>
                  </a:rPr>
                  <a:t>US$ per tonne</a:t>
                </a:r>
                <a:endParaRPr lang="en-AU" sz="1000">
                  <a:effectLst/>
                </a:endParaRPr>
              </a:p>
            </c:rich>
          </c:tx>
          <c:layout>
            <c:manualLayout>
              <c:xMode val="edge"/>
              <c:yMode val="edge"/>
              <c:x val="1.0723062421771481E-2"/>
              <c:y val="0.42767797055504153"/>
            </c:manualLayout>
          </c:layout>
          <c:overlay val="0"/>
        </c:title>
        <c:numFmt formatCode="#,##0" sourceLinked="0"/>
        <c:majorTickMark val="out"/>
        <c:minorTickMark val="none"/>
        <c:tickLblPos val="nextTo"/>
        <c:crossAx val="135298048"/>
        <c:crosses val="autoZero"/>
        <c:crossBetween val="midCat"/>
        <c:majorUnit val="20000"/>
      </c:valAx>
      <c:dateAx>
        <c:axId val="135298048"/>
        <c:scaling>
          <c:orientation val="minMax"/>
        </c:scaling>
        <c:delete val="0"/>
        <c:axPos val="b"/>
        <c:title>
          <c:tx>
            <c:rich>
              <a:bodyPr/>
              <a:lstStyle/>
              <a:p>
                <a:pPr>
                  <a:defRPr sz="900"/>
                </a:pPr>
                <a:r>
                  <a:rPr lang="en-AU" sz="900" b="1" i="0" baseline="0">
                    <a:effectLst/>
                    <a:latin typeface="+mn-lt"/>
                  </a:rPr>
                  <a:t>Source: Asian Metal</a:t>
                </a:r>
                <a:endParaRPr lang="en-AU" sz="900" b="1">
                  <a:effectLst/>
                  <a:latin typeface="+mn-lt"/>
                </a:endParaRPr>
              </a:p>
            </c:rich>
          </c:tx>
          <c:layout>
            <c:manualLayout>
              <c:xMode val="edge"/>
              <c:yMode val="edge"/>
              <c:x val="4.6320127274579632E-3"/>
              <c:y val="0.95241456858208118"/>
            </c:manualLayout>
          </c:layout>
          <c:overlay val="0"/>
        </c:title>
        <c:numFmt formatCode="mmm\-yy" sourceLinked="1"/>
        <c:majorTickMark val="out"/>
        <c:minorTickMark val="none"/>
        <c:tickLblPos val="nextTo"/>
        <c:crossAx val="135296512"/>
        <c:crosses val="autoZero"/>
        <c:auto val="0"/>
        <c:lblOffset val="100"/>
        <c:baseTimeUnit val="days"/>
        <c:majorUnit val="3"/>
        <c:majorTimeUnit val="months"/>
        <c:minorUnit val="3"/>
      </c:dateAx>
      <c:valAx>
        <c:axId val="1127019224"/>
        <c:scaling>
          <c:orientation val="minMax"/>
          <c:max val="10000"/>
        </c:scaling>
        <c:delete val="0"/>
        <c:axPos val="r"/>
        <c:title>
          <c:tx>
            <c:rich>
              <a:bodyPr/>
              <a:lstStyle/>
              <a:p>
                <a:pPr>
                  <a:defRPr/>
                </a:pPr>
                <a:r>
                  <a:rPr lang="en-AU"/>
                  <a:t>A$</a:t>
                </a:r>
                <a:r>
                  <a:rPr lang="en-AU" baseline="0"/>
                  <a:t> per </a:t>
                </a:r>
                <a:r>
                  <a:rPr lang="en-AU"/>
                  <a:t>tonne</a:t>
                </a:r>
              </a:p>
            </c:rich>
          </c:tx>
          <c:overlay val="0"/>
        </c:title>
        <c:numFmt formatCode="#,##0" sourceLinked="0"/>
        <c:majorTickMark val="out"/>
        <c:minorTickMark val="none"/>
        <c:tickLblPos val="nextTo"/>
        <c:crossAx val="1127020864"/>
        <c:crosses val="max"/>
        <c:crossBetween val="between"/>
        <c:majorUnit val="2000"/>
      </c:valAx>
      <c:catAx>
        <c:axId val="1127020864"/>
        <c:scaling>
          <c:orientation val="minMax"/>
        </c:scaling>
        <c:delete val="1"/>
        <c:axPos val="b"/>
        <c:numFmt formatCode="mmm\-yy" sourceLinked="1"/>
        <c:majorTickMark val="out"/>
        <c:minorTickMark val="none"/>
        <c:tickLblPos val="nextTo"/>
        <c:crossAx val="1127019224"/>
        <c:crosses val="autoZero"/>
        <c:auto val="0"/>
        <c:lblAlgn val="ctr"/>
        <c:lblOffset val="100"/>
        <c:noMultiLvlLbl val="0"/>
      </c:cat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Spodumene Concentrate </a:t>
            </a:r>
          </a:p>
          <a:p>
            <a:pPr>
              <a:defRPr/>
            </a:pPr>
            <a:r>
              <a:rPr lang="en-US" sz="1100"/>
              <a:t>Quantity And Value By Quarter</a:t>
            </a:r>
          </a:p>
        </c:rich>
      </c:tx>
      <c:overlay val="0"/>
    </c:title>
    <c:autoTitleDeleted val="0"/>
    <c:plotArea>
      <c:layout/>
      <c:barChart>
        <c:barDir val="col"/>
        <c:grouping val="clustered"/>
        <c:varyColors val="0"/>
        <c:ser>
          <c:idx val="0"/>
          <c:order val="0"/>
          <c:tx>
            <c:v>Quantity</c:v>
          </c:tx>
          <c:spPr>
            <a:solidFill>
              <a:srgbClr val="F69240"/>
            </a:solidFill>
          </c:spPr>
          <c:invertIfNegative val="0"/>
          <c:cat>
            <c:numRef>
              <c:f>'Lithium - Q&amp;V'!$P$13:$P$21</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'Lithium - Q&amp;V'!$Q$13:$Q$21</c:f>
              <c:numCache>
                <c:formatCode>#,##0.00</c:formatCode>
                <c:ptCount val="9"/>
                <c:pt idx="0">
                  <c:v>803.90046600000005</c:v>
                </c:pt>
                <c:pt idx="1">
                  <c:v>649.45715599999994</c:v>
                </c:pt>
                <c:pt idx="2">
                  <c:v>1223.6669209999998</c:v>
                </c:pt>
                <c:pt idx="3">
                  <c:v>977.56040000000007</c:v>
                </c:pt>
                <c:pt idx="4">
                  <c:v>945.41480999999999</c:v>
                </c:pt>
                <c:pt idx="5">
                  <c:v>894.98106099999984</c:v>
                </c:pt>
                <c:pt idx="6">
                  <c:v>1036.4338049999999</c:v>
                </c:pt>
                <c:pt idx="7">
                  <c:v>944.586814</c:v>
                </c:pt>
                <c:pt idx="8">
                  <c:v>1080.261892</c:v>
                </c:pt>
              </c:numCache>
            </c:numRef>
          </c:val>
          <c:extLst>
            <c:ext xmlns:c16="http://schemas.microsoft.com/office/drawing/2014/chart" uri="{C3380CC4-5D6E-409C-BE32-E72D297353CC}">
              <c16:uniqueId val="{00000000-E5E7-40A2-8E22-509E0804E745}"/>
            </c:ext>
          </c:extLst>
        </c:ser>
        <c:dLbls>
          <c:showLegendKey val="0"/>
          <c:showVal val="0"/>
          <c:showCatName val="0"/>
          <c:showSerName val="0"/>
          <c:showPercent val="0"/>
          <c:showBubbleSize val="0"/>
        </c:dLbls>
        <c:gapWidth val="40"/>
        <c:axId val="135059328"/>
        <c:axId val="135057408"/>
      </c:barChart>
      <c:lineChart>
        <c:grouping val="standard"/>
        <c:varyColors val="0"/>
        <c:ser>
          <c:idx val="1"/>
          <c:order val="1"/>
          <c:tx>
            <c:v>Value</c:v>
          </c:tx>
          <c:spPr>
            <a:ln w="28575">
              <a:solidFill>
                <a:srgbClr val="F6BEA2"/>
              </a:solidFill>
            </a:ln>
          </c:spPr>
          <c:marker>
            <c:symbol val="none"/>
          </c:marker>
          <c:cat>
            <c:numRef>
              <c:f>'Lithium - Q&amp;V'!$P$13:$P$21</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'Lithium - Q&amp;V'!$R$13:$R$21</c:f>
              <c:numCache>
                <c:formatCode>#,##0.00</c:formatCode>
                <c:ptCount val="9"/>
                <c:pt idx="0">
                  <c:v>1761.2463869999999</c:v>
                </c:pt>
                <c:pt idx="1">
                  <c:v>964.39536799999996</c:v>
                </c:pt>
                <c:pt idx="2">
                  <c:v>1926.3639169999999</c:v>
                </c:pt>
                <c:pt idx="3">
                  <c:v>1097.104973</c:v>
                </c:pt>
                <c:pt idx="4">
                  <c:v>1044.833398</c:v>
                </c:pt>
                <c:pt idx="5">
                  <c:v>1058.288319</c:v>
                </c:pt>
                <c:pt idx="6">
                  <c:v>1043.351087</c:v>
                </c:pt>
                <c:pt idx="7">
                  <c:v>1042.1175929999999</c:v>
                </c:pt>
                <c:pt idx="8">
                  <c:v>1318.1209111333869</c:v>
                </c:pt>
              </c:numCache>
            </c:numRef>
          </c:val>
          <c:smooth val="0"/>
          <c:extLst>
            <c:ext xmlns:c16="http://schemas.microsoft.com/office/drawing/2014/chart" uri="{C3380CC4-5D6E-409C-BE32-E72D297353CC}">
              <c16:uniqueId val="{00000001-E5E7-40A2-8E22-509E0804E745}"/>
            </c:ext>
          </c:extLst>
        </c:ser>
        <c:dLbls>
          <c:showLegendKey val="0"/>
          <c:showVal val="0"/>
          <c:showCatName val="0"/>
          <c:showSerName val="0"/>
          <c:showPercent val="0"/>
          <c:showBubbleSize val="0"/>
        </c:dLbls>
        <c:marker val="1"/>
        <c:smooth val="0"/>
        <c:axId val="135036928"/>
        <c:axId val="135038848"/>
      </c:lineChart>
      <c:catAx>
        <c:axId val="135036928"/>
        <c:scaling>
          <c:orientation val="minMax"/>
        </c:scaling>
        <c:delete val="0"/>
        <c:axPos val="b"/>
        <c:title>
          <c:tx>
            <c:rich>
              <a:bodyPr/>
              <a:lstStyle/>
              <a:p>
                <a:pPr>
                  <a:defRPr sz="900"/>
                </a:pPr>
                <a:r>
                  <a:rPr lang="en-AU" sz="900"/>
                  <a:t>Source: DTF</a:t>
                </a:r>
                <a:r>
                  <a:rPr lang="en-AU" sz="900" baseline="0"/>
                  <a:t> and DMPE</a:t>
                </a:r>
                <a:endParaRPr lang="en-AU" sz="900"/>
              </a:p>
            </c:rich>
          </c:tx>
          <c:layout>
            <c:manualLayout>
              <c:xMode val="edge"/>
              <c:yMode val="edge"/>
              <c:x val="0"/>
              <c:y val="0.94405902037274514"/>
            </c:manualLayout>
          </c:layout>
          <c:overlay val="0"/>
          <c:spPr>
            <a:noFill/>
          </c:spPr>
        </c:title>
        <c:numFmt formatCode="mmm\-yy" sourceLinked="1"/>
        <c:majorTickMark val="out"/>
        <c:minorTickMark val="none"/>
        <c:tickLblPos val="nextTo"/>
        <c:txPr>
          <a:bodyPr rot="-2700000"/>
          <a:lstStyle/>
          <a:p>
            <a:pPr>
              <a:defRPr/>
            </a:pPr>
            <a:endParaRPr lang="en-US"/>
          </a:p>
        </c:txPr>
        <c:crossAx val="135038848"/>
        <c:crosses val="autoZero"/>
        <c:auto val="0"/>
        <c:lblAlgn val="ctr"/>
        <c:lblOffset val="100"/>
        <c:noMultiLvlLbl val="0"/>
      </c:catAx>
      <c:valAx>
        <c:axId val="135038848"/>
        <c:scaling>
          <c:orientation val="minMax"/>
        </c:scaling>
        <c:delete val="0"/>
        <c:axPos val="l"/>
        <c:majorGridlines/>
        <c:title>
          <c:tx>
            <c:rich>
              <a:bodyPr rot="-5400000" vert="horz"/>
              <a:lstStyle/>
              <a:p>
                <a:pPr>
                  <a:defRPr/>
                </a:pPr>
                <a:r>
                  <a:rPr lang="en-AU"/>
                  <a:t>$ Million</a:t>
                </a:r>
              </a:p>
            </c:rich>
          </c:tx>
          <c:layout>
            <c:manualLayout>
              <c:xMode val="edge"/>
              <c:yMode val="edge"/>
              <c:x val="1.5211761754722063E-2"/>
              <c:y val="0.50071893574318538"/>
            </c:manualLayout>
          </c:layout>
          <c:overlay val="0"/>
        </c:title>
        <c:numFmt formatCode="#,##0" sourceLinked="0"/>
        <c:majorTickMark val="out"/>
        <c:minorTickMark val="none"/>
        <c:tickLblPos val="nextTo"/>
        <c:crossAx val="135036928"/>
        <c:crosses val="autoZero"/>
        <c:crossBetween val="between"/>
      </c:valAx>
      <c:valAx>
        <c:axId val="135057408"/>
        <c:scaling>
          <c:orientation val="minMax"/>
          <c:max val="1500"/>
          <c:min val="0"/>
        </c:scaling>
        <c:delete val="0"/>
        <c:axPos val="r"/>
        <c:title>
          <c:tx>
            <c:rich>
              <a:bodyPr rot="-5400000" vert="horz"/>
              <a:lstStyle/>
              <a:p>
                <a:pPr>
                  <a:defRPr/>
                </a:pPr>
                <a:r>
                  <a:rPr lang="en-AU"/>
                  <a:t>Thousand tonnes</a:t>
                </a:r>
              </a:p>
            </c:rich>
          </c:tx>
          <c:layout>
            <c:manualLayout>
              <c:xMode val="edge"/>
              <c:yMode val="edge"/>
              <c:x val="0.94957292422763095"/>
              <c:y val="0.44712802564204152"/>
            </c:manualLayout>
          </c:layout>
          <c:overlay val="0"/>
        </c:title>
        <c:numFmt formatCode="#,##0" sourceLinked="0"/>
        <c:majorTickMark val="out"/>
        <c:minorTickMark val="none"/>
        <c:tickLblPos val="nextTo"/>
        <c:crossAx val="135059328"/>
        <c:crosses val="max"/>
        <c:crossBetween val="between"/>
        <c:majorUnit val="300"/>
      </c:valAx>
      <c:dateAx>
        <c:axId val="135059328"/>
        <c:scaling>
          <c:orientation val="minMax"/>
        </c:scaling>
        <c:delete val="1"/>
        <c:axPos val="b"/>
        <c:numFmt formatCode="mmm\-yy" sourceLinked="1"/>
        <c:majorTickMark val="out"/>
        <c:minorTickMark val="none"/>
        <c:tickLblPos val="nextTo"/>
        <c:crossAx val="13505740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Spodumene Concentrate 
</a:t>
            </a:r>
            <a:r>
              <a:rPr lang="en-US" sz="1100"/>
              <a:t>Quantity And Value By Year</a:t>
            </a:r>
          </a:p>
        </c:rich>
      </c:tx>
      <c:layout>
        <c:manualLayout>
          <c:xMode val="edge"/>
          <c:yMode val="edge"/>
          <c:x val="0.3201034866444088"/>
          <c:y val="1.5326561969755263E-2"/>
        </c:manualLayout>
      </c:layout>
      <c:overlay val="0"/>
    </c:title>
    <c:autoTitleDeleted val="0"/>
    <c:plotArea>
      <c:layout/>
      <c:barChart>
        <c:barDir val="col"/>
        <c:grouping val="clustered"/>
        <c:varyColors val="0"/>
        <c:ser>
          <c:idx val="0"/>
          <c:order val="0"/>
          <c:tx>
            <c:v>Quantity</c:v>
          </c:tx>
          <c:spPr>
            <a:solidFill>
              <a:srgbClr val="F69240"/>
            </a:solidFill>
          </c:spPr>
          <c:invertIfNegative val="0"/>
          <c:cat>
            <c:numRef>
              <c:f>'Lithium - Q&amp;V'!$P$29:$P$48</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'Lithium - Q&amp;V'!$Q$29:$Q$48</c:f>
              <c:numCache>
                <c:formatCode>#,##0.00</c:formatCode>
                <c:ptCount val="20"/>
                <c:pt idx="0">
                  <c:v>222.101</c:v>
                </c:pt>
                <c:pt idx="1">
                  <c:v>245.279</c:v>
                </c:pt>
                <c:pt idx="2">
                  <c:v>239.52800000000002</c:v>
                </c:pt>
                <c:pt idx="3">
                  <c:v>197.48214999999999</c:v>
                </c:pt>
                <c:pt idx="4">
                  <c:v>326.86499999999995</c:v>
                </c:pt>
                <c:pt idx="5">
                  <c:v>401.53584999999998</c:v>
                </c:pt>
                <c:pt idx="6">
                  <c:v>500.89855</c:v>
                </c:pt>
                <c:pt idx="7">
                  <c:v>405.11900000000003</c:v>
                </c:pt>
                <c:pt idx="8">
                  <c:v>444.54599999999999</c:v>
                </c:pt>
                <c:pt idx="9">
                  <c:v>439.51400000000001</c:v>
                </c:pt>
                <c:pt idx="10">
                  <c:v>522.18100000000004</c:v>
                </c:pt>
                <c:pt idx="11">
                  <c:v>1706.61861</c:v>
                </c:pt>
                <c:pt idx="12">
                  <c:v>1965.9124324999998</c:v>
                </c:pt>
                <c:pt idx="13">
                  <c:v>1588.2630230000002</c:v>
                </c:pt>
                <c:pt idx="14">
                  <c:v>1477.0900270000002</c:v>
                </c:pt>
                <c:pt idx="15">
                  <c:v>1966.744338</c:v>
                </c:pt>
                <c:pt idx="16">
                  <c:v>2825.3749280000002</c:v>
                </c:pt>
                <c:pt idx="17">
                  <c:v>3398.2612950000002</c:v>
                </c:pt>
                <c:pt idx="18">
                  <c:v>3796.099287</c:v>
                </c:pt>
                <c:pt idx="19">
                  <c:v>3956.2635719999994</c:v>
                </c:pt>
              </c:numCache>
            </c:numRef>
          </c:val>
          <c:extLst>
            <c:ext xmlns:c16="http://schemas.microsoft.com/office/drawing/2014/chart" uri="{C3380CC4-5D6E-409C-BE32-E72D297353CC}">
              <c16:uniqueId val="{00000000-BAE7-44DC-95B4-065FD4834F10}"/>
            </c:ext>
          </c:extLst>
        </c:ser>
        <c:dLbls>
          <c:showLegendKey val="0"/>
          <c:showVal val="0"/>
          <c:showCatName val="0"/>
          <c:showSerName val="0"/>
          <c:showPercent val="0"/>
          <c:showBubbleSize val="0"/>
        </c:dLbls>
        <c:gapWidth val="40"/>
        <c:axId val="135764608"/>
        <c:axId val="135762688"/>
      </c:barChart>
      <c:lineChart>
        <c:grouping val="standard"/>
        <c:varyColors val="0"/>
        <c:ser>
          <c:idx val="1"/>
          <c:order val="1"/>
          <c:tx>
            <c:v>Value</c:v>
          </c:tx>
          <c:spPr>
            <a:ln w="28575">
              <a:solidFill>
                <a:srgbClr val="F6BEA2"/>
              </a:solidFill>
            </a:ln>
          </c:spPr>
          <c:marker>
            <c:symbol val="none"/>
          </c:marker>
          <c:cat>
            <c:numRef>
              <c:f>'Lithium - Q&amp;V'!$P$29:$P$48</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'Lithium - Q&amp;V'!$R$29:$R$48</c:f>
              <c:numCache>
                <c:formatCode>#,##0.00</c:formatCode>
                <c:ptCount val="20"/>
                <c:pt idx="0">
                  <c:v>51.784586000000004</c:v>
                </c:pt>
                <c:pt idx="1">
                  <c:v>67.904724999999999</c:v>
                </c:pt>
                <c:pt idx="2">
                  <c:v>73.33752733</c:v>
                </c:pt>
                <c:pt idx="3">
                  <c:v>71.703547</c:v>
                </c:pt>
                <c:pt idx="4">
                  <c:v>92.182259810000005</c:v>
                </c:pt>
                <c:pt idx="5">
                  <c:v>117.3272889</c:v>
                </c:pt>
                <c:pt idx="6">
                  <c:v>162.18938188999999</c:v>
                </c:pt>
                <c:pt idx="7">
                  <c:v>169.28654399999999</c:v>
                </c:pt>
                <c:pt idx="8">
                  <c:v>201.517762</c:v>
                </c:pt>
                <c:pt idx="9">
                  <c:v>240.17827200000002</c:v>
                </c:pt>
                <c:pt idx="10">
                  <c:v>293.85964200000001</c:v>
                </c:pt>
                <c:pt idx="11">
                  <c:v>1198.5285669999998</c:v>
                </c:pt>
                <c:pt idx="12">
                  <c:v>1864.9992829999999</c:v>
                </c:pt>
                <c:pt idx="13">
                  <c:v>1317.353541</c:v>
                </c:pt>
                <c:pt idx="14">
                  <c:v>822.77081499999997</c:v>
                </c:pt>
                <c:pt idx="15">
                  <c:v>2687.7823339999995</c:v>
                </c:pt>
                <c:pt idx="16">
                  <c:v>17034.832617</c:v>
                </c:pt>
                <c:pt idx="17">
                  <c:v>15990.229719999998</c:v>
                </c:pt>
                <c:pt idx="18">
                  <c:v>5032.6976560000003</c:v>
                </c:pt>
                <c:pt idx="19">
                  <c:v>4461.8779101333876</c:v>
                </c:pt>
              </c:numCache>
            </c:numRef>
          </c:val>
          <c:smooth val="0"/>
          <c:extLst>
            <c:ext xmlns:c16="http://schemas.microsoft.com/office/drawing/2014/chart" uri="{C3380CC4-5D6E-409C-BE32-E72D297353CC}">
              <c16:uniqueId val="{00000001-BAE7-44DC-95B4-065FD4834F10}"/>
            </c:ext>
          </c:extLst>
        </c:ser>
        <c:dLbls>
          <c:showLegendKey val="0"/>
          <c:showVal val="0"/>
          <c:showCatName val="0"/>
          <c:showSerName val="0"/>
          <c:showPercent val="0"/>
          <c:showBubbleSize val="0"/>
        </c:dLbls>
        <c:marker val="1"/>
        <c:smooth val="0"/>
        <c:axId val="135750400"/>
        <c:axId val="135752320"/>
      </c:lineChart>
      <c:dateAx>
        <c:axId val="135750400"/>
        <c:scaling>
          <c:orientation val="minMax"/>
        </c:scaling>
        <c:delete val="0"/>
        <c:axPos val="b"/>
        <c:title>
          <c:tx>
            <c:rich>
              <a:bodyPr/>
              <a:lstStyle/>
              <a:p>
                <a:pPr>
                  <a:defRPr sz="900"/>
                </a:pPr>
                <a:r>
                  <a:rPr lang="en-AU" sz="900"/>
                  <a:t>Source: DTF</a:t>
                </a:r>
                <a:r>
                  <a:rPr lang="en-AU" sz="900" baseline="0"/>
                  <a:t> and DMPE</a:t>
                </a:r>
                <a:endParaRPr lang="en-AU" sz="900"/>
              </a:p>
            </c:rich>
          </c:tx>
          <c:layout>
            <c:manualLayout>
              <c:xMode val="edge"/>
              <c:yMode val="edge"/>
              <c:x val="9.3738967744948706E-3"/>
              <c:y val="0.95020412084185546"/>
            </c:manualLayout>
          </c:layout>
          <c:overlay val="0"/>
          <c:spPr>
            <a:noFill/>
          </c:spPr>
        </c:title>
        <c:numFmt formatCode="@@@@@@@@@" sourceLinked="0"/>
        <c:majorTickMark val="out"/>
        <c:minorTickMark val="none"/>
        <c:tickLblPos val="nextTo"/>
        <c:txPr>
          <a:bodyPr rot="-2700000"/>
          <a:lstStyle/>
          <a:p>
            <a:pPr>
              <a:defRPr/>
            </a:pPr>
            <a:endParaRPr lang="en-US"/>
          </a:p>
        </c:txPr>
        <c:crossAx val="135752320"/>
        <c:crosses val="autoZero"/>
        <c:auto val="0"/>
        <c:lblOffset val="100"/>
        <c:baseTimeUnit val="days"/>
        <c:majorUnit val="1"/>
        <c:majorTimeUnit val="days"/>
      </c:dateAx>
      <c:valAx>
        <c:axId val="135752320"/>
        <c:scaling>
          <c:orientation val="minMax"/>
          <c:max val="25000"/>
        </c:scaling>
        <c:delete val="0"/>
        <c:axPos val="l"/>
        <c:majorGridlines/>
        <c:title>
          <c:tx>
            <c:rich>
              <a:bodyPr rot="-5400000" vert="horz"/>
              <a:lstStyle/>
              <a:p>
                <a:pPr>
                  <a:defRPr/>
                </a:pPr>
                <a:r>
                  <a:rPr lang="en-AU"/>
                  <a:t>$ Million</a:t>
                </a:r>
              </a:p>
            </c:rich>
          </c:tx>
          <c:layout>
            <c:manualLayout>
              <c:xMode val="edge"/>
              <c:yMode val="edge"/>
              <c:x val="1.7445558182310205E-2"/>
              <c:y val="0.45892408983151406"/>
            </c:manualLayout>
          </c:layout>
          <c:overlay val="0"/>
        </c:title>
        <c:numFmt formatCode="#,##0" sourceLinked="0"/>
        <c:majorTickMark val="out"/>
        <c:minorTickMark val="none"/>
        <c:tickLblPos val="nextTo"/>
        <c:crossAx val="135750400"/>
        <c:crosses val="autoZero"/>
        <c:crossBetween val="between"/>
      </c:valAx>
      <c:valAx>
        <c:axId val="135762688"/>
        <c:scaling>
          <c:orientation val="minMax"/>
          <c:max val="500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5764608"/>
        <c:crosses val="max"/>
        <c:crossBetween val="between"/>
        <c:majorUnit val="1000"/>
      </c:valAx>
      <c:catAx>
        <c:axId val="135764608"/>
        <c:scaling>
          <c:orientation val="minMax"/>
        </c:scaling>
        <c:delete val="1"/>
        <c:axPos val="b"/>
        <c:numFmt formatCode="General" sourceLinked="1"/>
        <c:majorTickMark val="out"/>
        <c:minorTickMark val="none"/>
        <c:tickLblPos val="nextTo"/>
        <c:crossAx val="13576268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'Lithium - Exports'!$A$10:$D$10</c:f>
          <c:strCache>
            <c:ptCount val="4"/>
            <c:pt idx="0">
              <c:v>Spodumene Concentrate Exports 2025</c:v>
            </c:pt>
          </c:strCache>
        </c:strRef>
      </c:tx>
      <c:layout>
        <c:manualLayout>
          <c:xMode val="edge"/>
          <c:yMode val="edge"/>
          <c:x val="0.25312569633088394"/>
          <c:y val="3.771191091325017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9086606167111673"/>
          <c:y val="0.22816633623735874"/>
          <c:w val="0.44497894837867047"/>
          <c:h val="0.66012207200515027"/>
        </c:manualLayout>
      </c:layout>
      <c:pieChart>
        <c:varyColors val="1"/>
        <c:ser>
          <c:idx val="1"/>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9403-473C-97FD-B6BA155C298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9403-473C-97FD-B6BA155C2986}"/>
              </c:ext>
            </c:extLst>
          </c:dPt>
          <c:dPt>
            <c:idx val="2"/>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5-9403-473C-97FD-B6BA155C2986}"/>
              </c:ext>
            </c:extLst>
          </c:dPt>
          <c:dPt>
            <c:idx val="3"/>
            <c:bubble3D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9403-473C-97FD-B6BA155C2986}"/>
              </c:ext>
            </c:extLst>
          </c:dPt>
          <c:dPt>
            <c:idx val="4"/>
            <c:bubble3D val="0"/>
            <c:spPr>
              <a:solidFill>
                <a:schemeClr val="accent6">
                  <a:tint val="70000"/>
                </a:schemeClr>
              </a:solidFill>
              <a:ln w="19050">
                <a:solidFill>
                  <a:schemeClr val="lt1"/>
                </a:solidFill>
              </a:ln>
              <a:effectLst/>
            </c:spPr>
            <c:extLst>
              <c:ext xmlns:c16="http://schemas.microsoft.com/office/drawing/2014/chart" uri="{C3380CC4-5D6E-409C-BE32-E72D297353CC}">
                <c16:uniqueId val="{00000009-9403-473C-97FD-B6BA155C2986}"/>
              </c:ext>
            </c:extLst>
          </c:dPt>
          <c:dPt>
            <c:idx val="5"/>
            <c:bubble3D val="0"/>
            <c:spPr>
              <a:solidFill>
                <a:schemeClr val="accent6">
                  <a:tint val="50000"/>
                </a:schemeClr>
              </a:solidFill>
              <a:ln w="19050">
                <a:solidFill>
                  <a:schemeClr val="lt1"/>
                </a:solidFill>
              </a:ln>
              <a:effectLst/>
            </c:spPr>
            <c:extLst>
              <c:ext xmlns:c16="http://schemas.microsoft.com/office/drawing/2014/chart" uri="{C3380CC4-5D6E-409C-BE32-E72D297353CC}">
                <c16:uniqueId val="{0000000B-9403-473C-97FD-B6BA155C2986}"/>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1"/>
              <c:showCatName val="1"/>
              <c:showSerName val="0"/>
              <c:showPercent val="0"/>
              <c:showBubbleSize val="0"/>
              <c:extLst>
                <c:ext xmlns:c16="http://schemas.microsoft.com/office/drawing/2014/chart" uri="{C3380CC4-5D6E-409C-BE32-E72D297353CC}">
                  <c16:uniqueId val="{00000001-9403-473C-97FD-B6BA155C2986}"/>
                </c:ext>
              </c:extLst>
            </c:dLbl>
            <c:dLbl>
              <c:idx val="1"/>
              <c:layout>
                <c:manualLayout>
                  <c:x val="0.10879744960337827"/>
                  <c:y val="-0.1531394222409895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03-473C-97FD-B6BA155C2986}"/>
                </c:ext>
              </c:extLst>
            </c:dLbl>
            <c:dLbl>
              <c:idx val="2"/>
              <c:layout>
                <c:manualLayout>
                  <c:x val="0.103515558170491"/>
                  <c:y val="-6.103380610546710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03-473C-97FD-B6BA155C2986}"/>
                </c:ext>
              </c:extLst>
            </c:dLbl>
            <c:dLbl>
              <c:idx val="3"/>
              <c:layout>
                <c:manualLayout>
                  <c:x val="9.2893022712383533E-2"/>
                  <c:y val="-1.977197645247025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03-473C-97FD-B6BA155C2986}"/>
                </c:ext>
              </c:extLst>
            </c:dLbl>
            <c:dLbl>
              <c:idx val="4"/>
              <c:layout>
                <c:manualLayout>
                  <c:x val="8.4176441378849901E-2"/>
                  <c:y val="6.123599691994336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403-473C-97FD-B6BA155C2986}"/>
                </c:ext>
              </c:extLst>
            </c:dLbl>
            <c:dLbl>
              <c:idx val="5"/>
              <c:layout>
                <c:manualLayout>
                  <c:x val="-9.8256032781275954E-2"/>
                  <c:y val="9.041605603715939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403-473C-97FD-B6BA155C298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'Lithium - Exports'!$A$12:$A$17</c:f>
              <c:strCache>
                <c:ptCount val="6"/>
                <c:pt idx="0">
                  <c:v>China</c:v>
                </c:pt>
                <c:pt idx="1">
                  <c:v>Indonesia</c:v>
                </c:pt>
                <c:pt idx="2">
                  <c:v>Korea, Republic of (South)</c:v>
                </c:pt>
                <c:pt idx="3">
                  <c:v>Belgium</c:v>
                </c:pt>
                <c:pt idx="4">
                  <c:v>United States of America</c:v>
                </c:pt>
                <c:pt idx="5">
                  <c:v>Other</c:v>
                </c:pt>
              </c:strCache>
            </c:strRef>
          </c:cat>
          <c:val>
            <c:numRef>
              <c:f>'Lithium - Exports'!$D$12:$D$17</c:f>
              <c:numCache>
                <c:formatCode>0.0%</c:formatCode>
                <c:ptCount val="6"/>
                <c:pt idx="0">
                  <c:v>0.94669951796583296</c:v>
                </c:pt>
                <c:pt idx="1">
                  <c:v>2.5899358756149033E-2</c:v>
                </c:pt>
                <c:pt idx="2">
                  <c:v>2.1383022345087141E-2</c:v>
                </c:pt>
                <c:pt idx="3">
                  <c:v>5.2064596794282048E-3</c:v>
                </c:pt>
                <c:pt idx="4">
                  <c:v>5.7846032252163943E-4</c:v>
                </c:pt>
                <c:pt idx="5" formatCode="0.00%">
                  <c:v>2.3318093098099996E-4</c:v>
                </c:pt>
              </c:numCache>
            </c:numRef>
          </c:val>
          <c:extLst>
            <c:ext xmlns:c16="http://schemas.microsoft.com/office/drawing/2014/chart" uri="{C3380CC4-5D6E-409C-BE32-E72D297353CC}">
              <c16:uniqueId val="{0000000C-9403-473C-97FD-B6BA155C2986}"/>
            </c:ext>
          </c:extLst>
        </c:ser>
        <c:dLbls>
          <c:showLegendKey val="0"/>
          <c:showVal val="1"/>
          <c:showCatName val="1"/>
          <c:showSerName val="0"/>
          <c:showPercent val="0"/>
          <c:showBubbleSize val="0"/>
          <c:showLeaderLines val="1"/>
        </c:dLbls>
        <c:firstSliceAng val="135"/>
      </c:pieChart>
      <c:spPr>
        <a:noFill/>
        <a:ln>
          <a:noFill/>
        </a:ln>
        <a:effectLst/>
      </c:spPr>
    </c:plotArea>
    <c:plotVisOnly val="1"/>
    <c:dispBlanksAs val="gap"/>
    <c:showDLblsOverMax val="0"/>
  </c:chart>
  <c:spPr>
    <a:solidFill>
      <a:schemeClr val="bg1"/>
    </a:solidFill>
    <a:ln w="317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Monthly Prices, Last 5 Years</a:t>
            </a:r>
          </a:p>
        </c:rich>
      </c:tx>
      <c:overlay val="0"/>
    </c:title>
    <c:autoTitleDeleted val="0"/>
    <c:plotArea>
      <c:layout/>
      <c:lineChart>
        <c:grouping val="standard"/>
        <c:varyColors val="0"/>
        <c:ser>
          <c:idx val="1"/>
          <c:order val="0"/>
          <c:tx>
            <c:strRef>
              <c:f>'Mineral Sands - Prices'!$B$9</c:f>
              <c:strCache>
                <c:ptCount val="1"/>
                <c:pt idx="0">
                  <c:v>Zircon</c:v>
                </c:pt>
              </c:strCache>
            </c:strRef>
          </c:tx>
          <c:spPr>
            <a:ln w="28575"/>
          </c:spPr>
          <c:marker>
            <c:symbol val="none"/>
          </c:marker>
          <c:cat>
            <c:numRef>
              <c:f>'Mineral Sands - Prices'!$A$11:$A$71</c:f>
              <c:numCache>
                <c:formatCode>mmm\-yy</c:formatCode>
                <c:ptCount val="61"/>
                <c:pt idx="0">
                  <c:v>44166</c:v>
                </c:pt>
                <c:pt idx="1">
                  <c:v>44197</c:v>
                </c:pt>
                <c:pt idx="2">
                  <c:v>44228</c:v>
                </c:pt>
                <c:pt idx="3">
                  <c:v>44256</c:v>
                </c:pt>
                <c:pt idx="4">
                  <c:v>44287</c:v>
                </c:pt>
                <c:pt idx="5">
                  <c:v>44317</c:v>
                </c:pt>
                <c:pt idx="6">
                  <c:v>44317</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pt idx="37">
                  <c:v>45292</c:v>
                </c:pt>
                <c:pt idx="38">
                  <c:v>45323</c:v>
                </c:pt>
                <c:pt idx="39">
                  <c:v>45352</c:v>
                </c:pt>
                <c:pt idx="40">
                  <c:v>45383</c:v>
                </c:pt>
                <c:pt idx="41">
                  <c:v>45413</c:v>
                </c:pt>
                <c:pt idx="42">
                  <c:v>45444</c:v>
                </c:pt>
                <c:pt idx="43">
                  <c:v>45474</c:v>
                </c:pt>
                <c:pt idx="44">
                  <c:v>45505</c:v>
                </c:pt>
                <c:pt idx="45">
                  <c:v>45536</c:v>
                </c:pt>
                <c:pt idx="46">
                  <c:v>45566</c:v>
                </c:pt>
                <c:pt idx="47">
                  <c:v>45597</c:v>
                </c:pt>
                <c:pt idx="48">
                  <c:v>45627</c:v>
                </c:pt>
                <c:pt idx="49">
                  <c:v>45658</c:v>
                </c:pt>
                <c:pt idx="50">
                  <c:v>45689</c:v>
                </c:pt>
                <c:pt idx="51">
                  <c:v>45717</c:v>
                </c:pt>
                <c:pt idx="52">
                  <c:v>45748</c:v>
                </c:pt>
                <c:pt idx="53">
                  <c:v>45778</c:v>
                </c:pt>
                <c:pt idx="54">
                  <c:v>45809</c:v>
                </c:pt>
                <c:pt idx="55">
                  <c:v>45839</c:v>
                </c:pt>
                <c:pt idx="56">
                  <c:v>45870</c:v>
                </c:pt>
                <c:pt idx="57">
                  <c:v>45901</c:v>
                </c:pt>
                <c:pt idx="58">
                  <c:v>45931</c:v>
                </c:pt>
                <c:pt idx="59">
                  <c:v>45962</c:v>
                </c:pt>
                <c:pt idx="60">
                  <c:v>45992</c:v>
                </c:pt>
              </c:numCache>
            </c:numRef>
          </c:cat>
          <c:val>
            <c:numRef>
              <c:f>'Mineral Sands - Prices'!$B$11:$B$71</c:f>
              <c:numCache>
                <c:formatCode>#,##0.00</c:formatCode>
                <c:ptCount val="61"/>
                <c:pt idx="0">
                  <c:v>1525.4759061576503</c:v>
                </c:pt>
                <c:pt idx="1">
                  <c:v>1716.0525778458398</c:v>
                </c:pt>
                <c:pt idx="2">
                  <c:v>1704.9851469163707</c:v>
                </c:pt>
                <c:pt idx="3">
                  <c:v>1549.3028445883442</c:v>
                </c:pt>
                <c:pt idx="4">
                  <c:v>1773.6919422620135</c:v>
                </c:pt>
                <c:pt idx="5">
                  <c:v>1782.5444579780756</c:v>
                </c:pt>
                <c:pt idx="6">
                  <c:v>1782.5444579780756</c:v>
                </c:pt>
                <c:pt idx="7">
                  <c:v>1951.5079338100927</c:v>
                </c:pt>
                <c:pt idx="8">
                  <c:v>2081.1388888888887</c:v>
                </c:pt>
                <c:pt idx="9">
                  <c:v>2066.2563540753727</c:v>
                </c:pt>
                <c:pt idx="10">
                  <c:v>1323.1246971410112</c:v>
                </c:pt>
                <c:pt idx="11">
                  <c:v>2303.7133735367152</c:v>
                </c:pt>
                <c:pt idx="12">
                  <c:v>2322.2073547589616</c:v>
                </c:pt>
                <c:pt idx="13">
                  <c:v>2458.6455574745728</c:v>
                </c:pt>
                <c:pt idx="14">
                  <c:v>2592.3271389856754</c:v>
                </c:pt>
                <c:pt idx="15">
                  <c:v>2527.4779101037266</c:v>
                </c:pt>
                <c:pt idx="16">
                  <c:v>2724.5884377150724</c:v>
                </c:pt>
                <c:pt idx="17">
                  <c:v>2816.4895976922307</c:v>
                </c:pt>
                <c:pt idx="18">
                  <c:v>2772.3316742081447</c:v>
                </c:pt>
                <c:pt idx="19">
                  <c:v>3139.1894075403948</c:v>
                </c:pt>
                <c:pt idx="20">
                  <c:v>3091.1023391812864</c:v>
                </c:pt>
                <c:pt idx="21">
                  <c:v>3230.9760376551135</c:v>
                </c:pt>
                <c:pt idx="22">
                  <c:v>3377.6901062959932</c:v>
                </c:pt>
                <c:pt idx="23">
                  <c:v>3071.7862211709048</c:v>
                </c:pt>
                <c:pt idx="24">
                  <c:v>2795.2769733769269</c:v>
                </c:pt>
                <c:pt idx="25">
                  <c:v>3158.7770623742454</c:v>
                </c:pt>
                <c:pt idx="26">
                  <c:v>3156.9546328335255</c:v>
                </c:pt>
                <c:pt idx="27">
                  <c:v>3301.0509282488711</c:v>
                </c:pt>
                <c:pt idx="28">
                  <c:v>3265.0566442131048</c:v>
                </c:pt>
                <c:pt idx="29">
                  <c:v>3447.6052496139991</c:v>
                </c:pt>
                <c:pt idx="30">
                  <c:v>3247.300889877642</c:v>
                </c:pt>
                <c:pt idx="31">
                  <c:v>3230.4037230948225</c:v>
                </c:pt>
                <c:pt idx="32">
                  <c:v>3127.3269230769229</c:v>
                </c:pt>
                <c:pt idx="33">
                  <c:v>3095.211601513241</c:v>
                </c:pt>
                <c:pt idx="34">
                  <c:v>3022.6192486281129</c:v>
                </c:pt>
                <c:pt idx="35">
                  <c:v>2931.0982103884767</c:v>
                </c:pt>
                <c:pt idx="36">
                  <c:v>2858.6983059292475</c:v>
                </c:pt>
                <c:pt idx="37">
                  <c:v>2880.0027228383724</c:v>
                </c:pt>
                <c:pt idx="38">
                  <c:v>2901.3071397474969</c:v>
                </c:pt>
                <c:pt idx="39">
                  <c:v>2446.3108336548726</c:v>
                </c:pt>
                <c:pt idx="40">
                  <c:v>2929.2468193384225</c:v>
                </c:pt>
                <c:pt idx="41">
                  <c:v>2793.2662744353765</c:v>
                </c:pt>
                <c:pt idx="42">
                  <c:v>2627.1944613500368</c:v>
                </c:pt>
                <c:pt idx="43">
                  <c:v>2579.9205794205795</c:v>
                </c:pt>
                <c:pt idx="44">
                  <c:v>2872.6429635145196</c:v>
                </c:pt>
                <c:pt idx="45">
                  <c:v>2776.5514136125653</c:v>
                </c:pt>
                <c:pt idx="46">
                  <c:v>2756.6622899159665</c:v>
                </c:pt>
                <c:pt idx="47">
                  <c:v>2813.9088851160159</c:v>
                </c:pt>
                <c:pt idx="48">
                  <c:v>2902.2963610360716</c:v>
                </c:pt>
                <c:pt idx="49">
                  <c:v>2837.6802019315187</c:v>
                </c:pt>
                <c:pt idx="50">
                  <c:v>2830.8568561872908</c:v>
                </c:pt>
                <c:pt idx="51">
                  <c:v>2779.7769556840076</c:v>
                </c:pt>
                <c:pt idx="52">
                  <c:v>2579.385048957618</c:v>
                </c:pt>
                <c:pt idx="53">
                  <c:v>2707.9400163379623</c:v>
                </c:pt>
                <c:pt idx="54">
                  <c:v>2515.2861492160673</c:v>
                </c:pt>
                <c:pt idx="55">
                  <c:v>2511.9401053093461</c:v>
                </c:pt>
                <c:pt idx="56">
                  <c:v>2216.0078601446626</c:v>
                </c:pt>
                <c:pt idx="57">
                  <c:v>2229.1019468438863</c:v>
                </c:pt>
                <c:pt idx="58">
                  <c:v>2461.763367151083</c:v>
                </c:pt>
                <c:pt idx="59">
                  <c:v>2245.8383098591548</c:v>
                </c:pt>
                <c:pt idx="60">
                  <c:v>2094.7749342775901</c:v>
                </c:pt>
              </c:numCache>
            </c:numRef>
          </c:val>
          <c:smooth val="0"/>
          <c:extLst>
            <c:ext xmlns:c16="http://schemas.microsoft.com/office/drawing/2014/chart" uri="{C3380CC4-5D6E-409C-BE32-E72D297353CC}">
              <c16:uniqueId val="{00000000-E50E-4F98-ADF7-CA94CCE894D7}"/>
            </c:ext>
          </c:extLst>
        </c:ser>
        <c:ser>
          <c:idx val="2"/>
          <c:order val="1"/>
          <c:tx>
            <c:strRef>
              <c:f>'Mineral Sands - Prices'!$C$9</c:f>
              <c:strCache>
                <c:ptCount val="1"/>
                <c:pt idx="0">
                  <c:v>Titanium Dioxide Pigment</c:v>
                </c:pt>
              </c:strCache>
            </c:strRef>
          </c:tx>
          <c:spPr>
            <a:ln w="28575"/>
          </c:spPr>
          <c:marker>
            <c:symbol val="none"/>
          </c:marker>
          <c:cat>
            <c:numRef>
              <c:f>'Mineral Sands - Prices'!$A$11:$A$71</c:f>
              <c:numCache>
                <c:formatCode>mmm\-yy</c:formatCode>
                <c:ptCount val="61"/>
                <c:pt idx="0">
                  <c:v>44166</c:v>
                </c:pt>
                <c:pt idx="1">
                  <c:v>44197</c:v>
                </c:pt>
                <c:pt idx="2">
                  <c:v>44228</c:v>
                </c:pt>
                <c:pt idx="3">
                  <c:v>44256</c:v>
                </c:pt>
                <c:pt idx="4">
                  <c:v>44287</c:v>
                </c:pt>
                <c:pt idx="5">
                  <c:v>44317</c:v>
                </c:pt>
                <c:pt idx="6">
                  <c:v>44317</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pt idx="37">
                  <c:v>45292</c:v>
                </c:pt>
                <c:pt idx="38">
                  <c:v>45323</c:v>
                </c:pt>
                <c:pt idx="39">
                  <c:v>45352</c:v>
                </c:pt>
                <c:pt idx="40">
                  <c:v>45383</c:v>
                </c:pt>
                <c:pt idx="41">
                  <c:v>45413</c:v>
                </c:pt>
                <c:pt idx="42">
                  <c:v>45444</c:v>
                </c:pt>
                <c:pt idx="43">
                  <c:v>45474</c:v>
                </c:pt>
                <c:pt idx="44">
                  <c:v>45505</c:v>
                </c:pt>
                <c:pt idx="45">
                  <c:v>45536</c:v>
                </c:pt>
                <c:pt idx="46">
                  <c:v>45566</c:v>
                </c:pt>
                <c:pt idx="47">
                  <c:v>45597</c:v>
                </c:pt>
                <c:pt idx="48">
                  <c:v>45627</c:v>
                </c:pt>
                <c:pt idx="49">
                  <c:v>45658</c:v>
                </c:pt>
                <c:pt idx="50">
                  <c:v>45689</c:v>
                </c:pt>
                <c:pt idx="51">
                  <c:v>45717</c:v>
                </c:pt>
                <c:pt idx="52">
                  <c:v>45748</c:v>
                </c:pt>
                <c:pt idx="53">
                  <c:v>45778</c:v>
                </c:pt>
                <c:pt idx="54">
                  <c:v>45809</c:v>
                </c:pt>
                <c:pt idx="55">
                  <c:v>45839</c:v>
                </c:pt>
                <c:pt idx="56">
                  <c:v>45870</c:v>
                </c:pt>
                <c:pt idx="57">
                  <c:v>45901</c:v>
                </c:pt>
                <c:pt idx="58">
                  <c:v>45931</c:v>
                </c:pt>
                <c:pt idx="59">
                  <c:v>45962</c:v>
                </c:pt>
                <c:pt idx="60">
                  <c:v>45992</c:v>
                </c:pt>
              </c:numCache>
            </c:numRef>
          </c:cat>
          <c:val>
            <c:numRef>
              <c:f>'Mineral Sands - Prices'!$C$11:$C$71</c:f>
              <c:numCache>
                <c:formatCode>#,##0.00</c:formatCode>
                <c:ptCount val="61"/>
                <c:pt idx="0">
                  <c:v>3614.7844236787751</c:v>
                </c:pt>
                <c:pt idx="1">
                  <c:v>3614.7844236787751</c:v>
                </c:pt>
                <c:pt idx="2">
                  <c:v>3555.2726009570724</c:v>
                </c:pt>
                <c:pt idx="3">
                  <c:v>3566.9015170882326</c:v>
                </c:pt>
                <c:pt idx="4">
                  <c:v>3684.4856798233413</c:v>
                </c:pt>
                <c:pt idx="5">
                  <c:v>3621.6441047254616</c:v>
                </c:pt>
                <c:pt idx="6">
                  <c:v>3621.6441047254616</c:v>
                </c:pt>
                <c:pt idx="7">
                  <c:v>3918.7916710748777</c:v>
                </c:pt>
                <c:pt idx="8">
                  <c:v>4032.5339931623266</c:v>
                </c:pt>
                <c:pt idx="9">
                  <c:v>4089.7249899767207</c:v>
                </c:pt>
                <c:pt idx="10">
                  <c:v>4220.7497161790034</c:v>
                </c:pt>
                <c:pt idx="11">
                  <c:v>4384.9141947546368</c:v>
                </c:pt>
                <c:pt idx="12">
                  <c:v>4337.9320653058994</c:v>
                </c:pt>
                <c:pt idx="13">
                  <c:v>4490.7294667642955</c:v>
                </c:pt>
                <c:pt idx="14">
                  <c:v>4524.4786224718264</c:v>
                </c:pt>
                <c:pt idx="15">
                  <c:v>4596.6436279229101</c:v>
                </c:pt>
                <c:pt idx="16">
                  <c:v>4431.7794229417223</c:v>
                </c:pt>
                <c:pt idx="17">
                  <c:v>4640.4635299876027</c:v>
                </c:pt>
                <c:pt idx="18">
                  <c:v>4818.8661513261868</c:v>
                </c:pt>
                <c:pt idx="19">
                  <c:v>4794.00510305223</c:v>
                </c:pt>
                <c:pt idx="20">
                  <c:v>4713.261584702961</c:v>
                </c:pt>
                <c:pt idx="21">
                  <c:v>4945.2473457284632</c:v>
                </c:pt>
                <c:pt idx="22">
                  <c:v>4863.6497592917385</c:v>
                </c:pt>
                <c:pt idx="23">
                  <c:v>5065.079379866419</c:v>
                </c:pt>
                <c:pt idx="24">
                  <c:v>5130.2471326516461</c:v>
                </c:pt>
                <c:pt idx="25">
                  <c:v>4813.8742189365803</c:v>
                </c:pt>
                <c:pt idx="26">
                  <c:v>4739.822816925308</c:v>
                </c:pt>
                <c:pt idx="27">
                  <c:v>5053.0786525678868</c:v>
                </c:pt>
                <c:pt idx="28">
                  <c:v>4980.8634161280343</c:v>
                </c:pt>
                <c:pt idx="29">
                  <c:v>5133.2814223581518</c:v>
                </c:pt>
                <c:pt idx="30">
                  <c:v>5245.2293534986629</c:v>
                </c:pt>
                <c:pt idx="31">
                  <c:v>4921.7403277325138</c:v>
                </c:pt>
                <c:pt idx="32">
                  <c:v>5052.5761495869829</c:v>
                </c:pt>
                <c:pt idx="33">
                  <c:v>4959.602393190251</c:v>
                </c:pt>
                <c:pt idx="34">
                  <c:v>4876.2046283817936</c:v>
                </c:pt>
                <c:pt idx="35">
                  <c:v>4946.5843723098005</c:v>
                </c:pt>
                <c:pt idx="36">
                  <c:v>4725.3119767910921</c:v>
                </c:pt>
                <c:pt idx="37">
                  <c:v>4749.4585943402399</c:v>
                </c:pt>
                <c:pt idx="38">
                  <c:v>4864.3302679730823</c:v>
                </c:pt>
                <c:pt idx="39">
                  <c:v>4788.2862731270161</c:v>
                </c:pt>
                <c:pt idx="40">
                  <c:v>4799.4525265313277</c:v>
                </c:pt>
                <c:pt idx="41">
                  <c:v>4810.6187799356385</c:v>
                </c:pt>
                <c:pt idx="42">
                  <c:v>4828.8479235271907</c:v>
                </c:pt>
                <c:pt idx="43">
                  <c:v>4910.7046070460701</c:v>
                </c:pt>
                <c:pt idx="44">
                  <c:v>5007.1422160740549</c:v>
                </c:pt>
                <c:pt idx="45">
                  <c:v>4777.0024747151556</c:v>
                </c:pt>
                <c:pt idx="46">
                  <c:v>4743.3351948767504</c:v>
                </c:pt>
                <c:pt idx="47">
                  <c:v>4849.307972427644</c:v>
                </c:pt>
                <c:pt idx="48">
                  <c:v>5054.4436554262838</c:v>
                </c:pt>
                <c:pt idx="49">
                  <c:v>4950.1493736974253</c:v>
                </c:pt>
                <c:pt idx="50">
                  <c:v>5006.6276576987511</c:v>
                </c:pt>
                <c:pt idx="51">
                  <c:v>4839.6883073614754</c:v>
                </c:pt>
                <c:pt idx="52">
                  <c:v>4922.8706070203589</c:v>
                </c:pt>
                <c:pt idx="53">
                  <c:v>4745.6542509529336</c:v>
                </c:pt>
                <c:pt idx="54">
                  <c:v>4658.7553334732584</c:v>
                </c:pt>
                <c:pt idx="55">
                  <c:v>4753.7930527819926</c:v>
                </c:pt>
                <c:pt idx="56">
                  <c:v>4758.28922600227</c:v>
                </c:pt>
                <c:pt idx="57">
                  <c:v>4631.0849049031922</c:v>
                </c:pt>
                <c:pt idx="58">
                  <c:v>4523.8258796465825</c:v>
                </c:pt>
                <c:pt idx="59">
                  <c:v>4478.6754596637256</c:v>
                </c:pt>
                <c:pt idx="60">
                  <c:v>4345.7926964332055</c:v>
                </c:pt>
              </c:numCache>
            </c:numRef>
          </c:val>
          <c:smooth val="0"/>
          <c:extLst>
            <c:ext xmlns:c16="http://schemas.microsoft.com/office/drawing/2014/chart" uri="{C3380CC4-5D6E-409C-BE32-E72D297353CC}">
              <c16:uniqueId val="{00000001-E50E-4F98-ADF7-CA94CCE894D7}"/>
            </c:ext>
          </c:extLst>
        </c:ser>
        <c:dLbls>
          <c:showLegendKey val="0"/>
          <c:showVal val="0"/>
          <c:showCatName val="0"/>
          <c:showSerName val="0"/>
          <c:showPercent val="0"/>
          <c:showBubbleSize val="0"/>
        </c:dLbls>
        <c:smooth val="0"/>
        <c:axId val="133158400"/>
        <c:axId val="133156864"/>
      </c:lineChart>
      <c:valAx>
        <c:axId val="133156864"/>
        <c:scaling>
          <c:orientation val="minMax"/>
        </c:scaling>
        <c:delete val="0"/>
        <c:axPos val="l"/>
        <c:majorGridlines/>
        <c:title>
          <c:tx>
            <c:rich>
              <a:bodyPr/>
              <a:lstStyle/>
              <a:p>
                <a:pPr>
                  <a:defRPr/>
                </a:pPr>
                <a:r>
                  <a:rPr lang="en-AU"/>
                  <a:t>A$ per tonne</a:t>
                </a:r>
              </a:p>
            </c:rich>
          </c:tx>
          <c:layout>
            <c:manualLayout>
              <c:xMode val="edge"/>
              <c:yMode val="edge"/>
              <c:x val="1.4013394929744065E-2"/>
              <c:y val="0.4378168833050981"/>
            </c:manualLayout>
          </c:layout>
          <c:overlay val="0"/>
        </c:title>
        <c:numFmt formatCode="#,##0" sourceLinked="0"/>
        <c:majorTickMark val="out"/>
        <c:minorTickMark val="none"/>
        <c:tickLblPos val="nextTo"/>
        <c:crossAx val="133158400"/>
        <c:crosses val="autoZero"/>
        <c:crossBetween val="midCat"/>
      </c:valAx>
      <c:dateAx>
        <c:axId val="133158400"/>
        <c:scaling>
          <c:orientation val="minMax"/>
        </c:scaling>
        <c:delete val="0"/>
        <c:axPos val="b"/>
        <c:title>
          <c:tx>
            <c:rich>
              <a:bodyPr/>
              <a:lstStyle/>
              <a:p>
                <a:pPr>
                  <a:defRPr sz="900"/>
                </a:pPr>
                <a:r>
                  <a:rPr lang="en-AU" sz="900"/>
                  <a:t>Source:  ABS</a:t>
                </a:r>
              </a:p>
            </c:rich>
          </c:tx>
          <c:layout>
            <c:manualLayout>
              <c:xMode val="edge"/>
              <c:yMode val="edge"/>
              <c:x val="5.3324002104216056E-3"/>
              <c:y val="0.94946707074149661"/>
            </c:manualLayout>
          </c:layout>
          <c:overlay val="0"/>
        </c:title>
        <c:numFmt formatCode="mmm\-yy" sourceLinked="1"/>
        <c:majorTickMark val="out"/>
        <c:minorTickMark val="none"/>
        <c:tickLblPos val="nextTo"/>
        <c:txPr>
          <a:bodyPr rot="-2700000"/>
          <a:lstStyle/>
          <a:p>
            <a:pPr>
              <a:defRPr/>
            </a:pPr>
            <a:endParaRPr lang="en-US"/>
          </a:p>
        </c:txPr>
        <c:crossAx val="133156864"/>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t>Mineral Sands</a:t>
            </a:r>
          </a:p>
          <a:p>
            <a:pPr>
              <a:defRPr/>
            </a:pPr>
            <a:r>
              <a:rPr lang="en-US" sz="1100"/>
              <a:t>Annual Prices, Historic</a:t>
            </a:r>
            <a:endParaRPr lang="en-AU" sz="1100"/>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2995295818027908"/>
          <c:y val="0.23172363558320311"/>
          <c:w val="0.81546267971604292"/>
          <c:h val="0.57996293406663091"/>
        </c:manualLayout>
      </c:layout>
      <c:lineChart>
        <c:grouping val="standard"/>
        <c:varyColors val="0"/>
        <c:ser>
          <c:idx val="1"/>
          <c:order val="0"/>
          <c:tx>
            <c:strRef>
              <c:f>'Mineral Sands - Prices'!$F$9</c:f>
              <c:strCache>
                <c:ptCount val="1"/>
                <c:pt idx="0">
                  <c:v>Zircon</c:v>
                </c:pt>
              </c:strCache>
            </c:strRef>
          </c:tx>
          <c:spPr>
            <a:ln w="28575" cap="rnd" cmpd="sng" algn="ctr">
              <a:solidFill>
                <a:schemeClr val="accent4">
                  <a:shade val="95000"/>
                  <a:satMod val="105000"/>
                </a:schemeClr>
              </a:solidFill>
              <a:prstDash val="solid"/>
              <a:round/>
            </a:ln>
            <a:effectLst/>
          </c:spPr>
          <c:marker>
            <c:symbol val="none"/>
          </c:marker>
          <c:cat>
            <c:numRef>
              <c:f>'Mineral Sands - Prices'!$E$12:$E$50</c:f>
              <c:numCache>
                <c:formatCode>General</c:formatCode>
                <c:ptCount val="39"/>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pt idx="37">
                  <c:v>2024</c:v>
                </c:pt>
                <c:pt idx="38">
                  <c:v>2025</c:v>
                </c:pt>
              </c:numCache>
            </c:numRef>
          </c:cat>
          <c:val>
            <c:numRef>
              <c:f>'Mineral Sands - Prices'!$F$12:$F$50</c:f>
              <c:numCache>
                <c:formatCode>#,##0.00</c:formatCode>
                <c:ptCount val="39"/>
                <c:pt idx="0">
                  <c:v>270</c:v>
                </c:pt>
                <c:pt idx="1">
                  <c:v>310</c:v>
                </c:pt>
                <c:pt idx="2">
                  <c:v>515</c:v>
                </c:pt>
                <c:pt idx="3">
                  <c:v>574.33333333333337</c:v>
                </c:pt>
                <c:pt idx="4">
                  <c:v>400.75</c:v>
                </c:pt>
                <c:pt idx="5">
                  <c:v>216.75</c:v>
                </c:pt>
                <c:pt idx="6">
                  <c:v>169.25</c:v>
                </c:pt>
                <c:pt idx="7">
                  <c:v>234.5</c:v>
                </c:pt>
                <c:pt idx="8">
                  <c:v>352.25</c:v>
                </c:pt>
                <c:pt idx="9">
                  <c:v>564.5</c:v>
                </c:pt>
                <c:pt idx="10">
                  <c:v>574</c:v>
                </c:pt>
                <c:pt idx="11">
                  <c:v>555.69899169483199</c:v>
                </c:pt>
                <c:pt idx="12">
                  <c:v>511.31013276908487</c:v>
                </c:pt>
                <c:pt idx="13">
                  <c:v>629.84250000000009</c:v>
                </c:pt>
                <c:pt idx="14">
                  <c:v>802.76833333333332</c:v>
                </c:pt>
                <c:pt idx="15">
                  <c:v>826.95999999999992</c:v>
                </c:pt>
                <c:pt idx="16">
                  <c:v>700.96083333333343</c:v>
                </c:pt>
                <c:pt idx="17">
                  <c:v>785.35716104012909</c:v>
                </c:pt>
                <c:pt idx="18">
                  <c:v>1011.4432617873277</c:v>
                </c:pt>
                <c:pt idx="19">
                  <c:v>1116.5649410552307</c:v>
                </c:pt>
                <c:pt idx="20">
                  <c:v>1059.5140299785669</c:v>
                </c:pt>
                <c:pt idx="21">
                  <c:v>1013.6758316055339</c:v>
                </c:pt>
                <c:pt idx="22">
                  <c:v>1196.6070783346072</c:v>
                </c:pt>
                <c:pt idx="23">
                  <c:v>1042.916702201426</c:v>
                </c:pt>
                <c:pt idx="24">
                  <c:v>1905.2323059264663</c:v>
                </c:pt>
                <c:pt idx="25">
                  <c:v>2188.2575402213502</c:v>
                </c:pt>
                <c:pt idx="26">
                  <c:v>1238.6040401044102</c:v>
                </c:pt>
                <c:pt idx="27">
                  <c:v>1203.8395062815061</c:v>
                </c:pt>
                <c:pt idx="28">
                  <c:v>1360.0217875636138</c:v>
                </c:pt>
                <c:pt idx="29">
                  <c:v>1201.5145088253028</c:v>
                </c:pt>
                <c:pt idx="30">
                  <c:v>1347.8244285427531</c:v>
                </c:pt>
                <c:pt idx="31">
                  <c:v>1985.0599543806563</c:v>
                </c:pt>
                <c:pt idx="32">
                  <c:v>2172.7337378270604</c:v>
                </c:pt>
                <c:pt idx="33">
                  <c:v>1908.2873094140189</c:v>
                </c:pt>
                <c:pt idx="34">
                  <c:v>1867.6321213391905</c:v>
                </c:pt>
                <c:pt idx="35">
                  <c:v>2883.1567834500033</c:v>
                </c:pt>
                <c:pt idx="36">
                  <c:v>3153.5086183160179</c:v>
                </c:pt>
                <c:pt idx="37">
                  <c:v>2773.2758953316916</c:v>
                </c:pt>
                <c:pt idx="38">
                  <c:v>2500.8626459916818</c:v>
                </c:pt>
              </c:numCache>
            </c:numRef>
          </c:val>
          <c:smooth val="0"/>
          <c:extLst>
            <c:ext xmlns:c16="http://schemas.microsoft.com/office/drawing/2014/chart" uri="{C3380CC4-5D6E-409C-BE32-E72D297353CC}">
              <c16:uniqueId val="{00000000-0FFC-4091-B385-4A011578F64F}"/>
            </c:ext>
          </c:extLst>
        </c:ser>
        <c:ser>
          <c:idx val="2"/>
          <c:order val="1"/>
          <c:tx>
            <c:strRef>
              <c:f>'Mineral Sands - Prices'!$G$9</c:f>
              <c:strCache>
                <c:ptCount val="1"/>
                <c:pt idx="0">
                  <c:v>Titanium Dioxide Pigment</c:v>
                </c:pt>
              </c:strCache>
            </c:strRef>
          </c:tx>
          <c:spPr>
            <a:ln w="28575" cap="rnd" cmpd="sng" algn="ctr">
              <a:solidFill>
                <a:schemeClr val="accent4">
                  <a:tint val="65000"/>
                  <a:shade val="95000"/>
                  <a:satMod val="105000"/>
                </a:schemeClr>
              </a:solidFill>
              <a:prstDash val="solid"/>
              <a:round/>
            </a:ln>
            <a:effectLst/>
          </c:spPr>
          <c:marker>
            <c:symbol val="none"/>
          </c:marker>
          <c:cat>
            <c:numRef>
              <c:f>'Mineral Sands - Prices'!$E$12:$E$50</c:f>
              <c:numCache>
                <c:formatCode>General</c:formatCode>
                <c:ptCount val="39"/>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pt idx="37">
                  <c:v>2024</c:v>
                </c:pt>
                <c:pt idx="38">
                  <c:v>2025</c:v>
                </c:pt>
              </c:numCache>
            </c:numRef>
          </c:cat>
          <c:val>
            <c:numRef>
              <c:f>'Mineral Sands - Prices'!$G$12:$G$50</c:f>
              <c:numCache>
                <c:formatCode>#,##0.00</c:formatCode>
                <c:ptCount val="39"/>
                <c:pt idx="1">
                  <c:v>2492.4925642170329</c:v>
                </c:pt>
                <c:pt idx="2">
                  <c:v>2850.6078738058472</c:v>
                </c:pt>
                <c:pt idx="3">
                  <c:v>2738.6097485615096</c:v>
                </c:pt>
                <c:pt idx="4">
                  <c:v>2150.6365933211728</c:v>
                </c:pt>
                <c:pt idx="5">
                  <c:v>2206.6992972721691</c:v>
                </c:pt>
                <c:pt idx="6">
                  <c:v>2259.4688852220715</c:v>
                </c:pt>
                <c:pt idx="7">
                  <c:v>2615</c:v>
                </c:pt>
                <c:pt idx="8">
                  <c:v>2659.25</c:v>
                </c:pt>
                <c:pt idx="9">
                  <c:v>2227.25</c:v>
                </c:pt>
                <c:pt idx="10">
                  <c:v>2128</c:v>
                </c:pt>
                <c:pt idx="11">
                  <c:v>2885.0833676110919</c:v>
                </c:pt>
                <c:pt idx="12">
                  <c:v>2842.4191787405894</c:v>
                </c:pt>
                <c:pt idx="13">
                  <c:v>3290.6874999999995</c:v>
                </c:pt>
                <c:pt idx="14">
                  <c:v>3513.52025</c:v>
                </c:pt>
                <c:pt idx="15">
                  <c:v>2994.624166666667</c:v>
                </c:pt>
                <c:pt idx="16">
                  <c:v>2682.6608333333334</c:v>
                </c:pt>
                <c:pt idx="17">
                  <c:v>2384.0651770664231</c:v>
                </c:pt>
                <c:pt idx="18">
                  <c:v>2429.1093867109557</c:v>
                </c:pt>
                <c:pt idx="19">
                  <c:v>2480.2024129449342</c:v>
                </c:pt>
                <c:pt idx="20">
                  <c:v>2255.544174711607</c:v>
                </c:pt>
                <c:pt idx="21">
                  <c:v>2440.6540457222404</c:v>
                </c:pt>
                <c:pt idx="22">
                  <c:v>2678.5380291116358</c:v>
                </c:pt>
                <c:pt idx="23">
                  <c:v>2585.3501143227295</c:v>
                </c:pt>
                <c:pt idx="24">
                  <c:v>2980.5604204028118</c:v>
                </c:pt>
                <c:pt idx="25">
                  <c:v>3069.6162170961056</c:v>
                </c:pt>
                <c:pt idx="26">
                  <c:v>2679.9377199623591</c:v>
                </c:pt>
                <c:pt idx="27">
                  <c:v>2884.5892029194256</c:v>
                </c:pt>
                <c:pt idx="28">
                  <c:v>3011.9026469160121</c:v>
                </c:pt>
                <c:pt idx="29">
                  <c:v>2878.063025644989</c:v>
                </c:pt>
                <c:pt idx="30">
                  <c:v>3304.7281056086772</c:v>
                </c:pt>
                <c:pt idx="31">
                  <c:v>3827.2717032225696</c:v>
                </c:pt>
                <c:pt idx="32">
                  <c:v>3947.7303055069774</c:v>
                </c:pt>
                <c:pt idx="33">
                  <c:v>3911.0512989226386</c:v>
                </c:pt>
                <c:pt idx="34">
                  <c:v>3904.6485173977176</c:v>
                </c:pt>
                <c:pt idx="35">
                  <c:v>4751.2042605590004</c:v>
                </c:pt>
                <c:pt idx="36">
                  <c:v>4954.0141440339212</c:v>
                </c:pt>
                <c:pt idx="37">
                  <c:v>4848.5775405000386</c:v>
                </c:pt>
                <c:pt idx="38">
                  <c:v>4717.9338958029302</c:v>
                </c:pt>
              </c:numCache>
            </c:numRef>
          </c:val>
          <c:smooth val="0"/>
          <c:extLst>
            <c:ext xmlns:c16="http://schemas.microsoft.com/office/drawing/2014/chart" uri="{C3380CC4-5D6E-409C-BE32-E72D297353CC}">
              <c16:uniqueId val="{00000001-0FFC-4091-B385-4A011578F64F}"/>
            </c:ext>
          </c:extLst>
        </c:ser>
        <c:dLbls>
          <c:showLegendKey val="0"/>
          <c:showVal val="0"/>
          <c:showCatName val="0"/>
          <c:showSerName val="0"/>
          <c:showPercent val="0"/>
          <c:showBubbleSize val="0"/>
        </c:dLbls>
        <c:smooth val="0"/>
        <c:axId val="133445504"/>
        <c:axId val="133447040"/>
      </c:lineChart>
      <c:catAx>
        <c:axId val="133445504"/>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sz="1000" b="1" i="0" u="none" strike="noStrike" kern="1200" baseline="0">
                    <a:solidFill>
                      <a:sysClr val="windowText" lastClr="000000"/>
                    </a:solidFill>
                  </a:rPr>
                  <a:t>Source:  ABS</a:t>
                </a:r>
              </a:p>
            </c:rich>
          </c:tx>
          <c:layout>
            <c:manualLayout>
              <c:xMode val="edge"/>
              <c:yMode val="edge"/>
              <c:x val="1.1996296977148865E-2"/>
              <c:y val="0.92966277523178165"/>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33447040"/>
        <c:crosses val="autoZero"/>
        <c:auto val="0"/>
        <c:lblAlgn val="ctr"/>
        <c:lblOffset val="100"/>
        <c:noMultiLvlLbl val="1"/>
      </c:catAx>
      <c:valAx>
        <c:axId val="13344704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A$</a:t>
                </a:r>
                <a:r>
                  <a:rPr lang="en-AU" baseline="0"/>
                  <a:t> per </a:t>
                </a:r>
                <a:r>
                  <a:rPr lang="en-AU"/>
                  <a:t>tonne</a:t>
                </a:r>
              </a:p>
            </c:rich>
          </c:tx>
          <c:layout>
            <c:manualLayout>
              <c:xMode val="edge"/>
              <c:yMode val="edge"/>
              <c:x val="2.24982855356449E-2"/>
              <c:y val="0.4316903742618692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33445504"/>
        <c:crosses val="autoZero"/>
        <c:crossBetween val="midCat"/>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invertIfNegative val="0"/>
          <c:cat>
            <c:numRef>
              <c:f>'Mineral Sands - Q&amp;V'!$R$12:$R$20</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'Mineral Sands - Q&amp;V'!$S$12:$S$20</c:f>
              <c:numCache>
                <c:formatCode>#,##0.00</c:formatCode>
                <c:ptCount val="9"/>
                <c:pt idx="0">
                  <c:v>258.5325257575758</c:v>
                </c:pt>
                <c:pt idx="1">
                  <c:v>321.43216931762521</c:v>
                </c:pt>
                <c:pt idx="2">
                  <c:v>334.08079649864425</c:v>
                </c:pt>
                <c:pt idx="3">
                  <c:v>317.66590330247533</c:v>
                </c:pt>
                <c:pt idx="4">
                  <c:v>371.95709118004896</c:v>
                </c:pt>
                <c:pt idx="5">
                  <c:v>392.72871830176678</c:v>
                </c:pt>
                <c:pt idx="6">
                  <c:v>434.59600513248097</c:v>
                </c:pt>
                <c:pt idx="7">
                  <c:v>322.86153922785462</c:v>
                </c:pt>
                <c:pt idx="8">
                  <c:v>477.60475846998673</c:v>
                </c:pt>
              </c:numCache>
            </c:numRef>
          </c:val>
          <c:extLst>
            <c:ext xmlns:c16="http://schemas.microsoft.com/office/drawing/2014/chart" uri="{C3380CC4-5D6E-409C-BE32-E72D297353CC}">
              <c16:uniqueId val="{00000000-A6E8-49F4-A505-EE24A7C5BBA9}"/>
            </c:ext>
          </c:extLst>
        </c:ser>
        <c:dLbls>
          <c:showLegendKey val="0"/>
          <c:showVal val="0"/>
          <c:showCatName val="0"/>
          <c:showSerName val="0"/>
          <c:showPercent val="0"/>
          <c:showBubbleSize val="0"/>
        </c:dLbls>
        <c:gapWidth val="40"/>
        <c:axId val="131834624"/>
        <c:axId val="131832448"/>
      </c:barChart>
      <c:lineChart>
        <c:grouping val="standard"/>
        <c:varyColors val="0"/>
        <c:ser>
          <c:idx val="1"/>
          <c:order val="1"/>
          <c:tx>
            <c:v>Value</c:v>
          </c:tx>
          <c:spPr>
            <a:ln w="28575"/>
          </c:spPr>
          <c:marker>
            <c:symbol val="none"/>
          </c:marker>
          <c:cat>
            <c:numRef>
              <c:f>'Mineral Sands - Q&amp;V'!$R$12:$R$20</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'Mineral Sands - Q&amp;V'!$T$12:$T$20</c:f>
              <c:numCache>
                <c:formatCode>#,##0.00</c:formatCode>
                <c:ptCount val="9"/>
                <c:pt idx="0">
                  <c:v>247.1772448422299</c:v>
                </c:pt>
                <c:pt idx="1">
                  <c:v>281.70146784467886</c:v>
                </c:pt>
                <c:pt idx="2">
                  <c:v>352.64922707415138</c:v>
                </c:pt>
                <c:pt idx="3">
                  <c:v>327.48159314615771</c:v>
                </c:pt>
                <c:pt idx="4">
                  <c:v>337.79319560600038</c:v>
                </c:pt>
                <c:pt idx="5">
                  <c:v>385.86776544820952</c:v>
                </c:pt>
                <c:pt idx="6">
                  <c:v>395.7054338551996</c:v>
                </c:pt>
                <c:pt idx="7">
                  <c:v>324.46793672771838</c:v>
                </c:pt>
                <c:pt idx="8">
                  <c:v>406.31341266214292</c:v>
                </c:pt>
              </c:numCache>
            </c:numRef>
          </c:val>
          <c:smooth val="0"/>
          <c:extLst>
            <c:ext xmlns:c16="http://schemas.microsoft.com/office/drawing/2014/chart" uri="{C3380CC4-5D6E-409C-BE32-E72D297353CC}">
              <c16:uniqueId val="{00000001-A6E8-49F4-A505-EE24A7C5BBA9}"/>
            </c:ext>
          </c:extLst>
        </c:ser>
        <c:dLbls>
          <c:showLegendKey val="0"/>
          <c:showVal val="0"/>
          <c:showCatName val="0"/>
          <c:showSerName val="0"/>
          <c:showPercent val="0"/>
          <c:showBubbleSize val="0"/>
        </c:dLbls>
        <c:marker val="1"/>
        <c:smooth val="0"/>
        <c:axId val="131811968"/>
        <c:axId val="131830528"/>
      </c:lineChart>
      <c:catAx>
        <c:axId val="131811968"/>
        <c:scaling>
          <c:orientation val="minMax"/>
        </c:scaling>
        <c:delete val="0"/>
        <c:axPos val="b"/>
        <c:title>
          <c:tx>
            <c:rich>
              <a:bodyPr/>
              <a:lstStyle/>
              <a:p>
                <a:pPr>
                  <a:defRPr sz="900"/>
                </a:pPr>
                <a:r>
                  <a:rPr lang="en-AU" sz="900"/>
                  <a:t>Source: DTF and DMPE</a:t>
                </a:r>
              </a:p>
            </c:rich>
          </c:tx>
          <c:layout>
            <c:manualLayout>
              <c:xMode val="edge"/>
              <c:yMode val="edge"/>
              <c:x val="4.8885135708118636E-3"/>
              <c:y val="0.94752515670405135"/>
            </c:manualLayout>
          </c:layout>
          <c:overlay val="0"/>
          <c:spPr>
            <a:noFill/>
          </c:spPr>
        </c:title>
        <c:numFmt formatCode="mmm\-yy" sourceLinked="1"/>
        <c:majorTickMark val="out"/>
        <c:minorTickMark val="none"/>
        <c:tickLblPos val="nextTo"/>
        <c:txPr>
          <a:bodyPr rot="-2700000"/>
          <a:lstStyle/>
          <a:p>
            <a:pPr>
              <a:defRPr/>
            </a:pPr>
            <a:endParaRPr lang="en-US"/>
          </a:p>
        </c:txPr>
        <c:crossAx val="131830528"/>
        <c:crosses val="autoZero"/>
        <c:auto val="0"/>
        <c:lblAlgn val="ctr"/>
        <c:lblOffset val="100"/>
        <c:noMultiLvlLbl val="0"/>
      </c:catAx>
      <c:valAx>
        <c:axId val="131830528"/>
        <c:scaling>
          <c:orientation val="minMax"/>
          <c:max val="50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1811968"/>
        <c:crosses val="autoZero"/>
        <c:crossBetween val="between"/>
      </c:valAx>
      <c:valAx>
        <c:axId val="131832448"/>
        <c:scaling>
          <c:orientation val="minMax"/>
          <c:max val="500"/>
          <c:min val="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1834624"/>
        <c:crosses val="max"/>
        <c:crossBetween val="between"/>
      </c:valAx>
      <c:dateAx>
        <c:axId val="131834624"/>
        <c:scaling>
          <c:orientation val="minMax"/>
        </c:scaling>
        <c:delete val="1"/>
        <c:axPos val="b"/>
        <c:numFmt formatCode="mmm\-yy" sourceLinked="1"/>
        <c:majorTickMark val="out"/>
        <c:minorTickMark val="none"/>
        <c:tickLblPos val="nextTo"/>
        <c:crossAx val="13183244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Year</a:t>
            </a:r>
          </a:p>
        </c:rich>
      </c:tx>
      <c:overlay val="0"/>
    </c:title>
    <c:autoTitleDeleted val="0"/>
    <c:plotArea>
      <c:layout/>
      <c:barChart>
        <c:barDir val="col"/>
        <c:grouping val="clustered"/>
        <c:varyColors val="0"/>
        <c:ser>
          <c:idx val="0"/>
          <c:order val="0"/>
          <c:tx>
            <c:strRef>
              <c:f>'Mineral Sands - Q&amp;V'!$S$36</c:f>
              <c:strCache>
                <c:ptCount val="1"/>
                <c:pt idx="0">
                  <c:v>Quantity (Kt)</c:v>
                </c:pt>
              </c:strCache>
            </c:strRef>
          </c:tx>
          <c:invertIfNegative val="0"/>
          <c:cat>
            <c:numRef>
              <c:f>'Mineral Sands - Q&amp;V'!$R$37:$R$56</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'Mineral Sands - Q&amp;V'!$S$37:$S$56</c:f>
              <c:numCache>
                <c:formatCode>#,##0.00</c:formatCode>
                <c:ptCount val="20"/>
                <c:pt idx="0">
                  <c:v>2629.9670580000002</c:v>
                </c:pt>
                <c:pt idx="1">
                  <c:v>2489.7558399999998</c:v>
                </c:pt>
                <c:pt idx="2">
                  <c:v>2348.3883889999997</c:v>
                </c:pt>
                <c:pt idx="3">
                  <c:v>1881.4500789999997</c:v>
                </c:pt>
                <c:pt idx="4">
                  <c:v>1599.250035</c:v>
                </c:pt>
                <c:pt idx="5">
                  <c:v>1455.1578890000001</c:v>
                </c:pt>
                <c:pt idx="6">
                  <c:v>1334.321578</c:v>
                </c:pt>
                <c:pt idx="7">
                  <c:v>1162.7821235757576</c:v>
                </c:pt>
                <c:pt idx="8">
                  <c:v>754.38299203030306</c:v>
                </c:pt>
                <c:pt idx="9">
                  <c:v>1013.2926921212121</c:v>
                </c:pt>
                <c:pt idx="10">
                  <c:v>1274.8886436363637</c:v>
                </c:pt>
                <c:pt idx="11">
                  <c:v>878.65964369696974</c:v>
                </c:pt>
                <c:pt idx="12">
                  <c:v>939.53333575757574</c:v>
                </c:pt>
                <c:pt idx="13">
                  <c:v>1063.0407810303032</c:v>
                </c:pt>
                <c:pt idx="14">
                  <c:v>1237.0700446060607</c:v>
                </c:pt>
                <c:pt idx="15">
                  <c:v>1278.100646078788</c:v>
                </c:pt>
                <c:pt idx="16">
                  <c:v>1153.9747892424243</c:v>
                </c:pt>
                <c:pt idx="17">
                  <c:v>1142.1653318795547</c:v>
                </c:pt>
                <c:pt idx="18">
                  <c:v>1345.1359602987939</c:v>
                </c:pt>
                <c:pt idx="19">
                  <c:v>1627.7910211320891</c:v>
                </c:pt>
              </c:numCache>
            </c:numRef>
          </c:val>
          <c:extLst>
            <c:ext xmlns:c16="http://schemas.microsoft.com/office/drawing/2014/chart" uri="{C3380CC4-5D6E-409C-BE32-E72D297353CC}">
              <c16:uniqueId val="{00000000-72FC-41EE-9297-C41792A109B1}"/>
            </c:ext>
          </c:extLst>
        </c:ser>
        <c:dLbls>
          <c:showLegendKey val="0"/>
          <c:showVal val="0"/>
          <c:showCatName val="0"/>
          <c:showSerName val="0"/>
          <c:showPercent val="0"/>
          <c:showBubbleSize val="0"/>
        </c:dLbls>
        <c:gapWidth val="40"/>
        <c:axId val="132982272"/>
        <c:axId val="132976000"/>
      </c:barChart>
      <c:lineChart>
        <c:grouping val="standard"/>
        <c:varyColors val="0"/>
        <c:ser>
          <c:idx val="1"/>
          <c:order val="1"/>
          <c:tx>
            <c:strRef>
              <c:f>'Mineral Sands - Q&amp;V'!$T$36</c:f>
              <c:strCache>
                <c:ptCount val="1"/>
                <c:pt idx="0">
                  <c:v>Value ($ Million)</c:v>
                </c:pt>
              </c:strCache>
            </c:strRef>
          </c:tx>
          <c:spPr>
            <a:ln w="28575"/>
          </c:spPr>
          <c:marker>
            <c:symbol val="none"/>
          </c:marker>
          <c:cat>
            <c:numRef>
              <c:f>'Mineral Sands - Q&amp;V'!$R$37:$R$56</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'Mineral Sands - Q&amp;V'!$T$37:$T$56</c:f>
              <c:numCache>
                <c:formatCode>#,##0.00</c:formatCode>
                <c:ptCount val="20"/>
                <c:pt idx="0">
                  <c:v>886.26281036130922</c:v>
                </c:pt>
                <c:pt idx="1">
                  <c:v>691.05571360429815</c:v>
                </c:pt>
                <c:pt idx="2">
                  <c:v>777.13671799124882</c:v>
                </c:pt>
                <c:pt idx="3">
                  <c:v>641.83094086659389</c:v>
                </c:pt>
                <c:pt idx="4">
                  <c:v>526.47051544375756</c:v>
                </c:pt>
                <c:pt idx="5">
                  <c:v>591.6221046056703</c:v>
                </c:pt>
                <c:pt idx="6">
                  <c:v>970.8070320666061</c:v>
                </c:pt>
                <c:pt idx="7">
                  <c:v>380.58465899999999</c:v>
                </c:pt>
                <c:pt idx="8">
                  <c:v>406.75867286666664</c:v>
                </c:pt>
                <c:pt idx="9">
                  <c:v>586.39609236441697</c:v>
                </c:pt>
                <c:pt idx="10">
                  <c:v>612.46402801084821</c:v>
                </c:pt>
                <c:pt idx="11">
                  <c:v>515.14173981765259</c:v>
                </c:pt>
                <c:pt idx="12">
                  <c:v>628.84552939685091</c:v>
                </c:pt>
                <c:pt idx="13">
                  <c:v>761.70542010130384</c:v>
                </c:pt>
                <c:pt idx="14">
                  <c:v>886.20492566042299</c:v>
                </c:pt>
                <c:pt idx="15">
                  <c:v>1173.1784463361901</c:v>
                </c:pt>
                <c:pt idx="16">
                  <c:v>1343.7084353974126</c:v>
                </c:pt>
                <c:pt idx="17">
                  <c:v>1298.5110257613542</c:v>
                </c:pt>
                <c:pt idx="18">
                  <c:v>1299.6254836709882</c:v>
                </c:pt>
                <c:pt idx="19">
                  <c:v>1512.3545486932703</c:v>
                </c:pt>
              </c:numCache>
            </c:numRef>
          </c:val>
          <c:smooth val="0"/>
          <c:extLst>
            <c:ext xmlns:c16="http://schemas.microsoft.com/office/drawing/2014/chart" uri="{C3380CC4-5D6E-409C-BE32-E72D297353CC}">
              <c16:uniqueId val="{00000001-72FC-41EE-9297-C41792A109B1}"/>
            </c:ext>
          </c:extLst>
        </c:ser>
        <c:dLbls>
          <c:showLegendKey val="0"/>
          <c:showVal val="0"/>
          <c:showCatName val="0"/>
          <c:showSerName val="0"/>
          <c:showPercent val="0"/>
          <c:showBubbleSize val="0"/>
        </c:dLbls>
        <c:marker val="1"/>
        <c:smooth val="0"/>
        <c:axId val="131857792"/>
        <c:axId val="132974080"/>
      </c:lineChart>
      <c:catAx>
        <c:axId val="131857792"/>
        <c:scaling>
          <c:orientation val="minMax"/>
        </c:scaling>
        <c:delete val="0"/>
        <c:axPos val="b"/>
        <c:title>
          <c:tx>
            <c:rich>
              <a:bodyPr/>
              <a:lstStyle/>
              <a:p>
                <a:pPr>
                  <a:defRPr sz="900"/>
                </a:pPr>
                <a:r>
                  <a:rPr lang="en-AU" sz="900"/>
                  <a:t>Source: DTF and DMPE</a:t>
                </a:r>
              </a:p>
            </c:rich>
          </c:tx>
          <c:layout>
            <c:manualLayout>
              <c:xMode val="edge"/>
              <c:yMode val="edge"/>
              <c:x val="0"/>
              <c:y val="0.93794308231796231"/>
            </c:manualLayout>
          </c:layout>
          <c:overlay val="0"/>
          <c:spPr>
            <a:noFill/>
          </c:spPr>
        </c:title>
        <c:numFmt formatCode="@@@@@@@@@" sourceLinked="0"/>
        <c:majorTickMark val="out"/>
        <c:minorTickMark val="none"/>
        <c:tickLblPos val="nextTo"/>
        <c:txPr>
          <a:bodyPr rot="-2700000"/>
          <a:lstStyle/>
          <a:p>
            <a:pPr>
              <a:defRPr/>
            </a:pPr>
            <a:endParaRPr lang="en-US"/>
          </a:p>
        </c:txPr>
        <c:crossAx val="132974080"/>
        <c:crosses val="autoZero"/>
        <c:auto val="0"/>
        <c:lblAlgn val="ctr"/>
        <c:lblOffset val="100"/>
        <c:tickLblSkip val="1"/>
        <c:noMultiLvlLbl val="1"/>
      </c:catAx>
      <c:valAx>
        <c:axId val="132974080"/>
        <c:scaling>
          <c:orientation val="minMax"/>
          <c:min val="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1857792"/>
        <c:crosses val="autoZero"/>
        <c:crossBetween val="between"/>
      </c:valAx>
      <c:valAx>
        <c:axId val="132976000"/>
        <c:scaling>
          <c:orientation val="minMax"/>
          <c:max val="3200"/>
          <c:min val="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2982272"/>
        <c:crosses val="max"/>
        <c:crossBetween val="between"/>
        <c:majorUnit val="400"/>
      </c:valAx>
      <c:catAx>
        <c:axId val="132982272"/>
        <c:scaling>
          <c:orientation val="minMax"/>
        </c:scaling>
        <c:delete val="1"/>
        <c:axPos val="b"/>
        <c:numFmt formatCode="General" sourceLinked="1"/>
        <c:majorTickMark val="out"/>
        <c:minorTickMark val="none"/>
        <c:tickLblPos val="nextTo"/>
        <c:crossAx val="13297600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4"/>
    </mc:Choice>
    <mc:Fallback>
      <c:style val="14"/>
    </mc:Fallback>
  </mc:AlternateContent>
  <c:chart>
    <c:title>
      <c:tx>
        <c:strRef>
          <c:f>'Mineral Sands - Exports'!$W$1</c:f>
          <c:strCache>
            <c:ptCount val="1"/>
            <c:pt idx="0">
              <c:v>Mineral Sands Exports 2023
Total Value: $1,749,940,790</c:v>
            </c:pt>
          </c:strCache>
        </c:strRef>
      </c:tx>
      <c:overlay val="0"/>
    </c:title>
    <c:autoTitleDeleted val="0"/>
    <c:plotArea>
      <c:layout/>
      <c:pieChart>
        <c:varyColors val="1"/>
        <c:ser>
          <c:idx val="0"/>
          <c:order val="0"/>
          <c:dPt>
            <c:idx val="0"/>
            <c:bubble3D val="0"/>
            <c:extLst>
              <c:ext xmlns:c16="http://schemas.microsoft.com/office/drawing/2014/chart" uri="{C3380CC4-5D6E-409C-BE32-E72D297353CC}">
                <c16:uniqueId val="{00000000-EA74-4F74-AD72-C1102872E58D}"/>
              </c:ext>
            </c:extLst>
          </c:dPt>
          <c:dPt>
            <c:idx val="1"/>
            <c:bubble3D val="0"/>
            <c:extLst>
              <c:ext xmlns:c16="http://schemas.microsoft.com/office/drawing/2014/chart" uri="{C3380CC4-5D6E-409C-BE32-E72D297353CC}">
                <c16:uniqueId val="{00000001-EA74-4F74-AD72-C1102872E58D}"/>
              </c:ext>
            </c:extLst>
          </c:dPt>
          <c:dPt>
            <c:idx val="2"/>
            <c:bubble3D val="0"/>
            <c:extLst>
              <c:ext xmlns:c16="http://schemas.microsoft.com/office/drawing/2014/chart" uri="{C3380CC4-5D6E-409C-BE32-E72D297353CC}">
                <c16:uniqueId val="{00000002-EA74-4F74-AD72-C1102872E58D}"/>
              </c:ext>
            </c:extLst>
          </c:dPt>
          <c:dPt>
            <c:idx val="3"/>
            <c:bubble3D val="0"/>
            <c:extLst>
              <c:ext xmlns:c16="http://schemas.microsoft.com/office/drawing/2014/chart" uri="{C3380CC4-5D6E-409C-BE32-E72D297353CC}">
                <c16:uniqueId val="{00000003-EA74-4F74-AD72-C1102872E58D}"/>
              </c:ext>
            </c:extLst>
          </c:dPt>
          <c:dPt>
            <c:idx val="4"/>
            <c:bubble3D val="0"/>
            <c:extLst>
              <c:ext xmlns:c16="http://schemas.microsoft.com/office/drawing/2014/chart" uri="{C3380CC4-5D6E-409C-BE32-E72D297353CC}">
                <c16:uniqueId val="{00000004-EA74-4F74-AD72-C1102872E58D}"/>
              </c:ext>
            </c:extLst>
          </c:dPt>
          <c:dPt>
            <c:idx val="5"/>
            <c:bubble3D val="0"/>
            <c:extLst>
              <c:ext xmlns:c16="http://schemas.microsoft.com/office/drawing/2014/chart" uri="{C3380CC4-5D6E-409C-BE32-E72D297353CC}">
                <c16:uniqueId val="{00000005-EA74-4F74-AD72-C1102872E58D}"/>
              </c:ext>
            </c:extLst>
          </c:dPt>
          <c:dPt>
            <c:idx val="6"/>
            <c:bubble3D val="0"/>
            <c:extLst>
              <c:ext xmlns:c16="http://schemas.microsoft.com/office/drawing/2014/chart" uri="{C3380CC4-5D6E-409C-BE32-E72D297353CC}">
                <c16:uniqueId val="{00000006-EA74-4F74-AD72-C1102872E58D}"/>
              </c:ext>
            </c:extLst>
          </c:dPt>
          <c:dPt>
            <c:idx val="7"/>
            <c:bubble3D val="0"/>
            <c:extLst>
              <c:ext xmlns:c16="http://schemas.microsoft.com/office/drawing/2014/chart" uri="{C3380CC4-5D6E-409C-BE32-E72D297353CC}">
                <c16:uniqueId val="{00000007-EA74-4F74-AD72-C1102872E58D}"/>
              </c:ext>
            </c:extLst>
          </c:dPt>
          <c:dPt>
            <c:idx val="8"/>
            <c:bubble3D val="0"/>
            <c:extLst>
              <c:ext xmlns:c16="http://schemas.microsoft.com/office/drawing/2014/chart" uri="{C3380CC4-5D6E-409C-BE32-E72D297353CC}">
                <c16:uniqueId val="{00000008-EA74-4F74-AD72-C1102872E58D}"/>
              </c:ext>
            </c:extLst>
          </c:dPt>
          <c:dPt>
            <c:idx val="9"/>
            <c:bubble3D val="0"/>
            <c:extLst>
              <c:ext xmlns:c16="http://schemas.microsoft.com/office/drawing/2014/chart" uri="{C3380CC4-5D6E-409C-BE32-E72D297353CC}">
                <c16:uniqueId val="{00000009-EA74-4F74-AD72-C1102872E58D}"/>
              </c:ext>
            </c:extLst>
          </c:dPt>
          <c:dPt>
            <c:idx val="10"/>
            <c:bubble3D val="0"/>
            <c:extLst>
              <c:ext xmlns:c16="http://schemas.microsoft.com/office/drawing/2014/chart" uri="{C3380CC4-5D6E-409C-BE32-E72D297353CC}">
                <c16:uniqueId val="{0000000A-EA74-4F74-AD72-C1102872E58D}"/>
              </c:ext>
            </c:extLst>
          </c:dPt>
          <c:dLbls>
            <c:dLbl>
              <c:idx val="0"/>
              <c:layout>
                <c:manualLayout>
                  <c:x val="3.3210795939664021E-2"/>
                  <c:y val="-1.474340707411573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74-4F74-AD72-C1102872E58D}"/>
                </c:ext>
              </c:extLst>
            </c:dLbl>
            <c:dLbl>
              <c:idx val="1"/>
              <c:layout>
                <c:manualLayout>
                  <c:x val="1.3481241315423807E-2"/>
                  <c:y val="1.249758044280883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74-4F74-AD72-C1102872E58D}"/>
                </c:ext>
              </c:extLst>
            </c:dLbl>
            <c:dLbl>
              <c:idx val="2"/>
              <c:layout>
                <c:manualLayout>
                  <c:x val="-2.5359390317174282E-2"/>
                  <c:y val="5.983752030996125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74-4F74-AD72-C1102872E58D}"/>
                </c:ext>
              </c:extLst>
            </c:dLbl>
            <c:dLbl>
              <c:idx val="3"/>
              <c:layout>
                <c:manualLayout>
                  <c:x val="-0.10524182370462121"/>
                  <c:y val="-1.187696850393712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74-4F74-AD72-C1102872E58D}"/>
                </c:ext>
              </c:extLst>
            </c:dLbl>
            <c:dLbl>
              <c:idx val="4"/>
              <c:layout>
                <c:manualLayout>
                  <c:x val="-0.10334100091421158"/>
                  <c:y val="-6.993602362204724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74-4F74-AD72-C1102872E58D}"/>
                </c:ext>
              </c:extLst>
            </c:dLbl>
            <c:dLbl>
              <c:idx val="5"/>
              <c:layout>
                <c:manualLayout>
                  <c:x val="-5.321059132314343E-2"/>
                  <c:y val="-1.143238047624999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74-4F74-AD72-C1102872E58D}"/>
                </c:ext>
              </c:extLst>
            </c:dLbl>
            <c:dLbl>
              <c:idx val="6"/>
              <c:layout>
                <c:manualLayout>
                  <c:x val="-9.5515939721018017E-2"/>
                  <c:y val="-3.137352362204724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74-4F74-AD72-C1102872E58D}"/>
                </c:ext>
              </c:extLst>
            </c:dLbl>
            <c:dLbl>
              <c:idx val="7"/>
              <c:layout>
                <c:manualLayout>
                  <c:x val="-0.13894614998967825"/>
                  <c:y val="-4.26070374015748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74-4F74-AD72-C1102872E58D}"/>
                </c:ext>
              </c:extLst>
            </c:dLbl>
            <c:dLbl>
              <c:idx val="8"/>
              <c:layout>
                <c:manualLayout>
                  <c:x val="-0.10015718540800378"/>
                  <c:y val="-5.170546259842519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A74-4F74-AD72-C1102872E58D}"/>
                </c:ext>
              </c:extLst>
            </c:dLbl>
            <c:dLbl>
              <c:idx val="9"/>
              <c:layout>
                <c:manualLayout>
                  <c:x val="-0.11851588073962668"/>
                  <c:y val="-7.610408464566932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A74-4F74-AD72-C1102872E58D}"/>
                </c:ext>
              </c:extLst>
            </c:dLbl>
            <c:dLbl>
              <c:idx val="10"/>
              <c:layout>
                <c:manualLayout>
                  <c:x val="-2.4052316494146096E-2"/>
                  <c:y val="-1.486220472440944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A74-4F74-AD72-C1102872E58D}"/>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'Mineral Sands - Exports'!$A$12:$A$22</c:f>
              <c:strCache>
                <c:ptCount val="11"/>
                <c:pt idx="0">
                  <c:v>China</c:v>
                </c:pt>
                <c:pt idx="1">
                  <c:v>Malaysia</c:v>
                </c:pt>
                <c:pt idx="2">
                  <c:v>United States</c:v>
                </c:pt>
                <c:pt idx="3">
                  <c:v>Mexico</c:v>
                </c:pt>
                <c:pt idx="4">
                  <c:v>Spain</c:v>
                </c:pt>
                <c:pt idx="5">
                  <c:v>United Kingdom</c:v>
                </c:pt>
                <c:pt idx="6">
                  <c:v>Belgium</c:v>
                </c:pt>
                <c:pt idx="7">
                  <c:v>Taiwan, Province Of China</c:v>
                </c:pt>
                <c:pt idx="8">
                  <c:v>Netherlands</c:v>
                </c:pt>
                <c:pt idx="9">
                  <c:v>Saudi Arabia</c:v>
                </c:pt>
                <c:pt idx="10">
                  <c:v>Other</c:v>
                </c:pt>
              </c:strCache>
            </c:strRef>
          </c:cat>
          <c:val>
            <c:numRef>
              <c:f>'Mineral Sands - Exports'!$D$12:$D$22</c:f>
              <c:numCache>
                <c:formatCode>0.0%</c:formatCode>
                <c:ptCount val="11"/>
                <c:pt idx="0">
                  <c:v>0.39732111297062289</c:v>
                </c:pt>
                <c:pt idx="1">
                  <c:v>8.5866053517339017E-2</c:v>
                </c:pt>
                <c:pt idx="2">
                  <c:v>7.0145354262716272E-2</c:v>
                </c:pt>
                <c:pt idx="3">
                  <c:v>6.4674015063268545E-2</c:v>
                </c:pt>
                <c:pt idx="4">
                  <c:v>5.6257434733371123E-2</c:v>
                </c:pt>
                <c:pt idx="5">
                  <c:v>5.4597602671101544E-2</c:v>
                </c:pt>
                <c:pt idx="6">
                  <c:v>5.2358047319959911E-2</c:v>
                </c:pt>
                <c:pt idx="7">
                  <c:v>4.8079712290799922E-2</c:v>
                </c:pt>
                <c:pt idx="8">
                  <c:v>4.2293899039884571E-2</c:v>
                </c:pt>
                <c:pt idx="9">
                  <c:v>4.2031578815867249E-2</c:v>
                </c:pt>
                <c:pt idx="10">
                  <c:v>8.637518931506892E-2</c:v>
                </c:pt>
              </c:numCache>
            </c:numRef>
          </c:val>
          <c:extLst>
            <c:ext xmlns:c16="http://schemas.microsoft.com/office/drawing/2014/chart" uri="{C3380CC4-5D6E-409C-BE32-E72D297353CC}">
              <c16:uniqueId val="{0000000B-EA74-4F74-AD72-C1102872E58D}"/>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Monthly</a:t>
            </a:r>
            <a:r>
              <a:rPr lang="en-AU" sz="1100" baseline="0"/>
              <a:t> Prices, L</a:t>
            </a:r>
            <a:r>
              <a:rPr lang="en-AU" sz="1100"/>
              <a:t>ast 5 Years</a:t>
            </a:r>
          </a:p>
        </c:rich>
      </c:tx>
      <c:overlay val="0"/>
    </c:title>
    <c:autoTitleDeleted val="0"/>
    <c:plotArea>
      <c:layout>
        <c:manualLayout>
          <c:layoutTarget val="inner"/>
          <c:xMode val="edge"/>
          <c:yMode val="edge"/>
          <c:x val="8.4457914078752264E-2"/>
          <c:y val="0.24977847634176698"/>
          <c:w val="0.82356256976507536"/>
          <c:h val="0.55033190291167244"/>
        </c:manualLayout>
      </c:layout>
      <c:lineChart>
        <c:grouping val="standard"/>
        <c:varyColors val="0"/>
        <c:ser>
          <c:idx val="0"/>
          <c:order val="0"/>
          <c:tx>
            <c:v>Alumina (LHS)</c:v>
          </c:tx>
          <c:spPr>
            <a:ln w="28575"/>
          </c:spPr>
          <c:marker>
            <c:symbol val="none"/>
          </c:marker>
          <c:cat>
            <c:numRef>
              <c:f>'Alumina and Bauxite - Prices'!$A$11:$A$71</c:f>
              <c:numCache>
                <c:formatCode>mmm\-yy</c:formatCode>
                <c:ptCount val="61"/>
                <c:pt idx="0">
                  <c:v>44166</c:v>
                </c:pt>
                <c:pt idx="1">
                  <c:v>44197</c:v>
                </c:pt>
                <c:pt idx="2">
                  <c:v>44228</c:v>
                </c:pt>
                <c:pt idx="3">
                  <c:v>44256</c:v>
                </c:pt>
                <c:pt idx="4">
                  <c:v>44287</c:v>
                </c:pt>
                <c:pt idx="5">
                  <c:v>44317</c:v>
                </c:pt>
                <c:pt idx="6">
                  <c:v>44317</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pt idx="37">
                  <c:v>45292</c:v>
                </c:pt>
                <c:pt idx="38">
                  <c:v>45323</c:v>
                </c:pt>
                <c:pt idx="39">
                  <c:v>45352</c:v>
                </c:pt>
                <c:pt idx="40">
                  <c:v>45383</c:v>
                </c:pt>
                <c:pt idx="41">
                  <c:v>45413</c:v>
                </c:pt>
                <c:pt idx="42">
                  <c:v>45444</c:v>
                </c:pt>
                <c:pt idx="43">
                  <c:v>45474</c:v>
                </c:pt>
                <c:pt idx="44">
                  <c:v>45505</c:v>
                </c:pt>
                <c:pt idx="45">
                  <c:v>45536</c:v>
                </c:pt>
                <c:pt idx="46">
                  <c:v>45566</c:v>
                </c:pt>
                <c:pt idx="47">
                  <c:v>45597</c:v>
                </c:pt>
                <c:pt idx="48">
                  <c:v>45627</c:v>
                </c:pt>
                <c:pt idx="49">
                  <c:v>45658</c:v>
                </c:pt>
                <c:pt idx="50">
                  <c:v>45689</c:v>
                </c:pt>
                <c:pt idx="51">
                  <c:v>45717</c:v>
                </c:pt>
                <c:pt idx="52">
                  <c:v>45748</c:v>
                </c:pt>
                <c:pt idx="53">
                  <c:v>45778</c:v>
                </c:pt>
                <c:pt idx="54">
                  <c:v>45809</c:v>
                </c:pt>
                <c:pt idx="55">
                  <c:v>45839</c:v>
                </c:pt>
                <c:pt idx="56">
                  <c:v>45870</c:v>
                </c:pt>
                <c:pt idx="57">
                  <c:v>45901</c:v>
                </c:pt>
                <c:pt idx="58">
                  <c:v>45931</c:v>
                </c:pt>
                <c:pt idx="59">
                  <c:v>45962</c:v>
                </c:pt>
                <c:pt idx="60">
                  <c:v>45992</c:v>
                </c:pt>
              </c:numCache>
            </c:numRef>
          </c:cat>
          <c:val>
            <c:numRef>
              <c:f>'Alumina and Bauxite - Prices'!$B$11:$B$71</c:f>
              <c:numCache>
                <c:formatCode>#,##0.00</c:formatCode>
                <c:ptCount val="61"/>
                <c:pt idx="0">
                  <c:v>369.11537463760158</c:v>
                </c:pt>
                <c:pt idx="1">
                  <c:v>376.60660378402264</c:v>
                </c:pt>
                <c:pt idx="2">
                  <c:v>384.0978329304437</c:v>
                </c:pt>
                <c:pt idx="3">
                  <c:v>398.32071225827769</c:v>
                </c:pt>
                <c:pt idx="4">
                  <c:v>383.24303772598245</c:v>
                </c:pt>
                <c:pt idx="5">
                  <c:v>367.64673884431613</c:v>
                </c:pt>
                <c:pt idx="6">
                  <c:v>367.64673884431613</c:v>
                </c:pt>
                <c:pt idx="7">
                  <c:v>381.52995205898827</c:v>
                </c:pt>
                <c:pt idx="8">
                  <c:v>395.0206053683923</c:v>
                </c:pt>
                <c:pt idx="9">
                  <c:v>414.38671750278041</c:v>
                </c:pt>
                <c:pt idx="10">
                  <c:v>493.21954852684263</c:v>
                </c:pt>
                <c:pt idx="11">
                  <c:v>611.10860599040382</c:v>
                </c:pt>
                <c:pt idx="12">
                  <c:v>539.33028458145975</c:v>
                </c:pt>
                <c:pt idx="13">
                  <c:v>519.4991193682514</c:v>
                </c:pt>
                <c:pt idx="14">
                  <c:v>524.97953421667216</c:v>
                </c:pt>
                <c:pt idx="15">
                  <c:v>545.48048865632359</c:v>
                </c:pt>
                <c:pt idx="16">
                  <c:v>621.96422706893463</c:v>
                </c:pt>
                <c:pt idx="17">
                  <c:v>562.58212053260854</c:v>
                </c:pt>
                <c:pt idx="18">
                  <c:v>530.9682067793384</c:v>
                </c:pt>
                <c:pt idx="19">
                  <c:v>505.91217742679078</c:v>
                </c:pt>
                <c:pt idx="20">
                  <c:v>493.47999365372959</c:v>
                </c:pt>
                <c:pt idx="21">
                  <c:v>489.98473308684032</c:v>
                </c:pt>
                <c:pt idx="22">
                  <c:v>530.72973477210928</c:v>
                </c:pt>
                <c:pt idx="23">
                  <c:v>480.81888076417579</c:v>
                </c:pt>
                <c:pt idx="24">
                  <c:v>468.754359044132</c:v>
                </c:pt>
                <c:pt idx="25">
                  <c:v>460.43680769530499</c:v>
                </c:pt>
                <c:pt idx="26">
                  <c:v>497.88721329066323</c:v>
                </c:pt>
                <c:pt idx="27">
                  <c:v>544.72863941833975</c:v>
                </c:pt>
                <c:pt idx="28">
                  <c:v>535.9416455155291</c:v>
                </c:pt>
                <c:pt idx="29">
                  <c:v>542.68411938617339</c:v>
                </c:pt>
                <c:pt idx="30">
                  <c:v>509.08402699214878</c:v>
                </c:pt>
                <c:pt idx="31">
                  <c:v>497.18508594946104</c:v>
                </c:pt>
                <c:pt idx="32">
                  <c:v>508.7246818107468</c:v>
                </c:pt>
                <c:pt idx="33">
                  <c:v>525.15135304208104</c:v>
                </c:pt>
                <c:pt idx="34">
                  <c:v>533.64034723646898</c:v>
                </c:pt>
                <c:pt idx="35">
                  <c:v>515.78536961948828</c:v>
                </c:pt>
                <c:pt idx="36">
                  <c:v>492.31908463070744</c:v>
                </c:pt>
                <c:pt idx="37">
                  <c:v>498.71859129162686</c:v>
                </c:pt>
                <c:pt idx="38">
                  <c:v>555.52420324677848</c:v>
                </c:pt>
                <c:pt idx="39">
                  <c:v>553.55666427996357</c:v>
                </c:pt>
                <c:pt idx="40">
                  <c:v>561.55131212700678</c:v>
                </c:pt>
                <c:pt idx="41">
                  <c:v>569.0254560048229</c:v>
                </c:pt>
                <c:pt idx="42">
                  <c:v>644.03723876400989</c:v>
                </c:pt>
                <c:pt idx="43">
                  <c:v>753.49723259199459</c:v>
                </c:pt>
                <c:pt idx="44">
                  <c:v>720.9488286542487</c:v>
                </c:pt>
                <c:pt idx="45">
                  <c:v>724.31341833442752</c:v>
                </c:pt>
                <c:pt idx="46">
                  <c:v>779.51350294973349</c:v>
                </c:pt>
                <c:pt idx="47">
                  <c:v>954.14728423407416</c:v>
                </c:pt>
                <c:pt idx="48">
                  <c:v>1140.5183302593723</c:v>
                </c:pt>
                <c:pt idx="49">
                  <c:v>1124.5240969828471</c:v>
                </c:pt>
                <c:pt idx="50">
                  <c:v>975.62971555514014</c:v>
                </c:pt>
                <c:pt idx="51">
                  <c:v>816.31882736053331</c:v>
                </c:pt>
                <c:pt idx="52">
                  <c:v>752.30648432375324</c:v>
                </c:pt>
                <c:pt idx="53">
                  <c:v>596.50440687705361</c:v>
                </c:pt>
                <c:pt idx="54">
                  <c:v>550.33230634613722</c:v>
                </c:pt>
                <c:pt idx="55">
                  <c:v>548.52555780607941</c:v>
                </c:pt>
                <c:pt idx="56">
                  <c:v>546.62229839742554</c:v>
                </c:pt>
                <c:pt idx="57">
                  <c:v>557.25434142797633</c:v>
                </c:pt>
                <c:pt idx="58">
                  <c:v>511.35831344333582</c:v>
                </c:pt>
                <c:pt idx="59">
                  <c:v>497.93372618946051</c:v>
                </c:pt>
                <c:pt idx="60">
                  <c:v>480.55897990136424</c:v>
                </c:pt>
              </c:numCache>
            </c:numRef>
          </c:val>
          <c:smooth val="0"/>
          <c:extLst>
            <c:ext xmlns:c16="http://schemas.microsoft.com/office/drawing/2014/chart" uri="{C3380CC4-5D6E-409C-BE32-E72D297353CC}">
              <c16:uniqueId val="{00000000-39A5-49FA-A945-9DC6115A9D44}"/>
            </c:ext>
          </c:extLst>
        </c:ser>
        <c:dLbls>
          <c:showLegendKey val="0"/>
          <c:showVal val="0"/>
          <c:showCatName val="0"/>
          <c:showSerName val="0"/>
          <c:showPercent val="0"/>
          <c:showBubbleSize val="0"/>
        </c:dLbls>
        <c:marker val="1"/>
        <c:smooth val="0"/>
        <c:axId val="109273472"/>
        <c:axId val="115919488"/>
      </c:lineChart>
      <c:lineChart>
        <c:grouping val="standard"/>
        <c:varyColors val="0"/>
        <c:ser>
          <c:idx val="1"/>
          <c:order val="1"/>
          <c:tx>
            <c:v>Bauxite (RHS)</c:v>
          </c:tx>
          <c:spPr>
            <a:ln w="28575"/>
          </c:spPr>
          <c:marker>
            <c:symbol val="none"/>
          </c:marker>
          <c:cat>
            <c:numRef>
              <c:f>'Alumina and Bauxite - Prices'!$A$11:$A$71</c:f>
              <c:numCache>
                <c:formatCode>mmm\-yy</c:formatCode>
                <c:ptCount val="61"/>
                <c:pt idx="0">
                  <c:v>44166</c:v>
                </c:pt>
                <c:pt idx="1">
                  <c:v>44197</c:v>
                </c:pt>
                <c:pt idx="2">
                  <c:v>44228</c:v>
                </c:pt>
                <c:pt idx="3">
                  <c:v>44256</c:v>
                </c:pt>
                <c:pt idx="4">
                  <c:v>44287</c:v>
                </c:pt>
                <c:pt idx="5">
                  <c:v>44317</c:v>
                </c:pt>
                <c:pt idx="6">
                  <c:v>44317</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pt idx="37">
                  <c:v>45292</c:v>
                </c:pt>
                <c:pt idx="38">
                  <c:v>45323</c:v>
                </c:pt>
                <c:pt idx="39">
                  <c:v>45352</c:v>
                </c:pt>
                <c:pt idx="40">
                  <c:v>45383</c:v>
                </c:pt>
                <c:pt idx="41">
                  <c:v>45413</c:v>
                </c:pt>
                <c:pt idx="42">
                  <c:v>45444</c:v>
                </c:pt>
                <c:pt idx="43">
                  <c:v>45474</c:v>
                </c:pt>
                <c:pt idx="44">
                  <c:v>45505</c:v>
                </c:pt>
                <c:pt idx="45">
                  <c:v>45536</c:v>
                </c:pt>
                <c:pt idx="46">
                  <c:v>45566</c:v>
                </c:pt>
                <c:pt idx="47">
                  <c:v>45597</c:v>
                </c:pt>
                <c:pt idx="48">
                  <c:v>45627</c:v>
                </c:pt>
                <c:pt idx="49">
                  <c:v>45658</c:v>
                </c:pt>
                <c:pt idx="50">
                  <c:v>45689</c:v>
                </c:pt>
                <c:pt idx="51">
                  <c:v>45717</c:v>
                </c:pt>
                <c:pt idx="52">
                  <c:v>45748</c:v>
                </c:pt>
                <c:pt idx="53">
                  <c:v>45778</c:v>
                </c:pt>
                <c:pt idx="54">
                  <c:v>45809</c:v>
                </c:pt>
                <c:pt idx="55">
                  <c:v>45839</c:v>
                </c:pt>
                <c:pt idx="56">
                  <c:v>45870</c:v>
                </c:pt>
                <c:pt idx="57">
                  <c:v>45901</c:v>
                </c:pt>
                <c:pt idx="58">
                  <c:v>45931</c:v>
                </c:pt>
                <c:pt idx="59">
                  <c:v>45962</c:v>
                </c:pt>
                <c:pt idx="60">
                  <c:v>45992</c:v>
                </c:pt>
              </c:numCache>
            </c:numRef>
          </c:cat>
          <c:val>
            <c:numRef>
              <c:f>'Alumina and Bauxite - Prices'!$C$11:$C$71</c:f>
              <c:numCache>
                <c:formatCode>#,##0.00</c:formatCode>
                <c:ptCount val="61"/>
                <c:pt idx="0">
                  <c:v>37.778571601204838</c:v>
                </c:pt>
                <c:pt idx="1">
                  <c:v>36.915536705220518</c:v>
                </c:pt>
                <c:pt idx="2">
                  <c:v>36.380467168182442</c:v>
                </c:pt>
                <c:pt idx="3">
                  <c:v>37.40305636000047</c:v>
                </c:pt>
                <c:pt idx="4">
                  <c:v>37.284555435068668</c:v>
                </c:pt>
                <c:pt idx="5">
                  <c:v>35.089373633295544</c:v>
                </c:pt>
                <c:pt idx="6">
                  <c:v>35.089373633295544</c:v>
                </c:pt>
                <c:pt idx="7">
                  <c:v>35.444686509825132</c:v>
                </c:pt>
                <c:pt idx="8">
                  <c:v>36.147556429478513</c:v>
                </c:pt>
                <c:pt idx="9">
                  <c:v>35.67125159615788</c:v>
                </c:pt>
                <c:pt idx="10">
                  <c:v>34.904589211807306</c:v>
                </c:pt>
                <c:pt idx="11">
                  <c:v>36.892901454769628</c:v>
                </c:pt>
                <c:pt idx="12">
                  <c:v>33.819683594342479</c:v>
                </c:pt>
                <c:pt idx="13">
                  <c:v>29.817436391123394</c:v>
                </c:pt>
                <c:pt idx="14">
                  <c:v>31.802668810548269</c:v>
                </c:pt>
                <c:pt idx="15">
                  <c:v>28.642514660837818</c:v>
                </c:pt>
                <c:pt idx="16">
                  <c:v>30.293445395647741</c:v>
                </c:pt>
                <c:pt idx="17">
                  <c:v>29.600651769596155</c:v>
                </c:pt>
                <c:pt idx="18">
                  <c:v>29.162707221040151</c:v>
                </c:pt>
                <c:pt idx="19">
                  <c:v>31.895277894987423</c:v>
                </c:pt>
                <c:pt idx="20">
                  <c:v>27.609646264844244</c:v>
                </c:pt>
                <c:pt idx="21">
                  <c:v>32.584945850989442</c:v>
                </c:pt>
                <c:pt idx="22">
                  <c:v>33.280419444289642</c:v>
                </c:pt>
                <c:pt idx="23">
                  <c:v>35.40126662780964</c:v>
                </c:pt>
                <c:pt idx="24">
                  <c:v>38.489683042295432</c:v>
                </c:pt>
                <c:pt idx="25">
                  <c:v>34.284848117974832</c:v>
                </c:pt>
                <c:pt idx="26">
                  <c:v>38.618453142026482</c:v>
                </c:pt>
                <c:pt idx="27">
                  <c:v>47.443001931926936</c:v>
                </c:pt>
                <c:pt idx="28">
                  <c:v>45.117848653757967</c:v>
                </c:pt>
                <c:pt idx="29">
                  <c:v>45.169004087506686</c:v>
                </c:pt>
                <c:pt idx="30">
                  <c:v>42.644409619736962</c:v>
                </c:pt>
                <c:pt idx="31">
                  <c:v>43.933713583243488</c:v>
                </c:pt>
                <c:pt idx="32">
                  <c:v>44.652734738028563</c:v>
                </c:pt>
                <c:pt idx="33">
                  <c:v>46.789081153602211</c:v>
                </c:pt>
                <c:pt idx="34">
                  <c:v>47.011576455634298</c:v>
                </c:pt>
                <c:pt idx="35">
                  <c:v>48.213654573085805</c:v>
                </c:pt>
                <c:pt idx="36">
                  <c:v>47.586392388559581</c:v>
                </c:pt>
                <c:pt idx="37">
                  <c:v>50.931412977738873</c:v>
                </c:pt>
                <c:pt idx="38">
                  <c:v>50.674684278757915</c:v>
                </c:pt>
                <c:pt idx="39">
                  <c:v>55.602607676183936</c:v>
                </c:pt>
                <c:pt idx="40">
                  <c:v>57.094340754483611</c:v>
                </c:pt>
                <c:pt idx="41">
                  <c:v>54.639252878446428</c:v>
                </c:pt>
                <c:pt idx="42">
                  <c:v>57.397597637193336</c:v>
                </c:pt>
                <c:pt idx="43">
                  <c:v>59.189024789644755</c:v>
                </c:pt>
                <c:pt idx="44">
                  <c:v>58.634227238522271</c:v>
                </c:pt>
                <c:pt idx="45">
                  <c:v>58.885807865952266</c:v>
                </c:pt>
                <c:pt idx="46">
                  <c:v>58.463129100311789</c:v>
                </c:pt>
                <c:pt idx="47">
                  <c:v>64.899477431467702</c:v>
                </c:pt>
                <c:pt idx="48">
                  <c:v>71.589926591754704</c:v>
                </c:pt>
                <c:pt idx="49">
                  <c:v>83.218703166989741</c:v>
                </c:pt>
                <c:pt idx="50">
                  <c:v>92.517810716784282</c:v>
                </c:pt>
                <c:pt idx="51">
                  <c:v>104.43242456917704</c:v>
                </c:pt>
                <c:pt idx="52">
                  <c:v>101.47377554971578</c:v>
                </c:pt>
                <c:pt idx="53">
                  <c:v>89.644097291539381</c:v>
                </c:pt>
                <c:pt idx="54">
                  <c:v>90.845720725277815</c:v>
                </c:pt>
                <c:pt idx="55">
                  <c:v>82.939824539832017</c:v>
                </c:pt>
                <c:pt idx="56">
                  <c:v>71.243223839177531</c:v>
                </c:pt>
                <c:pt idx="57">
                  <c:v>68.044397354709091</c:v>
                </c:pt>
                <c:pt idx="58">
                  <c:v>67.552965584514752</c:v>
                </c:pt>
                <c:pt idx="59">
                  <c:v>66.219085205422701</c:v>
                </c:pt>
                <c:pt idx="60">
                  <c:v>67.304202118437274</c:v>
                </c:pt>
              </c:numCache>
            </c:numRef>
          </c:val>
          <c:smooth val="0"/>
          <c:extLst>
            <c:ext xmlns:c16="http://schemas.microsoft.com/office/drawing/2014/chart" uri="{C3380CC4-5D6E-409C-BE32-E72D297353CC}">
              <c16:uniqueId val="{00000001-39A5-49FA-A945-9DC6115A9D44}"/>
            </c:ext>
          </c:extLst>
        </c:ser>
        <c:dLbls>
          <c:showLegendKey val="0"/>
          <c:showVal val="0"/>
          <c:showCatName val="0"/>
          <c:showSerName val="0"/>
          <c:showPercent val="0"/>
          <c:showBubbleSize val="0"/>
        </c:dLbls>
        <c:marker val="1"/>
        <c:smooth val="0"/>
        <c:axId val="906066200"/>
        <c:axId val="906063576"/>
      </c:lineChart>
      <c:valAx>
        <c:axId val="115919488"/>
        <c:scaling>
          <c:orientation val="minMax"/>
          <c:max val="1200"/>
        </c:scaling>
        <c:delete val="0"/>
        <c:axPos val="l"/>
        <c:majorGridlines/>
        <c:title>
          <c:tx>
            <c:rich>
              <a:bodyPr/>
              <a:lstStyle/>
              <a:p>
                <a:pPr>
                  <a:defRPr/>
                </a:pPr>
                <a:r>
                  <a:rPr lang="en-AU"/>
                  <a:t>A$</a:t>
                </a:r>
                <a:r>
                  <a:rPr lang="en-AU" baseline="0"/>
                  <a:t> per </a:t>
                </a:r>
                <a:r>
                  <a:rPr lang="en-AU"/>
                  <a:t>tonne</a:t>
                </a:r>
              </a:p>
            </c:rich>
          </c:tx>
          <c:layout>
            <c:manualLayout>
              <c:xMode val="edge"/>
              <c:yMode val="edge"/>
              <c:x val="9.3232560977637661E-3"/>
              <c:y val="0.41438294639885154"/>
            </c:manualLayout>
          </c:layout>
          <c:overlay val="0"/>
        </c:title>
        <c:numFmt formatCode="#,##0" sourceLinked="0"/>
        <c:majorTickMark val="out"/>
        <c:minorTickMark val="none"/>
        <c:tickLblPos val="nextTo"/>
        <c:crossAx val="109273472"/>
        <c:crosses val="autoZero"/>
        <c:crossBetween val="between"/>
      </c:valAx>
      <c:dateAx>
        <c:axId val="109273472"/>
        <c:scaling>
          <c:orientation val="minMax"/>
        </c:scaling>
        <c:delete val="0"/>
        <c:axPos val="b"/>
        <c:title>
          <c:tx>
            <c:rich>
              <a:bodyPr/>
              <a:lstStyle/>
              <a:p>
                <a:pPr>
                  <a:defRPr sz="900"/>
                </a:pPr>
                <a:r>
                  <a:rPr lang="en-AU" sz="900" b="1" i="0" baseline="0">
                    <a:effectLst/>
                  </a:rPr>
                  <a:t>Source:  ABS</a:t>
                </a:r>
                <a:endParaRPr lang="en-AU" sz="900">
                  <a:effectLst/>
                </a:endParaRPr>
              </a:p>
            </c:rich>
          </c:tx>
          <c:layout>
            <c:manualLayout>
              <c:xMode val="edge"/>
              <c:yMode val="edge"/>
              <c:x val="5.3324002104216056E-3"/>
              <c:y val="0.94946707074149661"/>
            </c:manualLayout>
          </c:layout>
          <c:overlay val="0"/>
        </c:title>
        <c:numFmt formatCode="mmm\-yy" sourceLinked="1"/>
        <c:majorTickMark val="out"/>
        <c:minorTickMark val="none"/>
        <c:tickLblPos val="nextTo"/>
        <c:txPr>
          <a:bodyPr rot="-2700000"/>
          <a:lstStyle/>
          <a:p>
            <a:pPr>
              <a:defRPr/>
            </a:pPr>
            <a:endParaRPr lang="en-US"/>
          </a:p>
        </c:txPr>
        <c:crossAx val="115919488"/>
        <c:crosses val="autoZero"/>
        <c:auto val="1"/>
        <c:lblOffset val="100"/>
        <c:baseTimeUnit val="days"/>
        <c:majorUnit val="3"/>
        <c:majorTimeUnit val="months"/>
      </c:dateAx>
      <c:valAx>
        <c:axId val="906063576"/>
        <c:scaling>
          <c:orientation val="minMax"/>
          <c:max val="120"/>
        </c:scaling>
        <c:delete val="0"/>
        <c:axPos val="r"/>
        <c:title>
          <c:tx>
            <c:rich>
              <a:bodyPr/>
              <a:lstStyle/>
              <a:p>
                <a:pPr>
                  <a:defRPr/>
                </a:pPr>
                <a:r>
                  <a:rPr lang="en-AU"/>
                  <a:t>A$</a:t>
                </a:r>
                <a:r>
                  <a:rPr lang="en-AU" baseline="0"/>
                  <a:t> per tonne</a:t>
                </a:r>
                <a:endParaRPr lang="en-AU"/>
              </a:p>
            </c:rich>
          </c:tx>
          <c:overlay val="0"/>
        </c:title>
        <c:numFmt formatCode="#,##0" sourceLinked="0"/>
        <c:majorTickMark val="out"/>
        <c:minorTickMark val="none"/>
        <c:tickLblPos val="nextTo"/>
        <c:crossAx val="906066200"/>
        <c:crosses val="max"/>
        <c:crossBetween val="between"/>
      </c:valAx>
      <c:dateAx>
        <c:axId val="906066200"/>
        <c:scaling>
          <c:orientation val="minMax"/>
        </c:scaling>
        <c:delete val="1"/>
        <c:axPos val="b"/>
        <c:numFmt formatCode="mmm\-yy" sourceLinked="1"/>
        <c:majorTickMark val="out"/>
        <c:minorTickMark val="none"/>
        <c:tickLblPos val="nextTo"/>
        <c:crossAx val="906063576"/>
        <c:crosses val="autoZero"/>
        <c:auto val="1"/>
        <c:lblOffset val="100"/>
        <c:baseTimeUnit val="days"/>
      </c:date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a:t>
            </a:r>
            <a:r>
              <a:rPr lang="en-AU" sz="1100" baseline="0"/>
              <a:t> </a:t>
            </a:r>
            <a:r>
              <a:rPr lang="en-AU" sz="1100"/>
              <a:t>vs Rest of Australia</a:t>
            </a:r>
          </a:p>
        </c:rich>
      </c:tx>
      <c:overlay val="0"/>
    </c:title>
    <c:autoTitleDeleted val="0"/>
    <c:plotArea>
      <c:layout/>
      <c:barChart>
        <c:barDir val="col"/>
        <c:grouping val="stacked"/>
        <c:varyColors val="0"/>
        <c:ser>
          <c:idx val="0"/>
          <c:order val="0"/>
          <c:tx>
            <c:v>Western Australia</c:v>
          </c:tx>
          <c:invertIfNegative val="0"/>
          <c:cat>
            <c:numRef>
              <c:f>'Mineral Sands - WA vs Aus'!$A$9:$A$66</c:f>
              <c:numCache>
                <c:formatCode>General</c:formatCode>
                <c:ptCount val="58"/>
                <c:pt idx="0">
                  <c:v>1957</c:v>
                </c:pt>
                <c:pt idx="1">
                  <c:v>1958</c:v>
                </c:pt>
                <c:pt idx="2">
                  <c:v>1959</c:v>
                </c:pt>
                <c:pt idx="3">
                  <c:v>1960</c:v>
                </c:pt>
                <c:pt idx="4">
                  <c:v>1961</c:v>
                </c:pt>
                <c:pt idx="5">
                  <c:v>1962</c:v>
                </c:pt>
                <c:pt idx="6">
                  <c:v>1963</c:v>
                </c:pt>
                <c:pt idx="7">
                  <c:v>1964</c:v>
                </c:pt>
                <c:pt idx="8">
                  <c:v>1965</c:v>
                </c:pt>
                <c:pt idx="9">
                  <c:v>1966</c:v>
                </c:pt>
                <c:pt idx="10">
                  <c:v>1967</c:v>
                </c:pt>
                <c:pt idx="11">
                  <c:v>1968</c:v>
                </c:pt>
                <c:pt idx="12">
                  <c:v>1969</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numCache>
            </c:numRef>
          </c:cat>
          <c:val>
            <c:numRef>
              <c:f>'Mineral Sands - WA vs Aus'!$B$9:$B$66</c:f>
              <c:numCache>
                <c:formatCode>"$"#,##0</c:formatCode>
                <c:ptCount val="58"/>
                <c:pt idx="0">
                  <c:v>492</c:v>
                </c:pt>
                <c:pt idx="1">
                  <c:v>2156</c:v>
                </c:pt>
                <c:pt idx="2">
                  <c:v>133392</c:v>
                </c:pt>
                <c:pt idx="3">
                  <c:v>345568</c:v>
                </c:pt>
                <c:pt idx="4">
                  <c:v>588303</c:v>
                </c:pt>
                <c:pt idx="5">
                  <c:v>874763.00000000012</c:v>
                </c:pt>
                <c:pt idx="6">
                  <c:v>1308304.0999999999</c:v>
                </c:pt>
                <c:pt idx="7">
                  <c:v>1604629.3</c:v>
                </c:pt>
                <c:pt idx="8">
                  <c:v>2692152.5</c:v>
                </c:pt>
                <c:pt idx="9">
                  <c:v>2894269.1</c:v>
                </c:pt>
                <c:pt idx="10">
                  <c:v>4325525.2</c:v>
                </c:pt>
                <c:pt idx="11">
                  <c:v>4214603</c:v>
                </c:pt>
                <c:pt idx="12">
                  <c:v>9211062.3000000007</c:v>
                </c:pt>
                <c:pt idx="13">
                  <c:v>10271270.6</c:v>
                </c:pt>
                <c:pt idx="14">
                  <c:v>10462659</c:v>
                </c:pt>
                <c:pt idx="15">
                  <c:v>10468339.700000001</c:v>
                </c:pt>
                <c:pt idx="16">
                  <c:v>11077312.899999999</c:v>
                </c:pt>
                <c:pt idx="17">
                  <c:v>16463287.700000001</c:v>
                </c:pt>
                <c:pt idx="18">
                  <c:v>34526710.899999999</c:v>
                </c:pt>
                <c:pt idx="19">
                  <c:v>39788065</c:v>
                </c:pt>
                <c:pt idx="20">
                  <c:v>54309956.400000006</c:v>
                </c:pt>
                <c:pt idx="21">
                  <c:v>58998055.100000001</c:v>
                </c:pt>
                <c:pt idx="22">
                  <c:v>69875106.199999988</c:v>
                </c:pt>
                <c:pt idx="23">
                  <c:v>79036531</c:v>
                </c:pt>
                <c:pt idx="24">
                  <c:v>88623282.399999991</c:v>
                </c:pt>
                <c:pt idx="25">
                  <c:v>93353064.400000006</c:v>
                </c:pt>
                <c:pt idx="26">
                  <c:v>77817286.499999985</c:v>
                </c:pt>
                <c:pt idx="27">
                  <c:v>114568998.5</c:v>
                </c:pt>
                <c:pt idx="28">
                  <c:v>134961831.40000001</c:v>
                </c:pt>
                <c:pt idx="29">
                  <c:v>160577471.40000001</c:v>
                </c:pt>
                <c:pt idx="30">
                  <c:v>240223386.29999998</c:v>
                </c:pt>
                <c:pt idx="31">
                  <c:v>348835148.60000002</c:v>
                </c:pt>
                <c:pt idx="32">
                  <c:v>428312699</c:v>
                </c:pt>
                <c:pt idx="33">
                  <c:v>447623340.9000001</c:v>
                </c:pt>
                <c:pt idx="34">
                  <c:v>241626154</c:v>
                </c:pt>
                <c:pt idx="35">
                  <c:v>276836642.00614107</c:v>
                </c:pt>
                <c:pt idx="36">
                  <c:v>332056090.18000001</c:v>
                </c:pt>
                <c:pt idx="37">
                  <c:v>417667340.69999999</c:v>
                </c:pt>
                <c:pt idx="38">
                  <c:v>571348686.50000012</c:v>
                </c:pt>
                <c:pt idx="39">
                  <c:v>612206253.4000001</c:v>
                </c:pt>
                <c:pt idx="40">
                  <c:v>654697524</c:v>
                </c:pt>
                <c:pt idx="41">
                  <c:v>706242000</c:v>
                </c:pt>
                <c:pt idx="42">
                  <c:v>688489000</c:v>
                </c:pt>
                <c:pt idx="43">
                  <c:v>860858999.99999988</c:v>
                </c:pt>
                <c:pt idx="44">
                  <c:v>909224999.99999988</c:v>
                </c:pt>
                <c:pt idx="45">
                  <c:v>866852000.00000012</c:v>
                </c:pt>
                <c:pt idx="46">
                  <c:v>789848787.90303028</c:v>
                </c:pt>
                <c:pt idx="47">
                  <c:v>764910779.21212125</c:v>
                </c:pt>
                <c:pt idx="48">
                  <c:v>846793591.63939393</c:v>
                </c:pt>
                <c:pt idx="49">
                  <c:v>886262810.36130917</c:v>
                </c:pt>
                <c:pt idx="50">
                  <c:v>691055713.60429811</c:v>
                </c:pt>
                <c:pt idx="51">
                  <c:v>777136717.99124885</c:v>
                </c:pt>
                <c:pt idx="52">
                  <c:v>641830940.86659384</c:v>
                </c:pt>
                <c:pt idx="53">
                  <c:v>526470515.44375753</c:v>
                </c:pt>
                <c:pt idx="54">
                  <c:v>591622104.60567033</c:v>
                </c:pt>
                <c:pt idx="55">
                  <c:v>970807032.06660604</c:v>
                </c:pt>
                <c:pt idx="56">
                  <c:v>380584659</c:v>
                </c:pt>
                <c:pt idx="57">
                  <c:v>406758672.86666662</c:v>
                </c:pt>
              </c:numCache>
            </c:numRef>
          </c:val>
          <c:extLst>
            <c:ext xmlns:c16="http://schemas.microsoft.com/office/drawing/2014/chart" uri="{C3380CC4-5D6E-409C-BE32-E72D297353CC}">
              <c16:uniqueId val="{00000000-77DA-4CCC-B770-49F3EBD66FFC}"/>
            </c:ext>
          </c:extLst>
        </c:ser>
        <c:ser>
          <c:idx val="1"/>
          <c:order val="1"/>
          <c:tx>
            <c:v>Rest of Australia</c:v>
          </c:tx>
          <c:invertIfNegative val="0"/>
          <c:cat>
            <c:numRef>
              <c:f>'Mineral Sands - WA vs Aus'!$A$9:$A$66</c:f>
              <c:numCache>
                <c:formatCode>General</c:formatCode>
                <c:ptCount val="58"/>
                <c:pt idx="0">
                  <c:v>1957</c:v>
                </c:pt>
                <c:pt idx="1">
                  <c:v>1958</c:v>
                </c:pt>
                <c:pt idx="2">
                  <c:v>1959</c:v>
                </c:pt>
                <c:pt idx="3">
                  <c:v>1960</c:v>
                </c:pt>
                <c:pt idx="4">
                  <c:v>1961</c:v>
                </c:pt>
                <c:pt idx="5">
                  <c:v>1962</c:v>
                </c:pt>
                <c:pt idx="6">
                  <c:v>1963</c:v>
                </c:pt>
                <c:pt idx="7">
                  <c:v>1964</c:v>
                </c:pt>
                <c:pt idx="8">
                  <c:v>1965</c:v>
                </c:pt>
                <c:pt idx="9">
                  <c:v>1966</c:v>
                </c:pt>
                <c:pt idx="10">
                  <c:v>1967</c:v>
                </c:pt>
                <c:pt idx="11">
                  <c:v>1968</c:v>
                </c:pt>
                <c:pt idx="12">
                  <c:v>1969</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numCache>
            </c:numRef>
          </c:cat>
          <c:val>
            <c:numRef>
              <c:f>'Mineral Sands - WA vs Aus'!$C$9:$C$66</c:f>
              <c:numCache>
                <c:formatCode>"$"#,##0</c:formatCode>
                <c:ptCount val="58"/>
                <c:pt idx="0">
                  <c:v>21903008</c:v>
                </c:pt>
                <c:pt idx="1">
                  <c:v>12426344</c:v>
                </c:pt>
                <c:pt idx="2">
                  <c:v>10460008</c:v>
                </c:pt>
                <c:pt idx="3">
                  <c:v>10861632.000000002</c:v>
                </c:pt>
                <c:pt idx="4">
                  <c:v>10857057</c:v>
                </c:pt>
                <c:pt idx="5">
                  <c:v>11597336.999999998</c:v>
                </c:pt>
                <c:pt idx="6">
                  <c:v>17902415.899999999</c:v>
                </c:pt>
                <c:pt idx="7">
                  <c:v>19308340.699999999</c:v>
                </c:pt>
                <c:pt idx="8">
                  <c:v>24680057.500000004</c:v>
                </c:pt>
                <c:pt idx="9">
                  <c:v>31947030.899999995</c:v>
                </c:pt>
                <c:pt idx="10">
                  <c:v>34500594.800000004</c:v>
                </c:pt>
                <c:pt idx="11">
                  <c:v>36073557</c:v>
                </c:pt>
                <c:pt idx="12">
                  <c:v>40674638.699999996</c:v>
                </c:pt>
                <c:pt idx="13">
                  <c:v>48209466.400000006</c:v>
                </c:pt>
                <c:pt idx="14">
                  <c:v>55277821</c:v>
                </c:pt>
                <c:pt idx="15">
                  <c:v>47525519.299999982</c:v>
                </c:pt>
                <c:pt idx="16">
                  <c:v>52602239.100000001</c:v>
                </c:pt>
                <c:pt idx="17">
                  <c:v>70380853.299999982</c:v>
                </c:pt>
                <c:pt idx="18">
                  <c:v>125495545.09999999</c:v>
                </c:pt>
                <c:pt idx="19">
                  <c:v>125917837</c:v>
                </c:pt>
                <c:pt idx="20">
                  <c:v>82043274.600000009</c:v>
                </c:pt>
                <c:pt idx="21">
                  <c:v>48427636.899999991</c:v>
                </c:pt>
                <c:pt idx="22">
                  <c:v>53505783.800000004</c:v>
                </c:pt>
                <c:pt idx="23">
                  <c:v>80616028</c:v>
                </c:pt>
                <c:pt idx="24">
                  <c:v>60094861.599999972</c:v>
                </c:pt>
                <c:pt idx="25">
                  <c:v>50807023.599999987</c:v>
                </c:pt>
                <c:pt idx="26">
                  <c:v>39991133.5</c:v>
                </c:pt>
                <c:pt idx="27">
                  <c:v>53791583.500000022</c:v>
                </c:pt>
                <c:pt idx="28">
                  <c:v>86350293.600000009</c:v>
                </c:pt>
                <c:pt idx="29">
                  <c:v>94356085.599999994</c:v>
                </c:pt>
                <c:pt idx="30">
                  <c:v>144404564.70000002</c:v>
                </c:pt>
                <c:pt idx="31">
                  <c:v>174675127.39999995</c:v>
                </c:pt>
                <c:pt idx="32">
                  <c:v>321476520.99999994</c:v>
                </c:pt>
                <c:pt idx="33">
                  <c:v>294352387.0999999</c:v>
                </c:pt>
                <c:pt idx="34">
                  <c:v>165517603.99999997</c:v>
                </c:pt>
                <c:pt idx="35">
                  <c:v>111675432.39999993</c:v>
                </c:pt>
                <c:pt idx="36">
                  <c:v>93207174.899999976</c:v>
                </c:pt>
                <c:pt idx="37">
                  <c:v>93063309.300000027</c:v>
                </c:pt>
                <c:pt idx="38">
                  <c:v>83489338.499999955</c:v>
                </c:pt>
                <c:pt idx="39">
                  <c:v>125882000</c:v>
                </c:pt>
                <c:pt idx="40">
                  <c:v>158197000</c:v>
                </c:pt>
                <c:pt idx="41">
                  <c:v>161779000</c:v>
                </c:pt>
                <c:pt idx="42">
                  <c:v>63105000</c:v>
                </c:pt>
                <c:pt idx="43">
                  <c:v>40072000</c:v>
                </c:pt>
                <c:pt idx="44">
                  <c:v>72447000</c:v>
                </c:pt>
                <c:pt idx="45">
                  <c:v>108805599.99999997</c:v>
                </c:pt>
                <c:pt idx="46">
                  <c:v>74724000</c:v>
                </c:pt>
                <c:pt idx="47">
                  <c:v>90109962.999999985</c:v>
                </c:pt>
                <c:pt idx="48">
                  <c:v>52770605.999999911</c:v>
                </c:pt>
                <c:pt idx="49">
                  <c:v>355967000</c:v>
                </c:pt>
                <c:pt idx="50">
                  <c:v>545455959</c:v>
                </c:pt>
                <c:pt idx="51">
                  <c:v>360678633.00000006</c:v>
                </c:pt>
                <c:pt idx="52">
                  <c:v>628933613</c:v>
                </c:pt>
                <c:pt idx="53">
                  <c:v>880785482</c:v>
                </c:pt>
                <c:pt idx="54">
                  <c:v>1345503845</c:v>
                </c:pt>
                <c:pt idx="55">
                  <c:v>1320369000</c:v>
                </c:pt>
                <c:pt idx="56">
                  <c:v>1367400000</c:v>
                </c:pt>
                <c:pt idx="57">
                  <c:v>1243000000</c:v>
                </c:pt>
              </c:numCache>
            </c:numRef>
          </c:val>
          <c:extLst>
            <c:ext xmlns:c16="http://schemas.microsoft.com/office/drawing/2014/chart" uri="{C3380CC4-5D6E-409C-BE32-E72D297353CC}">
              <c16:uniqueId val="{00000001-77DA-4CCC-B770-49F3EBD66FFC}"/>
            </c:ext>
          </c:extLst>
        </c:ser>
        <c:dLbls>
          <c:showLegendKey val="0"/>
          <c:showVal val="0"/>
          <c:showCatName val="0"/>
          <c:showSerName val="0"/>
          <c:showPercent val="0"/>
          <c:showBubbleSize val="0"/>
        </c:dLbls>
        <c:gapWidth val="150"/>
        <c:overlap val="100"/>
        <c:axId val="133027328"/>
        <c:axId val="133025792"/>
      </c:barChart>
      <c:valAx>
        <c:axId val="133025792"/>
        <c:scaling>
          <c:orientation val="minMax"/>
        </c:scaling>
        <c:delete val="0"/>
        <c:axPos val="l"/>
        <c:majorGridlines/>
        <c:numFmt formatCode="#,##0" sourceLinked="0"/>
        <c:majorTickMark val="out"/>
        <c:minorTickMark val="none"/>
        <c:tickLblPos val="nextTo"/>
        <c:crossAx val="133027328"/>
        <c:crossesAt val="1"/>
        <c:crossBetween val="between"/>
        <c:dispUnits>
          <c:builtInUnit val="millions"/>
          <c:dispUnitsLbl>
            <c:layout>
              <c:manualLayout>
                <c:xMode val="edge"/>
                <c:yMode val="edge"/>
                <c:x val="1.4801271370938042E-2"/>
                <c:y val="0.47860667206716256"/>
              </c:manualLayout>
            </c:layout>
            <c:tx>
              <c:rich>
                <a:bodyPr/>
                <a:lstStyle/>
                <a:p>
                  <a:pPr>
                    <a:defRPr/>
                  </a:pPr>
                  <a:r>
                    <a:rPr lang="en-AU"/>
                    <a:t>$ Million</a:t>
                  </a:r>
                </a:p>
              </c:rich>
            </c:tx>
          </c:dispUnitsLbl>
        </c:dispUnits>
      </c:valAx>
      <c:dateAx>
        <c:axId val="133027328"/>
        <c:scaling>
          <c:orientation val="minMax"/>
        </c:scaling>
        <c:delete val="0"/>
        <c:axPos val="b"/>
        <c:title>
          <c:tx>
            <c:rich>
              <a:bodyPr/>
              <a:lstStyle/>
              <a:p>
                <a:pPr>
                  <a:defRPr/>
                </a:pPr>
                <a:r>
                  <a:rPr lang="en-AU"/>
                  <a:t>Source:  DMPE and OoCE</a:t>
                </a:r>
              </a:p>
            </c:rich>
          </c:tx>
          <c:layout>
            <c:manualLayout>
              <c:xMode val="edge"/>
              <c:yMode val="edge"/>
              <c:x val="4.0549656284176944E-3"/>
              <c:y val="0.94432805926235719"/>
            </c:manualLayout>
          </c:layout>
          <c:overlay val="0"/>
        </c:title>
        <c:numFmt formatCode="General" sourceLinked="1"/>
        <c:majorTickMark val="out"/>
        <c:minorTickMark val="none"/>
        <c:tickLblPos val="nextTo"/>
        <c:txPr>
          <a:bodyPr rot="-2700000"/>
          <a:lstStyle/>
          <a:p>
            <a:pPr>
              <a:defRPr/>
            </a:pPr>
            <a:endParaRPr lang="en-US"/>
          </a:p>
        </c:txPr>
        <c:crossAx val="133025792"/>
        <c:crosses val="autoZero"/>
        <c:auto val="0"/>
        <c:lblOffset val="100"/>
        <c:baseTimeUnit val="days"/>
        <c:majorUnit val="3"/>
        <c:majorTimeUnit val="days"/>
      </c:dateAx>
    </c:plotArea>
    <c:legend>
      <c:legendPos val="t"/>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a:t>
            </a:r>
            <a:r>
              <a:rPr lang="en-AU" sz="1100" baseline="0"/>
              <a:t> </a:t>
            </a:r>
            <a:r>
              <a:rPr lang="en-AU" sz="1100"/>
              <a:t>vs Rest of Australia</a:t>
            </a:r>
          </a:p>
          <a:p>
            <a:pPr>
              <a:defRPr/>
            </a:pPr>
            <a:r>
              <a:rPr lang="en-AU" sz="1100"/>
              <a:t>Last 10 Years</a:t>
            </a:r>
          </a:p>
        </c:rich>
      </c:tx>
      <c:overlay val="0"/>
    </c:title>
    <c:autoTitleDeleted val="0"/>
    <c:plotArea>
      <c:layout/>
      <c:lineChart>
        <c:grouping val="standard"/>
        <c:varyColors val="0"/>
        <c:ser>
          <c:idx val="0"/>
          <c:order val="0"/>
          <c:tx>
            <c:v>Western Australia</c:v>
          </c:tx>
          <c:spPr>
            <a:ln w="28575"/>
          </c:spPr>
          <c:cat>
            <c:numRef>
              <c:f>'Mineral Sands - WA vs Aus'!$Q$12:$Q$21</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'Mineral Sands - WA vs Aus'!$R$12:$R$21</c:f>
              <c:numCache>
                <c:formatCode>#,##0.00</c:formatCode>
                <c:ptCount val="10"/>
                <c:pt idx="0">
                  <c:v>846793591.63939393</c:v>
                </c:pt>
                <c:pt idx="1">
                  <c:v>886262810.36130917</c:v>
                </c:pt>
                <c:pt idx="2">
                  <c:v>691055713.60429811</c:v>
                </c:pt>
                <c:pt idx="3">
                  <c:v>777136717.99124885</c:v>
                </c:pt>
                <c:pt idx="4">
                  <c:v>641830940.86659384</c:v>
                </c:pt>
                <c:pt idx="5">
                  <c:v>526470515.44375753</c:v>
                </c:pt>
                <c:pt idx="6">
                  <c:v>591622104.60567033</c:v>
                </c:pt>
                <c:pt idx="7">
                  <c:v>970807032.06660604</c:v>
                </c:pt>
                <c:pt idx="8">
                  <c:v>380584659</c:v>
                </c:pt>
                <c:pt idx="9">
                  <c:v>406758672.86666662</c:v>
                </c:pt>
              </c:numCache>
            </c:numRef>
          </c:val>
          <c:smooth val="0"/>
          <c:extLst>
            <c:ext xmlns:c16="http://schemas.microsoft.com/office/drawing/2014/chart" uri="{C3380CC4-5D6E-409C-BE32-E72D297353CC}">
              <c16:uniqueId val="{00000000-D43E-4B28-B0A2-9D21C3C3F78F}"/>
            </c:ext>
          </c:extLst>
        </c:ser>
        <c:dLbls>
          <c:showLegendKey val="0"/>
          <c:showVal val="0"/>
          <c:showCatName val="0"/>
          <c:showSerName val="0"/>
          <c:showPercent val="0"/>
          <c:showBubbleSize val="0"/>
        </c:dLbls>
        <c:marker val="1"/>
        <c:smooth val="0"/>
        <c:axId val="133027328"/>
        <c:axId val="133025792"/>
        <c:extLst>
          <c:ext xmlns:c15="http://schemas.microsoft.com/office/drawing/2012/chart" uri="{02D57815-91ED-43cb-92C2-25804820EDAC}">
            <c15:filteredLineSeries>
              <c15:ser>
                <c:idx val="1"/>
                <c:order val="1"/>
                <c:tx>
                  <c:v>Rest of Australia</c:v>
                </c:tx>
                <c:spPr>
                  <a:ln w="28575"/>
                </c:spPr>
                <c:cat>
                  <c:numRef>
                    <c:extLst>
                      <c:ext uri="{02D57815-91ED-43cb-92C2-25804820EDAC}">
                        <c15:formulaRef>
                          <c15:sqref>'Mineral Sands - WA vs Aus'!$Q$12:$Q$21</c15:sqref>
                        </c15:formulaRef>
                      </c:ext>
                    </c:extLst>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extLst>
                      <c:ext uri="{02D57815-91ED-43cb-92C2-25804820EDAC}">
                        <c15:formulaRef>
                          <c15:sqref>'Mineral Sands - WA vs Aus'!$S$12:$S$21</c15:sqref>
                        </c15:formulaRef>
                      </c:ext>
                    </c:extLst>
                    <c:numCache>
                      <c:formatCode>#,##0.00</c:formatCode>
                      <c:ptCount val="10"/>
                      <c:pt idx="0">
                        <c:v>0</c:v>
                      </c:pt>
                      <c:pt idx="1">
                        <c:v>0</c:v>
                      </c:pt>
                      <c:pt idx="2">
                        <c:v>0</c:v>
                      </c:pt>
                      <c:pt idx="3">
                        <c:v>0</c:v>
                      </c:pt>
                      <c:pt idx="4">
                        <c:v>0</c:v>
                      </c:pt>
                      <c:pt idx="5" formatCode="&quot;$&quot;#,##0">
                        <c:v>0</c:v>
                      </c:pt>
                      <c:pt idx="6" formatCode="&quot;$&quot;#,##0">
                        <c:v>0</c:v>
                      </c:pt>
                      <c:pt idx="7" formatCode="&quot;$&quot;#,##0">
                        <c:v>0</c:v>
                      </c:pt>
                      <c:pt idx="8" formatCode="&quot;$&quot;#,##0">
                        <c:v>0</c:v>
                      </c:pt>
                      <c:pt idx="9" formatCode="&quot;$&quot;#,##0">
                        <c:v>0</c:v>
                      </c:pt>
                    </c:numCache>
                  </c:numRef>
                </c:val>
                <c:smooth val="0"/>
                <c:extLst>
                  <c:ext xmlns:c16="http://schemas.microsoft.com/office/drawing/2014/chart" uri="{C3380CC4-5D6E-409C-BE32-E72D297353CC}">
                    <c16:uniqueId val="{00000001-D43E-4B28-B0A2-9D21C3C3F78F}"/>
                  </c:ext>
                </c:extLst>
              </c15:ser>
            </c15:filteredLineSeries>
          </c:ext>
        </c:extLst>
      </c:lineChart>
      <c:valAx>
        <c:axId val="133025792"/>
        <c:scaling>
          <c:orientation val="minMax"/>
        </c:scaling>
        <c:delete val="0"/>
        <c:axPos val="l"/>
        <c:majorGridlines/>
        <c:numFmt formatCode="#,##0" sourceLinked="0"/>
        <c:majorTickMark val="out"/>
        <c:minorTickMark val="none"/>
        <c:tickLblPos val="nextTo"/>
        <c:crossAx val="133027328"/>
        <c:crosses val="autoZero"/>
        <c:crossBetween val="between"/>
        <c:dispUnits>
          <c:builtInUnit val="millions"/>
          <c:dispUnitsLbl>
            <c:layout>
              <c:manualLayout>
                <c:xMode val="edge"/>
                <c:yMode val="edge"/>
                <c:x val="1.4801271370938042E-2"/>
                <c:y val="0.47860667206716256"/>
              </c:manualLayout>
            </c:layout>
            <c:tx>
              <c:rich>
                <a:bodyPr/>
                <a:lstStyle/>
                <a:p>
                  <a:pPr>
                    <a:defRPr/>
                  </a:pPr>
                  <a:r>
                    <a:rPr lang="en-AU"/>
                    <a:t>$ Million</a:t>
                  </a:r>
                </a:p>
              </c:rich>
            </c:tx>
          </c:dispUnitsLbl>
        </c:dispUnits>
      </c:valAx>
      <c:catAx>
        <c:axId val="133027328"/>
        <c:scaling>
          <c:orientation val="minMax"/>
        </c:scaling>
        <c:delete val="0"/>
        <c:axPos val="b"/>
        <c:title>
          <c:tx>
            <c:rich>
              <a:bodyPr/>
              <a:lstStyle/>
              <a:p>
                <a:pPr>
                  <a:defRPr/>
                </a:pPr>
                <a:r>
                  <a:rPr lang="en-AU"/>
                  <a:t>Source:  DMPE and OoCE</a:t>
                </a:r>
              </a:p>
            </c:rich>
          </c:tx>
          <c:layout>
            <c:manualLayout>
              <c:xMode val="edge"/>
              <c:yMode val="edge"/>
              <c:x val="4.0549656284176944E-3"/>
              <c:y val="0.94432805926235719"/>
            </c:manualLayout>
          </c:layout>
          <c:overlay val="0"/>
        </c:title>
        <c:numFmt formatCode="General" sourceLinked="1"/>
        <c:majorTickMark val="out"/>
        <c:minorTickMark val="none"/>
        <c:tickLblPos val="nextTo"/>
        <c:txPr>
          <a:bodyPr rot="-2700000"/>
          <a:lstStyle/>
          <a:p>
            <a:pPr>
              <a:defRPr/>
            </a:pPr>
            <a:endParaRPr lang="en-US"/>
          </a:p>
        </c:txPr>
        <c:crossAx val="133025792"/>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Nickel</a:t>
            </a:r>
          </a:p>
          <a:p>
            <a:pPr>
              <a:defRPr/>
            </a:pPr>
            <a:r>
              <a:rPr lang="en-US" sz="1100"/>
              <a:t>Annual Prices, Historic</a:t>
            </a:r>
            <a:endParaRPr lang="en-AU" sz="1100"/>
          </a:p>
        </c:rich>
      </c:tx>
      <c:overlay val="0"/>
    </c:title>
    <c:autoTitleDeleted val="0"/>
    <c:plotArea>
      <c:layout>
        <c:manualLayout>
          <c:layoutTarget val="inner"/>
          <c:xMode val="edge"/>
          <c:yMode val="edge"/>
          <c:x val="0.13813637980910537"/>
          <c:y val="0.27492304153857433"/>
          <c:w val="0.82737311077765574"/>
          <c:h val="0.51732703792618817"/>
        </c:manualLayout>
      </c:layout>
      <c:lineChart>
        <c:grouping val="standard"/>
        <c:varyColors val="0"/>
        <c:ser>
          <c:idx val="1"/>
          <c:order val="0"/>
          <c:tx>
            <c:strRef>
              <c:f>'Nickel - Prices'!$F$9</c:f>
              <c:strCache>
                <c:ptCount val="1"/>
                <c:pt idx="0">
                  <c:v>US$ per tonne</c:v>
                </c:pt>
              </c:strCache>
            </c:strRef>
          </c:tx>
          <c:spPr>
            <a:ln w="28575">
              <a:solidFill>
                <a:srgbClr val="4572A7"/>
              </a:solidFill>
            </a:ln>
          </c:spPr>
          <c:marker>
            <c:symbol val="none"/>
          </c:marker>
          <c:cat>
            <c:numRef>
              <c:f>'Nickel - Prices'!$E$11:$E$51</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'Nickel - Prices'!$F$11:$F$51</c:f>
              <c:numCache>
                <c:formatCode>#,##0.00</c:formatCode>
                <c:ptCount val="41"/>
                <c:pt idx="0">
                  <c:v>4901.3944896129678</c:v>
                </c:pt>
                <c:pt idx="1">
                  <c:v>3888.8356621152602</c:v>
                </c:pt>
                <c:pt idx="2">
                  <c:v>4859.1571635335049</c:v>
                </c:pt>
                <c:pt idx="3">
                  <c:v>13794.974205344808</c:v>
                </c:pt>
                <c:pt idx="4">
                  <c:v>13236.366666666669</c:v>
                </c:pt>
                <c:pt idx="5">
                  <c:v>8849.7666666666682</c:v>
                </c:pt>
                <c:pt idx="6">
                  <c:v>8148.1041666666679</c:v>
                </c:pt>
                <c:pt idx="7">
                  <c:v>7005.3058333333347</c:v>
                </c:pt>
                <c:pt idx="8">
                  <c:v>5292.8183333333336</c:v>
                </c:pt>
                <c:pt idx="9">
                  <c:v>6340.3230000000003</c:v>
                </c:pt>
                <c:pt idx="10">
                  <c:v>8233.5949999999993</c:v>
                </c:pt>
                <c:pt idx="11">
                  <c:v>7531.4583333333348</c:v>
                </c:pt>
                <c:pt idx="12">
                  <c:v>6924.1499999999987</c:v>
                </c:pt>
                <c:pt idx="13">
                  <c:v>4632.6191666666664</c:v>
                </c:pt>
                <c:pt idx="14">
                  <c:v>6014.5920000000006</c:v>
                </c:pt>
                <c:pt idx="15">
                  <c:v>8641.8808333333345</c:v>
                </c:pt>
                <c:pt idx="16">
                  <c:v>5949.4933333333347</c:v>
                </c:pt>
                <c:pt idx="17">
                  <c:v>6793.0508333333337</c:v>
                </c:pt>
                <c:pt idx="18">
                  <c:v>9633.3608333333341</c:v>
                </c:pt>
                <c:pt idx="19">
                  <c:v>13830.259166666665</c:v>
                </c:pt>
                <c:pt idx="20">
                  <c:v>14743.910000000002</c:v>
                </c:pt>
                <c:pt idx="21">
                  <c:v>24360.182499999999</c:v>
                </c:pt>
                <c:pt idx="22">
                  <c:v>37229.805833333332</c:v>
                </c:pt>
                <c:pt idx="23">
                  <c:v>21113.145833333332</c:v>
                </c:pt>
                <c:pt idx="24">
                  <c:v>14721.555833333334</c:v>
                </c:pt>
                <c:pt idx="25">
                  <c:v>21808.852500000001</c:v>
                </c:pt>
                <c:pt idx="26">
                  <c:v>22894.358333333334</c:v>
                </c:pt>
                <c:pt idx="27">
                  <c:v>17535.575158333333</c:v>
                </c:pt>
                <c:pt idx="28">
                  <c:v>15021.8935</c:v>
                </c:pt>
                <c:pt idx="29">
                  <c:v>16868.555058333335</c:v>
                </c:pt>
                <c:pt idx="30">
                  <c:v>11834.792475000002</c:v>
                </c:pt>
                <c:pt idx="31">
                  <c:v>9597.5587916666682</c:v>
                </c:pt>
                <c:pt idx="32">
                  <c:v>10406.91070378788</c:v>
                </c:pt>
                <c:pt idx="33">
                  <c:v>13117.675179440836</c:v>
                </c:pt>
                <c:pt idx="34">
                  <c:v>13906.955833333333</c:v>
                </c:pt>
                <c:pt idx="35">
                  <c:v>13773.181666666665</c:v>
                </c:pt>
                <c:pt idx="36">
                  <c:v>18488.620000000003</c:v>
                </c:pt>
                <c:pt idx="37">
                  <c:v>25655.938333333335</c:v>
                </c:pt>
                <c:pt idx="38">
                  <c:v>21495.22416666667</c:v>
                </c:pt>
                <c:pt idx="39">
                  <c:v>16812.845000000001</c:v>
                </c:pt>
                <c:pt idx="40">
                  <c:v>15154.294166666668</c:v>
                </c:pt>
              </c:numCache>
            </c:numRef>
          </c:val>
          <c:smooth val="0"/>
          <c:extLst>
            <c:ext xmlns:c16="http://schemas.microsoft.com/office/drawing/2014/chart" uri="{C3380CC4-5D6E-409C-BE32-E72D297353CC}">
              <c16:uniqueId val="{00000000-2D9B-4111-9ADA-621FFADE1203}"/>
            </c:ext>
          </c:extLst>
        </c:ser>
        <c:ser>
          <c:idx val="0"/>
          <c:order val="1"/>
          <c:tx>
            <c:strRef>
              <c:f>'Nickel - Prices'!$G$9</c:f>
              <c:strCache>
                <c:ptCount val="1"/>
                <c:pt idx="0">
                  <c:v>A$ per tonne</c:v>
                </c:pt>
              </c:strCache>
            </c:strRef>
          </c:tx>
          <c:spPr>
            <a:ln w="28575">
              <a:solidFill>
                <a:srgbClr val="93A9CF"/>
              </a:solidFill>
            </a:ln>
          </c:spPr>
          <c:marker>
            <c:symbol val="none"/>
          </c:marker>
          <c:cat>
            <c:numRef>
              <c:f>'Nickel - Prices'!$E$11:$E$51</c:f>
              <c:numCache>
                <c:formatCode>General</c:formatCode>
                <c:ptCount val="4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pt idx="39">
                  <c:v>2024</c:v>
                </c:pt>
                <c:pt idx="40">
                  <c:v>2025</c:v>
                </c:pt>
              </c:numCache>
            </c:numRef>
          </c:cat>
          <c:val>
            <c:numRef>
              <c:f>'Nickel - Prices'!$G$11:$G$51</c:f>
              <c:numCache>
                <c:formatCode>#,##0.00</c:formatCode>
                <c:ptCount val="41"/>
                <c:pt idx="0">
                  <c:v>7017.9622645454801</c:v>
                </c:pt>
                <c:pt idx="1">
                  <c:v>5807.2150261370289</c:v>
                </c:pt>
                <c:pt idx="2">
                  <c:v>6915.6166865840269</c:v>
                </c:pt>
                <c:pt idx="3">
                  <c:v>17556.426775707569</c:v>
                </c:pt>
                <c:pt idx="4">
                  <c:v>16603.232723155015</c:v>
                </c:pt>
                <c:pt idx="5">
                  <c:v>11308.955244810373</c:v>
                </c:pt>
                <c:pt idx="6">
                  <c:v>10463.634067185552</c:v>
                </c:pt>
                <c:pt idx="7">
                  <c:v>9508.5645001778048</c:v>
                </c:pt>
                <c:pt idx="8">
                  <c:v>7776.8257970252525</c:v>
                </c:pt>
                <c:pt idx="9">
                  <c:v>8643.5326677242356</c:v>
                </c:pt>
                <c:pt idx="10">
                  <c:v>11099.375082539351</c:v>
                </c:pt>
                <c:pt idx="11">
                  <c:v>9631.7317750959719</c:v>
                </c:pt>
                <c:pt idx="12">
                  <c:v>9291.8261160070087</c:v>
                </c:pt>
                <c:pt idx="13">
                  <c:v>7339.2905318583653</c:v>
                </c:pt>
                <c:pt idx="14">
                  <c:v>9318.6959983254765</c:v>
                </c:pt>
                <c:pt idx="15">
                  <c:v>14839.194849024641</c:v>
                </c:pt>
                <c:pt idx="16">
                  <c:v>11480.188599147981</c:v>
                </c:pt>
                <c:pt idx="17">
                  <c:v>12480.84574770486</c:v>
                </c:pt>
                <c:pt idx="18">
                  <c:v>14681.767613151509</c:v>
                </c:pt>
                <c:pt idx="19">
                  <c:v>18776.299374102182</c:v>
                </c:pt>
                <c:pt idx="20">
                  <c:v>19319.30706067169</c:v>
                </c:pt>
                <c:pt idx="21">
                  <c:v>32188.773145870091</c:v>
                </c:pt>
                <c:pt idx="22">
                  <c:v>44744.99982866794</c:v>
                </c:pt>
                <c:pt idx="23">
                  <c:v>24173.233354519092</c:v>
                </c:pt>
                <c:pt idx="24">
                  <c:v>18387.95872138254</c:v>
                </c:pt>
                <c:pt idx="25">
                  <c:v>23691.080165372565</c:v>
                </c:pt>
                <c:pt idx="26">
                  <c:v>22194.801667713149</c:v>
                </c:pt>
                <c:pt idx="27">
                  <c:v>16920.31787505178</c:v>
                </c:pt>
                <c:pt idx="28">
                  <c:v>15485.073351990808</c:v>
                </c:pt>
                <c:pt idx="29">
                  <c:v>18661.064206055453</c:v>
                </c:pt>
                <c:pt idx="30">
                  <c:v>15636.201490325429</c:v>
                </c:pt>
                <c:pt idx="31">
                  <c:v>12891.090930180819</c:v>
                </c:pt>
                <c:pt idx="32">
                  <c:v>13567.229044753867</c:v>
                </c:pt>
                <c:pt idx="33">
                  <c:v>17527.964525245628</c:v>
                </c:pt>
                <c:pt idx="34">
                  <c:v>20050.216098817091</c:v>
                </c:pt>
                <c:pt idx="35">
                  <c:v>19892.361092829509</c:v>
                </c:pt>
                <c:pt idx="36">
                  <c:v>24650.097417871559</c:v>
                </c:pt>
                <c:pt idx="37">
                  <c:v>36828.121415381298</c:v>
                </c:pt>
                <c:pt idx="38">
                  <c:v>32250.206308655805</c:v>
                </c:pt>
                <c:pt idx="39">
                  <c:v>25474.017907560123</c:v>
                </c:pt>
                <c:pt idx="40">
                  <c:v>23526.285898214566</c:v>
                </c:pt>
              </c:numCache>
            </c:numRef>
          </c:val>
          <c:smooth val="0"/>
          <c:extLst>
            <c:ext xmlns:c16="http://schemas.microsoft.com/office/drawing/2014/chart" uri="{C3380CC4-5D6E-409C-BE32-E72D297353CC}">
              <c16:uniqueId val="{00000001-2D9B-4111-9ADA-621FFADE1203}"/>
            </c:ext>
          </c:extLst>
        </c:ser>
        <c:dLbls>
          <c:showLegendKey val="0"/>
          <c:showVal val="0"/>
          <c:showCatName val="0"/>
          <c:showSerName val="0"/>
          <c:showPercent val="0"/>
          <c:showBubbleSize val="0"/>
        </c:dLbls>
        <c:smooth val="0"/>
        <c:axId val="131369600"/>
        <c:axId val="131371776"/>
      </c:lineChart>
      <c:catAx>
        <c:axId val="131369600"/>
        <c:scaling>
          <c:orientation val="minMax"/>
        </c:scaling>
        <c:delete val="0"/>
        <c:axPos val="b"/>
        <c:title>
          <c:tx>
            <c:rich>
              <a:bodyPr/>
              <a:lstStyle/>
              <a:p>
                <a:pPr>
                  <a:defRPr sz="900"/>
                </a:pPr>
                <a:r>
                  <a:rPr lang="en-AU" sz="900"/>
                  <a:t>Source:</a:t>
                </a:r>
                <a:r>
                  <a:rPr lang="en-AU" sz="900" baseline="0"/>
                  <a:t> LME</a:t>
                </a:r>
                <a:endParaRPr lang="en-AU" sz="900"/>
              </a:p>
            </c:rich>
          </c:tx>
          <c:layout>
            <c:manualLayout>
              <c:xMode val="edge"/>
              <c:yMode val="edge"/>
              <c:x val="0"/>
              <c:y val="0.94313216594226223"/>
            </c:manualLayout>
          </c:layout>
          <c:overlay val="0"/>
        </c:title>
        <c:numFmt formatCode="General" sourceLinked="1"/>
        <c:majorTickMark val="out"/>
        <c:minorTickMark val="none"/>
        <c:tickLblPos val="nextTo"/>
        <c:spPr>
          <a:ln/>
        </c:spPr>
        <c:txPr>
          <a:bodyPr rot="-2700000"/>
          <a:lstStyle/>
          <a:p>
            <a:pPr>
              <a:defRPr/>
            </a:pPr>
            <a:endParaRPr lang="en-US"/>
          </a:p>
        </c:txPr>
        <c:crossAx val="131371776"/>
        <c:crosses val="autoZero"/>
        <c:auto val="1"/>
        <c:lblAlgn val="ctr"/>
        <c:lblOffset val="100"/>
        <c:tickMarkSkip val="1"/>
        <c:noMultiLvlLbl val="0"/>
      </c:catAx>
      <c:valAx>
        <c:axId val="131371776"/>
        <c:scaling>
          <c:orientation val="minMax"/>
        </c:scaling>
        <c:delete val="0"/>
        <c:axPos val="l"/>
        <c:majorGridlines/>
        <c:title>
          <c:tx>
            <c:rich>
              <a:bodyPr rot="-5400000" vert="horz"/>
              <a:lstStyle/>
              <a:p>
                <a:pPr>
                  <a:defRPr/>
                </a:pPr>
                <a:r>
                  <a:rPr lang="en-AU"/>
                  <a:t>$</a:t>
                </a:r>
                <a:r>
                  <a:rPr lang="en-AU" baseline="0"/>
                  <a:t> per </a:t>
                </a:r>
                <a:r>
                  <a:rPr lang="en-AU"/>
                  <a:t>tonne</a:t>
                </a:r>
              </a:p>
            </c:rich>
          </c:tx>
          <c:layout>
            <c:manualLayout>
              <c:xMode val="edge"/>
              <c:yMode val="edge"/>
              <c:x val="1.0468530620884969E-2"/>
              <c:y val="0.45788466052137683"/>
            </c:manualLayout>
          </c:layout>
          <c:overlay val="0"/>
        </c:title>
        <c:numFmt formatCode="#,##0" sourceLinked="0"/>
        <c:majorTickMark val="out"/>
        <c:minorTickMark val="none"/>
        <c:tickLblPos val="nextTo"/>
        <c:spPr>
          <a:ln/>
        </c:spPr>
        <c:crossAx val="131369600"/>
        <c:crosses val="autoZero"/>
        <c:crossBetween val="midCat"/>
        <c:majorUnit val="10000"/>
      </c:valAx>
    </c:plotArea>
    <c:legend>
      <c:legendPos val="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Monthly Prices, Last 5 years</a:t>
            </a:r>
          </a:p>
        </c:rich>
      </c:tx>
      <c:layout>
        <c:manualLayout>
          <c:xMode val="edge"/>
          <c:yMode val="edge"/>
          <c:x val="0.37837661660610228"/>
          <c:y val="1.7621149449315955E-2"/>
        </c:manualLayout>
      </c:layout>
      <c:overlay val="0"/>
    </c:title>
    <c:autoTitleDeleted val="0"/>
    <c:plotArea>
      <c:layout>
        <c:manualLayout>
          <c:layoutTarget val="inner"/>
          <c:xMode val="edge"/>
          <c:yMode val="edge"/>
          <c:x val="0.14434959239707593"/>
          <c:y val="0.24008350496522982"/>
          <c:w val="0.82965449328642649"/>
          <c:h val="0.5886610843519029"/>
        </c:manualLayout>
      </c:layout>
      <c:lineChart>
        <c:grouping val="standard"/>
        <c:varyColors val="0"/>
        <c:ser>
          <c:idx val="1"/>
          <c:order val="0"/>
          <c:tx>
            <c:v>US$</c:v>
          </c:tx>
          <c:spPr>
            <a:ln w="28575">
              <a:solidFill>
                <a:srgbClr val="4572A7"/>
              </a:solidFill>
            </a:ln>
          </c:spPr>
          <c:marker>
            <c:symbol val="none"/>
          </c:marker>
          <c:cat>
            <c:numRef>
              <c:f>'Nickel - Prices'!$A$10:$A$70</c:f>
              <c:numCache>
                <c:formatCode>mmm\-yy</c:formatCode>
                <c:ptCount val="61"/>
                <c:pt idx="0">
                  <c:v>44166</c:v>
                </c:pt>
                <c:pt idx="1">
                  <c:v>44197</c:v>
                </c:pt>
                <c:pt idx="2">
                  <c:v>44228</c:v>
                </c:pt>
                <c:pt idx="3">
                  <c:v>44256</c:v>
                </c:pt>
                <c:pt idx="4">
                  <c:v>44287</c:v>
                </c:pt>
                <c:pt idx="5">
                  <c:v>44317</c:v>
                </c:pt>
                <c:pt idx="6">
                  <c:v>44317</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pt idx="37">
                  <c:v>45292</c:v>
                </c:pt>
                <c:pt idx="38">
                  <c:v>45323</c:v>
                </c:pt>
                <c:pt idx="39">
                  <c:v>45352</c:v>
                </c:pt>
                <c:pt idx="40">
                  <c:v>45383</c:v>
                </c:pt>
                <c:pt idx="41">
                  <c:v>45413</c:v>
                </c:pt>
                <c:pt idx="42">
                  <c:v>45444</c:v>
                </c:pt>
                <c:pt idx="43">
                  <c:v>45474</c:v>
                </c:pt>
                <c:pt idx="44">
                  <c:v>45505</c:v>
                </c:pt>
                <c:pt idx="45">
                  <c:v>45536</c:v>
                </c:pt>
                <c:pt idx="46">
                  <c:v>45566</c:v>
                </c:pt>
                <c:pt idx="47">
                  <c:v>45597</c:v>
                </c:pt>
                <c:pt idx="48">
                  <c:v>45627</c:v>
                </c:pt>
                <c:pt idx="49">
                  <c:v>45658</c:v>
                </c:pt>
                <c:pt idx="50">
                  <c:v>45689</c:v>
                </c:pt>
                <c:pt idx="51">
                  <c:v>45717</c:v>
                </c:pt>
                <c:pt idx="52">
                  <c:v>45748</c:v>
                </c:pt>
                <c:pt idx="53">
                  <c:v>45778</c:v>
                </c:pt>
                <c:pt idx="54">
                  <c:v>45809</c:v>
                </c:pt>
                <c:pt idx="55">
                  <c:v>45839</c:v>
                </c:pt>
                <c:pt idx="56">
                  <c:v>45870</c:v>
                </c:pt>
                <c:pt idx="57">
                  <c:v>45901</c:v>
                </c:pt>
                <c:pt idx="58">
                  <c:v>45931</c:v>
                </c:pt>
                <c:pt idx="59">
                  <c:v>45962</c:v>
                </c:pt>
                <c:pt idx="60">
                  <c:v>45992</c:v>
                </c:pt>
              </c:numCache>
            </c:numRef>
          </c:cat>
          <c:val>
            <c:numRef>
              <c:f>'Nickel - Prices'!$B$10:$B$70</c:f>
              <c:numCache>
                <c:formatCode>#,##0.00</c:formatCode>
                <c:ptCount val="61"/>
                <c:pt idx="0">
                  <c:v>16807.05</c:v>
                </c:pt>
                <c:pt idx="1">
                  <c:v>17847.599999999999</c:v>
                </c:pt>
                <c:pt idx="2">
                  <c:v>18568.05</c:v>
                </c:pt>
                <c:pt idx="3">
                  <c:v>16460.740000000002</c:v>
                </c:pt>
                <c:pt idx="4">
                  <c:v>16480.7</c:v>
                </c:pt>
                <c:pt idx="5">
                  <c:v>17605.740000000002</c:v>
                </c:pt>
                <c:pt idx="6">
                  <c:v>17605.740000000002</c:v>
                </c:pt>
                <c:pt idx="7">
                  <c:v>18817.05</c:v>
                </c:pt>
                <c:pt idx="8">
                  <c:v>19160.43</c:v>
                </c:pt>
                <c:pt idx="9">
                  <c:v>19541</c:v>
                </c:pt>
                <c:pt idx="10">
                  <c:v>19416.189999999999</c:v>
                </c:pt>
                <c:pt idx="11">
                  <c:v>19957.95</c:v>
                </c:pt>
                <c:pt idx="12">
                  <c:v>20064.759999999998</c:v>
                </c:pt>
                <c:pt idx="13">
                  <c:v>22319.38</c:v>
                </c:pt>
                <c:pt idx="14">
                  <c:v>24172.5</c:v>
                </c:pt>
                <c:pt idx="15">
                  <c:v>34101.18</c:v>
                </c:pt>
                <c:pt idx="16">
                  <c:v>33287.24</c:v>
                </c:pt>
                <c:pt idx="17">
                  <c:v>27938.57</c:v>
                </c:pt>
                <c:pt idx="18">
                  <c:v>25824.880000000001</c:v>
                </c:pt>
                <c:pt idx="19">
                  <c:v>21470.95</c:v>
                </c:pt>
                <c:pt idx="20">
                  <c:v>21987.95</c:v>
                </c:pt>
                <c:pt idx="21">
                  <c:v>22672.84</c:v>
                </c:pt>
                <c:pt idx="22">
                  <c:v>21924.52</c:v>
                </c:pt>
                <c:pt idx="23">
                  <c:v>25246.25</c:v>
                </c:pt>
                <c:pt idx="24">
                  <c:v>26925</c:v>
                </c:pt>
                <c:pt idx="25">
                  <c:v>28226.07</c:v>
                </c:pt>
                <c:pt idx="26">
                  <c:v>26678.880000000001</c:v>
                </c:pt>
                <c:pt idx="27">
                  <c:v>23289.46</c:v>
                </c:pt>
                <c:pt idx="28">
                  <c:v>23749.17</c:v>
                </c:pt>
                <c:pt idx="29">
                  <c:v>22214.880000000001</c:v>
                </c:pt>
                <c:pt idx="30">
                  <c:v>21184.09</c:v>
                </c:pt>
                <c:pt idx="31">
                  <c:v>20889.88</c:v>
                </c:pt>
                <c:pt idx="32">
                  <c:v>20484.43</c:v>
                </c:pt>
                <c:pt idx="33">
                  <c:v>19620.599999999999</c:v>
                </c:pt>
                <c:pt idx="34">
                  <c:v>18249.2</c:v>
                </c:pt>
                <c:pt idx="35">
                  <c:v>16974.32</c:v>
                </c:pt>
                <c:pt idx="36">
                  <c:v>16381.71</c:v>
                </c:pt>
                <c:pt idx="37">
                  <c:v>16085.11</c:v>
                </c:pt>
                <c:pt idx="38">
                  <c:v>16302.38</c:v>
                </c:pt>
                <c:pt idx="39">
                  <c:v>17427.25</c:v>
                </c:pt>
                <c:pt idx="40">
                  <c:v>18167.86</c:v>
                </c:pt>
                <c:pt idx="41">
                  <c:v>19515.830000000002</c:v>
                </c:pt>
                <c:pt idx="42">
                  <c:v>17502.25</c:v>
                </c:pt>
                <c:pt idx="43">
                  <c:v>16391.96</c:v>
                </c:pt>
                <c:pt idx="44">
                  <c:v>16245.95</c:v>
                </c:pt>
                <c:pt idx="45">
                  <c:v>16113.33</c:v>
                </c:pt>
                <c:pt idx="46">
                  <c:v>16799.57</c:v>
                </c:pt>
                <c:pt idx="47">
                  <c:v>15736.9</c:v>
                </c:pt>
                <c:pt idx="48">
                  <c:v>15465.75</c:v>
                </c:pt>
                <c:pt idx="49">
                  <c:v>15373.64</c:v>
                </c:pt>
                <c:pt idx="50">
                  <c:v>15269.13</c:v>
                </c:pt>
                <c:pt idx="51">
                  <c:v>16049.29</c:v>
                </c:pt>
                <c:pt idx="52">
                  <c:v>15201.5</c:v>
                </c:pt>
                <c:pt idx="53">
                  <c:v>15317.5</c:v>
                </c:pt>
                <c:pt idx="54">
                  <c:v>14985.12</c:v>
                </c:pt>
                <c:pt idx="55">
                  <c:v>15016.52</c:v>
                </c:pt>
                <c:pt idx="56">
                  <c:v>14904.13</c:v>
                </c:pt>
                <c:pt idx="57">
                  <c:v>15097.61</c:v>
                </c:pt>
                <c:pt idx="58">
                  <c:v>15075.98</c:v>
                </c:pt>
                <c:pt idx="59">
                  <c:v>14685.75</c:v>
                </c:pt>
                <c:pt idx="60">
                  <c:v>14875.36</c:v>
                </c:pt>
              </c:numCache>
            </c:numRef>
          </c:val>
          <c:smooth val="0"/>
          <c:extLst>
            <c:ext xmlns:c16="http://schemas.microsoft.com/office/drawing/2014/chart" uri="{C3380CC4-5D6E-409C-BE32-E72D297353CC}">
              <c16:uniqueId val="{00000000-7730-4BE3-994E-8AE4C5F2CE37}"/>
            </c:ext>
          </c:extLst>
        </c:ser>
        <c:ser>
          <c:idx val="0"/>
          <c:order val="1"/>
          <c:tx>
            <c:v>A$</c:v>
          </c:tx>
          <c:spPr>
            <a:ln w="28575">
              <a:solidFill>
                <a:srgbClr val="93A9CF"/>
              </a:solidFill>
            </a:ln>
          </c:spPr>
          <c:marker>
            <c:symbol val="none"/>
          </c:marker>
          <c:cat>
            <c:numRef>
              <c:f>'Nickel - Prices'!$A$10:$A$70</c:f>
              <c:numCache>
                <c:formatCode>mmm\-yy</c:formatCode>
                <c:ptCount val="61"/>
                <c:pt idx="0">
                  <c:v>44166</c:v>
                </c:pt>
                <c:pt idx="1">
                  <c:v>44197</c:v>
                </c:pt>
                <c:pt idx="2">
                  <c:v>44228</c:v>
                </c:pt>
                <c:pt idx="3">
                  <c:v>44256</c:v>
                </c:pt>
                <c:pt idx="4">
                  <c:v>44287</c:v>
                </c:pt>
                <c:pt idx="5">
                  <c:v>44317</c:v>
                </c:pt>
                <c:pt idx="6">
                  <c:v>44317</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pt idx="37">
                  <c:v>45292</c:v>
                </c:pt>
                <c:pt idx="38">
                  <c:v>45323</c:v>
                </c:pt>
                <c:pt idx="39">
                  <c:v>45352</c:v>
                </c:pt>
                <c:pt idx="40">
                  <c:v>45383</c:v>
                </c:pt>
                <c:pt idx="41">
                  <c:v>45413</c:v>
                </c:pt>
                <c:pt idx="42">
                  <c:v>45444</c:v>
                </c:pt>
                <c:pt idx="43">
                  <c:v>45474</c:v>
                </c:pt>
                <c:pt idx="44">
                  <c:v>45505</c:v>
                </c:pt>
                <c:pt idx="45">
                  <c:v>45536</c:v>
                </c:pt>
                <c:pt idx="46">
                  <c:v>45566</c:v>
                </c:pt>
                <c:pt idx="47">
                  <c:v>45597</c:v>
                </c:pt>
                <c:pt idx="48">
                  <c:v>45627</c:v>
                </c:pt>
                <c:pt idx="49">
                  <c:v>45658</c:v>
                </c:pt>
                <c:pt idx="50">
                  <c:v>45689</c:v>
                </c:pt>
                <c:pt idx="51">
                  <c:v>45717</c:v>
                </c:pt>
                <c:pt idx="52">
                  <c:v>45748</c:v>
                </c:pt>
                <c:pt idx="53">
                  <c:v>45778</c:v>
                </c:pt>
                <c:pt idx="54">
                  <c:v>45809</c:v>
                </c:pt>
                <c:pt idx="55">
                  <c:v>45839</c:v>
                </c:pt>
                <c:pt idx="56">
                  <c:v>45870</c:v>
                </c:pt>
                <c:pt idx="57">
                  <c:v>45901</c:v>
                </c:pt>
                <c:pt idx="58">
                  <c:v>45931</c:v>
                </c:pt>
                <c:pt idx="59">
                  <c:v>45962</c:v>
                </c:pt>
                <c:pt idx="60">
                  <c:v>45992</c:v>
                </c:pt>
              </c:numCache>
            </c:numRef>
          </c:cat>
          <c:val>
            <c:numRef>
              <c:f>'Nickel - Prices'!$C$10:$C$70</c:f>
              <c:numCache>
                <c:formatCode>#,##0.00</c:formatCode>
                <c:ptCount val="61"/>
                <c:pt idx="0">
                  <c:v>22348.385360602799</c:v>
                </c:pt>
                <c:pt idx="1">
                  <c:v>23101.171052721213</c:v>
                </c:pt>
                <c:pt idx="2">
                  <c:v>23944.716327833339</c:v>
                </c:pt>
                <c:pt idx="3">
                  <c:v>21347.5700455035</c:v>
                </c:pt>
                <c:pt idx="4">
                  <c:v>21394.337491724324</c:v>
                </c:pt>
                <c:pt idx="5">
                  <c:v>22689.480079534573</c:v>
                </c:pt>
                <c:pt idx="6">
                  <c:v>22689.480079534573</c:v>
                </c:pt>
                <c:pt idx="7">
                  <c:v>25343.604028283695</c:v>
                </c:pt>
                <c:pt idx="8">
                  <c:v>26243.911713486261</c:v>
                </c:pt>
                <c:pt idx="9">
                  <c:v>26687.897693764164</c:v>
                </c:pt>
                <c:pt idx="10">
                  <c:v>26227.638981757274</c:v>
                </c:pt>
                <c:pt idx="11">
                  <c:v>27290.378519485366</c:v>
                </c:pt>
                <c:pt idx="12">
                  <c:v>28060.358812482518</c:v>
                </c:pt>
                <c:pt idx="13">
                  <c:v>31088.450006231349</c:v>
                </c:pt>
                <c:pt idx="14">
                  <c:v>33771.559101101622</c:v>
                </c:pt>
                <c:pt idx="15">
                  <c:v>46278.721257500925</c:v>
                </c:pt>
                <c:pt idx="16">
                  <c:v>44997.958769854682</c:v>
                </c:pt>
                <c:pt idx="17">
                  <c:v>39617.938173567782</c:v>
                </c:pt>
                <c:pt idx="18">
                  <c:v>36733.507183158697</c:v>
                </c:pt>
                <c:pt idx="19">
                  <c:v>31322.242830943644</c:v>
                </c:pt>
                <c:pt idx="20">
                  <c:v>31591.675864185836</c:v>
                </c:pt>
                <c:pt idx="21">
                  <c:v>33903.432856013722</c:v>
                </c:pt>
                <c:pt idx="22">
                  <c:v>34467.638227294883</c:v>
                </c:pt>
                <c:pt idx="23">
                  <c:v>38286.963954586492</c:v>
                </c:pt>
                <c:pt idx="24">
                  <c:v>39877.368760135963</c:v>
                </c:pt>
                <c:pt idx="25">
                  <c:v>40620.648466619648</c:v>
                </c:pt>
                <c:pt idx="26">
                  <c:v>38583.403233737306</c:v>
                </c:pt>
                <c:pt idx="27">
                  <c:v>34827.285376193075</c:v>
                </c:pt>
                <c:pt idx="28">
                  <c:v>35474.553202706265</c:v>
                </c:pt>
                <c:pt idx="29">
                  <c:v>33401.030253902674</c:v>
                </c:pt>
                <c:pt idx="30">
                  <c:v>31579.888549726693</c:v>
                </c:pt>
                <c:pt idx="31">
                  <c:v>31005.059050526899</c:v>
                </c:pt>
                <c:pt idx="32">
                  <c:v>31571.911167157061</c:v>
                </c:pt>
                <c:pt idx="33">
                  <c:v>30539.709599235081</c:v>
                </c:pt>
                <c:pt idx="34">
                  <c:v>28738.251107961576</c:v>
                </c:pt>
                <c:pt idx="35">
                  <c:v>26147.068008206075</c:v>
                </c:pt>
                <c:pt idx="36">
                  <c:v>24513.667687897232</c:v>
                </c:pt>
                <c:pt idx="37">
                  <c:v>24179.651250187904</c:v>
                </c:pt>
                <c:pt idx="38">
                  <c:v>24965.177822665915</c:v>
                </c:pt>
                <c:pt idx="39">
                  <c:v>26570.182727418265</c:v>
                </c:pt>
                <c:pt idx="40">
                  <c:v>27900.547480285335</c:v>
                </c:pt>
                <c:pt idx="41">
                  <c:v>29489.983509516511</c:v>
                </c:pt>
                <c:pt idx="42">
                  <c:v>26328.133040924098</c:v>
                </c:pt>
                <c:pt idx="43">
                  <c:v>24563.963435689944</c:v>
                </c:pt>
                <c:pt idx="44">
                  <c:v>24388.958787575506</c:v>
                </c:pt>
                <c:pt idx="45">
                  <c:v>23805.599290854989</c:v>
                </c:pt>
                <c:pt idx="46">
                  <c:v>25035.260248733306</c:v>
                </c:pt>
                <c:pt idx="47">
                  <c:v>24077.790649384715</c:v>
                </c:pt>
                <c:pt idx="48">
                  <c:v>24382.966647484958</c:v>
                </c:pt>
                <c:pt idx="49">
                  <c:v>24697.555079559363</c:v>
                </c:pt>
                <c:pt idx="50">
                  <c:v>24243.641040297232</c:v>
                </c:pt>
                <c:pt idx="51">
                  <c:v>25487.585737512763</c:v>
                </c:pt>
                <c:pt idx="52">
                  <c:v>24212.50073351273</c:v>
                </c:pt>
                <c:pt idx="53">
                  <c:v>23779.734812399889</c:v>
                </c:pt>
                <c:pt idx="54">
                  <c:v>23072.488760238961</c:v>
                </c:pt>
                <c:pt idx="55">
                  <c:v>22947.157350625534</c:v>
                </c:pt>
                <c:pt idx="56">
                  <c:v>22959.454671493495</c:v>
                </c:pt>
                <c:pt idx="57">
                  <c:v>22898.664607620769</c:v>
                </c:pt>
                <c:pt idx="58">
                  <c:v>23035.146716671879</c:v>
                </c:pt>
                <c:pt idx="59">
                  <c:v>22569.850003073701</c:v>
                </c:pt>
                <c:pt idx="60">
                  <c:v>22411.6512655685</c:v>
                </c:pt>
              </c:numCache>
            </c:numRef>
          </c:val>
          <c:smooth val="0"/>
          <c:extLst>
            <c:ext xmlns:c16="http://schemas.microsoft.com/office/drawing/2014/chart" uri="{C3380CC4-5D6E-409C-BE32-E72D297353CC}">
              <c16:uniqueId val="{00000001-7730-4BE3-994E-8AE4C5F2CE37}"/>
            </c:ext>
          </c:extLst>
        </c:ser>
        <c:dLbls>
          <c:showLegendKey val="0"/>
          <c:showVal val="0"/>
          <c:showCatName val="0"/>
          <c:showSerName val="0"/>
          <c:showPercent val="0"/>
          <c:showBubbleSize val="0"/>
        </c:dLbls>
        <c:smooth val="0"/>
        <c:axId val="131440000"/>
        <c:axId val="131438464"/>
      </c:lineChart>
      <c:valAx>
        <c:axId val="131438464"/>
        <c:scaling>
          <c:orientation val="minMax"/>
        </c:scaling>
        <c:delete val="0"/>
        <c:axPos val="l"/>
        <c:majorGridlines/>
        <c:title>
          <c:tx>
            <c:rich>
              <a:bodyPr/>
              <a:lstStyle/>
              <a:p>
                <a:pPr>
                  <a:defRPr/>
                </a:pPr>
                <a:r>
                  <a:rPr lang="en-AU"/>
                  <a:t>$</a:t>
                </a:r>
                <a:r>
                  <a:rPr lang="en-AU" baseline="0"/>
                  <a:t> per </a:t>
                </a:r>
                <a:r>
                  <a:rPr lang="en-AU"/>
                  <a:t>tonne</a:t>
                </a:r>
              </a:p>
            </c:rich>
          </c:tx>
          <c:layout>
            <c:manualLayout>
              <c:xMode val="edge"/>
              <c:yMode val="edge"/>
              <c:x val="2.6755588852031061E-2"/>
              <c:y val="0.4606896899394568"/>
            </c:manualLayout>
          </c:layout>
          <c:overlay val="0"/>
        </c:title>
        <c:numFmt formatCode="#,##0" sourceLinked="0"/>
        <c:majorTickMark val="out"/>
        <c:minorTickMark val="none"/>
        <c:tickLblPos val="nextTo"/>
        <c:crossAx val="131440000"/>
        <c:crosses val="autoZero"/>
        <c:crossBetween val="midCat"/>
        <c:majorUnit val="10000"/>
      </c:valAx>
      <c:dateAx>
        <c:axId val="131440000"/>
        <c:scaling>
          <c:orientation val="minMax"/>
        </c:scaling>
        <c:delete val="0"/>
        <c:axPos val="b"/>
        <c:title>
          <c:tx>
            <c:rich>
              <a:bodyPr/>
              <a:lstStyle/>
              <a:p>
                <a:pPr>
                  <a:defRPr sz="900"/>
                </a:pPr>
                <a:r>
                  <a:rPr lang="en-AU" sz="900"/>
                  <a:t>Source:  LME</a:t>
                </a:r>
              </a:p>
            </c:rich>
          </c:tx>
          <c:layout>
            <c:manualLayout>
              <c:xMode val="edge"/>
              <c:yMode val="edge"/>
              <c:x val="0"/>
              <c:y val="0.94920110358106113"/>
            </c:manualLayout>
          </c:layout>
          <c:overlay val="0"/>
        </c:title>
        <c:numFmt formatCode="mmm\-yy" sourceLinked="1"/>
        <c:majorTickMark val="out"/>
        <c:minorTickMark val="none"/>
        <c:tickLblPos val="nextTo"/>
        <c:txPr>
          <a:bodyPr rot="-2700000"/>
          <a:lstStyle/>
          <a:p>
            <a:pPr>
              <a:defRPr/>
            </a:pPr>
            <a:endParaRPr lang="en-US"/>
          </a:p>
        </c:txPr>
        <c:crossAx val="131438464"/>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invertIfNegative val="0"/>
          <c:cat>
            <c:numRef>
              <c:f>'Nickel - Q&amp;V'!$R$12:$R$20</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'Nickel - Q&amp;V'!$S$12:$S$20</c:f>
              <c:numCache>
                <c:formatCode>#,##0.00</c:formatCode>
                <c:ptCount val="9"/>
                <c:pt idx="0">
                  <c:v>35.651142999999998</c:v>
                </c:pt>
                <c:pt idx="1">
                  <c:v>30.649360000000001</c:v>
                </c:pt>
                <c:pt idx="2">
                  <c:v>37.944377000000003</c:v>
                </c:pt>
                <c:pt idx="3">
                  <c:v>34.027381000000005</c:v>
                </c:pt>
                <c:pt idx="4">
                  <c:v>25.744800999999999</c:v>
                </c:pt>
                <c:pt idx="5">
                  <c:v>16.151738000000002</c:v>
                </c:pt>
                <c:pt idx="6">
                  <c:v>12.253017</c:v>
                </c:pt>
                <c:pt idx="7">
                  <c:v>14.519672999999999</c:v>
                </c:pt>
                <c:pt idx="8">
                  <c:v>10.797129999999999</c:v>
                </c:pt>
              </c:numCache>
            </c:numRef>
          </c:val>
          <c:extLst>
            <c:ext xmlns:c16="http://schemas.microsoft.com/office/drawing/2014/chart" uri="{C3380CC4-5D6E-409C-BE32-E72D297353CC}">
              <c16:uniqueId val="{00000000-4D72-4AFC-80EF-5D6DD6C766F6}"/>
            </c:ext>
          </c:extLst>
        </c:ser>
        <c:dLbls>
          <c:showLegendKey val="0"/>
          <c:showVal val="0"/>
          <c:showCatName val="0"/>
          <c:showSerName val="0"/>
          <c:showPercent val="0"/>
          <c:showBubbleSize val="0"/>
        </c:dLbls>
        <c:gapWidth val="40"/>
        <c:axId val="118355072"/>
        <c:axId val="118344704"/>
      </c:barChart>
      <c:lineChart>
        <c:grouping val="standard"/>
        <c:varyColors val="0"/>
        <c:ser>
          <c:idx val="1"/>
          <c:order val="1"/>
          <c:tx>
            <c:v>Value</c:v>
          </c:tx>
          <c:spPr>
            <a:ln w="28575"/>
          </c:spPr>
          <c:marker>
            <c:symbol val="none"/>
          </c:marker>
          <c:cat>
            <c:numRef>
              <c:f>'Nickel - Q&amp;V'!$R$12:$R$20</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'Nickel - Q&amp;V'!$T$12:$T$20</c:f>
              <c:numCache>
                <c:formatCode>#,##0.00</c:formatCode>
                <c:ptCount val="9"/>
                <c:pt idx="0">
                  <c:v>922.48674599999993</c:v>
                </c:pt>
                <c:pt idx="1">
                  <c:v>792.52913100000001</c:v>
                </c:pt>
                <c:pt idx="2">
                  <c:v>1037.7322589999999</c:v>
                </c:pt>
                <c:pt idx="3">
                  <c:v>826.30189322077081</c:v>
                </c:pt>
                <c:pt idx="4">
                  <c:v>627.51869299999998</c:v>
                </c:pt>
                <c:pt idx="5">
                  <c:v>397.51782800000001</c:v>
                </c:pt>
                <c:pt idx="6">
                  <c:v>289.93599699999999</c:v>
                </c:pt>
                <c:pt idx="7">
                  <c:v>333.25113999999996</c:v>
                </c:pt>
                <c:pt idx="8">
                  <c:v>244.83115099999998</c:v>
                </c:pt>
              </c:numCache>
            </c:numRef>
          </c:val>
          <c:smooth val="0"/>
          <c:extLst>
            <c:ext xmlns:c16="http://schemas.microsoft.com/office/drawing/2014/chart" uri="{C3380CC4-5D6E-409C-BE32-E72D297353CC}">
              <c16:uniqueId val="{00000001-4D72-4AFC-80EF-5D6DD6C766F6}"/>
            </c:ext>
          </c:extLst>
        </c:ser>
        <c:dLbls>
          <c:showLegendKey val="0"/>
          <c:showVal val="0"/>
          <c:showCatName val="0"/>
          <c:showSerName val="0"/>
          <c:showPercent val="0"/>
          <c:showBubbleSize val="0"/>
        </c:dLbls>
        <c:marker val="1"/>
        <c:smooth val="0"/>
        <c:axId val="118340608"/>
        <c:axId val="118342784"/>
      </c:lineChart>
      <c:catAx>
        <c:axId val="118340608"/>
        <c:scaling>
          <c:orientation val="minMax"/>
        </c:scaling>
        <c:delete val="0"/>
        <c:axPos val="b"/>
        <c:title>
          <c:tx>
            <c:rich>
              <a:bodyPr/>
              <a:lstStyle/>
              <a:p>
                <a:pPr>
                  <a:defRPr sz="900"/>
                </a:pPr>
                <a:r>
                  <a:rPr lang="en-AU" sz="900"/>
                  <a:t>Source: DTF and DMPE</a:t>
                </a:r>
              </a:p>
            </c:rich>
          </c:tx>
          <c:layout>
            <c:manualLayout>
              <c:xMode val="edge"/>
              <c:yMode val="edge"/>
              <c:x val="1.246480839490924E-2"/>
              <c:y val="0.94988091300472488"/>
            </c:manualLayout>
          </c:layout>
          <c:overlay val="0"/>
          <c:spPr>
            <a:noFill/>
          </c:spPr>
        </c:title>
        <c:numFmt formatCode="mmm\-yy" sourceLinked="1"/>
        <c:majorTickMark val="out"/>
        <c:minorTickMark val="none"/>
        <c:tickLblPos val="nextTo"/>
        <c:txPr>
          <a:bodyPr rot="-2700000"/>
          <a:lstStyle/>
          <a:p>
            <a:pPr>
              <a:defRPr/>
            </a:pPr>
            <a:endParaRPr lang="en-US"/>
          </a:p>
        </c:txPr>
        <c:crossAx val="118342784"/>
        <c:crosses val="autoZero"/>
        <c:auto val="0"/>
        <c:lblAlgn val="ctr"/>
        <c:lblOffset val="100"/>
        <c:noMultiLvlLbl val="0"/>
      </c:catAx>
      <c:valAx>
        <c:axId val="118342784"/>
        <c:scaling>
          <c:orientation val="minMax"/>
        </c:scaling>
        <c:delete val="0"/>
        <c:axPos val="l"/>
        <c:majorGridlines/>
        <c:title>
          <c:tx>
            <c:rich>
              <a:bodyPr rot="-5400000" vert="horz"/>
              <a:lstStyle/>
              <a:p>
                <a:pPr>
                  <a:defRPr/>
                </a:pPr>
                <a:r>
                  <a:rPr lang="en-AU"/>
                  <a:t>$ Million</a:t>
                </a:r>
              </a:p>
            </c:rich>
          </c:tx>
          <c:layout>
            <c:manualLayout>
              <c:xMode val="edge"/>
              <c:yMode val="edge"/>
              <c:x val="1.9523402237235855E-2"/>
              <c:y val="0.49018784263248022"/>
            </c:manualLayout>
          </c:layout>
          <c:overlay val="0"/>
        </c:title>
        <c:numFmt formatCode="#,##0" sourceLinked="0"/>
        <c:majorTickMark val="out"/>
        <c:minorTickMark val="none"/>
        <c:tickLblPos val="nextTo"/>
        <c:crossAx val="118340608"/>
        <c:crosses val="autoZero"/>
        <c:crossBetween val="between"/>
      </c:valAx>
      <c:valAx>
        <c:axId val="118344704"/>
        <c:scaling>
          <c:orientation val="minMax"/>
          <c:max val="42"/>
        </c:scaling>
        <c:delete val="0"/>
        <c:axPos val="r"/>
        <c:title>
          <c:tx>
            <c:rich>
              <a:bodyPr rot="-5400000" vert="horz"/>
              <a:lstStyle/>
              <a:p>
                <a:pPr>
                  <a:defRPr/>
                </a:pPr>
                <a:r>
                  <a:rPr lang="en-AU"/>
                  <a:t>Thousand tonnes</a:t>
                </a:r>
              </a:p>
            </c:rich>
          </c:tx>
          <c:overlay val="0"/>
        </c:title>
        <c:numFmt formatCode="General" sourceLinked="0"/>
        <c:majorTickMark val="out"/>
        <c:minorTickMark val="none"/>
        <c:tickLblPos val="nextTo"/>
        <c:crossAx val="118355072"/>
        <c:crosses val="max"/>
        <c:crossBetween val="between"/>
        <c:majorUnit val="7"/>
      </c:valAx>
      <c:dateAx>
        <c:axId val="118355072"/>
        <c:scaling>
          <c:orientation val="minMax"/>
        </c:scaling>
        <c:delete val="1"/>
        <c:axPos val="b"/>
        <c:numFmt formatCode="mmm\-yy" sourceLinked="1"/>
        <c:majorTickMark val="out"/>
        <c:minorTickMark val="none"/>
        <c:tickLblPos val="nextTo"/>
        <c:crossAx val="118344704"/>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Year</a:t>
            </a:r>
          </a:p>
        </c:rich>
      </c:tx>
      <c:overlay val="0"/>
    </c:title>
    <c:autoTitleDeleted val="0"/>
    <c:plotArea>
      <c:layout/>
      <c:barChart>
        <c:barDir val="col"/>
        <c:grouping val="clustered"/>
        <c:varyColors val="0"/>
        <c:ser>
          <c:idx val="0"/>
          <c:order val="0"/>
          <c:tx>
            <c:strRef>
              <c:f>'Nickel - Q&amp;V'!$S$29</c:f>
              <c:strCache>
                <c:ptCount val="1"/>
                <c:pt idx="0">
                  <c:v>Quantity (Kt)</c:v>
                </c:pt>
              </c:strCache>
            </c:strRef>
          </c:tx>
          <c:invertIfNegative val="0"/>
          <c:cat>
            <c:numRef>
              <c:f>'Nickel - Q&amp;V'!$R$30:$R$49</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'Nickel - Q&amp;V'!$S$30:$S$49</c:f>
              <c:numCache>
                <c:formatCode>0.00</c:formatCode>
                <c:ptCount val="20"/>
                <c:pt idx="0">
                  <c:v>175.08699999999999</c:v>
                </c:pt>
                <c:pt idx="1">
                  <c:v>162.49200000000002</c:v>
                </c:pt>
                <c:pt idx="2">
                  <c:v>187.791</c:v>
                </c:pt>
                <c:pt idx="3">
                  <c:v>171.178</c:v>
                </c:pt>
                <c:pt idx="4">
                  <c:v>193.25899999999999</c:v>
                </c:pt>
                <c:pt idx="5">
                  <c:v>185.13</c:v>
                </c:pt>
                <c:pt idx="6">
                  <c:v>230.76710035740911</c:v>
                </c:pt>
                <c:pt idx="7">
                  <c:v>270.74436400000002</c:v>
                </c:pt>
                <c:pt idx="8">
                  <c:v>218.56311600000001</c:v>
                </c:pt>
                <c:pt idx="9">
                  <c:v>173.97419100000002</c:v>
                </c:pt>
                <c:pt idx="10">
                  <c:v>171.60430600000001</c:v>
                </c:pt>
                <c:pt idx="11">
                  <c:v>166.42021699999998</c:v>
                </c:pt>
                <c:pt idx="12">
                  <c:v>149.29546400000001</c:v>
                </c:pt>
                <c:pt idx="13">
                  <c:v>153.62417200000002</c:v>
                </c:pt>
                <c:pt idx="14">
                  <c:v>165.123107</c:v>
                </c:pt>
                <c:pt idx="15">
                  <c:v>150.02785600000001</c:v>
                </c:pt>
                <c:pt idx="16">
                  <c:v>154.272391</c:v>
                </c:pt>
                <c:pt idx="17">
                  <c:v>148.19363199999998</c:v>
                </c:pt>
                <c:pt idx="18">
                  <c:v>128.36591900000002</c:v>
                </c:pt>
                <c:pt idx="19">
                  <c:v>53.721558000000002</c:v>
                </c:pt>
              </c:numCache>
            </c:numRef>
          </c:val>
          <c:extLst>
            <c:ext xmlns:c16="http://schemas.microsoft.com/office/drawing/2014/chart" uri="{C3380CC4-5D6E-409C-BE32-E72D297353CC}">
              <c16:uniqueId val="{00000000-51A6-43CC-8478-69E5E907A92A}"/>
            </c:ext>
          </c:extLst>
        </c:ser>
        <c:dLbls>
          <c:showLegendKey val="0"/>
          <c:showVal val="0"/>
          <c:showCatName val="0"/>
          <c:showSerName val="0"/>
          <c:showPercent val="0"/>
          <c:showBubbleSize val="0"/>
        </c:dLbls>
        <c:gapWidth val="40"/>
        <c:axId val="116172672"/>
        <c:axId val="116170752"/>
      </c:barChart>
      <c:lineChart>
        <c:grouping val="standard"/>
        <c:varyColors val="0"/>
        <c:ser>
          <c:idx val="1"/>
          <c:order val="1"/>
          <c:tx>
            <c:strRef>
              <c:f>'Nickel - Q&amp;V'!$T$29</c:f>
              <c:strCache>
                <c:ptCount val="1"/>
                <c:pt idx="0">
                  <c:v>Value ($ Million)</c:v>
                </c:pt>
              </c:strCache>
            </c:strRef>
          </c:tx>
          <c:spPr>
            <a:ln w="28575"/>
          </c:spPr>
          <c:marker>
            <c:symbol val="none"/>
          </c:marker>
          <c:cat>
            <c:numRef>
              <c:f>'Nickel - Q&amp;V'!$R$30:$R$49</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'Nickel - Q&amp;V'!$T$30:$T$49</c:f>
              <c:numCache>
                <c:formatCode>#,##0.00</c:formatCode>
                <c:ptCount val="20"/>
                <c:pt idx="0">
                  <c:v>5844.1734319999996</c:v>
                </c:pt>
                <c:pt idx="1">
                  <c:v>6901.8563919999997</c:v>
                </c:pt>
                <c:pt idx="2">
                  <c:v>4059.1557379999999</c:v>
                </c:pt>
                <c:pt idx="3">
                  <c:v>3352.9418449999998</c:v>
                </c:pt>
                <c:pt idx="4">
                  <c:v>4550.3347899999999</c:v>
                </c:pt>
                <c:pt idx="5">
                  <c:v>3951.580226</c:v>
                </c:pt>
                <c:pt idx="6">
                  <c:v>3801.1945485400001</c:v>
                </c:pt>
                <c:pt idx="7">
                  <c:v>3380.5595159999998</c:v>
                </c:pt>
                <c:pt idx="8">
                  <c:v>3582.4981079999998</c:v>
                </c:pt>
                <c:pt idx="9">
                  <c:v>2557.2144789999998</c:v>
                </c:pt>
                <c:pt idx="10">
                  <c:v>2209.8433130000003</c:v>
                </c:pt>
                <c:pt idx="11">
                  <c:v>2275.8438569999998</c:v>
                </c:pt>
                <c:pt idx="12">
                  <c:v>2609.3282049999998</c:v>
                </c:pt>
                <c:pt idx="13">
                  <c:v>3082.1894289999996</c:v>
                </c:pt>
                <c:pt idx="14">
                  <c:v>3341.235021</c:v>
                </c:pt>
                <c:pt idx="15">
                  <c:v>3807.35922265</c:v>
                </c:pt>
                <c:pt idx="16">
                  <c:v>5738.1183019999999</c:v>
                </c:pt>
                <c:pt idx="17">
                  <c:v>4646.7536489999993</c:v>
                </c:pt>
                <c:pt idx="18">
                  <c:v>3284.0819762207707</c:v>
                </c:pt>
                <c:pt idx="19">
                  <c:v>1265.536116</c:v>
                </c:pt>
              </c:numCache>
            </c:numRef>
          </c:val>
          <c:smooth val="0"/>
          <c:extLst>
            <c:ext xmlns:c16="http://schemas.microsoft.com/office/drawing/2014/chart" uri="{C3380CC4-5D6E-409C-BE32-E72D297353CC}">
              <c16:uniqueId val="{00000001-51A6-43CC-8478-69E5E907A92A}"/>
            </c:ext>
          </c:extLst>
        </c:ser>
        <c:dLbls>
          <c:showLegendKey val="0"/>
          <c:showVal val="0"/>
          <c:showCatName val="0"/>
          <c:showSerName val="0"/>
          <c:showPercent val="0"/>
          <c:showBubbleSize val="0"/>
        </c:dLbls>
        <c:marker val="1"/>
        <c:smooth val="0"/>
        <c:axId val="116162560"/>
        <c:axId val="116164480"/>
      </c:lineChart>
      <c:catAx>
        <c:axId val="116162560"/>
        <c:scaling>
          <c:orientation val="minMax"/>
        </c:scaling>
        <c:delete val="0"/>
        <c:axPos val="b"/>
        <c:title>
          <c:tx>
            <c:rich>
              <a:bodyPr/>
              <a:lstStyle/>
              <a:p>
                <a:pPr>
                  <a:defRPr sz="900"/>
                </a:pPr>
                <a:r>
                  <a:rPr lang="en-AU" sz="900"/>
                  <a:t>Source: DTF</a:t>
                </a:r>
                <a:r>
                  <a:rPr lang="en-AU" sz="900" baseline="0"/>
                  <a:t> and DMPE</a:t>
                </a:r>
                <a:endParaRPr lang="en-AU" sz="900"/>
              </a:p>
            </c:rich>
          </c:tx>
          <c:layout>
            <c:manualLayout>
              <c:xMode val="edge"/>
              <c:yMode val="edge"/>
              <c:x val="8.6432832259603909E-3"/>
              <c:y val="0.93794292169175064"/>
            </c:manualLayout>
          </c:layout>
          <c:overlay val="0"/>
          <c:spPr>
            <a:noFill/>
          </c:spPr>
        </c:title>
        <c:numFmt formatCode="@@@@@@@@@" sourceLinked="0"/>
        <c:majorTickMark val="out"/>
        <c:minorTickMark val="none"/>
        <c:tickLblPos val="nextTo"/>
        <c:txPr>
          <a:bodyPr rot="-2700000"/>
          <a:lstStyle/>
          <a:p>
            <a:pPr>
              <a:defRPr/>
            </a:pPr>
            <a:endParaRPr lang="en-US"/>
          </a:p>
        </c:txPr>
        <c:crossAx val="116164480"/>
        <c:crosses val="autoZero"/>
        <c:auto val="0"/>
        <c:lblAlgn val="ctr"/>
        <c:lblOffset val="100"/>
        <c:tickLblSkip val="1"/>
        <c:noMultiLvlLbl val="0"/>
      </c:catAx>
      <c:valAx>
        <c:axId val="116164480"/>
        <c:scaling>
          <c:orientation val="minMax"/>
          <c:max val="9000"/>
        </c:scaling>
        <c:delete val="0"/>
        <c:axPos val="l"/>
        <c:majorGridlines/>
        <c:title>
          <c:tx>
            <c:rich>
              <a:bodyPr rot="-5400000" vert="horz"/>
              <a:lstStyle/>
              <a:p>
                <a:pPr>
                  <a:defRPr/>
                </a:pPr>
                <a:r>
                  <a:rPr lang="en-AU"/>
                  <a:t>$ Million</a:t>
                </a:r>
              </a:p>
            </c:rich>
          </c:tx>
          <c:layout>
            <c:manualLayout>
              <c:xMode val="edge"/>
              <c:yMode val="edge"/>
              <c:x val="1.9393939393939394E-2"/>
              <c:y val="0.44415960663144954"/>
            </c:manualLayout>
          </c:layout>
          <c:overlay val="0"/>
        </c:title>
        <c:numFmt formatCode="#,##0" sourceLinked="0"/>
        <c:majorTickMark val="out"/>
        <c:minorTickMark val="none"/>
        <c:tickLblPos val="nextTo"/>
        <c:crossAx val="116162560"/>
        <c:crosses val="autoZero"/>
        <c:crossBetween val="between"/>
      </c:valAx>
      <c:valAx>
        <c:axId val="116170752"/>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6172672"/>
        <c:crosses val="max"/>
        <c:crossBetween val="between"/>
        <c:majorUnit val="100"/>
      </c:valAx>
      <c:catAx>
        <c:axId val="116172672"/>
        <c:scaling>
          <c:orientation val="minMax"/>
        </c:scaling>
        <c:delete val="1"/>
        <c:axPos val="b"/>
        <c:numFmt formatCode="General" sourceLinked="1"/>
        <c:majorTickMark val="out"/>
        <c:minorTickMark val="none"/>
        <c:tickLblPos val="nextTo"/>
        <c:crossAx val="11617075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title>
      <c:tx>
        <c:strRef>
          <c:f>'Nickel - Exports'!$W$1</c:f>
          <c:strCache>
            <c:ptCount val="1"/>
            <c:pt idx="0">
              <c:v>Nickel Exports 2023
Total Value: $</c:v>
            </c:pt>
          </c:strCache>
        </c:strRef>
      </c:tx>
      <c:layout>
        <c:manualLayout>
          <c:xMode val="edge"/>
          <c:yMode val="edge"/>
          <c:x val="0.38150800558670533"/>
          <c:y val="1.8099478117560883E-2"/>
        </c:manualLayout>
      </c:layout>
      <c:overlay val="0"/>
    </c:title>
    <c:autoTitleDeleted val="0"/>
    <c:plotArea>
      <c:layout>
        <c:manualLayout>
          <c:layoutTarget val="inner"/>
          <c:xMode val="edge"/>
          <c:yMode val="edge"/>
          <c:x val="0.40594781693419429"/>
          <c:y val="0.33516411829335285"/>
          <c:w val="0.40707045050453738"/>
          <c:h val="0.61481255697714077"/>
        </c:manualLayout>
      </c:layout>
      <c:pieChart>
        <c:varyColors val="1"/>
        <c:ser>
          <c:idx val="0"/>
          <c:order val="0"/>
          <c:dPt>
            <c:idx val="0"/>
            <c:bubble3D val="0"/>
            <c:extLst>
              <c:ext xmlns:c16="http://schemas.microsoft.com/office/drawing/2014/chart" uri="{C3380CC4-5D6E-409C-BE32-E72D297353CC}">
                <c16:uniqueId val="{00000000-7231-47FB-9708-041EE1DA774A}"/>
              </c:ext>
            </c:extLst>
          </c:dPt>
          <c:dPt>
            <c:idx val="1"/>
            <c:bubble3D val="0"/>
            <c:extLst>
              <c:ext xmlns:c16="http://schemas.microsoft.com/office/drawing/2014/chart" uri="{C3380CC4-5D6E-409C-BE32-E72D297353CC}">
                <c16:uniqueId val="{00000001-7231-47FB-9708-041EE1DA774A}"/>
              </c:ext>
            </c:extLst>
          </c:dPt>
          <c:dPt>
            <c:idx val="2"/>
            <c:bubble3D val="0"/>
            <c:extLst>
              <c:ext xmlns:c16="http://schemas.microsoft.com/office/drawing/2014/chart" uri="{C3380CC4-5D6E-409C-BE32-E72D297353CC}">
                <c16:uniqueId val="{00000002-7231-47FB-9708-041EE1DA774A}"/>
              </c:ext>
            </c:extLst>
          </c:dPt>
          <c:dPt>
            <c:idx val="3"/>
            <c:bubble3D val="0"/>
            <c:extLst>
              <c:ext xmlns:c16="http://schemas.microsoft.com/office/drawing/2014/chart" uri="{C3380CC4-5D6E-409C-BE32-E72D297353CC}">
                <c16:uniqueId val="{00000003-7231-47FB-9708-041EE1DA774A}"/>
              </c:ext>
            </c:extLst>
          </c:dPt>
          <c:dPt>
            <c:idx val="4"/>
            <c:bubble3D val="0"/>
            <c:extLst>
              <c:ext xmlns:c16="http://schemas.microsoft.com/office/drawing/2014/chart" uri="{C3380CC4-5D6E-409C-BE32-E72D297353CC}">
                <c16:uniqueId val="{00000004-7231-47FB-9708-041EE1DA774A}"/>
              </c:ext>
            </c:extLst>
          </c:dPt>
          <c:dPt>
            <c:idx val="5"/>
            <c:bubble3D val="0"/>
            <c:extLst>
              <c:ext xmlns:c16="http://schemas.microsoft.com/office/drawing/2014/chart" uri="{C3380CC4-5D6E-409C-BE32-E72D297353CC}">
                <c16:uniqueId val="{00000005-7231-47FB-9708-041EE1DA774A}"/>
              </c:ext>
            </c:extLst>
          </c:dPt>
          <c:dPt>
            <c:idx val="6"/>
            <c:bubble3D val="0"/>
            <c:extLst>
              <c:ext xmlns:c16="http://schemas.microsoft.com/office/drawing/2014/chart" uri="{C3380CC4-5D6E-409C-BE32-E72D297353CC}">
                <c16:uniqueId val="{00000006-7231-47FB-9708-041EE1DA774A}"/>
              </c:ext>
            </c:extLst>
          </c:dPt>
          <c:dPt>
            <c:idx val="7"/>
            <c:bubble3D val="0"/>
            <c:extLst>
              <c:ext xmlns:c16="http://schemas.microsoft.com/office/drawing/2014/chart" uri="{C3380CC4-5D6E-409C-BE32-E72D297353CC}">
                <c16:uniqueId val="{00000007-7231-47FB-9708-041EE1DA774A}"/>
              </c:ext>
            </c:extLst>
          </c:dPt>
          <c:dPt>
            <c:idx val="8"/>
            <c:bubble3D val="0"/>
            <c:extLst>
              <c:ext xmlns:c16="http://schemas.microsoft.com/office/drawing/2014/chart" uri="{C3380CC4-5D6E-409C-BE32-E72D297353CC}">
                <c16:uniqueId val="{00000008-7231-47FB-9708-041EE1DA774A}"/>
              </c:ext>
            </c:extLst>
          </c:dPt>
          <c:dPt>
            <c:idx val="9"/>
            <c:bubble3D val="0"/>
            <c:extLst>
              <c:ext xmlns:c16="http://schemas.microsoft.com/office/drawing/2014/chart" uri="{C3380CC4-5D6E-409C-BE32-E72D297353CC}">
                <c16:uniqueId val="{00000009-7231-47FB-9708-041EE1DA774A}"/>
              </c:ext>
            </c:extLst>
          </c:dPt>
          <c:dPt>
            <c:idx val="10"/>
            <c:bubble3D val="0"/>
            <c:extLst>
              <c:ext xmlns:c16="http://schemas.microsoft.com/office/drawing/2014/chart" uri="{C3380CC4-5D6E-409C-BE32-E72D297353CC}">
                <c16:uniqueId val="{0000000A-7231-47FB-9708-041EE1DA774A}"/>
              </c:ext>
            </c:extLst>
          </c:dPt>
          <c:dLbls>
            <c:dLbl>
              <c:idx val="0"/>
              <c:layout>
                <c:manualLayout>
                  <c:x val="-0.15541712041778832"/>
                  <c:y val="6.9325672953671494E-2"/>
                </c:manualLayout>
              </c:layout>
              <c:spPr>
                <a:noFill/>
                <a:ln>
                  <a:noFill/>
                </a:ln>
                <a:effectLst/>
              </c:spPr>
              <c:txPr>
                <a:bodyPr wrap="square" lIns="38100" tIns="19050" rIns="38100" bIns="19050" anchor="ctr">
                  <a:spAutoFit/>
                </a:bodyPr>
                <a:lstStyle/>
                <a:p>
                  <a:pPr>
                    <a:defRPr>
                      <a:solidFill>
                        <a:schemeClr val="bg1"/>
                      </a:solidFill>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31-47FB-9708-041EE1DA774A}"/>
                </c:ext>
              </c:extLst>
            </c:dLbl>
            <c:dLbl>
              <c:idx val="1"/>
              <c:layout>
                <c:manualLayout>
                  <c:x val="1.7575369916806673E-2"/>
                  <c:y val="-1.9398919611803369E-4"/>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5340830196811908"/>
                      <c:h val="9.2479377791603798E-2"/>
                    </c:manualLayout>
                  </c15:layout>
                </c:ext>
                <c:ext xmlns:c16="http://schemas.microsoft.com/office/drawing/2014/chart" uri="{C3380CC4-5D6E-409C-BE32-E72D297353CC}">
                  <c16:uniqueId val="{00000001-7231-47FB-9708-041EE1DA774A}"/>
                </c:ext>
              </c:extLst>
            </c:dLbl>
            <c:dLbl>
              <c:idx val="2"/>
              <c:layout>
                <c:manualLayout>
                  <c:x val="-0.11648900513177667"/>
                  <c:y val="0.10958832921520888"/>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31-47FB-9708-041EE1DA774A}"/>
                </c:ext>
              </c:extLst>
            </c:dLbl>
            <c:dLbl>
              <c:idx val="3"/>
              <c:layout>
                <c:manualLayout>
                  <c:x val="-8.5151428050928041E-2"/>
                  <c:y val="3.55381340413842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31-47FB-9708-041EE1DA774A}"/>
                </c:ext>
              </c:extLst>
            </c:dLbl>
            <c:dLbl>
              <c:idx val="4"/>
              <c:layout>
                <c:manualLayout>
                  <c:x val="-4.1538893607661789E-2"/>
                  <c:y val="7.0646977133675071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8205647430317998"/>
                      <c:h val="6.9307132393334539E-2"/>
                    </c:manualLayout>
                  </c15:layout>
                </c:ext>
                <c:ext xmlns:c16="http://schemas.microsoft.com/office/drawing/2014/chart" uri="{C3380CC4-5D6E-409C-BE32-E72D297353CC}">
                  <c16:uniqueId val="{00000004-7231-47FB-9708-041EE1DA774A}"/>
                </c:ext>
              </c:extLst>
            </c:dLbl>
            <c:dLbl>
              <c:idx val="5"/>
              <c:layout>
                <c:manualLayout>
                  <c:x val="-0.24565435918750625"/>
                  <c:y val="-1.872837600530287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31-47FB-9708-041EE1DA774A}"/>
                </c:ext>
              </c:extLst>
            </c:dLbl>
            <c:dLbl>
              <c:idx val="6"/>
              <c:layout>
                <c:manualLayout>
                  <c:x val="-0.21146327383563859"/>
                  <c:y val="-8.4999605911742368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5593352883675465"/>
                      <c:h val="6.5566056050742755E-2"/>
                    </c:manualLayout>
                  </c15:layout>
                </c:ext>
                <c:ext xmlns:c16="http://schemas.microsoft.com/office/drawing/2014/chart" uri="{C3380CC4-5D6E-409C-BE32-E72D297353CC}">
                  <c16:uniqueId val="{00000006-7231-47FB-9708-041EE1DA774A}"/>
                </c:ext>
              </c:extLst>
            </c:dLbl>
            <c:dLbl>
              <c:idx val="7"/>
              <c:layout>
                <c:manualLayout>
                  <c:x val="-7.8032804550457663E-2"/>
                  <c:y val="-8.1588940604738314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6454476181679636"/>
                      <c:h val="5.7958641425488136E-2"/>
                    </c:manualLayout>
                  </c15:layout>
                </c:ext>
                <c:ext xmlns:c16="http://schemas.microsoft.com/office/drawing/2014/chart" uri="{C3380CC4-5D6E-409C-BE32-E72D297353CC}">
                  <c16:uniqueId val="{00000007-7231-47FB-9708-041EE1DA774A}"/>
                </c:ext>
              </c:extLst>
            </c:dLbl>
            <c:dLbl>
              <c:idx val="8"/>
              <c:layout>
                <c:manualLayout>
                  <c:x val="4.638144988701734E-2"/>
                  <c:y val="-8.605516060685167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31-47FB-9708-041EE1DA774A}"/>
                </c:ext>
              </c:extLst>
            </c:dLbl>
            <c:dLbl>
              <c:idx val="9"/>
              <c:layout>
                <c:manualLayout>
                  <c:x val="0.21993041556937798"/>
                  <c:y val="-8.732180258500840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231-47FB-9708-041EE1DA774A}"/>
                </c:ext>
              </c:extLst>
            </c:dLbl>
            <c:dLbl>
              <c:idx val="10"/>
              <c:layout>
                <c:manualLayout>
                  <c:x val="0.18029117584467275"/>
                  <c:y val="-2.230025749151027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231-47FB-9708-041EE1DA774A}"/>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'Nickel - Exports'!$A$12:$A$22</c:f>
              <c:strCache>
                <c:ptCount val="11"/>
                <c:pt idx="0">
                  <c:v>China</c:v>
                </c:pt>
                <c:pt idx="1">
                  <c:v>Japan</c:v>
                </c:pt>
                <c:pt idx="2">
                  <c:v>Korea, Republic Of (South)</c:v>
                </c:pt>
                <c:pt idx="3">
                  <c:v>Norway</c:v>
                </c:pt>
                <c:pt idx="4">
                  <c:v>Netherlands</c:v>
                </c:pt>
                <c:pt idx="5">
                  <c:v>Canada</c:v>
                </c:pt>
                <c:pt idx="6">
                  <c:v>Taiwan</c:v>
                </c:pt>
                <c:pt idx="7">
                  <c:v>Sweden</c:v>
                </c:pt>
                <c:pt idx="8">
                  <c:v>Singapore</c:v>
                </c:pt>
                <c:pt idx="9">
                  <c:v>United States</c:v>
                </c:pt>
                <c:pt idx="10">
                  <c:v>Other</c:v>
                </c:pt>
              </c:strCache>
            </c:strRef>
          </c:cat>
          <c:val>
            <c:numRef>
              <c:f>'Nickel - Exports'!$D$12:$D$22</c:f>
              <c:numCache>
                <c:formatCode>0.0%</c:formatCode>
                <c:ptCount val="11"/>
                <c:pt idx="0">
                  <c:v>0.31812069234463508</c:v>
                </c:pt>
                <c:pt idx="1">
                  <c:v>0.15735807940759852</c:v>
                </c:pt>
                <c:pt idx="2">
                  <c:v>0.12594909200058171</c:v>
                </c:pt>
                <c:pt idx="3">
                  <c:v>0.11539728335016294</c:v>
                </c:pt>
                <c:pt idx="4">
                  <c:v>9.5426933898526481E-2</c:v>
                </c:pt>
                <c:pt idx="5">
                  <c:v>7.0257914107737351E-2</c:v>
                </c:pt>
                <c:pt idx="6">
                  <c:v>3.5076283841182242E-2</c:v>
                </c:pt>
                <c:pt idx="7">
                  <c:v>2.8001534011993973E-2</c:v>
                </c:pt>
                <c:pt idx="8">
                  <c:v>1.3087963497130855E-2</c:v>
                </c:pt>
                <c:pt idx="9">
                  <c:v>1.0015955844046475E-2</c:v>
                </c:pt>
                <c:pt idx="10">
                  <c:v>3.1308267696404372E-2</c:v>
                </c:pt>
              </c:numCache>
            </c:numRef>
          </c:val>
          <c:extLst>
            <c:ext xmlns:c16="http://schemas.microsoft.com/office/drawing/2014/chart" uri="{C3380CC4-5D6E-409C-BE32-E72D297353CC}">
              <c16:uniqueId val="{0000000B-7231-47FB-9708-041EE1DA774A}"/>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br>
              <a:rPr lang="en-AU"/>
            </a:br>
            <a:r>
              <a:rPr lang="en-AU" sz="1100"/>
              <a:t>Western Australia</a:t>
            </a:r>
            <a:r>
              <a:rPr lang="en-AU" sz="1100" baseline="0"/>
              <a:t> </a:t>
            </a:r>
            <a:r>
              <a:rPr lang="en-AU" sz="1100"/>
              <a:t>vs Rest of Australia</a:t>
            </a:r>
          </a:p>
        </c:rich>
      </c:tx>
      <c:layout>
        <c:manualLayout>
          <c:xMode val="edge"/>
          <c:yMode val="edge"/>
          <c:x val="0.32281365261619716"/>
          <c:y val="3.7221014588174277E-2"/>
        </c:manualLayout>
      </c:layout>
      <c:overlay val="0"/>
    </c:title>
    <c:autoTitleDeleted val="0"/>
    <c:plotArea>
      <c:layout>
        <c:manualLayout>
          <c:layoutTarget val="inner"/>
          <c:xMode val="edge"/>
          <c:yMode val="edge"/>
          <c:x val="0.10724926233532529"/>
          <c:y val="0.23759417688541162"/>
          <c:w val="0.85400296597118885"/>
          <c:h val="0.60472677307802181"/>
        </c:manualLayout>
      </c:layout>
      <c:barChart>
        <c:barDir val="col"/>
        <c:grouping val="stacked"/>
        <c:varyColors val="0"/>
        <c:ser>
          <c:idx val="0"/>
          <c:order val="0"/>
          <c:tx>
            <c:v>Western Australia</c:v>
          </c:tx>
          <c:invertIfNegative val="0"/>
          <c:cat>
            <c:numRef>
              <c:extLst>
                <c:ext xmlns:c15="http://schemas.microsoft.com/office/drawing/2012/chart" uri="{02D57815-91ED-43cb-92C2-25804820EDAC}">
                  <c15:fullRef>
                    <c15:sqref>'Nickel - WA vs Aus'!$A$9:$A$66</c15:sqref>
                  </c15:fullRef>
                </c:ext>
              </c:extLst>
              <c:f>'Nickel - WA vs Aus'!$A$10:$A$66</c:f>
              <c:numCache>
                <c:formatCode>General</c:formatCode>
                <c:ptCount val="5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pt idx="56">
                  <c:v>2024</c:v>
                </c:pt>
              </c:numCache>
            </c:numRef>
          </c:cat>
          <c:val>
            <c:numRef>
              <c:extLst>
                <c:ext xmlns:c15="http://schemas.microsoft.com/office/drawing/2012/chart" uri="{02D57815-91ED-43cb-92C2-25804820EDAC}">
                  <c15:fullRef>
                    <c15:sqref>'Nickel - WA vs Aus'!$B$9:$B$66</c15:sqref>
                  </c15:fullRef>
                </c:ext>
              </c:extLst>
              <c:f>'Nickel - WA vs Aus'!$B$10:$B$66</c:f>
              <c:numCache>
                <c:formatCode>#,##0.00</c:formatCode>
                <c:ptCount val="57"/>
                <c:pt idx="0">
                  <c:v>0.54866499999999996</c:v>
                </c:pt>
                <c:pt idx="1">
                  <c:v>7.877408</c:v>
                </c:pt>
                <c:pt idx="2">
                  <c:v>31.609000000000002</c:v>
                </c:pt>
                <c:pt idx="3">
                  <c:v>35.768999999999998</c:v>
                </c:pt>
                <c:pt idx="4">
                  <c:v>31.37</c:v>
                </c:pt>
                <c:pt idx="5">
                  <c:v>40.228000000000002</c:v>
                </c:pt>
                <c:pt idx="6">
                  <c:v>45.93</c:v>
                </c:pt>
                <c:pt idx="7">
                  <c:v>53.432000000000002</c:v>
                </c:pt>
                <c:pt idx="8">
                  <c:v>58.000999999999998</c:v>
                </c:pt>
                <c:pt idx="9">
                  <c:v>56.569000000000003</c:v>
                </c:pt>
                <c:pt idx="10">
                  <c:v>50.723999999999997</c:v>
                </c:pt>
                <c:pt idx="11">
                  <c:v>43.688000000000002</c:v>
                </c:pt>
                <c:pt idx="12">
                  <c:v>43.597000000000001</c:v>
                </c:pt>
                <c:pt idx="13">
                  <c:v>47.768999999999998</c:v>
                </c:pt>
                <c:pt idx="14">
                  <c:v>57.545999999999999</c:v>
                </c:pt>
                <c:pt idx="15">
                  <c:v>57.973999999999997</c:v>
                </c:pt>
                <c:pt idx="16">
                  <c:v>58.837000000000003</c:v>
                </c:pt>
                <c:pt idx="17">
                  <c:v>55.936999999999998</c:v>
                </c:pt>
                <c:pt idx="18">
                  <c:v>49.228999999999999</c:v>
                </c:pt>
                <c:pt idx="19">
                  <c:v>47.588999999999999</c:v>
                </c:pt>
                <c:pt idx="20">
                  <c:v>36.302</c:v>
                </c:pt>
                <c:pt idx="21">
                  <c:v>39</c:v>
                </c:pt>
                <c:pt idx="22">
                  <c:v>51</c:v>
                </c:pt>
                <c:pt idx="23">
                  <c:v>56</c:v>
                </c:pt>
                <c:pt idx="24">
                  <c:v>48</c:v>
                </c:pt>
                <c:pt idx="25">
                  <c:v>55.463000000000001</c:v>
                </c:pt>
                <c:pt idx="26">
                  <c:v>77</c:v>
                </c:pt>
                <c:pt idx="27">
                  <c:v>101.358</c:v>
                </c:pt>
                <c:pt idx="28">
                  <c:v>112.108</c:v>
                </c:pt>
                <c:pt idx="29">
                  <c:v>122.991</c:v>
                </c:pt>
                <c:pt idx="30">
                  <c:v>143.08199999999999</c:v>
                </c:pt>
                <c:pt idx="31">
                  <c:v>122.79599999999999</c:v>
                </c:pt>
                <c:pt idx="32">
                  <c:v>154.07399999999998</c:v>
                </c:pt>
                <c:pt idx="33">
                  <c:v>181.16899999999998</c:v>
                </c:pt>
                <c:pt idx="34">
                  <c:v>183.00200000000001</c:v>
                </c:pt>
                <c:pt idx="35">
                  <c:v>190.20999999999998</c:v>
                </c:pt>
                <c:pt idx="36">
                  <c:v>174.70099999999999</c:v>
                </c:pt>
                <c:pt idx="37">
                  <c:v>188.36199999999999</c:v>
                </c:pt>
                <c:pt idx="38">
                  <c:v>175.08699999999999</c:v>
                </c:pt>
                <c:pt idx="39">
                  <c:v>162.49200000000002</c:v>
                </c:pt>
                <c:pt idx="40">
                  <c:v>187.791</c:v>
                </c:pt>
                <c:pt idx="41">
                  <c:v>171.178</c:v>
                </c:pt>
                <c:pt idx="42">
                  <c:v>193.25899999999999</c:v>
                </c:pt>
                <c:pt idx="43">
                  <c:v>185.13</c:v>
                </c:pt>
                <c:pt idx="44">
                  <c:v>230.76710035740911</c:v>
                </c:pt>
                <c:pt idx="45">
                  <c:v>270.74436400000002</c:v>
                </c:pt>
                <c:pt idx="46">
                  <c:v>218.56311600000001</c:v>
                </c:pt>
                <c:pt idx="47">
                  <c:v>173.97419100000002</c:v>
                </c:pt>
                <c:pt idx="48">
                  <c:v>171.60430600000001</c:v>
                </c:pt>
                <c:pt idx="49">
                  <c:v>166.42021699999998</c:v>
                </c:pt>
                <c:pt idx="50">
                  <c:v>149.29546400000001</c:v>
                </c:pt>
                <c:pt idx="51">
                  <c:v>153.62417200000002</c:v>
                </c:pt>
                <c:pt idx="52">
                  <c:v>165.123107</c:v>
                </c:pt>
                <c:pt idx="53">
                  <c:v>150.02785600000001</c:v>
                </c:pt>
                <c:pt idx="54">
                  <c:v>154.272391</c:v>
                </c:pt>
                <c:pt idx="55">
                  <c:v>148.19363199999998</c:v>
                </c:pt>
                <c:pt idx="56">
                  <c:v>128.36591900000002</c:v>
                </c:pt>
              </c:numCache>
            </c:numRef>
          </c:val>
          <c:extLst>
            <c:ext xmlns:c16="http://schemas.microsoft.com/office/drawing/2014/chart" uri="{C3380CC4-5D6E-409C-BE32-E72D297353CC}">
              <c16:uniqueId val="{00000000-B619-471D-9A86-C5FC97A467DF}"/>
            </c:ext>
          </c:extLst>
        </c:ser>
        <c:ser>
          <c:idx val="1"/>
          <c:order val="1"/>
          <c:tx>
            <c:v>Rest of Australia</c:v>
          </c:tx>
          <c:invertIfNegative val="0"/>
          <c:cat>
            <c:numRef>
              <c:extLst>
                <c:ext xmlns:c15="http://schemas.microsoft.com/office/drawing/2012/chart" uri="{02D57815-91ED-43cb-92C2-25804820EDAC}">
                  <c15:fullRef>
                    <c15:sqref>'Nickel - WA vs Aus'!$A$9:$A$66</c15:sqref>
                  </c15:fullRef>
                </c:ext>
              </c:extLst>
              <c:f>'Nickel - WA vs Aus'!$A$10:$A$66</c:f>
              <c:numCache>
                <c:formatCode>General</c:formatCode>
                <c:ptCount val="5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pt idx="56">
                  <c:v>2024</c:v>
                </c:pt>
              </c:numCache>
            </c:numRef>
          </c:cat>
          <c:val>
            <c:numRef>
              <c:extLst>
                <c:ext xmlns:c15="http://schemas.microsoft.com/office/drawing/2012/chart" uri="{02D57815-91ED-43cb-92C2-25804820EDAC}">
                  <c15:fullRef>
                    <c15:sqref>'Nickel - WA vs Aus'!$C$9:$C$66</c15:sqref>
                  </c15:fullRef>
                </c:ext>
              </c:extLst>
              <c:f>'Nickel - WA vs Aus'!$C$10:$C$66</c:f>
              <c:numCache>
                <c:formatCode>#,##0.00</c:formatCode>
                <c:ptCount val="57"/>
                <c:pt idx="0">
                  <c:v>0</c:v>
                </c:pt>
                <c:pt idx="1">
                  <c:v>0</c:v>
                </c:pt>
                <c:pt idx="2">
                  <c:v>0</c:v>
                </c:pt>
                <c:pt idx="3">
                  <c:v>0</c:v>
                </c:pt>
                <c:pt idx="4">
                  <c:v>0</c:v>
                </c:pt>
                <c:pt idx="5">
                  <c:v>0</c:v>
                </c:pt>
                <c:pt idx="6">
                  <c:v>1.897</c:v>
                </c:pt>
                <c:pt idx="7">
                  <c:v>22.393000000000001</c:v>
                </c:pt>
                <c:pt idx="8">
                  <c:v>24.530999999999999</c:v>
                </c:pt>
                <c:pt idx="9">
                  <c:v>29.298999999999999</c:v>
                </c:pt>
                <c:pt idx="10">
                  <c:v>31.635000000000002</c:v>
                </c:pt>
                <c:pt idx="11">
                  <c:v>26.021000000000001</c:v>
                </c:pt>
                <c:pt idx="12">
                  <c:v>30.725999999999999</c:v>
                </c:pt>
                <c:pt idx="13">
                  <c:v>26.585999999999999</c:v>
                </c:pt>
                <c:pt idx="14">
                  <c:v>30.006</c:v>
                </c:pt>
                <c:pt idx="15">
                  <c:v>18.651</c:v>
                </c:pt>
                <c:pt idx="16">
                  <c:v>18.085999999999999</c:v>
                </c:pt>
                <c:pt idx="17">
                  <c:v>29.82</c:v>
                </c:pt>
                <c:pt idx="18">
                  <c:v>27.51</c:v>
                </c:pt>
                <c:pt idx="19">
                  <c:v>26.965</c:v>
                </c:pt>
                <c:pt idx="20">
                  <c:v>26.337</c:v>
                </c:pt>
                <c:pt idx="21">
                  <c:v>26</c:v>
                </c:pt>
                <c:pt idx="22">
                  <c:v>16</c:v>
                </c:pt>
                <c:pt idx="23">
                  <c:v>13</c:v>
                </c:pt>
                <c:pt idx="24">
                  <c:v>10</c:v>
                </c:pt>
                <c:pt idx="25">
                  <c:v>14.537000000000001</c:v>
                </c:pt>
                <c:pt idx="26">
                  <c:v>2</c:v>
                </c:pt>
                <c:pt idx="27">
                  <c:v>0.64200000000000002</c:v>
                </c:pt>
                <c:pt idx="28">
                  <c:v>4</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1.653</c:v>
                </c:pt>
                <c:pt idx="55">
                  <c:v>3.6059999999999999</c:v>
                </c:pt>
                <c:pt idx="56">
                  <c:v>0</c:v>
                </c:pt>
              </c:numCache>
            </c:numRef>
          </c:val>
          <c:extLst>
            <c:ext xmlns:c16="http://schemas.microsoft.com/office/drawing/2014/chart" uri="{C3380CC4-5D6E-409C-BE32-E72D297353CC}">
              <c16:uniqueId val="{00000001-B619-471D-9A86-C5FC97A467DF}"/>
            </c:ext>
          </c:extLst>
        </c:ser>
        <c:dLbls>
          <c:showLegendKey val="0"/>
          <c:showVal val="0"/>
          <c:showCatName val="0"/>
          <c:showSerName val="0"/>
          <c:showPercent val="0"/>
          <c:showBubbleSize val="0"/>
        </c:dLbls>
        <c:gapWidth val="60"/>
        <c:overlap val="100"/>
        <c:axId val="131601536"/>
        <c:axId val="131603072"/>
      </c:barChart>
      <c:catAx>
        <c:axId val="13160153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1603072"/>
        <c:crosses val="autoZero"/>
        <c:auto val="0"/>
        <c:lblAlgn val="ctr"/>
        <c:lblOffset val="100"/>
        <c:tickLblSkip val="4"/>
        <c:noMultiLvlLbl val="1"/>
      </c:catAx>
      <c:valAx>
        <c:axId val="131603072"/>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31601536"/>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Western Australia vs Rest of Australia</a:t>
            </a:r>
          </a:p>
          <a:p>
            <a:pPr>
              <a:defRPr/>
            </a:pPr>
            <a:r>
              <a:rPr lang="en-AU" sz="1100"/>
              <a:t>Last 10 Years</a:t>
            </a:r>
          </a:p>
        </c:rich>
      </c:tx>
      <c:overlay val="0"/>
    </c:title>
    <c:autoTitleDeleted val="0"/>
    <c:plotArea>
      <c:layout/>
      <c:lineChart>
        <c:grouping val="standard"/>
        <c:varyColors val="0"/>
        <c:ser>
          <c:idx val="0"/>
          <c:order val="0"/>
          <c:tx>
            <c:v>Western Australia</c:v>
          </c:tx>
          <c:spPr>
            <a:ln w="28575"/>
          </c:spPr>
          <c:cat>
            <c:numRef>
              <c:f>'Nickel - WA vs Aus'!$P$12:$P$21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'Nickel - WA vs Aus'!$Q$12:$Q$21</c:f>
              <c:numCache>
                <c:formatCode>0.00</c:formatCode>
                <c:ptCount val="10"/>
                <c:pt idx="0">
                  <c:v>173.97419100000002</c:v>
                </c:pt>
                <c:pt idx="1">
                  <c:v>171.60430600000001</c:v>
                </c:pt>
                <c:pt idx="2">
                  <c:v>166.42021699999998</c:v>
                </c:pt>
                <c:pt idx="3">
                  <c:v>149.29546400000001</c:v>
                </c:pt>
                <c:pt idx="4">
                  <c:v>153.62417200000002</c:v>
                </c:pt>
                <c:pt idx="5">
                  <c:v>165.123107</c:v>
                </c:pt>
                <c:pt idx="6">
                  <c:v>150.02785600000001</c:v>
                </c:pt>
                <c:pt idx="7">
                  <c:v>154.272391</c:v>
                </c:pt>
                <c:pt idx="8">
                  <c:v>148.19363199999998</c:v>
                </c:pt>
                <c:pt idx="9">
                  <c:v>128.36591900000002</c:v>
                </c:pt>
              </c:numCache>
            </c:numRef>
          </c:val>
          <c:smooth val="0"/>
          <c:extLst>
            <c:ext xmlns:c16="http://schemas.microsoft.com/office/drawing/2014/chart" uri="{C3380CC4-5D6E-409C-BE32-E72D297353CC}">
              <c16:uniqueId val="{00000000-4EE3-43E7-AC14-A7B627642081}"/>
            </c:ext>
          </c:extLst>
        </c:ser>
        <c:ser>
          <c:idx val="1"/>
          <c:order val="1"/>
          <c:tx>
            <c:v>Rest of Australia</c:v>
          </c:tx>
          <c:spPr>
            <a:ln w="28575"/>
          </c:spPr>
          <c:cat>
            <c:numRef>
              <c:f>'Nickel - WA vs Aus'!$P$12:$P$21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'Nickel - WA vs Aus'!$R$12:$R$21</c:f>
              <c:numCache>
                <c:formatCode>0.00</c:formatCode>
                <c:ptCount val="10"/>
                <c:pt idx="0">
                  <c:v>0</c:v>
                </c:pt>
                <c:pt idx="1">
                  <c:v>0</c:v>
                </c:pt>
                <c:pt idx="2">
                  <c:v>0</c:v>
                </c:pt>
                <c:pt idx="3">
                  <c:v>0</c:v>
                </c:pt>
                <c:pt idx="4">
                  <c:v>0</c:v>
                </c:pt>
                <c:pt idx="5">
                  <c:v>0</c:v>
                </c:pt>
                <c:pt idx="6">
                  <c:v>0</c:v>
                </c:pt>
                <c:pt idx="7">
                  <c:v>1.653</c:v>
                </c:pt>
                <c:pt idx="8">
                  <c:v>3.6059999999999999</c:v>
                </c:pt>
                <c:pt idx="9">
                  <c:v>0</c:v>
                </c:pt>
              </c:numCache>
            </c:numRef>
          </c:val>
          <c:smooth val="0"/>
          <c:extLst>
            <c:ext xmlns:c16="http://schemas.microsoft.com/office/drawing/2014/chart" uri="{C3380CC4-5D6E-409C-BE32-E72D297353CC}">
              <c16:uniqueId val="{00000001-4EE3-43E7-AC14-A7B627642081}"/>
            </c:ext>
          </c:extLst>
        </c:ser>
        <c:dLbls>
          <c:showLegendKey val="0"/>
          <c:showVal val="0"/>
          <c:showCatName val="0"/>
          <c:showSerName val="0"/>
          <c:showPercent val="0"/>
          <c:showBubbleSize val="0"/>
        </c:dLbls>
        <c:marker val="1"/>
        <c:smooth val="0"/>
        <c:axId val="131635840"/>
        <c:axId val="131634304"/>
      </c:lineChart>
      <c:valAx>
        <c:axId val="131634304"/>
        <c:scaling>
          <c:orientation val="minMax"/>
        </c:scaling>
        <c:delete val="0"/>
        <c:axPos val="l"/>
        <c:majorGridlines/>
        <c:title>
          <c:tx>
            <c:rich>
              <a:bodyPr/>
              <a:lstStyle/>
              <a:p>
                <a:pPr>
                  <a:defRPr/>
                </a:pPr>
                <a:r>
                  <a:rPr lang="en-AU"/>
                  <a:t>Thousand tonnes</a:t>
                </a:r>
              </a:p>
            </c:rich>
          </c:tx>
          <c:layout>
            <c:manualLayout>
              <c:xMode val="edge"/>
              <c:yMode val="edge"/>
              <c:x val="1.3124417488165292E-2"/>
              <c:y val="0.4553529453194114"/>
            </c:manualLayout>
          </c:layout>
          <c:overlay val="0"/>
        </c:title>
        <c:numFmt formatCode="#,##0" sourceLinked="0"/>
        <c:majorTickMark val="out"/>
        <c:minorTickMark val="none"/>
        <c:tickLblPos val="nextTo"/>
        <c:crossAx val="131635840"/>
        <c:crosses val="autoZero"/>
        <c:crossBetween val="between"/>
      </c:valAx>
      <c:catAx>
        <c:axId val="131635840"/>
        <c:scaling>
          <c:orientation val="minMax"/>
        </c:scaling>
        <c:delete val="0"/>
        <c:axPos val="b"/>
        <c:title>
          <c:tx>
            <c:rich>
              <a:bodyPr/>
              <a:lstStyle/>
              <a:p>
                <a:pPr>
                  <a:defRPr sz="900"/>
                </a:pPr>
                <a:r>
                  <a:rPr lang="en-AU" sz="900"/>
                  <a:t>Source:  DMPE and OoCE</a:t>
                </a:r>
              </a:p>
            </c:rich>
          </c:tx>
          <c:layout>
            <c:manualLayout>
              <c:xMode val="edge"/>
              <c:yMode val="edge"/>
              <c:x val="1.0165956404869723E-2"/>
              <c:y val="0.94647949122074349"/>
            </c:manualLayout>
          </c:layout>
          <c:overlay val="0"/>
        </c:title>
        <c:numFmt formatCode="General" sourceLinked="1"/>
        <c:majorTickMark val="out"/>
        <c:minorTickMark val="none"/>
        <c:tickLblPos val="nextTo"/>
        <c:txPr>
          <a:bodyPr rot="-2700000"/>
          <a:lstStyle/>
          <a:p>
            <a:pPr>
              <a:defRPr/>
            </a:pPr>
            <a:endParaRPr lang="en-US"/>
          </a:p>
        </c:txPr>
        <c:crossAx val="131634304"/>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strRef>
          <c:f>'Other Minerals - Q&amp;V'!$O$11:$Q$11</c:f>
          <c:strCache>
            <c:ptCount val="3"/>
            <c:pt idx="0">
              <c:v>Silver Quantity And Value By Quarter</c:v>
            </c:pt>
          </c:strCache>
        </c:strRef>
      </c:tx>
      <c:layout>
        <c:manualLayout>
          <c:xMode val="edge"/>
          <c:yMode val="edge"/>
          <c:x val="0.19665031573470065"/>
          <c:y val="2.163815168806791E-2"/>
        </c:manualLayout>
      </c:layout>
      <c:overlay val="0"/>
    </c:title>
    <c:autoTitleDeleted val="0"/>
    <c:plotArea>
      <c:layout/>
      <c:barChart>
        <c:barDir val="col"/>
        <c:grouping val="clustered"/>
        <c:varyColors val="0"/>
        <c:ser>
          <c:idx val="0"/>
          <c:order val="0"/>
          <c:tx>
            <c:strRef>
              <c:f>'Other Minerals - Q&amp;V'!$P$13</c:f>
              <c:strCache>
                <c:ptCount val="1"/>
                <c:pt idx="0">
                  <c:v>Quantity (t)</c:v>
                </c:pt>
              </c:strCache>
            </c:strRef>
          </c:tx>
          <c:invertIfNegative val="0"/>
          <c:cat>
            <c:numRef>
              <c:f>'Other Minerals - Q&amp;V'!$O$14:$O$22</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'Other Minerals - Q&amp;V'!$P$14:$P$22</c:f>
              <c:numCache>
                <c:formatCode>0.00</c:formatCode>
                <c:ptCount val="9"/>
                <c:pt idx="0">
                  <c:v>22.996452832651947</c:v>
                </c:pt>
                <c:pt idx="1">
                  <c:v>18.880131275411177</c:v>
                </c:pt>
                <c:pt idx="2">
                  <c:v>23.086618546030092</c:v>
                </c:pt>
                <c:pt idx="3">
                  <c:v>24.889869580224481</c:v>
                </c:pt>
                <c:pt idx="4">
                  <c:v>26.55078802632999</c:v>
                </c:pt>
                <c:pt idx="5">
                  <c:v>20.892301775629139</c:v>
                </c:pt>
                <c:pt idx="6">
                  <c:v>27.27256359522044</c:v>
                </c:pt>
                <c:pt idx="7">
                  <c:v>31.433344572520031</c:v>
                </c:pt>
                <c:pt idx="8">
                  <c:v>28.545853212402896</c:v>
                </c:pt>
              </c:numCache>
            </c:numRef>
          </c:val>
          <c:extLst>
            <c:ext xmlns:c16="http://schemas.microsoft.com/office/drawing/2014/chart" uri="{C3380CC4-5D6E-409C-BE32-E72D297353CC}">
              <c16:uniqueId val="{00000000-AED6-44C5-B2FD-E8038D95453B}"/>
            </c:ext>
          </c:extLst>
        </c:ser>
        <c:dLbls>
          <c:showLegendKey val="0"/>
          <c:showVal val="0"/>
          <c:showCatName val="0"/>
          <c:showSerName val="0"/>
          <c:showPercent val="0"/>
          <c:showBubbleSize val="0"/>
        </c:dLbls>
        <c:gapWidth val="40"/>
        <c:axId val="134782976"/>
        <c:axId val="134772608"/>
      </c:barChart>
      <c:lineChart>
        <c:grouping val="standard"/>
        <c:varyColors val="0"/>
        <c:ser>
          <c:idx val="1"/>
          <c:order val="1"/>
          <c:tx>
            <c:strRef>
              <c:f>'Other Minerals - Q&amp;V'!$Q$13</c:f>
              <c:strCache>
                <c:ptCount val="1"/>
                <c:pt idx="0">
                  <c:v>Value ($ Million)</c:v>
                </c:pt>
              </c:strCache>
            </c:strRef>
          </c:tx>
          <c:spPr>
            <a:ln w="28575"/>
          </c:spPr>
          <c:marker>
            <c:symbol val="none"/>
          </c:marker>
          <c:cat>
            <c:numRef>
              <c:f>'Other Minerals - Q&amp;V'!$O$14:$O$22</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'Other Minerals - Q&amp;V'!$Q$14:$Q$22</c:f>
              <c:numCache>
                <c:formatCode>0.00</c:formatCode>
                <c:ptCount val="9"/>
                <c:pt idx="0">
                  <c:v>26.630289999999999</c:v>
                </c:pt>
                <c:pt idx="1">
                  <c:v>23.142346</c:v>
                </c:pt>
                <c:pt idx="2">
                  <c:v>32.779145</c:v>
                </c:pt>
                <c:pt idx="3">
                  <c:v>35.321360999999996</c:v>
                </c:pt>
                <c:pt idx="4">
                  <c:v>41.264378999999998</c:v>
                </c:pt>
                <c:pt idx="5">
                  <c:v>34.297964</c:v>
                </c:pt>
                <c:pt idx="6">
                  <c:v>46.856969999999997</c:v>
                </c:pt>
                <c:pt idx="7">
                  <c:v>65.754684999999995</c:v>
                </c:pt>
                <c:pt idx="8">
                  <c:v>76.601443000000003</c:v>
                </c:pt>
              </c:numCache>
            </c:numRef>
          </c:val>
          <c:smooth val="0"/>
          <c:extLst>
            <c:ext xmlns:c16="http://schemas.microsoft.com/office/drawing/2014/chart" uri="{C3380CC4-5D6E-409C-BE32-E72D297353CC}">
              <c16:uniqueId val="{00000001-AED6-44C5-B2FD-E8038D95453B}"/>
            </c:ext>
          </c:extLst>
        </c:ser>
        <c:dLbls>
          <c:showLegendKey val="0"/>
          <c:showVal val="0"/>
          <c:showCatName val="0"/>
          <c:showSerName val="0"/>
          <c:showPercent val="0"/>
          <c:showBubbleSize val="0"/>
        </c:dLbls>
        <c:marker val="1"/>
        <c:smooth val="0"/>
        <c:axId val="134768512"/>
        <c:axId val="134770688"/>
      </c:lineChart>
      <c:catAx>
        <c:axId val="134768512"/>
        <c:scaling>
          <c:orientation val="minMax"/>
        </c:scaling>
        <c:delete val="0"/>
        <c:axPos val="b"/>
        <c:title>
          <c:tx>
            <c:rich>
              <a:bodyPr/>
              <a:lstStyle/>
              <a:p>
                <a:pPr>
                  <a:defRPr sz="900"/>
                </a:pPr>
                <a:r>
                  <a:rPr lang="en-AU" sz="900"/>
                  <a:t>Source: DTF</a:t>
                </a:r>
                <a:r>
                  <a:rPr lang="en-AU" sz="900" baseline="0"/>
                  <a:t> and DMPE</a:t>
                </a:r>
                <a:endParaRPr lang="en-AU" sz="900"/>
              </a:p>
            </c:rich>
          </c:tx>
          <c:layout>
            <c:manualLayout>
              <c:xMode val="edge"/>
              <c:yMode val="edge"/>
              <c:x val="0"/>
              <c:y val="0.94739981541654861"/>
            </c:manualLayout>
          </c:layout>
          <c:overlay val="0"/>
          <c:spPr>
            <a:noFill/>
          </c:spPr>
        </c:title>
        <c:numFmt formatCode="mmm\-yy" sourceLinked="1"/>
        <c:majorTickMark val="out"/>
        <c:minorTickMark val="none"/>
        <c:tickLblPos val="nextTo"/>
        <c:txPr>
          <a:bodyPr rot="-2700000"/>
          <a:lstStyle/>
          <a:p>
            <a:pPr>
              <a:defRPr/>
            </a:pPr>
            <a:endParaRPr lang="en-US"/>
          </a:p>
        </c:txPr>
        <c:crossAx val="134770688"/>
        <c:crosses val="autoZero"/>
        <c:auto val="0"/>
        <c:lblAlgn val="ctr"/>
        <c:lblOffset val="100"/>
        <c:noMultiLvlLbl val="0"/>
      </c:catAx>
      <c:valAx>
        <c:axId val="134770688"/>
        <c:scaling>
          <c:orientation val="minMax"/>
        </c:scaling>
        <c:delete val="0"/>
        <c:axPos val="l"/>
        <c:majorGridlines/>
        <c:title>
          <c:tx>
            <c:rich>
              <a:bodyPr/>
              <a:lstStyle/>
              <a:p>
                <a:pPr>
                  <a:defRPr/>
                </a:pPr>
                <a:r>
                  <a:rPr lang="en-AU"/>
                  <a:t>$ Million</a:t>
                </a:r>
              </a:p>
            </c:rich>
          </c:tx>
          <c:overlay val="0"/>
        </c:title>
        <c:numFmt formatCode="0" sourceLinked="0"/>
        <c:majorTickMark val="out"/>
        <c:minorTickMark val="none"/>
        <c:tickLblPos val="nextTo"/>
        <c:crossAx val="134768512"/>
        <c:crosses val="autoZero"/>
        <c:crossBetween val="between"/>
      </c:valAx>
      <c:valAx>
        <c:axId val="134772608"/>
        <c:scaling>
          <c:orientation val="minMax"/>
        </c:scaling>
        <c:delete val="0"/>
        <c:axPos val="r"/>
        <c:title>
          <c:tx>
            <c:rich>
              <a:bodyPr/>
              <a:lstStyle/>
              <a:p>
                <a:pPr>
                  <a:defRPr/>
                </a:pPr>
                <a:r>
                  <a:rPr lang="en-AU"/>
                  <a:t>Quantity</a:t>
                </a:r>
              </a:p>
            </c:rich>
          </c:tx>
          <c:overlay val="0"/>
        </c:title>
        <c:numFmt formatCode="0.0" sourceLinked="0"/>
        <c:majorTickMark val="out"/>
        <c:minorTickMark val="none"/>
        <c:tickLblPos val="nextTo"/>
        <c:crossAx val="134782976"/>
        <c:crosses val="max"/>
        <c:crossBetween val="between"/>
      </c:valAx>
      <c:catAx>
        <c:axId val="134782976"/>
        <c:scaling>
          <c:orientation val="minMax"/>
        </c:scaling>
        <c:delete val="1"/>
        <c:axPos val="b"/>
        <c:numFmt formatCode="mmm\-yy" sourceLinked="1"/>
        <c:majorTickMark val="out"/>
        <c:minorTickMark val="none"/>
        <c:tickLblPos val="nextTo"/>
        <c:crossAx val="134772608"/>
        <c:crosses val="autoZero"/>
        <c:auto val="0"/>
        <c:lblAlgn val="ctr"/>
        <c:lblOffset val="100"/>
        <c:noMultiLvlLbl val="1"/>
      </c:catAx>
    </c:plotArea>
    <c:legend>
      <c:legendPos val="t"/>
      <c:overlay val="0"/>
    </c:legend>
    <c:plotVisOnly val="1"/>
    <c:dispBlanksAs val="gap"/>
    <c:showDLblsOverMax val="0"/>
  </c:chart>
  <c:spPr>
    <a:ln>
      <a:solidFill>
        <a:srgbClr val="868686"/>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spPr>
            <a:ln w="50800"/>
          </c:spPr>
          <c:invertIfNegative val="0"/>
          <c:cat>
            <c:numRef>
              <c:f>'Alumina and Bauxite - Q&amp;V'!$T$13:$T$21</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'Alumina and Bauxite - Q&amp;V'!$U$13:$U$21</c:f>
              <c:numCache>
                <c:formatCode>#,##0.00</c:formatCode>
                <c:ptCount val="9"/>
                <c:pt idx="0">
                  <c:v>3.2386280699999999</c:v>
                </c:pt>
                <c:pt idx="1">
                  <c:v>3.0757063659999999</c:v>
                </c:pt>
                <c:pt idx="2">
                  <c:v>2.9517268809999999</c:v>
                </c:pt>
                <c:pt idx="3">
                  <c:v>2.5480270099999998</c:v>
                </c:pt>
                <c:pt idx="4">
                  <c:v>2.8470237369999998</c:v>
                </c:pt>
                <c:pt idx="5">
                  <c:v>2.605253705</c:v>
                </c:pt>
                <c:pt idx="6">
                  <c:v>2.8080183430000001</c:v>
                </c:pt>
                <c:pt idx="7">
                  <c:v>2.71358685</c:v>
                </c:pt>
                <c:pt idx="8">
                  <c:v>2.8717100099999997</c:v>
                </c:pt>
              </c:numCache>
            </c:numRef>
          </c:val>
          <c:extLst>
            <c:ext xmlns:c16="http://schemas.microsoft.com/office/drawing/2014/chart" uri="{C3380CC4-5D6E-409C-BE32-E72D297353CC}">
              <c16:uniqueId val="{00000000-E3E2-4E8B-9683-7BA596D5ACFE}"/>
            </c:ext>
          </c:extLst>
        </c:ser>
        <c:dLbls>
          <c:showLegendKey val="0"/>
          <c:showVal val="0"/>
          <c:showCatName val="0"/>
          <c:showSerName val="0"/>
          <c:showPercent val="0"/>
          <c:showBubbleSize val="0"/>
        </c:dLbls>
        <c:gapWidth val="40"/>
        <c:axId val="117297536"/>
        <c:axId val="117283072"/>
      </c:barChart>
      <c:lineChart>
        <c:grouping val="standard"/>
        <c:varyColors val="0"/>
        <c:ser>
          <c:idx val="1"/>
          <c:order val="1"/>
          <c:tx>
            <c:v>Value</c:v>
          </c:tx>
          <c:spPr>
            <a:ln w="28575"/>
          </c:spPr>
          <c:marker>
            <c:symbol val="none"/>
          </c:marker>
          <c:cat>
            <c:numRef>
              <c:f>'Alumina and Bauxite - Q&amp;V'!$T$13:$T$21</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'Alumina and Bauxite - Q&amp;V'!$V$13:$V$21</c:f>
              <c:numCache>
                <c:formatCode>#,##0.00</c:formatCode>
                <c:ptCount val="9"/>
                <c:pt idx="0">
                  <c:v>1663.374912</c:v>
                </c:pt>
                <c:pt idx="1">
                  <c:v>1640.6019999999999</c:v>
                </c:pt>
                <c:pt idx="2">
                  <c:v>1672.8161269999998</c:v>
                </c:pt>
                <c:pt idx="3">
                  <c:v>1696.8085859999999</c:v>
                </c:pt>
                <c:pt idx="4">
                  <c:v>2357.676301</c:v>
                </c:pt>
                <c:pt idx="5">
                  <c:v>2243.6505609999999</c:v>
                </c:pt>
                <c:pt idx="6">
                  <c:v>1913.662024</c:v>
                </c:pt>
                <c:pt idx="7">
                  <c:v>1799.3641239999999</c:v>
                </c:pt>
                <c:pt idx="8">
                  <c:v>1745.8852929999998</c:v>
                </c:pt>
              </c:numCache>
            </c:numRef>
          </c:val>
          <c:smooth val="0"/>
          <c:extLst>
            <c:ext xmlns:c16="http://schemas.microsoft.com/office/drawing/2014/chart" uri="{C3380CC4-5D6E-409C-BE32-E72D297353CC}">
              <c16:uniqueId val="{00000001-E3E2-4E8B-9683-7BA596D5ACFE}"/>
            </c:ext>
          </c:extLst>
        </c:ser>
        <c:dLbls>
          <c:showLegendKey val="0"/>
          <c:showVal val="0"/>
          <c:showCatName val="0"/>
          <c:showSerName val="0"/>
          <c:showPercent val="0"/>
          <c:showBubbleSize val="0"/>
        </c:dLbls>
        <c:marker val="1"/>
        <c:smooth val="0"/>
        <c:axId val="116906240"/>
        <c:axId val="117281152"/>
      </c:lineChart>
      <c:catAx>
        <c:axId val="116906240"/>
        <c:scaling>
          <c:orientation val="minMax"/>
        </c:scaling>
        <c:delete val="0"/>
        <c:axPos val="b"/>
        <c:title>
          <c:tx>
            <c:rich>
              <a:bodyPr/>
              <a:lstStyle/>
              <a:p>
                <a:pPr>
                  <a:defRPr/>
                </a:pPr>
                <a:r>
                  <a:rPr lang="en-AU" sz="900"/>
                  <a:t>Source: DTF and DMPE</a:t>
                </a:r>
              </a:p>
            </c:rich>
          </c:tx>
          <c:layout>
            <c:manualLayout>
              <c:xMode val="edge"/>
              <c:yMode val="edge"/>
              <c:x val="1.2497141312288814E-2"/>
              <c:y val="0.94716822365917297"/>
            </c:manualLayout>
          </c:layout>
          <c:overlay val="0"/>
          <c:spPr>
            <a:noFill/>
          </c:spPr>
        </c:title>
        <c:numFmt formatCode="mmm\-yy" sourceLinked="1"/>
        <c:majorTickMark val="out"/>
        <c:minorTickMark val="none"/>
        <c:tickLblPos val="nextTo"/>
        <c:txPr>
          <a:bodyPr rot="-2700000"/>
          <a:lstStyle/>
          <a:p>
            <a:pPr>
              <a:defRPr/>
            </a:pPr>
            <a:endParaRPr lang="en-US"/>
          </a:p>
        </c:txPr>
        <c:crossAx val="117281152"/>
        <c:crosses val="autoZero"/>
        <c:auto val="0"/>
        <c:lblAlgn val="ctr"/>
        <c:lblOffset val="100"/>
        <c:noMultiLvlLbl val="0"/>
      </c:catAx>
      <c:valAx>
        <c:axId val="117281152"/>
        <c:scaling>
          <c:orientation val="minMax"/>
          <c:max val="3000"/>
          <c:min val="0"/>
        </c:scaling>
        <c:delete val="0"/>
        <c:axPos val="l"/>
        <c:majorGridlines/>
        <c:title>
          <c:tx>
            <c:rich>
              <a:bodyPr rot="-5400000" vert="horz"/>
              <a:lstStyle/>
              <a:p>
                <a:pPr>
                  <a:defRPr/>
                </a:pPr>
                <a:r>
                  <a:rPr lang="en-AU"/>
                  <a:t>$</a:t>
                </a:r>
                <a:r>
                  <a:rPr lang="en-AU" baseline="0"/>
                  <a:t> M</a:t>
                </a:r>
                <a:r>
                  <a:rPr lang="en-AU"/>
                  <a:t>illion</a:t>
                </a:r>
              </a:p>
            </c:rich>
          </c:tx>
          <c:overlay val="0"/>
        </c:title>
        <c:numFmt formatCode="#,##0" sourceLinked="0"/>
        <c:majorTickMark val="out"/>
        <c:minorTickMark val="none"/>
        <c:tickLblPos val="nextTo"/>
        <c:crossAx val="116906240"/>
        <c:crosses val="autoZero"/>
        <c:crossBetween val="between"/>
        <c:majorUnit val="750"/>
      </c:valAx>
      <c:valAx>
        <c:axId val="117283072"/>
        <c:scaling>
          <c:orientation val="minMax"/>
          <c:min val="0"/>
        </c:scaling>
        <c:delete val="0"/>
        <c:axPos val="r"/>
        <c:title>
          <c:tx>
            <c:rich>
              <a:bodyPr rot="-5400000" vert="horz"/>
              <a:lstStyle/>
              <a:p>
                <a:pPr>
                  <a:defRPr/>
                </a:pPr>
                <a:r>
                  <a:rPr lang="en-AU"/>
                  <a:t>Million tonnes</a:t>
                </a:r>
              </a:p>
            </c:rich>
          </c:tx>
          <c:overlay val="0"/>
        </c:title>
        <c:numFmt formatCode="0.0" sourceLinked="0"/>
        <c:majorTickMark val="out"/>
        <c:minorTickMark val="none"/>
        <c:tickLblPos val="nextTo"/>
        <c:crossAx val="117297536"/>
        <c:crosses val="max"/>
        <c:crossBetween val="between"/>
        <c:majorUnit val="1"/>
      </c:valAx>
      <c:dateAx>
        <c:axId val="117297536"/>
        <c:scaling>
          <c:orientation val="minMax"/>
        </c:scaling>
        <c:delete val="1"/>
        <c:axPos val="b"/>
        <c:numFmt formatCode="mmm\-yy" sourceLinked="1"/>
        <c:majorTickMark val="out"/>
        <c:minorTickMark val="none"/>
        <c:tickLblPos val="nextTo"/>
        <c:crossAx val="117283072"/>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strRef>
          <c:f>'Other Minerals - Q&amp;V'!$O$37:$Q$37</c:f>
          <c:strCache>
            <c:ptCount val="3"/>
            <c:pt idx="0">
              <c:v>Silver Quantity and Value by Calendar Year</c:v>
            </c:pt>
          </c:strCache>
        </c:strRef>
      </c:tx>
      <c:overlay val="0"/>
    </c:title>
    <c:autoTitleDeleted val="0"/>
    <c:plotArea>
      <c:layout/>
      <c:barChart>
        <c:barDir val="col"/>
        <c:grouping val="clustered"/>
        <c:varyColors val="0"/>
        <c:ser>
          <c:idx val="0"/>
          <c:order val="0"/>
          <c:tx>
            <c:strRef>
              <c:f>'Other Minerals - Q&amp;V'!$P$38</c:f>
              <c:strCache>
                <c:ptCount val="1"/>
                <c:pt idx="0">
                  <c:v>Quantity (t)</c:v>
                </c:pt>
              </c:strCache>
            </c:strRef>
          </c:tx>
          <c:invertIfNegative val="0"/>
          <c:cat>
            <c:numRef>
              <c:f>'Other Minerals - Q&amp;V'!$O$39:$O$58</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'Other Minerals - Q&amp;V'!$P$39:$P$58</c:f>
              <c:numCache>
                <c:formatCode>#,##0.00</c:formatCode>
                <c:ptCount val="20"/>
                <c:pt idx="0">
                  <c:v>103.02000000000001</c:v>
                </c:pt>
                <c:pt idx="1">
                  <c:v>120.33</c:v>
                </c:pt>
                <c:pt idx="2">
                  <c:v>88.06</c:v>
                </c:pt>
                <c:pt idx="3">
                  <c:v>124.14</c:v>
                </c:pt>
                <c:pt idx="4">
                  <c:v>112.99000000000001</c:v>
                </c:pt>
                <c:pt idx="5">
                  <c:v>91.47</c:v>
                </c:pt>
                <c:pt idx="6">
                  <c:v>134.67000000000002</c:v>
                </c:pt>
                <c:pt idx="7">
                  <c:v>126.34974535751053</c:v>
                </c:pt>
                <c:pt idx="8">
                  <c:v>146.42199262624757</c:v>
                </c:pt>
                <c:pt idx="9">
                  <c:v>149.89510942500206</c:v>
                </c:pt>
                <c:pt idx="10">
                  <c:v>158.40792496891339</c:v>
                </c:pt>
                <c:pt idx="11">
                  <c:v>138.2463860524181</c:v>
                </c:pt>
                <c:pt idx="12">
                  <c:v>143.84184143682091</c:v>
                </c:pt>
                <c:pt idx="13">
                  <c:v>130.58794712707569</c:v>
                </c:pt>
                <c:pt idx="14">
                  <c:v>127.20884998798617</c:v>
                </c:pt>
                <c:pt idx="15">
                  <c:v>155.38476093261991</c:v>
                </c:pt>
                <c:pt idx="16">
                  <c:v>129.11325136125456</c:v>
                </c:pt>
                <c:pt idx="17">
                  <c:v>108.60699626778987</c:v>
                </c:pt>
                <c:pt idx="18">
                  <c:v>93.407407427995736</c:v>
                </c:pt>
                <c:pt idx="19">
                  <c:v>108.1440631557725</c:v>
                </c:pt>
              </c:numCache>
            </c:numRef>
          </c:val>
          <c:extLst>
            <c:ext xmlns:c16="http://schemas.microsoft.com/office/drawing/2014/chart" uri="{C3380CC4-5D6E-409C-BE32-E72D297353CC}">
              <c16:uniqueId val="{00000000-277E-4B51-B075-52DEEE975BE3}"/>
            </c:ext>
          </c:extLst>
        </c:ser>
        <c:dLbls>
          <c:showLegendKey val="0"/>
          <c:showVal val="0"/>
          <c:showCatName val="0"/>
          <c:showSerName val="0"/>
          <c:showPercent val="0"/>
          <c:showBubbleSize val="0"/>
        </c:dLbls>
        <c:gapWidth val="40"/>
        <c:axId val="134824320"/>
        <c:axId val="134809856"/>
      </c:barChart>
      <c:lineChart>
        <c:grouping val="standard"/>
        <c:varyColors val="0"/>
        <c:ser>
          <c:idx val="1"/>
          <c:order val="1"/>
          <c:tx>
            <c:strRef>
              <c:f>'Other Minerals - Q&amp;V'!$Q$38</c:f>
              <c:strCache>
                <c:ptCount val="1"/>
                <c:pt idx="0">
                  <c:v>Value ($ Million)</c:v>
                </c:pt>
              </c:strCache>
            </c:strRef>
          </c:tx>
          <c:spPr>
            <a:ln w="28575"/>
          </c:spPr>
          <c:marker>
            <c:symbol val="none"/>
          </c:marker>
          <c:cat>
            <c:numRef>
              <c:f>'Other Minerals - Q&amp;V'!$O$39:$O$58</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'Other Minerals - Q&amp;V'!$Q$39:$Q$58</c:f>
              <c:numCache>
                <c:formatCode>#,##0.00</c:formatCode>
                <c:ptCount val="20"/>
                <c:pt idx="0">
                  <c:v>49.870901419999996</c:v>
                </c:pt>
                <c:pt idx="1">
                  <c:v>63.222478219999999</c:v>
                </c:pt>
                <c:pt idx="2">
                  <c:v>51.411615130000001</c:v>
                </c:pt>
                <c:pt idx="3">
                  <c:v>74.044649460000002</c:v>
                </c:pt>
                <c:pt idx="4">
                  <c:v>80.654205189999999</c:v>
                </c:pt>
                <c:pt idx="5">
                  <c:v>96.223977849999997</c:v>
                </c:pt>
                <c:pt idx="6">
                  <c:v>120.73252181000001</c:v>
                </c:pt>
                <c:pt idx="7">
                  <c:v>88.37571299999999</c:v>
                </c:pt>
                <c:pt idx="8">
                  <c:v>94.039155999999991</c:v>
                </c:pt>
                <c:pt idx="9">
                  <c:v>96.075521999999992</c:v>
                </c:pt>
                <c:pt idx="10">
                  <c:v>111.61316399999998</c:v>
                </c:pt>
                <c:pt idx="11">
                  <c:v>92.242777999999987</c:v>
                </c:pt>
                <c:pt idx="12">
                  <c:v>94.14244298108926</c:v>
                </c:pt>
                <c:pt idx="13">
                  <c:v>96.195312999999985</c:v>
                </c:pt>
                <c:pt idx="14">
                  <c:v>123.66181400000001</c:v>
                </c:pt>
                <c:pt idx="15">
                  <c:v>161.068904</c:v>
                </c:pt>
                <c:pt idx="16">
                  <c:v>129.925375</c:v>
                </c:pt>
                <c:pt idx="17">
                  <c:v>124.351067</c:v>
                </c:pt>
                <c:pt idx="18">
                  <c:v>132.50723099999999</c:v>
                </c:pt>
                <c:pt idx="19">
                  <c:v>223.51106199999998</c:v>
                </c:pt>
              </c:numCache>
            </c:numRef>
          </c:val>
          <c:smooth val="0"/>
          <c:extLst>
            <c:ext xmlns:c16="http://schemas.microsoft.com/office/drawing/2014/chart" uri="{C3380CC4-5D6E-409C-BE32-E72D297353CC}">
              <c16:uniqueId val="{00000001-277E-4B51-B075-52DEEE975BE3}"/>
            </c:ext>
          </c:extLst>
        </c:ser>
        <c:dLbls>
          <c:showLegendKey val="0"/>
          <c:showVal val="0"/>
          <c:showCatName val="0"/>
          <c:showSerName val="0"/>
          <c:showPercent val="0"/>
          <c:showBubbleSize val="0"/>
        </c:dLbls>
        <c:marker val="1"/>
        <c:smooth val="0"/>
        <c:axId val="134805760"/>
        <c:axId val="134807936"/>
      </c:lineChart>
      <c:dateAx>
        <c:axId val="134805760"/>
        <c:scaling>
          <c:orientation val="minMax"/>
        </c:scaling>
        <c:delete val="0"/>
        <c:axPos val="b"/>
        <c:title>
          <c:tx>
            <c:rich>
              <a:bodyPr/>
              <a:lstStyle/>
              <a:p>
                <a:pPr>
                  <a:defRPr sz="900"/>
                </a:pPr>
                <a:r>
                  <a:rPr lang="en-AU" sz="900"/>
                  <a:t>Source: DTF and DMPE</a:t>
                </a:r>
              </a:p>
            </c:rich>
          </c:tx>
          <c:layout>
            <c:manualLayout>
              <c:xMode val="edge"/>
              <c:yMode val="edge"/>
              <c:x val="5.4438529483551348E-3"/>
              <c:y val="0.93794302995826906"/>
            </c:manualLayout>
          </c:layout>
          <c:overlay val="0"/>
          <c:spPr>
            <a:noFill/>
          </c:spPr>
        </c:title>
        <c:numFmt formatCode="@" sourceLinked="0"/>
        <c:majorTickMark val="out"/>
        <c:minorTickMark val="none"/>
        <c:tickLblPos val="nextTo"/>
        <c:txPr>
          <a:bodyPr rot="-2700000"/>
          <a:lstStyle/>
          <a:p>
            <a:pPr>
              <a:defRPr/>
            </a:pPr>
            <a:endParaRPr lang="en-US"/>
          </a:p>
        </c:txPr>
        <c:crossAx val="134807936"/>
        <c:crosses val="autoZero"/>
        <c:auto val="0"/>
        <c:lblOffset val="100"/>
        <c:baseTimeUnit val="days"/>
        <c:majorUnit val="1"/>
        <c:majorTimeUnit val="days"/>
      </c:dateAx>
      <c:valAx>
        <c:axId val="134807936"/>
        <c:scaling>
          <c:orientation val="minMax"/>
        </c:scaling>
        <c:delete val="0"/>
        <c:axPos val="l"/>
        <c:majorGridlines/>
        <c:title>
          <c:tx>
            <c:rich>
              <a:bodyPr/>
              <a:lstStyle/>
              <a:p>
                <a:pPr>
                  <a:defRPr/>
                </a:pPr>
                <a:r>
                  <a:rPr lang="en-AU"/>
                  <a:t>$ Million</a:t>
                </a:r>
              </a:p>
            </c:rich>
          </c:tx>
          <c:overlay val="0"/>
        </c:title>
        <c:numFmt formatCode="0" sourceLinked="0"/>
        <c:majorTickMark val="out"/>
        <c:minorTickMark val="none"/>
        <c:tickLblPos val="nextTo"/>
        <c:crossAx val="134805760"/>
        <c:crosses val="autoZero"/>
        <c:crossBetween val="between"/>
      </c:valAx>
      <c:valAx>
        <c:axId val="134809856"/>
        <c:scaling>
          <c:orientation val="minMax"/>
        </c:scaling>
        <c:delete val="0"/>
        <c:axPos val="r"/>
        <c:title>
          <c:tx>
            <c:rich>
              <a:bodyPr/>
              <a:lstStyle/>
              <a:p>
                <a:pPr>
                  <a:defRPr/>
                </a:pPr>
                <a:r>
                  <a:rPr lang="en-AU"/>
                  <a:t>Quantity</a:t>
                </a:r>
              </a:p>
            </c:rich>
          </c:tx>
          <c:overlay val="0"/>
        </c:title>
        <c:numFmt formatCode="0" sourceLinked="0"/>
        <c:majorTickMark val="out"/>
        <c:minorTickMark val="none"/>
        <c:tickLblPos val="nextTo"/>
        <c:crossAx val="134824320"/>
        <c:crosses val="max"/>
        <c:crossBetween val="between"/>
      </c:valAx>
      <c:catAx>
        <c:axId val="134824320"/>
        <c:scaling>
          <c:orientation val="minMax"/>
        </c:scaling>
        <c:delete val="1"/>
        <c:axPos val="b"/>
        <c:numFmt formatCode="General" sourceLinked="1"/>
        <c:majorTickMark val="out"/>
        <c:minorTickMark val="none"/>
        <c:tickLblPos val="nextTo"/>
        <c:crossAx val="134809856"/>
        <c:crosses val="autoZero"/>
        <c:auto val="0"/>
        <c:lblAlgn val="ctr"/>
        <c:lblOffset val="100"/>
        <c:noMultiLvlLbl val="0"/>
      </c:catAx>
    </c:plotArea>
    <c:legend>
      <c:legendPos val="t"/>
      <c:overlay val="0"/>
    </c:legend>
    <c:plotVisOnly val="1"/>
    <c:dispBlanksAs val="gap"/>
    <c:showDLblsOverMax val="0"/>
  </c:chart>
  <c:spPr>
    <a:ln>
      <a:solidFill>
        <a:srgbClr val="868686"/>
      </a:solid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sz="1800" baseline="0"/>
              <a:t>Crude Oil </a:t>
            </a:r>
          </a:p>
          <a:p>
            <a:pPr>
              <a:defRPr/>
            </a:pPr>
            <a:r>
              <a:rPr lang="en-US" sz="1100"/>
              <a:t>Annual Prices, Historic</a:t>
            </a:r>
            <a:endParaRPr lang="en-AU" sz="1100"/>
          </a:p>
        </c:rich>
      </c:tx>
      <c:layout>
        <c:manualLayout>
          <c:xMode val="edge"/>
          <c:yMode val="edge"/>
          <c:x val="0.39806902777777775"/>
          <c:y val="1.8691666666666665E-2"/>
        </c:manualLayout>
      </c:layout>
      <c:overlay val="0"/>
    </c:title>
    <c:autoTitleDeleted val="0"/>
    <c:plotArea>
      <c:layout>
        <c:manualLayout>
          <c:layoutTarget val="inner"/>
          <c:xMode val="edge"/>
          <c:yMode val="edge"/>
          <c:x val="9.040186695482913E-2"/>
          <c:y val="0.2197983918952012"/>
          <c:w val="0.8581355091007008"/>
          <c:h val="0.57086118172118794"/>
        </c:manualLayout>
      </c:layout>
      <c:lineChart>
        <c:grouping val="standard"/>
        <c:varyColors val="0"/>
        <c:ser>
          <c:idx val="0"/>
          <c:order val="0"/>
          <c:tx>
            <c:strRef>
              <c:f>'Petroleum - Oil - Prices'!$F$9</c:f>
              <c:strCache>
                <c:ptCount val="1"/>
                <c:pt idx="0">
                  <c:v>Brent Crude</c:v>
                </c:pt>
              </c:strCache>
            </c:strRef>
          </c:tx>
          <c:spPr>
            <a:ln w="28575"/>
          </c:spPr>
          <c:marker>
            <c:symbol val="none"/>
          </c:marker>
          <c:cat>
            <c:numRef>
              <c:f>'Petroleum - Oil - Prices'!$E$11:$E$53</c:f>
              <c:numCache>
                <c:formatCode>General</c:formatCode>
                <c:ptCount val="4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pt idx="42">
                  <c:v>2025</c:v>
                </c:pt>
              </c:numCache>
            </c:numRef>
          </c:cat>
          <c:val>
            <c:numRef>
              <c:f>'Petroleum - Oil - Prices'!$F$11:$F$53</c:f>
              <c:numCache>
                <c:formatCode>#,##0.00</c:formatCode>
                <c:ptCount val="43"/>
                <c:pt idx="0">
                  <c:v>30.008333333333336</c:v>
                </c:pt>
                <c:pt idx="1">
                  <c:v>28.966666666666665</c:v>
                </c:pt>
                <c:pt idx="2">
                  <c:v>27.677500000000006</c:v>
                </c:pt>
                <c:pt idx="3">
                  <c:v>15.050000000000004</c:v>
                </c:pt>
                <c:pt idx="4">
                  <c:v>18.204166666666662</c:v>
                </c:pt>
                <c:pt idx="5">
                  <c:v>14.921666666666667</c:v>
                </c:pt>
                <c:pt idx="6">
                  <c:v>18.32</c:v>
                </c:pt>
                <c:pt idx="7">
                  <c:v>23.601666666666663</c:v>
                </c:pt>
                <c:pt idx="8">
                  <c:v>20.27</c:v>
                </c:pt>
                <c:pt idx="9">
                  <c:v>19.414383829249527</c:v>
                </c:pt>
                <c:pt idx="10">
                  <c:v>16.998026110494862</c:v>
                </c:pt>
                <c:pt idx="11">
                  <c:v>15.826028083369067</c:v>
                </c:pt>
                <c:pt idx="12">
                  <c:v>17.05438198947342</c:v>
                </c:pt>
                <c:pt idx="13">
                  <c:v>20.452974563455992</c:v>
                </c:pt>
                <c:pt idx="14">
                  <c:v>19.18839520260504</c:v>
                </c:pt>
                <c:pt idx="15">
                  <c:v>12.71672321013371</c:v>
                </c:pt>
                <c:pt idx="16">
                  <c:v>17.810450577587815</c:v>
                </c:pt>
                <c:pt idx="17">
                  <c:v>28.323333333333334</c:v>
                </c:pt>
                <c:pt idx="18">
                  <c:v>23.98</c:v>
                </c:pt>
                <c:pt idx="19">
                  <c:v>24.974166666666665</c:v>
                </c:pt>
                <c:pt idx="20">
                  <c:v>28.852499999999996</c:v>
                </c:pt>
                <c:pt idx="21">
                  <c:v>39.348333333333336</c:v>
                </c:pt>
                <c:pt idx="22">
                  <c:v>54.434999999999995</c:v>
                </c:pt>
                <c:pt idx="23">
                  <c:v>65.370833333333337</c:v>
                </c:pt>
                <c:pt idx="24">
                  <c:v>72.697500000000005</c:v>
                </c:pt>
                <c:pt idx="25">
                  <c:v>97.639166666666654</c:v>
                </c:pt>
                <c:pt idx="26">
                  <c:v>61.872499999999995</c:v>
                </c:pt>
                <c:pt idx="27">
                  <c:v>79.385833333333323</c:v>
                </c:pt>
                <c:pt idx="28">
                  <c:v>110.57833333333333</c:v>
                </c:pt>
                <c:pt idx="29">
                  <c:v>111.93083333333334</c:v>
                </c:pt>
                <c:pt idx="30">
                  <c:v>108.85083333333334</c:v>
                </c:pt>
                <c:pt idx="31">
                  <c:v>98.958333333333329</c:v>
                </c:pt>
                <c:pt idx="32">
                  <c:v>52.381666666666682</c:v>
                </c:pt>
                <c:pt idx="33">
                  <c:v>44.064166666666665</c:v>
                </c:pt>
                <c:pt idx="34">
                  <c:v>54.392500000000005</c:v>
                </c:pt>
                <c:pt idx="35">
                  <c:v>71.08</c:v>
                </c:pt>
                <c:pt idx="36">
                  <c:v>64.031666666666666</c:v>
                </c:pt>
                <c:pt idx="37">
                  <c:v>42.299166666666672</c:v>
                </c:pt>
                <c:pt idx="38">
                  <c:v>70.443333333333328</c:v>
                </c:pt>
                <c:pt idx="39">
                  <c:v>99.82416666666667</c:v>
                </c:pt>
                <c:pt idx="40">
                  <c:v>82.61666666666666</c:v>
                </c:pt>
                <c:pt idx="41">
                  <c:v>80.69916666666667</c:v>
                </c:pt>
                <c:pt idx="42">
                  <c:v>69.014166666666668</c:v>
                </c:pt>
              </c:numCache>
            </c:numRef>
          </c:val>
          <c:smooth val="0"/>
          <c:extLst>
            <c:ext xmlns:c16="http://schemas.microsoft.com/office/drawing/2014/chart" uri="{C3380CC4-5D6E-409C-BE32-E72D297353CC}">
              <c16:uniqueId val="{00000000-4525-4EA0-9C7F-9C149ECCF6AB}"/>
            </c:ext>
          </c:extLst>
        </c:ser>
        <c:ser>
          <c:idx val="1"/>
          <c:order val="1"/>
          <c:tx>
            <c:strRef>
              <c:f>'Petroleum - Oil - Prices'!$G$9</c:f>
              <c:strCache>
                <c:ptCount val="1"/>
                <c:pt idx="0">
                  <c:v>Tapis Crude</c:v>
                </c:pt>
              </c:strCache>
            </c:strRef>
          </c:tx>
          <c:spPr>
            <a:ln w="28575"/>
          </c:spPr>
          <c:marker>
            <c:symbol val="none"/>
          </c:marker>
          <c:cat>
            <c:numRef>
              <c:f>'Petroleum - Oil - Prices'!$E$11:$E$53</c:f>
              <c:numCache>
                <c:formatCode>General</c:formatCode>
                <c:ptCount val="4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pt idx="42">
                  <c:v>2025</c:v>
                </c:pt>
              </c:numCache>
            </c:numRef>
          </c:cat>
          <c:val>
            <c:numRef>
              <c:f>'Petroleum - Oil - Prices'!$G$11:$G$53</c:f>
              <c:numCache>
                <c:formatCode>#,##0.00</c:formatCode>
                <c:ptCount val="43"/>
                <c:pt idx="5">
                  <c:v>15.8375</c:v>
                </c:pt>
                <c:pt idx="6">
                  <c:v>18.683333333333334</c:v>
                </c:pt>
                <c:pt idx="7">
                  <c:v>23.675000000000001</c:v>
                </c:pt>
                <c:pt idx="8">
                  <c:v>21.583333333333329</c:v>
                </c:pt>
                <c:pt idx="9">
                  <c:v>20.770549220968217</c:v>
                </c:pt>
                <c:pt idx="10">
                  <c:v>18.889847345760234</c:v>
                </c:pt>
                <c:pt idx="11">
                  <c:v>17.168807246061672</c:v>
                </c:pt>
                <c:pt idx="12">
                  <c:v>18.319675263796611</c:v>
                </c:pt>
                <c:pt idx="13">
                  <c:v>21.976414468303531</c:v>
                </c:pt>
                <c:pt idx="14">
                  <c:v>21.110842413998334</c:v>
                </c:pt>
                <c:pt idx="15">
                  <c:v>13.869728142884306</c:v>
                </c:pt>
                <c:pt idx="16">
                  <c:v>18.856916540694453</c:v>
                </c:pt>
                <c:pt idx="17">
                  <c:v>29.802499999999998</c:v>
                </c:pt>
                <c:pt idx="18">
                  <c:v>25.319166666666664</c:v>
                </c:pt>
                <c:pt idx="19">
                  <c:v>25.678333333333331</c:v>
                </c:pt>
                <c:pt idx="20">
                  <c:v>30.077499999999997</c:v>
                </c:pt>
                <c:pt idx="21">
                  <c:v>40.995000000000005</c:v>
                </c:pt>
                <c:pt idx="22">
                  <c:v>57.789166666666667</c:v>
                </c:pt>
                <c:pt idx="23">
                  <c:v>69.603333333333339</c:v>
                </c:pt>
                <c:pt idx="24">
                  <c:v>78.184999999999988</c:v>
                </c:pt>
                <c:pt idx="25">
                  <c:v>103.00583333333334</c:v>
                </c:pt>
                <c:pt idx="26">
                  <c:v>65.173333333333332</c:v>
                </c:pt>
                <c:pt idx="27">
                  <c:v>84.006666666666675</c:v>
                </c:pt>
                <c:pt idx="28">
                  <c:v>117.91666666666667</c:v>
                </c:pt>
                <c:pt idx="29">
                  <c:v>118.13499999999999</c:v>
                </c:pt>
                <c:pt idx="30">
                  <c:v>115.15666666666665</c:v>
                </c:pt>
                <c:pt idx="31">
                  <c:v>103.81749999999998</c:v>
                </c:pt>
                <c:pt idx="32">
                  <c:v>54.357500000000009</c:v>
                </c:pt>
                <c:pt idx="33">
                  <c:v>45.410833333333329</c:v>
                </c:pt>
                <c:pt idx="34">
                  <c:v>55.634166666666665</c:v>
                </c:pt>
                <c:pt idx="35">
                  <c:v>72.339999999999989</c:v>
                </c:pt>
                <c:pt idx="36">
                  <c:v>66.423333333333332</c:v>
                </c:pt>
                <c:pt idx="37">
                  <c:v>44.314166666666665</c:v>
                </c:pt>
                <c:pt idx="38">
                  <c:v>71.752499999999998</c:v>
                </c:pt>
                <c:pt idx="39">
                  <c:v>107.45166666666665</c:v>
                </c:pt>
                <c:pt idx="40">
                  <c:v>86.558333333333337</c:v>
                </c:pt>
                <c:pt idx="41">
                  <c:v>83.168333333333337</c:v>
                </c:pt>
                <c:pt idx="42">
                  <c:v>71.108333333333334</c:v>
                </c:pt>
              </c:numCache>
            </c:numRef>
          </c:val>
          <c:smooth val="0"/>
          <c:extLst>
            <c:ext xmlns:c16="http://schemas.microsoft.com/office/drawing/2014/chart" uri="{C3380CC4-5D6E-409C-BE32-E72D297353CC}">
              <c16:uniqueId val="{00000001-4525-4EA0-9C7F-9C149ECCF6AB}"/>
            </c:ext>
          </c:extLst>
        </c:ser>
        <c:dLbls>
          <c:showLegendKey val="0"/>
          <c:showVal val="0"/>
          <c:showCatName val="0"/>
          <c:showSerName val="0"/>
          <c:showPercent val="0"/>
          <c:showBubbleSize val="0"/>
        </c:dLbls>
        <c:smooth val="0"/>
        <c:axId val="130783872"/>
        <c:axId val="130790144"/>
      </c:lineChart>
      <c:catAx>
        <c:axId val="130783872"/>
        <c:scaling>
          <c:orientation val="minMax"/>
        </c:scaling>
        <c:delete val="0"/>
        <c:axPos val="b"/>
        <c:title>
          <c:tx>
            <c:rich>
              <a:bodyPr/>
              <a:lstStyle/>
              <a:p>
                <a:pPr>
                  <a:defRPr sz="900"/>
                </a:pPr>
                <a:r>
                  <a:rPr lang="en-AU" sz="900"/>
                  <a:t>Source: WA Treasury Corporation</a:t>
                </a:r>
              </a:p>
            </c:rich>
          </c:tx>
          <c:layout>
            <c:manualLayout>
              <c:xMode val="edge"/>
              <c:yMode val="edge"/>
              <c:x val="0"/>
              <c:y val="0.94793328605621074"/>
            </c:manualLayout>
          </c:layout>
          <c:overlay val="0"/>
        </c:title>
        <c:numFmt formatCode="General" sourceLinked="1"/>
        <c:majorTickMark val="out"/>
        <c:minorTickMark val="none"/>
        <c:tickLblPos val="nextTo"/>
        <c:spPr>
          <a:ln/>
        </c:spPr>
        <c:txPr>
          <a:bodyPr rot="-2700000"/>
          <a:lstStyle/>
          <a:p>
            <a:pPr>
              <a:defRPr/>
            </a:pPr>
            <a:endParaRPr lang="en-US"/>
          </a:p>
        </c:txPr>
        <c:crossAx val="130790144"/>
        <c:crosses val="autoZero"/>
        <c:auto val="0"/>
        <c:lblAlgn val="ctr"/>
        <c:lblOffset val="100"/>
        <c:tickMarkSkip val="1"/>
        <c:noMultiLvlLbl val="1"/>
      </c:catAx>
      <c:valAx>
        <c:axId val="130790144"/>
        <c:scaling>
          <c:orientation val="minMax"/>
        </c:scaling>
        <c:delete val="0"/>
        <c:axPos val="l"/>
        <c:majorGridlines/>
        <c:title>
          <c:tx>
            <c:rich>
              <a:bodyPr rot="-5400000" vert="horz"/>
              <a:lstStyle/>
              <a:p>
                <a:pPr>
                  <a:defRPr/>
                </a:pPr>
                <a:r>
                  <a:rPr lang="en-AU"/>
                  <a:t>US$</a:t>
                </a:r>
                <a:r>
                  <a:rPr lang="en-AU" baseline="0"/>
                  <a:t> per barrel</a:t>
                </a:r>
                <a:endParaRPr lang="en-AU"/>
              </a:p>
            </c:rich>
          </c:tx>
          <c:overlay val="0"/>
        </c:title>
        <c:numFmt formatCode="#,##0" sourceLinked="0"/>
        <c:majorTickMark val="out"/>
        <c:minorTickMark val="none"/>
        <c:tickLblPos val="nextTo"/>
        <c:spPr>
          <a:ln/>
        </c:spPr>
        <c:crossAx val="130783872"/>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a:t>Crude</a:t>
            </a:r>
            <a:r>
              <a:rPr lang="en-AU" sz="1800" baseline="0"/>
              <a:t> Oil</a:t>
            </a:r>
          </a:p>
          <a:p>
            <a:pPr>
              <a:defRPr/>
            </a:pPr>
            <a:r>
              <a:rPr lang="en-AU" sz="1100"/>
              <a:t>Monthly Prices, Last 5 Years</a:t>
            </a:r>
          </a:p>
        </c:rich>
      </c:tx>
      <c:overlay val="0"/>
    </c:title>
    <c:autoTitleDeleted val="0"/>
    <c:plotArea>
      <c:layout/>
      <c:lineChart>
        <c:grouping val="standard"/>
        <c:varyColors val="0"/>
        <c:ser>
          <c:idx val="0"/>
          <c:order val="0"/>
          <c:tx>
            <c:strRef>
              <c:f>'Petroleum - Oil - Prices'!$B$9</c:f>
              <c:strCache>
                <c:ptCount val="1"/>
                <c:pt idx="0">
                  <c:v>Brent Crude</c:v>
                </c:pt>
              </c:strCache>
            </c:strRef>
          </c:tx>
          <c:spPr>
            <a:ln w="28575"/>
          </c:spPr>
          <c:marker>
            <c:symbol val="none"/>
          </c:marker>
          <c:cat>
            <c:numRef>
              <c:f>'Petroleum - Oil - Prices'!$A$11:$A$71</c:f>
              <c:numCache>
                <c:formatCode>mmm\-yy</c:formatCode>
                <c:ptCount val="61"/>
                <c:pt idx="0">
                  <c:v>44166</c:v>
                </c:pt>
                <c:pt idx="1">
                  <c:v>44197</c:v>
                </c:pt>
                <c:pt idx="2">
                  <c:v>44228</c:v>
                </c:pt>
                <c:pt idx="3">
                  <c:v>44256</c:v>
                </c:pt>
                <c:pt idx="4">
                  <c:v>44287</c:v>
                </c:pt>
                <c:pt idx="5">
                  <c:v>44317</c:v>
                </c:pt>
                <c:pt idx="6">
                  <c:v>44317</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pt idx="37">
                  <c:v>45292</c:v>
                </c:pt>
                <c:pt idx="38">
                  <c:v>45323</c:v>
                </c:pt>
                <c:pt idx="39">
                  <c:v>45352</c:v>
                </c:pt>
                <c:pt idx="40">
                  <c:v>45383</c:v>
                </c:pt>
                <c:pt idx="41">
                  <c:v>45413</c:v>
                </c:pt>
                <c:pt idx="42">
                  <c:v>45444</c:v>
                </c:pt>
                <c:pt idx="43">
                  <c:v>45474</c:v>
                </c:pt>
                <c:pt idx="44">
                  <c:v>45505</c:v>
                </c:pt>
                <c:pt idx="45">
                  <c:v>45536</c:v>
                </c:pt>
                <c:pt idx="46">
                  <c:v>45566</c:v>
                </c:pt>
                <c:pt idx="47">
                  <c:v>45597</c:v>
                </c:pt>
                <c:pt idx="48">
                  <c:v>45627</c:v>
                </c:pt>
                <c:pt idx="49">
                  <c:v>45658</c:v>
                </c:pt>
                <c:pt idx="50">
                  <c:v>45689</c:v>
                </c:pt>
                <c:pt idx="51">
                  <c:v>45717</c:v>
                </c:pt>
                <c:pt idx="52">
                  <c:v>45748</c:v>
                </c:pt>
                <c:pt idx="53">
                  <c:v>45778</c:v>
                </c:pt>
                <c:pt idx="54">
                  <c:v>45809</c:v>
                </c:pt>
                <c:pt idx="55">
                  <c:v>45839</c:v>
                </c:pt>
                <c:pt idx="56">
                  <c:v>45870</c:v>
                </c:pt>
                <c:pt idx="57">
                  <c:v>45901</c:v>
                </c:pt>
                <c:pt idx="58">
                  <c:v>45931</c:v>
                </c:pt>
                <c:pt idx="59">
                  <c:v>45962</c:v>
                </c:pt>
                <c:pt idx="60">
                  <c:v>45992</c:v>
                </c:pt>
              </c:numCache>
            </c:numRef>
          </c:cat>
          <c:val>
            <c:numRef>
              <c:f>'Petroleum - Oil - Prices'!$B$11:$B$71</c:f>
              <c:numCache>
                <c:formatCode>#,##0.00</c:formatCode>
                <c:ptCount val="61"/>
                <c:pt idx="0">
                  <c:v>49.87</c:v>
                </c:pt>
                <c:pt idx="1">
                  <c:v>54.55</c:v>
                </c:pt>
                <c:pt idx="2">
                  <c:v>61.96</c:v>
                </c:pt>
                <c:pt idx="3">
                  <c:v>65.19</c:v>
                </c:pt>
                <c:pt idx="4">
                  <c:v>64.77</c:v>
                </c:pt>
                <c:pt idx="5">
                  <c:v>68.040000000000006</c:v>
                </c:pt>
                <c:pt idx="6">
                  <c:v>68.040000000000006</c:v>
                </c:pt>
                <c:pt idx="7">
                  <c:v>74.39</c:v>
                </c:pt>
                <c:pt idx="8">
                  <c:v>70.02</c:v>
                </c:pt>
                <c:pt idx="9">
                  <c:v>74.599999999999994</c:v>
                </c:pt>
                <c:pt idx="10">
                  <c:v>83.65</c:v>
                </c:pt>
                <c:pt idx="11">
                  <c:v>80.77</c:v>
                </c:pt>
                <c:pt idx="12">
                  <c:v>74.31</c:v>
                </c:pt>
                <c:pt idx="13">
                  <c:v>85.53</c:v>
                </c:pt>
                <c:pt idx="14">
                  <c:v>95.76</c:v>
                </c:pt>
                <c:pt idx="15">
                  <c:v>115.59</c:v>
                </c:pt>
                <c:pt idx="16">
                  <c:v>105.78</c:v>
                </c:pt>
                <c:pt idx="17">
                  <c:v>112.37</c:v>
                </c:pt>
                <c:pt idx="18">
                  <c:v>120.08</c:v>
                </c:pt>
                <c:pt idx="19">
                  <c:v>108.92</c:v>
                </c:pt>
                <c:pt idx="20">
                  <c:v>98.6</c:v>
                </c:pt>
                <c:pt idx="21">
                  <c:v>90.16</c:v>
                </c:pt>
                <c:pt idx="22">
                  <c:v>93.13</c:v>
                </c:pt>
                <c:pt idx="23">
                  <c:v>91.07</c:v>
                </c:pt>
                <c:pt idx="24">
                  <c:v>80.900000000000006</c:v>
                </c:pt>
                <c:pt idx="25">
                  <c:v>83.09</c:v>
                </c:pt>
                <c:pt idx="26">
                  <c:v>82.72</c:v>
                </c:pt>
                <c:pt idx="27">
                  <c:v>78.53</c:v>
                </c:pt>
                <c:pt idx="28">
                  <c:v>84.11</c:v>
                </c:pt>
                <c:pt idx="29">
                  <c:v>75.7</c:v>
                </c:pt>
                <c:pt idx="30">
                  <c:v>74.89</c:v>
                </c:pt>
                <c:pt idx="31">
                  <c:v>80.099999999999994</c:v>
                </c:pt>
                <c:pt idx="32">
                  <c:v>86.16</c:v>
                </c:pt>
                <c:pt idx="33">
                  <c:v>94</c:v>
                </c:pt>
                <c:pt idx="34">
                  <c:v>91.06</c:v>
                </c:pt>
                <c:pt idx="35">
                  <c:v>83.18</c:v>
                </c:pt>
                <c:pt idx="36">
                  <c:v>77.86</c:v>
                </c:pt>
                <c:pt idx="37">
                  <c:v>80.23</c:v>
                </c:pt>
                <c:pt idx="38">
                  <c:v>83.76</c:v>
                </c:pt>
                <c:pt idx="39">
                  <c:v>85.45</c:v>
                </c:pt>
                <c:pt idx="40">
                  <c:v>90.05</c:v>
                </c:pt>
                <c:pt idx="41">
                  <c:v>82</c:v>
                </c:pt>
                <c:pt idx="42">
                  <c:v>82.56</c:v>
                </c:pt>
                <c:pt idx="43">
                  <c:v>85.3</c:v>
                </c:pt>
                <c:pt idx="44">
                  <c:v>80.86</c:v>
                </c:pt>
                <c:pt idx="45">
                  <c:v>74.290000000000006</c:v>
                </c:pt>
                <c:pt idx="46">
                  <c:v>75.66</c:v>
                </c:pt>
                <c:pt idx="47">
                  <c:v>74.400000000000006</c:v>
                </c:pt>
                <c:pt idx="48">
                  <c:v>73.83</c:v>
                </c:pt>
                <c:pt idx="49">
                  <c:v>79.209999999999994</c:v>
                </c:pt>
                <c:pt idx="50">
                  <c:v>75.16</c:v>
                </c:pt>
                <c:pt idx="51">
                  <c:v>72.569999999999993</c:v>
                </c:pt>
                <c:pt idx="52">
                  <c:v>67.75</c:v>
                </c:pt>
                <c:pt idx="53">
                  <c:v>64.209999999999994</c:v>
                </c:pt>
                <c:pt idx="54">
                  <c:v>71.45</c:v>
                </c:pt>
                <c:pt idx="55">
                  <c:v>70.739999999999995</c:v>
                </c:pt>
                <c:pt idx="56">
                  <c:v>68.2</c:v>
                </c:pt>
                <c:pt idx="57">
                  <c:v>67.95</c:v>
                </c:pt>
                <c:pt idx="58">
                  <c:v>64.599999999999994</c:v>
                </c:pt>
                <c:pt idx="59">
                  <c:v>63.61</c:v>
                </c:pt>
                <c:pt idx="60">
                  <c:v>62.72</c:v>
                </c:pt>
              </c:numCache>
            </c:numRef>
          </c:val>
          <c:smooth val="0"/>
          <c:extLst>
            <c:ext xmlns:c16="http://schemas.microsoft.com/office/drawing/2014/chart" uri="{C3380CC4-5D6E-409C-BE32-E72D297353CC}">
              <c16:uniqueId val="{00000000-05F3-4D69-AEA5-A512B7C9F152}"/>
            </c:ext>
          </c:extLst>
        </c:ser>
        <c:ser>
          <c:idx val="1"/>
          <c:order val="1"/>
          <c:tx>
            <c:strRef>
              <c:f>'Petroleum - Oil - Prices'!$C$9</c:f>
              <c:strCache>
                <c:ptCount val="1"/>
                <c:pt idx="0">
                  <c:v>Tapis Crude</c:v>
                </c:pt>
              </c:strCache>
            </c:strRef>
          </c:tx>
          <c:spPr>
            <a:ln w="28575"/>
          </c:spPr>
          <c:marker>
            <c:symbol val="none"/>
          </c:marker>
          <c:cat>
            <c:numRef>
              <c:f>'Petroleum - Oil - Prices'!$A$11:$A$71</c:f>
              <c:numCache>
                <c:formatCode>mmm\-yy</c:formatCode>
                <c:ptCount val="61"/>
                <c:pt idx="0">
                  <c:v>44166</c:v>
                </c:pt>
                <c:pt idx="1">
                  <c:v>44197</c:v>
                </c:pt>
                <c:pt idx="2">
                  <c:v>44228</c:v>
                </c:pt>
                <c:pt idx="3">
                  <c:v>44256</c:v>
                </c:pt>
                <c:pt idx="4">
                  <c:v>44287</c:v>
                </c:pt>
                <c:pt idx="5">
                  <c:v>44317</c:v>
                </c:pt>
                <c:pt idx="6">
                  <c:v>44317</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pt idx="37">
                  <c:v>45292</c:v>
                </c:pt>
                <c:pt idx="38">
                  <c:v>45323</c:v>
                </c:pt>
                <c:pt idx="39">
                  <c:v>45352</c:v>
                </c:pt>
                <c:pt idx="40">
                  <c:v>45383</c:v>
                </c:pt>
                <c:pt idx="41">
                  <c:v>45413</c:v>
                </c:pt>
                <c:pt idx="42">
                  <c:v>45444</c:v>
                </c:pt>
                <c:pt idx="43">
                  <c:v>45474</c:v>
                </c:pt>
                <c:pt idx="44">
                  <c:v>45505</c:v>
                </c:pt>
                <c:pt idx="45">
                  <c:v>45536</c:v>
                </c:pt>
                <c:pt idx="46">
                  <c:v>45566</c:v>
                </c:pt>
                <c:pt idx="47">
                  <c:v>45597</c:v>
                </c:pt>
                <c:pt idx="48">
                  <c:v>45627</c:v>
                </c:pt>
                <c:pt idx="49">
                  <c:v>45658</c:v>
                </c:pt>
                <c:pt idx="50">
                  <c:v>45689</c:v>
                </c:pt>
                <c:pt idx="51">
                  <c:v>45717</c:v>
                </c:pt>
                <c:pt idx="52">
                  <c:v>45748</c:v>
                </c:pt>
                <c:pt idx="53">
                  <c:v>45778</c:v>
                </c:pt>
                <c:pt idx="54">
                  <c:v>45809</c:v>
                </c:pt>
                <c:pt idx="55">
                  <c:v>45839</c:v>
                </c:pt>
                <c:pt idx="56">
                  <c:v>45870</c:v>
                </c:pt>
                <c:pt idx="57">
                  <c:v>45901</c:v>
                </c:pt>
                <c:pt idx="58">
                  <c:v>45931</c:v>
                </c:pt>
                <c:pt idx="59">
                  <c:v>45962</c:v>
                </c:pt>
                <c:pt idx="60">
                  <c:v>45992</c:v>
                </c:pt>
              </c:numCache>
            </c:numRef>
          </c:cat>
          <c:val>
            <c:numRef>
              <c:f>'Petroleum - Oil - Prices'!$C$11:$C$71</c:f>
              <c:numCache>
                <c:formatCode>#,##0.00</c:formatCode>
                <c:ptCount val="61"/>
                <c:pt idx="0">
                  <c:v>49.55</c:v>
                </c:pt>
                <c:pt idx="1">
                  <c:v>55.49</c:v>
                </c:pt>
                <c:pt idx="2">
                  <c:v>63.02</c:v>
                </c:pt>
                <c:pt idx="3">
                  <c:v>66.459999999999994</c:v>
                </c:pt>
                <c:pt idx="4">
                  <c:v>64.650000000000006</c:v>
                </c:pt>
                <c:pt idx="5">
                  <c:v>68.94</c:v>
                </c:pt>
                <c:pt idx="6">
                  <c:v>68.94</c:v>
                </c:pt>
                <c:pt idx="7">
                  <c:v>75.459999999999994</c:v>
                </c:pt>
                <c:pt idx="8">
                  <c:v>70.959999999999994</c:v>
                </c:pt>
                <c:pt idx="9">
                  <c:v>76.290000000000006</c:v>
                </c:pt>
                <c:pt idx="10">
                  <c:v>85.17</c:v>
                </c:pt>
                <c:pt idx="11">
                  <c:v>83.59</c:v>
                </c:pt>
                <c:pt idx="12">
                  <c:v>77.239999999999995</c:v>
                </c:pt>
                <c:pt idx="13">
                  <c:v>89.75</c:v>
                </c:pt>
                <c:pt idx="14">
                  <c:v>99.98</c:v>
                </c:pt>
                <c:pt idx="15">
                  <c:v>121.43</c:v>
                </c:pt>
                <c:pt idx="16">
                  <c:v>111.16</c:v>
                </c:pt>
                <c:pt idx="17">
                  <c:v>118.62</c:v>
                </c:pt>
                <c:pt idx="18">
                  <c:v>126.18</c:v>
                </c:pt>
                <c:pt idx="19">
                  <c:v>114.82</c:v>
                </c:pt>
                <c:pt idx="20">
                  <c:v>112.4</c:v>
                </c:pt>
                <c:pt idx="21">
                  <c:v>103.14</c:v>
                </c:pt>
                <c:pt idx="22">
                  <c:v>105.45</c:v>
                </c:pt>
                <c:pt idx="23">
                  <c:v>98.38</c:v>
                </c:pt>
                <c:pt idx="24">
                  <c:v>88.11</c:v>
                </c:pt>
                <c:pt idx="25">
                  <c:v>88.05</c:v>
                </c:pt>
                <c:pt idx="26">
                  <c:v>86.63</c:v>
                </c:pt>
                <c:pt idx="27">
                  <c:v>82.73</c:v>
                </c:pt>
                <c:pt idx="28">
                  <c:v>86.05</c:v>
                </c:pt>
                <c:pt idx="29">
                  <c:v>79.62</c:v>
                </c:pt>
                <c:pt idx="30">
                  <c:v>77.22</c:v>
                </c:pt>
                <c:pt idx="31">
                  <c:v>83.03</c:v>
                </c:pt>
                <c:pt idx="32">
                  <c:v>89.84</c:v>
                </c:pt>
                <c:pt idx="33">
                  <c:v>98.4</c:v>
                </c:pt>
                <c:pt idx="34">
                  <c:v>95.93</c:v>
                </c:pt>
                <c:pt idx="35">
                  <c:v>87.89</c:v>
                </c:pt>
                <c:pt idx="36">
                  <c:v>83.31</c:v>
                </c:pt>
                <c:pt idx="37">
                  <c:v>83.66</c:v>
                </c:pt>
                <c:pt idx="38">
                  <c:v>85.83</c:v>
                </c:pt>
                <c:pt idx="39">
                  <c:v>89.4</c:v>
                </c:pt>
                <c:pt idx="40">
                  <c:v>95.15</c:v>
                </c:pt>
                <c:pt idx="41">
                  <c:v>86.6</c:v>
                </c:pt>
                <c:pt idx="42">
                  <c:v>84.49</c:v>
                </c:pt>
                <c:pt idx="43">
                  <c:v>84.97</c:v>
                </c:pt>
                <c:pt idx="44">
                  <c:v>80.959999999999994</c:v>
                </c:pt>
                <c:pt idx="45">
                  <c:v>76.77</c:v>
                </c:pt>
                <c:pt idx="46">
                  <c:v>78.25</c:v>
                </c:pt>
                <c:pt idx="47">
                  <c:v>75.739999999999995</c:v>
                </c:pt>
                <c:pt idx="48">
                  <c:v>76.2</c:v>
                </c:pt>
                <c:pt idx="49">
                  <c:v>81.84</c:v>
                </c:pt>
                <c:pt idx="50">
                  <c:v>78.09</c:v>
                </c:pt>
                <c:pt idx="51">
                  <c:v>73.790000000000006</c:v>
                </c:pt>
                <c:pt idx="52">
                  <c:v>69.09</c:v>
                </c:pt>
                <c:pt idx="53">
                  <c:v>66.19</c:v>
                </c:pt>
                <c:pt idx="54">
                  <c:v>72.81</c:v>
                </c:pt>
                <c:pt idx="55">
                  <c:v>72.38</c:v>
                </c:pt>
                <c:pt idx="56">
                  <c:v>70.58</c:v>
                </c:pt>
                <c:pt idx="57">
                  <c:v>69.86</c:v>
                </c:pt>
                <c:pt idx="58">
                  <c:v>66.63</c:v>
                </c:pt>
                <c:pt idx="59">
                  <c:v>66.94</c:v>
                </c:pt>
                <c:pt idx="60">
                  <c:v>65.099999999999994</c:v>
                </c:pt>
              </c:numCache>
            </c:numRef>
          </c:val>
          <c:smooth val="0"/>
          <c:extLst>
            <c:ext xmlns:c16="http://schemas.microsoft.com/office/drawing/2014/chart" uri="{C3380CC4-5D6E-409C-BE32-E72D297353CC}">
              <c16:uniqueId val="{00000001-05F3-4D69-AEA5-A512B7C9F152}"/>
            </c:ext>
          </c:extLst>
        </c:ser>
        <c:dLbls>
          <c:showLegendKey val="0"/>
          <c:showVal val="0"/>
          <c:showCatName val="0"/>
          <c:showSerName val="0"/>
          <c:showPercent val="0"/>
          <c:showBubbleSize val="0"/>
        </c:dLbls>
        <c:smooth val="0"/>
        <c:axId val="134163072"/>
        <c:axId val="134161536"/>
      </c:lineChart>
      <c:valAx>
        <c:axId val="134161536"/>
        <c:scaling>
          <c:orientation val="minMax"/>
        </c:scaling>
        <c:delete val="0"/>
        <c:axPos val="l"/>
        <c:majorGridlines/>
        <c:title>
          <c:tx>
            <c:rich>
              <a:bodyPr/>
              <a:lstStyle/>
              <a:p>
                <a:pPr>
                  <a:defRPr/>
                </a:pPr>
                <a:r>
                  <a:rPr lang="en-AU"/>
                  <a:t>US$</a:t>
                </a:r>
                <a:r>
                  <a:rPr lang="en-AU" baseline="0"/>
                  <a:t> per barrel</a:t>
                </a:r>
                <a:endParaRPr lang="en-AU"/>
              </a:p>
            </c:rich>
          </c:tx>
          <c:layout>
            <c:manualLayout>
              <c:xMode val="edge"/>
              <c:yMode val="edge"/>
              <c:x val="1.4328358882517753E-2"/>
              <c:y val="0.41856591959752248"/>
            </c:manualLayout>
          </c:layout>
          <c:overlay val="0"/>
        </c:title>
        <c:numFmt formatCode="#,##0" sourceLinked="0"/>
        <c:majorTickMark val="out"/>
        <c:minorTickMark val="none"/>
        <c:tickLblPos val="nextTo"/>
        <c:crossAx val="134163072"/>
        <c:crosses val="autoZero"/>
        <c:crossBetween val="midCat"/>
      </c:valAx>
      <c:dateAx>
        <c:axId val="134163072"/>
        <c:scaling>
          <c:orientation val="minMax"/>
        </c:scaling>
        <c:delete val="0"/>
        <c:axPos val="b"/>
        <c:title>
          <c:tx>
            <c:rich>
              <a:bodyPr/>
              <a:lstStyle/>
              <a:p>
                <a:pPr>
                  <a:defRPr sz="900"/>
                </a:pPr>
                <a:r>
                  <a:rPr lang="en-AU" sz="900"/>
                  <a:t>Source:  WA Treasury Corporation</a:t>
                </a:r>
              </a:p>
            </c:rich>
          </c:tx>
          <c:layout>
            <c:manualLayout>
              <c:xMode val="edge"/>
              <c:yMode val="edge"/>
              <c:x val="0"/>
              <c:y val="0.95537373296375794"/>
            </c:manualLayout>
          </c:layout>
          <c:overlay val="0"/>
        </c:title>
        <c:numFmt formatCode="mmm\-yy" sourceLinked="1"/>
        <c:majorTickMark val="out"/>
        <c:minorTickMark val="none"/>
        <c:tickLblPos val="nextTo"/>
        <c:txPr>
          <a:bodyPr rot="-2700000"/>
          <a:lstStyle/>
          <a:p>
            <a:pPr>
              <a:defRPr/>
            </a:pPr>
            <a:endParaRPr lang="en-US"/>
          </a:p>
        </c:txPr>
        <c:crossAx val="134161536"/>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sz="1800"/>
              <a:t>LNG</a:t>
            </a:r>
          </a:p>
          <a:p>
            <a:pPr>
              <a:defRPr/>
            </a:pPr>
            <a:r>
              <a:rPr lang="en-US" sz="1100"/>
              <a:t>Annual Prices, Historic</a:t>
            </a:r>
            <a:endParaRPr lang="en-AU" sz="1100"/>
          </a:p>
        </c:rich>
      </c:tx>
      <c:overlay val="0"/>
    </c:title>
    <c:autoTitleDeleted val="0"/>
    <c:plotArea>
      <c:layout>
        <c:manualLayout>
          <c:layoutTarget val="inner"/>
          <c:xMode val="edge"/>
          <c:yMode val="edge"/>
          <c:x val="9.4371863517060381E-2"/>
          <c:y val="0.22958823533510678"/>
          <c:w val="0.81695311329129239"/>
          <c:h val="0.56995274892638115"/>
        </c:manualLayout>
      </c:layout>
      <c:lineChart>
        <c:grouping val="standard"/>
        <c:varyColors val="0"/>
        <c:ser>
          <c:idx val="0"/>
          <c:order val="0"/>
          <c:tx>
            <c:v>US$</c:v>
          </c:tx>
          <c:spPr>
            <a:ln w="28575"/>
          </c:spPr>
          <c:marker>
            <c:symbol val="none"/>
          </c:marker>
          <c:cat>
            <c:numRef>
              <c:f>'Petroleum - LNG - Prices'!$E$11:$E$19</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'Petroleum - LNG - Prices'!$F$11:$F$19</c:f>
              <c:numCache>
                <c:formatCode>#,##0.00</c:formatCode>
                <c:ptCount val="9"/>
                <c:pt idx="0">
                  <c:v>6.6710352398404451</c:v>
                </c:pt>
                <c:pt idx="1">
                  <c:v>8.9423851091638245</c:v>
                </c:pt>
                <c:pt idx="2">
                  <c:v>8.4728673074040159</c:v>
                </c:pt>
                <c:pt idx="3">
                  <c:v>6.1036430712650187</c:v>
                </c:pt>
                <c:pt idx="4">
                  <c:v>8.7439781104230629</c:v>
                </c:pt>
                <c:pt idx="5">
                  <c:v>14.786892727440922</c:v>
                </c:pt>
                <c:pt idx="6">
                  <c:v>11.854304068214793</c:v>
                </c:pt>
                <c:pt idx="7">
                  <c:v>10.585920538428164</c:v>
                </c:pt>
                <c:pt idx="8">
                  <c:v>9.6203084762472741</c:v>
                </c:pt>
              </c:numCache>
            </c:numRef>
          </c:val>
          <c:smooth val="0"/>
          <c:extLst>
            <c:ext xmlns:c16="http://schemas.microsoft.com/office/drawing/2014/chart" uri="{C3380CC4-5D6E-409C-BE32-E72D297353CC}">
              <c16:uniqueId val="{00000000-5D7B-44FC-ACED-0B410C93FA4F}"/>
            </c:ext>
          </c:extLst>
        </c:ser>
        <c:ser>
          <c:idx val="1"/>
          <c:order val="1"/>
          <c:tx>
            <c:v>A$</c:v>
          </c:tx>
          <c:spPr>
            <a:ln w="28575"/>
          </c:spPr>
          <c:marker>
            <c:symbol val="none"/>
          </c:marker>
          <c:cat>
            <c:numRef>
              <c:f>'Petroleum - LNG - Prices'!$E$11:$E$19</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'Petroleum - LNG - Prices'!$G$11:$G$19</c:f>
              <c:numCache>
                <c:formatCode>#,##0.00</c:formatCode>
                <c:ptCount val="9"/>
                <c:pt idx="0">
                  <c:v>8.7051037932943931</c:v>
                </c:pt>
                <c:pt idx="1">
                  <c:v>12.00070072082684</c:v>
                </c:pt>
                <c:pt idx="2">
                  <c:v>12.175813641412661</c:v>
                </c:pt>
                <c:pt idx="3">
                  <c:v>8.9582728666300753</c:v>
                </c:pt>
                <c:pt idx="4">
                  <c:v>11.722067627866762</c:v>
                </c:pt>
                <c:pt idx="5">
                  <c:v>21.416163746219258</c:v>
                </c:pt>
                <c:pt idx="6">
                  <c:v>17.794176729227033</c:v>
                </c:pt>
                <c:pt idx="7">
                  <c:v>16.043244458457909</c:v>
                </c:pt>
                <c:pt idx="8">
                  <c:v>14.937767889269509</c:v>
                </c:pt>
              </c:numCache>
            </c:numRef>
          </c:val>
          <c:smooth val="0"/>
          <c:extLst>
            <c:ext xmlns:c16="http://schemas.microsoft.com/office/drawing/2014/chart" uri="{C3380CC4-5D6E-409C-BE32-E72D297353CC}">
              <c16:uniqueId val="{00000001-5D7B-44FC-ACED-0B410C93FA4F}"/>
            </c:ext>
          </c:extLst>
        </c:ser>
        <c:dLbls>
          <c:showLegendKey val="0"/>
          <c:showVal val="0"/>
          <c:showCatName val="0"/>
          <c:showSerName val="0"/>
          <c:showPercent val="0"/>
          <c:showBubbleSize val="0"/>
        </c:dLbls>
        <c:smooth val="0"/>
        <c:axId val="130783872"/>
        <c:axId val="130790144"/>
      </c:lineChart>
      <c:catAx>
        <c:axId val="130783872"/>
        <c:scaling>
          <c:orientation val="minMax"/>
        </c:scaling>
        <c:delete val="0"/>
        <c:axPos val="b"/>
        <c:title>
          <c:tx>
            <c:rich>
              <a:bodyPr/>
              <a:lstStyle/>
              <a:p>
                <a:pPr>
                  <a:defRPr sz="900"/>
                </a:pPr>
                <a:r>
                  <a:rPr lang="en-AU" sz="900"/>
                  <a:t>Source: ABS</a:t>
                </a:r>
              </a:p>
            </c:rich>
          </c:tx>
          <c:layout>
            <c:manualLayout>
              <c:xMode val="edge"/>
              <c:yMode val="edge"/>
              <c:x val="0"/>
              <c:y val="0.95083348956719371"/>
            </c:manualLayout>
          </c:layout>
          <c:overlay val="0"/>
        </c:title>
        <c:numFmt formatCode="General" sourceLinked="1"/>
        <c:majorTickMark val="out"/>
        <c:minorTickMark val="none"/>
        <c:tickLblPos val="nextTo"/>
        <c:spPr>
          <a:ln/>
        </c:spPr>
        <c:txPr>
          <a:bodyPr rot="-2700000"/>
          <a:lstStyle/>
          <a:p>
            <a:pPr>
              <a:defRPr/>
            </a:pPr>
            <a:endParaRPr lang="en-US"/>
          </a:p>
        </c:txPr>
        <c:crossAx val="130790144"/>
        <c:crossesAt val="0"/>
        <c:auto val="1"/>
        <c:lblAlgn val="ctr"/>
        <c:lblOffset val="100"/>
        <c:tickMarkSkip val="1"/>
        <c:noMultiLvlLbl val="1"/>
      </c:catAx>
      <c:valAx>
        <c:axId val="130790144"/>
        <c:scaling>
          <c:orientation val="minMax"/>
          <c:max val="30"/>
        </c:scaling>
        <c:delete val="0"/>
        <c:axPos val="l"/>
        <c:majorGridlines/>
        <c:title>
          <c:tx>
            <c:rich>
              <a:bodyPr rot="-5400000" vert="horz"/>
              <a:lstStyle/>
              <a:p>
                <a:pPr>
                  <a:defRPr/>
                </a:pPr>
                <a:r>
                  <a:rPr lang="en-AU"/>
                  <a:t>$</a:t>
                </a:r>
                <a:r>
                  <a:rPr lang="en-AU" baseline="0"/>
                  <a:t> per M</a:t>
                </a:r>
                <a:r>
                  <a:rPr lang="en-AU"/>
                  <a:t>mbtu</a:t>
                </a:r>
              </a:p>
            </c:rich>
          </c:tx>
          <c:layout>
            <c:manualLayout>
              <c:xMode val="edge"/>
              <c:yMode val="edge"/>
              <c:x val="2.4186357162735112E-2"/>
              <c:y val="0.42652529602901929"/>
            </c:manualLayout>
          </c:layout>
          <c:overlay val="0"/>
        </c:title>
        <c:numFmt formatCode="#,##0" sourceLinked="0"/>
        <c:majorTickMark val="out"/>
        <c:minorTickMark val="none"/>
        <c:tickLblPos val="nextTo"/>
        <c:spPr>
          <a:ln>
            <a:solidFill>
              <a:srgbClr val="868686"/>
            </a:solidFill>
          </a:ln>
        </c:spPr>
        <c:crossAx val="130783872"/>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a:t>
            </a:r>
          </a:p>
          <a:p>
            <a:pPr>
              <a:defRPr/>
            </a:pPr>
            <a:r>
              <a:rPr lang="en-AU" sz="1100"/>
              <a:t>Monthly Prices, Last 5 Years</a:t>
            </a:r>
          </a:p>
        </c:rich>
      </c:tx>
      <c:overlay val="0"/>
    </c:title>
    <c:autoTitleDeleted val="0"/>
    <c:plotArea>
      <c:layout/>
      <c:lineChart>
        <c:grouping val="standard"/>
        <c:varyColors val="0"/>
        <c:ser>
          <c:idx val="0"/>
          <c:order val="0"/>
          <c:tx>
            <c:v>US$</c:v>
          </c:tx>
          <c:spPr>
            <a:ln w="28575"/>
          </c:spPr>
          <c:marker>
            <c:symbol val="none"/>
          </c:marker>
          <c:cat>
            <c:numRef>
              <c:f>'Petroleum - LNG - Prices'!$A$11:$A$71</c:f>
              <c:numCache>
                <c:formatCode>mmm\-yy</c:formatCode>
                <c:ptCount val="61"/>
                <c:pt idx="0">
                  <c:v>44166</c:v>
                </c:pt>
                <c:pt idx="1">
                  <c:v>44197</c:v>
                </c:pt>
                <c:pt idx="2">
                  <c:v>44228</c:v>
                </c:pt>
                <c:pt idx="3">
                  <c:v>44256</c:v>
                </c:pt>
                <c:pt idx="4">
                  <c:v>44287</c:v>
                </c:pt>
                <c:pt idx="5">
                  <c:v>44317</c:v>
                </c:pt>
                <c:pt idx="6">
                  <c:v>44317</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pt idx="37">
                  <c:v>45292</c:v>
                </c:pt>
                <c:pt idx="38">
                  <c:v>45323</c:v>
                </c:pt>
                <c:pt idx="39">
                  <c:v>45352</c:v>
                </c:pt>
                <c:pt idx="40">
                  <c:v>45383</c:v>
                </c:pt>
                <c:pt idx="41">
                  <c:v>45413</c:v>
                </c:pt>
                <c:pt idx="42">
                  <c:v>45444</c:v>
                </c:pt>
                <c:pt idx="43">
                  <c:v>45474</c:v>
                </c:pt>
                <c:pt idx="44">
                  <c:v>45505</c:v>
                </c:pt>
                <c:pt idx="45">
                  <c:v>45536</c:v>
                </c:pt>
                <c:pt idx="46">
                  <c:v>45566</c:v>
                </c:pt>
                <c:pt idx="47">
                  <c:v>45597</c:v>
                </c:pt>
                <c:pt idx="48">
                  <c:v>45627</c:v>
                </c:pt>
                <c:pt idx="49">
                  <c:v>45658</c:v>
                </c:pt>
                <c:pt idx="50">
                  <c:v>45689</c:v>
                </c:pt>
                <c:pt idx="51">
                  <c:v>45717</c:v>
                </c:pt>
                <c:pt idx="52">
                  <c:v>45748</c:v>
                </c:pt>
                <c:pt idx="53">
                  <c:v>45778</c:v>
                </c:pt>
                <c:pt idx="54">
                  <c:v>45809</c:v>
                </c:pt>
                <c:pt idx="55">
                  <c:v>45839</c:v>
                </c:pt>
                <c:pt idx="56">
                  <c:v>45870</c:v>
                </c:pt>
                <c:pt idx="57">
                  <c:v>45901</c:v>
                </c:pt>
                <c:pt idx="58">
                  <c:v>45931</c:v>
                </c:pt>
                <c:pt idx="59">
                  <c:v>45962</c:v>
                </c:pt>
                <c:pt idx="60">
                  <c:v>45992</c:v>
                </c:pt>
              </c:numCache>
            </c:numRef>
          </c:cat>
          <c:val>
            <c:numRef>
              <c:f>'Petroleum - LNG - Prices'!$B$11:$B$71</c:f>
              <c:numCache>
                <c:formatCode>#,##0.00</c:formatCode>
                <c:ptCount val="61"/>
                <c:pt idx="0">
                  <c:v>5.7666067633133808</c:v>
                </c:pt>
                <c:pt idx="1">
                  <c:v>6.3589640738110358</c:v>
                </c:pt>
                <c:pt idx="2">
                  <c:v>6.3349208445330447</c:v>
                </c:pt>
                <c:pt idx="3">
                  <c:v>6.0511350846434482</c:v>
                </c:pt>
                <c:pt idx="4">
                  <c:v>6.4718349055047524</c:v>
                </c:pt>
                <c:pt idx="5">
                  <c:v>6.8173623456454919</c:v>
                </c:pt>
                <c:pt idx="6">
                  <c:v>6.8173623456454919</c:v>
                </c:pt>
                <c:pt idx="7">
                  <c:v>8.8219028970097142</c:v>
                </c:pt>
                <c:pt idx="8">
                  <c:v>9.3371696268255722</c:v>
                </c:pt>
                <c:pt idx="9">
                  <c:v>10.253990117520583</c:v>
                </c:pt>
                <c:pt idx="10">
                  <c:v>11.418899064697863</c:v>
                </c:pt>
                <c:pt idx="11">
                  <c:v>12.818625212223122</c:v>
                </c:pt>
                <c:pt idx="12">
                  <c:v>12.421455019498751</c:v>
                </c:pt>
                <c:pt idx="13">
                  <c:v>12.805328196950629</c:v>
                </c:pt>
                <c:pt idx="14">
                  <c:v>12.337731353979118</c:v>
                </c:pt>
                <c:pt idx="15">
                  <c:v>12.888328608494382</c:v>
                </c:pt>
                <c:pt idx="16">
                  <c:v>13.80613581202075</c:v>
                </c:pt>
                <c:pt idx="17">
                  <c:v>12.854020542703786</c:v>
                </c:pt>
                <c:pt idx="18">
                  <c:v>13.182748873130544</c:v>
                </c:pt>
                <c:pt idx="19">
                  <c:v>15.253926414988785</c:v>
                </c:pt>
                <c:pt idx="20">
                  <c:v>16.719651337147202</c:v>
                </c:pt>
                <c:pt idx="21">
                  <c:v>18.880296803952341</c:v>
                </c:pt>
                <c:pt idx="22">
                  <c:v>17.409252017929251</c:v>
                </c:pt>
                <c:pt idx="23">
                  <c:v>15.39536833135919</c:v>
                </c:pt>
                <c:pt idx="24">
                  <c:v>15.909924436635091</c:v>
                </c:pt>
                <c:pt idx="25">
                  <c:v>16.269229450429968</c:v>
                </c:pt>
                <c:pt idx="26">
                  <c:v>14.293998024101132</c:v>
                </c:pt>
                <c:pt idx="27">
                  <c:v>12.852979986537187</c:v>
                </c:pt>
                <c:pt idx="28">
                  <c:v>11.585918207688394</c:v>
                </c:pt>
                <c:pt idx="29">
                  <c:v>11.16550881990536</c:v>
                </c:pt>
                <c:pt idx="30">
                  <c:v>10.482997896251357</c:v>
                </c:pt>
                <c:pt idx="31">
                  <c:v>10.697541931866301</c:v>
                </c:pt>
                <c:pt idx="32">
                  <c:v>10.794511553812832</c:v>
                </c:pt>
                <c:pt idx="33">
                  <c:v>10.814685267100266</c:v>
                </c:pt>
                <c:pt idx="34">
                  <c:v>10.718464432880021</c:v>
                </c:pt>
                <c:pt idx="35">
                  <c:v>11.216038869770722</c:v>
                </c:pt>
                <c:pt idx="36">
                  <c:v>11.359774378233965</c:v>
                </c:pt>
                <c:pt idx="37">
                  <c:v>11.339811340134755</c:v>
                </c:pt>
                <c:pt idx="38">
                  <c:v>11.102984177049768</c:v>
                </c:pt>
                <c:pt idx="39">
                  <c:v>10.552837486101733</c:v>
                </c:pt>
                <c:pt idx="40">
                  <c:v>10.262470304245438</c:v>
                </c:pt>
                <c:pt idx="41">
                  <c:v>10.092712695179069</c:v>
                </c:pt>
                <c:pt idx="42">
                  <c:v>10.007081801184409</c:v>
                </c:pt>
                <c:pt idx="43">
                  <c:v>10.393497141456733</c:v>
                </c:pt>
                <c:pt idx="44">
                  <c:v>10.396524101538922</c:v>
                </c:pt>
                <c:pt idx="45">
                  <c:v>10.651004894847357</c:v>
                </c:pt>
                <c:pt idx="46">
                  <c:v>10.620633077394801</c:v>
                </c:pt>
                <c:pt idx="47">
                  <c:v>10.77608648858533</c:v>
                </c:pt>
                <c:pt idx="48">
                  <c:v>10.83540295341964</c:v>
                </c:pt>
                <c:pt idx="49">
                  <c:v>10.078880583546415</c:v>
                </c:pt>
                <c:pt idx="50">
                  <c:v>10.036937002746297</c:v>
                </c:pt>
                <c:pt idx="51">
                  <c:v>9.8126458788311837</c:v>
                </c:pt>
                <c:pt idx="52">
                  <c:v>9.5793385527406656</c:v>
                </c:pt>
                <c:pt idx="53">
                  <c:v>9.7898727261820184</c:v>
                </c:pt>
                <c:pt idx="54">
                  <c:v>9.7175770998150188</c:v>
                </c:pt>
                <c:pt idx="55">
                  <c:v>9.8198469354812268</c:v>
                </c:pt>
                <c:pt idx="56">
                  <c:v>9.688011455894646</c:v>
                </c:pt>
                <c:pt idx="57">
                  <c:v>9.2812343648381699</c:v>
                </c:pt>
                <c:pt idx="58">
                  <c:v>9.0333369821341378</c:v>
                </c:pt>
                <c:pt idx="59">
                  <c:v>9.3378070432125586</c:v>
                </c:pt>
                <c:pt idx="60">
                  <c:v>9.2682130895449273</c:v>
                </c:pt>
              </c:numCache>
            </c:numRef>
          </c:val>
          <c:smooth val="0"/>
          <c:extLst>
            <c:ext xmlns:c16="http://schemas.microsoft.com/office/drawing/2014/chart" uri="{C3380CC4-5D6E-409C-BE32-E72D297353CC}">
              <c16:uniqueId val="{00000000-6197-482C-9A41-F2DB2D6A40A6}"/>
            </c:ext>
          </c:extLst>
        </c:ser>
        <c:ser>
          <c:idx val="1"/>
          <c:order val="1"/>
          <c:tx>
            <c:v>A$</c:v>
          </c:tx>
          <c:spPr>
            <a:ln w="28575"/>
          </c:spPr>
          <c:marker>
            <c:symbol val="none"/>
          </c:marker>
          <c:cat>
            <c:numRef>
              <c:f>'Petroleum - LNG - Prices'!$A$11:$A$71</c:f>
              <c:numCache>
                <c:formatCode>mmm\-yy</c:formatCode>
                <c:ptCount val="61"/>
                <c:pt idx="0">
                  <c:v>44166</c:v>
                </c:pt>
                <c:pt idx="1">
                  <c:v>44197</c:v>
                </c:pt>
                <c:pt idx="2">
                  <c:v>44228</c:v>
                </c:pt>
                <c:pt idx="3">
                  <c:v>44256</c:v>
                </c:pt>
                <c:pt idx="4">
                  <c:v>44287</c:v>
                </c:pt>
                <c:pt idx="5">
                  <c:v>44317</c:v>
                </c:pt>
                <c:pt idx="6">
                  <c:v>44317</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pt idx="37">
                  <c:v>45292</c:v>
                </c:pt>
                <c:pt idx="38">
                  <c:v>45323</c:v>
                </c:pt>
                <c:pt idx="39">
                  <c:v>45352</c:v>
                </c:pt>
                <c:pt idx="40">
                  <c:v>45383</c:v>
                </c:pt>
                <c:pt idx="41">
                  <c:v>45413</c:v>
                </c:pt>
                <c:pt idx="42">
                  <c:v>45444</c:v>
                </c:pt>
                <c:pt idx="43">
                  <c:v>45474</c:v>
                </c:pt>
                <c:pt idx="44">
                  <c:v>45505</c:v>
                </c:pt>
                <c:pt idx="45">
                  <c:v>45536</c:v>
                </c:pt>
                <c:pt idx="46">
                  <c:v>45566</c:v>
                </c:pt>
                <c:pt idx="47">
                  <c:v>45597</c:v>
                </c:pt>
                <c:pt idx="48">
                  <c:v>45627</c:v>
                </c:pt>
                <c:pt idx="49">
                  <c:v>45658</c:v>
                </c:pt>
                <c:pt idx="50">
                  <c:v>45689</c:v>
                </c:pt>
                <c:pt idx="51">
                  <c:v>45717</c:v>
                </c:pt>
                <c:pt idx="52">
                  <c:v>45748</c:v>
                </c:pt>
                <c:pt idx="53">
                  <c:v>45778</c:v>
                </c:pt>
                <c:pt idx="54">
                  <c:v>45809</c:v>
                </c:pt>
                <c:pt idx="55">
                  <c:v>45839</c:v>
                </c:pt>
                <c:pt idx="56">
                  <c:v>45870</c:v>
                </c:pt>
                <c:pt idx="57">
                  <c:v>45901</c:v>
                </c:pt>
                <c:pt idx="58">
                  <c:v>45931</c:v>
                </c:pt>
                <c:pt idx="59">
                  <c:v>45962</c:v>
                </c:pt>
                <c:pt idx="60">
                  <c:v>45992</c:v>
                </c:pt>
              </c:numCache>
            </c:numRef>
          </c:cat>
          <c:val>
            <c:numRef>
              <c:f>'Petroleum - LNG - Prices'!$C$11:$C$71</c:f>
              <c:numCache>
                <c:formatCode>#,##0.00</c:formatCode>
                <c:ptCount val="61"/>
                <c:pt idx="0">
                  <c:v>7.6678745032344082</c:v>
                </c:pt>
                <c:pt idx="1">
                  <c:v>8.2307714643547403</c:v>
                </c:pt>
                <c:pt idx="2">
                  <c:v>8.1692952454146859</c:v>
                </c:pt>
                <c:pt idx="3">
                  <c:v>7.8475834059847713</c:v>
                </c:pt>
                <c:pt idx="4">
                  <c:v>8.4013798054142406</c:v>
                </c:pt>
                <c:pt idx="5">
                  <c:v>8.785907728757353</c:v>
                </c:pt>
                <c:pt idx="6">
                  <c:v>8.785907728757353</c:v>
                </c:pt>
                <c:pt idx="7">
                  <c:v>11.881714391883053</c:v>
                </c:pt>
                <c:pt idx="8">
                  <c:v>12.789058248706098</c:v>
                </c:pt>
                <c:pt idx="9">
                  <c:v>14.004269955952005</c:v>
                </c:pt>
                <c:pt idx="10">
                  <c:v>15.42479560809929</c:v>
                </c:pt>
                <c:pt idx="11">
                  <c:v>17.52810955739379</c:v>
                </c:pt>
                <c:pt idx="12">
                  <c:v>17.371276049165154</c:v>
                </c:pt>
                <c:pt idx="13">
                  <c:v>17.836418639957035</c:v>
                </c:pt>
                <c:pt idx="14">
                  <c:v>17.237125808022352</c:v>
                </c:pt>
                <c:pt idx="15">
                  <c:v>17.490754488483574</c:v>
                </c:pt>
                <c:pt idx="16">
                  <c:v>18.663245437000004</c:v>
                </c:pt>
                <c:pt idx="17">
                  <c:v>18.227482335087615</c:v>
                </c:pt>
                <c:pt idx="18">
                  <c:v>18.751243003836535</c:v>
                </c:pt>
                <c:pt idx="19">
                  <c:v>22.252726930835586</c:v>
                </c:pt>
                <c:pt idx="20">
                  <c:v>24.022330667722805</c:v>
                </c:pt>
                <c:pt idx="21">
                  <c:v>28.232320035531881</c:v>
                </c:pt>
                <c:pt idx="22">
                  <c:v>27.369164769025222</c:v>
                </c:pt>
                <c:pt idx="23">
                  <c:v>23.347701633721115</c:v>
                </c:pt>
                <c:pt idx="24">
                  <c:v>23.563451205407461</c:v>
                </c:pt>
                <c:pt idx="25">
                  <c:v>23.413342712205111</c:v>
                </c:pt>
                <c:pt idx="26">
                  <c:v>20.672197992799482</c:v>
                </c:pt>
                <c:pt idx="27">
                  <c:v>19.220471489061097</c:v>
                </c:pt>
                <c:pt idx="28">
                  <c:v>17.306089933283783</c:v>
                </c:pt>
                <c:pt idx="29">
                  <c:v>16.787824102307827</c:v>
                </c:pt>
                <c:pt idx="30">
                  <c:v>15.62738381637527</c:v>
                </c:pt>
                <c:pt idx="31">
                  <c:v>15.877444929937473</c:v>
                </c:pt>
                <c:pt idx="32">
                  <c:v>16.637190288908663</c:v>
                </c:pt>
                <c:pt idx="33">
                  <c:v>16.833193045287516</c:v>
                </c:pt>
                <c:pt idx="34">
                  <c:v>16.879091815743209</c:v>
                </c:pt>
                <c:pt idx="35">
                  <c:v>17.277070958399388</c:v>
                </c:pt>
                <c:pt idx="36">
                  <c:v>16.998819666415585</c:v>
                </c:pt>
                <c:pt idx="37">
                  <c:v>17.046366698604132</c:v>
                </c:pt>
                <c:pt idx="38">
                  <c:v>17.002914564762534</c:v>
                </c:pt>
                <c:pt idx="39">
                  <c:v>16.08921776519372</c:v>
                </c:pt>
                <c:pt idx="40">
                  <c:v>15.760168780947129</c:v>
                </c:pt>
                <c:pt idx="41">
                  <c:v>15.250897909395533</c:v>
                </c:pt>
                <c:pt idx="42">
                  <c:v>15.053366339355996</c:v>
                </c:pt>
                <c:pt idx="43">
                  <c:v>15.575043115752548</c:v>
                </c:pt>
                <c:pt idx="44">
                  <c:v>15.607606686372186</c:v>
                </c:pt>
                <c:pt idx="45">
                  <c:v>15.735639658076343</c:v>
                </c:pt>
                <c:pt idx="46">
                  <c:v>15.827209452318371</c:v>
                </c:pt>
                <c:pt idx="47">
                  <c:v>16.487640799129487</c:v>
                </c:pt>
                <c:pt idx="48">
                  <c:v>17.082861731586966</c:v>
                </c:pt>
                <c:pt idx="49">
                  <c:v>16.191592124730317</c:v>
                </c:pt>
                <c:pt idx="50">
                  <c:v>15.936199235886919</c:v>
                </c:pt>
                <c:pt idx="51">
                  <c:v>15.583284565769643</c:v>
                </c:pt>
                <c:pt idx="52">
                  <c:v>15.257687842305046</c:v>
                </c:pt>
                <c:pt idx="53">
                  <c:v>15.198340282406056</c:v>
                </c:pt>
                <c:pt idx="54">
                  <c:v>14.96208828572861</c:v>
                </c:pt>
                <c:pt idx="55">
                  <c:v>15.005978268436738</c:v>
                </c:pt>
                <c:pt idx="56">
                  <c:v>14.92414920418185</c:v>
                </c:pt>
                <c:pt idx="57">
                  <c:v>14.076921636282393</c:v>
                </c:pt>
                <c:pt idx="58">
                  <c:v>13.802369247279303</c:v>
                </c:pt>
                <c:pt idx="59">
                  <c:v>14.350843799121774</c:v>
                </c:pt>
                <c:pt idx="60">
                  <c:v>13.963760179105453</c:v>
                </c:pt>
              </c:numCache>
            </c:numRef>
          </c:val>
          <c:smooth val="0"/>
          <c:extLst>
            <c:ext xmlns:c16="http://schemas.microsoft.com/office/drawing/2014/chart" uri="{C3380CC4-5D6E-409C-BE32-E72D297353CC}">
              <c16:uniqueId val="{00000001-6197-482C-9A41-F2DB2D6A40A6}"/>
            </c:ext>
          </c:extLst>
        </c:ser>
        <c:dLbls>
          <c:showLegendKey val="0"/>
          <c:showVal val="0"/>
          <c:showCatName val="0"/>
          <c:showSerName val="0"/>
          <c:showPercent val="0"/>
          <c:showBubbleSize val="0"/>
        </c:dLbls>
        <c:smooth val="0"/>
        <c:axId val="134163072"/>
        <c:axId val="134161536"/>
      </c:lineChart>
      <c:valAx>
        <c:axId val="134161536"/>
        <c:scaling>
          <c:orientation val="minMax"/>
        </c:scaling>
        <c:delete val="0"/>
        <c:axPos val="l"/>
        <c:majorGridlines/>
        <c:title>
          <c:tx>
            <c:rich>
              <a:bodyPr/>
              <a:lstStyle/>
              <a:p>
                <a:pPr>
                  <a:defRPr/>
                </a:pPr>
                <a:r>
                  <a:rPr lang="en-AU"/>
                  <a:t>$</a:t>
                </a:r>
                <a:r>
                  <a:rPr lang="en-AU" baseline="0"/>
                  <a:t> per M</a:t>
                </a:r>
                <a:r>
                  <a:rPr lang="en-AU"/>
                  <a:t>mbtu</a:t>
                </a:r>
              </a:p>
            </c:rich>
          </c:tx>
          <c:overlay val="0"/>
        </c:title>
        <c:numFmt formatCode="#,##0" sourceLinked="0"/>
        <c:majorTickMark val="out"/>
        <c:minorTickMark val="none"/>
        <c:tickLblPos val="nextTo"/>
        <c:crossAx val="134163072"/>
        <c:crosses val="autoZero"/>
        <c:crossBetween val="midCat"/>
      </c:valAx>
      <c:dateAx>
        <c:axId val="134163072"/>
        <c:scaling>
          <c:orientation val="minMax"/>
        </c:scaling>
        <c:delete val="0"/>
        <c:axPos val="b"/>
        <c:title>
          <c:tx>
            <c:rich>
              <a:bodyPr/>
              <a:lstStyle/>
              <a:p>
                <a:pPr>
                  <a:defRPr sz="900"/>
                </a:pPr>
                <a:r>
                  <a:rPr lang="en-AU" sz="900"/>
                  <a:t>Source:  ABS</a:t>
                </a:r>
              </a:p>
            </c:rich>
          </c:tx>
          <c:layout>
            <c:manualLayout>
              <c:xMode val="edge"/>
              <c:yMode val="edge"/>
              <c:x val="0"/>
              <c:y val="0.95537367718470079"/>
            </c:manualLayout>
          </c:layout>
          <c:overlay val="0"/>
        </c:title>
        <c:numFmt formatCode="mmm\-yy" sourceLinked="1"/>
        <c:majorTickMark val="out"/>
        <c:minorTickMark val="none"/>
        <c:tickLblPos val="nextTo"/>
        <c:txPr>
          <a:bodyPr rot="-2700000"/>
          <a:lstStyle/>
          <a:p>
            <a:pPr>
              <a:defRPr/>
            </a:pPr>
            <a:endParaRPr lang="en-US"/>
          </a:p>
        </c:txPr>
        <c:crossAx val="134161536"/>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sz="1800"/>
              <a:t>Domestic Gas</a:t>
            </a:r>
          </a:p>
          <a:p>
            <a:pPr>
              <a:defRPr/>
            </a:pPr>
            <a:r>
              <a:rPr lang="en-US" sz="1100"/>
              <a:t>Annual Price, Historic</a:t>
            </a:r>
            <a:endParaRPr lang="en-AU" sz="1100"/>
          </a:p>
        </c:rich>
      </c:tx>
      <c:overlay val="0"/>
    </c:title>
    <c:autoTitleDeleted val="0"/>
    <c:plotArea>
      <c:layout>
        <c:manualLayout>
          <c:layoutTarget val="inner"/>
          <c:xMode val="edge"/>
          <c:yMode val="edge"/>
          <c:x val="0.1155384722222222"/>
          <c:y val="0.22958819444444448"/>
          <c:w val="0.81695311329129239"/>
          <c:h val="0.56995274892638115"/>
        </c:manualLayout>
      </c:layout>
      <c:lineChart>
        <c:grouping val="standard"/>
        <c:varyColors val="0"/>
        <c:ser>
          <c:idx val="1"/>
          <c:order val="0"/>
          <c:spPr>
            <a:ln w="28575">
              <a:solidFill>
                <a:srgbClr val="4198AF"/>
              </a:solidFill>
            </a:ln>
          </c:spPr>
          <c:marker>
            <c:symbol val="none"/>
          </c:marker>
          <c:cat>
            <c:numRef>
              <c:f>'Petroleum - Dom. Gas - Prices'!$F$12:$F$46</c:f>
              <c:numCache>
                <c:formatCode>General</c:formatCode>
                <c:ptCount val="35"/>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pt idx="34">
                  <c:v>2025</c:v>
                </c:pt>
              </c:numCache>
            </c:numRef>
          </c:cat>
          <c:val>
            <c:numRef>
              <c:f>'Petroleum - Dom. Gas - Prices'!$G$12:$G$46</c:f>
              <c:numCache>
                <c:formatCode>#,##0.00</c:formatCode>
                <c:ptCount val="35"/>
                <c:pt idx="0">
                  <c:v>2.6184466159951105</c:v>
                </c:pt>
                <c:pt idx="1">
                  <c:v>2.5697449572942013</c:v>
                </c:pt>
                <c:pt idx="2">
                  <c:v>2.6417071217872983</c:v>
                </c:pt>
                <c:pt idx="3">
                  <c:v>2.364788092795775</c:v>
                </c:pt>
                <c:pt idx="4">
                  <c:v>1.9042007438978499</c:v>
                </c:pt>
                <c:pt idx="5">
                  <c:v>1.9639369401661406</c:v>
                </c:pt>
                <c:pt idx="6">
                  <c:v>2.0500927565258129</c:v>
                </c:pt>
                <c:pt idx="7">
                  <c:v>2.1942259317253829</c:v>
                </c:pt>
                <c:pt idx="8">
                  <c:v>2.2633589129644966</c:v>
                </c:pt>
                <c:pt idx="9">
                  <c:v>2.3069294702897185</c:v>
                </c:pt>
                <c:pt idx="10">
                  <c:v>2.202921023279484</c:v>
                </c:pt>
                <c:pt idx="11">
                  <c:v>2.2066114058189088</c:v>
                </c:pt>
                <c:pt idx="12">
                  <c:v>2.2383607503595937</c:v>
                </c:pt>
                <c:pt idx="13">
                  <c:v>2.234799332978207</c:v>
                </c:pt>
                <c:pt idx="14">
                  <c:v>2.3494160120460439</c:v>
                </c:pt>
                <c:pt idx="15">
                  <c:v>2.5678282663284739</c:v>
                </c:pt>
                <c:pt idx="16">
                  <c:v>2.8738427244008005</c:v>
                </c:pt>
                <c:pt idx="17">
                  <c:v>3.6853500631162328</c:v>
                </c:pt>
                <c:pt idx="18">
                  <c:v>3.2654246502760023</c:v>
                </c:pt>
                <c:pt idx="19">
                  <c:v>3.9656553201993727</c:v>
                </c:pt>
                <c:pt idx="20">
                  <c:v>4.2139898759703716</c:v>
                </c:pt>
                <c:pt idx="21">
                  <c:v>4.2928576627648445</c:v>
                </c:pt>
                <c:pt idx="22">
                  <c:v>4.4111820179191188</c:v>
                </c:pt>
                <c:pt idx="23">
                  <c:v>4.8794980107689527</c:v>
                </c:pt>
                <c:pt idx="24">
                  <c:v>4.8876529546940883</c:v>
                </c:pt>
                <c:pt idx="25">
                  <c:v>4.9791240182979104</c:v>
                </c:pt>
                <c:pt idx="26">
                  <c:v>4.6554259451039872</c:v>
                </c:pt>
                <c:pt idx="27">
                  <c:v>3.969901898372231</c:v>
                </c:pt>
                <c:pt idx="28">
                  <c:v>3.5084455418129021</c:v>
                </c:pt>
                <c:pt idx="29">
                  <c:v>4.268904337669337</c:v>
                </c:pt>
                <c:pt idx="30">
                  <c:v>5.1637758051586129</c:v>
                </c:pt>
                <c:pt idx="31">
                  <c:v>5.4045603802136464</c:v>
                </c:pt>
                <c:pt idx="32">
                  <c:v>6.8918724837162477</c:v>
                </c:pt>
                <c:pt idx="33">
                  <c:v>7.2244998966029321</c:v>
                </c:pt>
                <c:pt idx="34">
                  <c:v>7.5718308838862072</c:v>
                </c:pt>
              </c:numCache>
            </c:numRef>
          </c:val>
          <c:smooth val="0"/>
          <c:extLst>
            <c:ext xmlns:c16="http://schemas.microsoft.com/office/drawing/2014/chart" uri="{C3380CC4-5D6E-409C-BE32-E72D297353CC}">
              <c16:uniqueId val="{00000000-AB5B-4F38-8B99-EDE498E409B1}"/>
            </c:ext>
          </c:extLst>
        </c:ser>
        <c:dLbls>
          <c:showLegendKey val="0"/>
          <c:showVal val="0"/>
          <c:showCatName val="0"/>
          <c:showSerName val="0"/>
          <c:showPercent val="0"/>
          <c:showBubbleSize val="0"/>
        </c:dLbls>
        <c:smooth val="0"/>
        <c:axId val="130783872"/>
        <c:axId val="130790144"/>
      </c:lineChart>
      <c:catAx>
        <c:axId val="130783872"/>
        <c:scaling>
          <c:orientation val="minMax"/>
        </c:scaling>
        <c:delete val="0"/>
        <c:axPos val="b"/>
        <c:title>
          <c:tx>
            <c:rich>
              <a:bodyPr/>
              <a:lstStyle/>
              <a:p>
                <a:pPr>
                  <a:defRPr sz="900"/>
                </a:pPr>
                <a:r>
                  <a:rPr lang="en-AU" sz="900"/>
                  <a:t>Source:</a:t>
                </a:r>
                <a:r>
                  <a:rPr lang="en-AU" sz="900">
                    <a:solidFill>
                      <a:sysClr val="windowText" lastClr="000000"/>
                    </a:solidFill>
                  </a:rPr>
                  <a:t> DTF, DMPE</a:t>
                </a:r>
                <a:r>
                  <a:rPr lang="en-AU" sz="900"/>
                  <a:t>, Woodside, and Santos</a:t>
                </a:r>
              </a:p>
            </c:rich>
          </c:tx>
          <c:layout>
            <c:manualLayout>
              <c:xMode val="edge"/>
              <c:yMode val="edge"/>
              <c:x val="0"/>
              <c:y val="0.95083348956719371"/>
            </c:manualLayout>
          </c:layout>
          <c:overlay val="0"/>
        </c:title>
        <c:numFmt formatCode="General" sourceLinked="1"/>
        <c:majorTickMark val="out"/>
        <c:minorTickMark val="none"/>
        <c:tickLblPos val="nextTo"/>
        <c:spPr>
          <a:ln/>
        </c:spPr>
        <c:txPr>
          <a:bodyPr rot="-2700000"/>
          <a:lstStyle/>
          <a:p>
            <a:pPr>
              <a:defRPr/>
            </a:pPr>
            <a:endParaRPr lang="en-US"/>
          </a:p>
        </c:txPr>
        <c:crossAx val="130790144"/>
        <c:crossesAt val="0"/>
        <c:auto val="1"/>
        <c:lblAlgn val="ctr"/>
        <c:lblOffset val="100"/>
        <c:noMultiLvlLbl val="1"/>
      </c:catAx>
      <c:valAx>
        <c:axId val="130790144"/>
        <c:scaling>
          <c:orientation val="minMax"/>
        </c:scaling>
        <c:delete val="0"/>
        <c:axPos val="l"/>
        <c:majorGridlines/>
        <c:title>
          <c:tx>
            <c:rich>
              <a:bodyPr rot="-5400000" vert="horz"/>
              <a:lstStyle/>
              <a:p>
                <a:pPr>
                  <a:defRPr/>
                </a:pPr>
                <a:r>
                  <a:rPr lang="en-AU"/>
                  <a:t>A$</a:t>
                </a:r>
                <a:r>
                  <a:rPr lang="en-AU" baseline="0"/>
                  <a:t> per gigajoule</a:t>
                </a:r>
                <a:endParaRPr lang="en-AU"/>
              </a:p>
            </c:rich>
          </c:tx>
          <c:layout>
            <c:manualLayout>
              <c:xMode val="edge"/>
              <c:yMode val="edge"/>
              <c:x val="2.1309092732012529E-2"/>
              <c:y val="0.41130891247289741"/>
            </c:manualLayout>
          </c:layout>
          <c:overlay val="0"/>
        </c:title>
        <c:numFmt formatCode="#,##0.00" sourceLinked="1"/>
        <c:majorTickMark val="out"/>
        <c:minorTickMark val="none"/>
        <c:tickLblPos val="nextTo"/>
        <c:spPr>
          <a:ln>
            <a:solidFill>
              <a:srgbClr val="868686"/>
            </a:solidFill>
          </a:ln>
        </c:spPr>
        <c:crossAx val="130783872"/>
        <c:crosses val="autoZero"/>
        <c:crossBetween val="midCat"/>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Domestic Gas</a:t>
            </a:r>
          </a:p>
          <a:p>
            <a:pPr>
              <a:defRPr/>
            </a:pPr>
            <a:r>
              <a:rPr lang="en-AU" sz="1100"/>
              <a:t>Quarterly Price, Last 10 Years</a:t>
            </a:r>
          </a:p>
        </c:rich>
      </c:tx>
      <c:overlay val="0"/>
    </c:title>
    <c:autoTitleDeleted val="0"/>
    <c:plotArea>
      <c:layout/>
      <c:lineChart>
        <c:grouping val="standard"/>
        <c:varyColors val="0"/>
        <c:ser>
          <c:idx val="1"/>
          <c:order val="0"/>
          <c:spPr>
            <a:ln w="28575">
              <a:solidFill>
                <a:srgbClr val="4198AF"/>
              </a:solidFill>
            </a:ln>
          </c:spPr>
          <c:marker>
            <c:symbol val="none"/>
          </c:marker>
          <c:cat>
            <c:numRef>
              <c:f>'Petroleum - Dom. Gas - Prices'!$A$11:$A$55</c:f>
              <c:numCache>
                <c:formatCode>mmm\-yy</c:formatCode>
                <c:ptCount val="45"/>
                <c:pt idx="0">
                  <c:v>41974</c:v>
                </c:pt>
                <c:pt idx="1">
                  <c:v>42064</c:v>
                </c:pt>
                <c:pt idx="2">
                  <c:v>42156</c:v>
                </c:pt>
                <c:pt idx="3">
                  <c:v>42248</c:v>
                </c:pt>
                <c:pt idx="4">
                  <c:v>42339</c:v>
                </c:pt>
                <c:pt idx="5">
                  <c:v>42430</c:v>
                </c:pt>
                <c:pt idx="6">
                  <c:v>42522</c:v>
                </c:pt>
                <c:pt idx="7">
                  <c:v>42614</c:v>
                </c:pt>
                <c:pt idx="8">
                  <c:v>42705</c:v>
                </c:pt>
                <c:pt idx="9">
                  <c:v>42795</c:v>
                </c:pt>
                <c:pt idx="10">
                  <c:v>42887</c:v>
                </c:pt>
                <c:pt idx="11">
                  <c:v>42979</c:v>
                </c:pt>
                <c:pt idx="12">
                  <c:v>43070</c:v>
                </c:pt>
                <c:pt idx="13">
                  <c:v>43160</c:v>
                </c:pt>
                <c:pt idx="14">
                  <c:v>43252</c:v>
                </c:pt>
                <c:pt idx="15">
                  <c:v>43344</c:v>
                </c:pt>
                <c:pt idx="16">
                  <c:v>43435</c:v>
                </c:pt>
                <c:pt idx="17">
                  <c:v>43525</c:v>
                </c:pt>
                <c:pt idx="18">
                  <c:v>43617</c:v>
                </c:pt>
                <c:pt idx="19">
                  <c:v>43709</c:v>
                </c:pt>
                <c:pt idx="20">
                  <c:v>43800</c:v>
                </c:pt>
                <c:pt idx="21">
                  <c:v>43891</c:v>
                </c:pt>
                <c:pt idx="22">
                  <c:v>43983</c:v>
                </c:pt>
                <c:pt idx="23">
                  <c:v>44075</c:v>
                </c:pt>
                <c:pt idx="24">
                  <c:v>44166</c:v>
                </c:pt>
                <c:pt idx="25">
                  <c:v>44256</c:v>
                </c:pt>
                <c:pt idx="26">
                  <c:v>44348</c:v>
                </c:pt>
                <c:pt idx="27">
                  <c:v>44440</c:v>
                </c:pt>
                <c:pt idx="28">
                  <c:v>44531</c:v>
                </c:pt>
                <c:pt idx="29">
                  <c:v>44621</c:v>
                </c:pt>
                <c:pt idx="30">
                  <c:v>44713</c:v>
                </c:pt>
                <c:pt idx="31">
                  <c:v>44805</c:v>
                </c:pt>
                <c:pt idx="32">
                  <c:v>44896</c:v>
                </c:pt>
                <c:pt idx="33">
                  <c:v>44986</c:v>
                </c:pt>
                <c:pt idx="34">
                  <c:v>45078</c:v>
                </c:pt>
                <c:pt idx="35">
                  <c:v>45170</c:v>
                </c:pt>
                <c:pt idx="36">
                  <c:v>45261</c:v>
                </c:pt>
                <c:pt idx="37">
                  <c:v>45352</c:v>
                </c:pt>
                <c:pt idx="38">
                  <c:v>45444</c:v>
                </c:pt>
                <c:pt idx="39">
                  <c:v>45536</c:v>
                </c:pt>
                <c:pt idx="40">
                  <c:v>45627</c:v>
                </c:pt>
                <c:pt idx="41">
                  <c:v>45717</c:v>
                </c:pt>
                <c:pt idx="42">
                  <c:v>45809</c:v>
                </c:pt>
                <c:pt idx="43">
                  <c:v>45901</c:v>
                </c:pt>
                <c:pt idx="44">
                  <c:v>45992</c:v>
                </c:pt>
              </c:numCache>
            </c:numRef>
          </c:cat>
          <c:val>
            <c:numRef>
              <c:f>'Petroleum - Dom. Gas - Prices'!$B$11:$B$55</c:f>
              <c:numCache>
                <c:formatCode>#,##0.00</c:formatCode>
                <c:ptCount val="45"/>
                <c:pt idx="0">
                  <c:v>4.8480040103555151</c:v>
                </c:pt>
                <c:pt idx="1">
                  <c:v>4.8461122505566507</c:v>
                </c:pt>
                <c:pt idx="2">
                  <c:v>4.8089078565611905</c:v>
                </c:pt>
                <c:pt idx="3">
                  <c:v>4.9058702326383257</c:v>
                </c:pt>
                <c:pt idx="4">
                  <c:v>4.9922471050309447</c:v>
                </c:pt>
                <c:pt idx="5">
                  <c:v>4.7962849976450572</c:v>
                </c:pt>
                <c:pt idx="6">
                  <c:v>4.9882530946104087</c:v>
                </c:pt>
                <c:pt idx="7">
                  <c:v>5.1201845581818892</c:v>
                </c:pt>
                <c:pt idx="8">
                  <c:v>5.0110003721964036</c:v>
                </c:pt>
                <c:pt idx="9">
                  <c:v>4.881795587208539</c:v>
                </c:pt>
                <c:pt idx="10">
                  <c:v>4.8539386926407211</c:v>
                </c:pt>
                <c:pt idx="11">
                  <c:v>4.7743778602867373</c:v>
                </c:pt>
                <c:pt idx="12">
                  <c:v>4.1318142396629609</c:v>
                </c:pt>
                <c:pt idx="13">
                  <c:v>4.1019880939561659</c:v>
                </c:pt>
                <c:pt idx="14">
                  <c:v>4.1110339992410294</c:v>
                </c:pt>
                <c:pt idx="15">
                  <c:v>4.202881094872188</c:v>
                </c:pt>
                <c:pt idx="16">
                  <c:v>3.484938028399605</c:v>
                </c:pt>
                <c:pt idx="17">
                  <c:v>3.4690399515776256</c:v>
                </c:pt>
                <c:pt idx="18">
                  <c:v>3.3975874123417169</c:v>
                </c:pt>
                <c:pt idx="19">
                  <c:v>3.6358564691021562</c:v>
                </c:pt>
                <c:pt idx="20">
                  <c:v>3.5252411709774867</c:v>
                </c:pt>
                <c:pt idx="21">
                  <c:v>4.0449079862207862</c:v>
                </c:pt>
                <c:pt idx="22">
                  <c:v>4.2464589577006731</c:v>
                </c:pt>
                <c:pt idx="23">
                  <c:v>4.3423643411531643</c:v>
                </c:pt>
                <c:pt idx="24">
                  <c:v>4.4462545064686099</c:v>
                </c:pt>
                <c:pt idx="25">
                  <c:v>4.7661336549413642</c:v>
                </c:pt>
                <c:pt idx="26">
                  <c:v>5.0225695438843934</c:v>
                </c:pt>
                <c:pt idx="27">
                  <c:v>5.4589875473387135</c:v>
                </c:pt>
                <c:pt idx="28">
                  <c:v>5.385130810248163</c:v>
                </c:pt>
                <c:pt idx="29">
                  <c:v>5.201802231239494</c:v>
                </c:pt>
                <c:pt idx="30">
                  <c:v>5.2762385212369924</c:v>
                </c:pt>
                <c:pt idx="31">
                  <c:v>5.1550567909345331</c:v>
                </c:pt>
                <c:pt idx="32">
                  <c:v>5.9605495308843404</c:v>
                </c:pt>
                <c:pt idx="33">
                  <c:v>7.0285874490149549</c:v>
                </c:pt>
                <c:pt idx="34">
                  <c:v>6.6228302602792146</c:v>
                </c:pt>
                <c:pt idx="35">
                  <c:v>6.6732634216396258</c:v>
                </c:pt>
                <c:pt idx="36">
                  <c:v>7.2383406977952767</c:v>
                </c:pt>
                <c:pt idx="37">
                  <c:v>7.1838633958557327</c:v>
                </c:pt>
                <c:pt idx="38">
                  <c:v>7.2338261105106314</c:v>
                </c:pt>
                <c:pt idx="39">
                  <c:v>7.1740105323079026</c:v>
                </c:pt>
                <c:pt idx="40">
                  <c:v>7.3019034124160918</c:v>
                </c:pt>
                <c:pt idx="41">
                  <c:v>7.7279440903258756</c:v>
                </c:pt>
                <c:pt idx="42">
                  <c:v>7.4411794188725517</c:v>
                </c:pt>
                <c:pt idx="43">
                  <c:v>7.6799160458467322</c:v>
                </c:pt>
                <c:pt idx="44">
                  <c:v>7.4545008458880666</c:v>
                </c:pt>
              </c:numCache>
            </c:numRef>
          </c:val>
          <c:smooth val="0"/>
          <c:extLst>
            <c:ext xmlns:c16="http://schemas.microsoft.com/office/drawing/2014/chart" uri="{C3380CC4-5D6E-409C-BE32-E72D297353CC}">
              <c16:uniqueId val="{00000000-8B0E-4771-8344-1B350EE00A9F}"/>
            </c:ext>
          </c:extLst>
        </c:ser>
        <c:dLbls>
          <c:showLegendKey val="0"/>
          <c:showVal val="0"/>
          <c:showCatName val="0"/>
          <c:showSerName val="0"/>
          <c:showPercent val="0"/>
          <c:showBubbleSize val="0"/>
        </c:dLbls>
        <c:smooth val="0"/>
        <c:axId val="134163072"/>
        <c:axId val="134161536"/>
      </c:lineChart>
      <c:valAx>
        <c:axId val="134161536"/>
        <c:scaling>
          <c:orientation val="minMax"/>
        </c:scaling>
        <c:delete val="0"/>
        <c:axPos val="l"/>
        <c:majorGridlines/>
        <c:title>
          <c:tx>
            <c:rich>
              <a:bodyPr/>
              <a:lstStyle/>
              <a:p>
                <a:pPr>
                  <a:defRPr/>
                </a:pPr>
                <a:r>
                  <a:rPr lang="en-AU"/>
                  <a:t>A$</a:t>
                </a:r>
                <a:r>
                  <a:rPr lang="en-AU" baseline="0"/>
                  <a:t> per gigajoule</a:t>
                </a:r>
                <a:endParaRPr lang="en-AU"/>
              </a:p>
            </c:rich>
          </c:tx>
          <c:layout>
            <c:manualLayout>
              <c:xMode val="edge"/>
              <c:yMode val="edge"/>
              <c:x val="1.184279902927877E-2"/>
              <c:y val="0.39369400363416113"/>
            </c:manualLayout>
          </c:layout>
          <c:overlay val="0"/>
        </c:title>
        <c:numFmt formatCode="#,##0.00" sourceLinked="0"/>
        <c:majorTickMark val="out"/>
        <c:minorTickMark val="none"/>
        <c:tickLblPos val="nextTo"/>
        <c:crossAx val="134163072"/>
        <c:crosses val="autoZero"/>
        <c:crossBetween val="between"/>
      </c:valAx>
      <c:dateAx>
        <c:axId val="134163072"/>
        <c:scaling>
          <c:orientation val="minMax"/>
        </c:scaling>
        <c:delete val="0"/>
        <c:axPos val="b"/>
        <c:title>
          <c:tx>
            <c:rich>
              <a:bodyPr/>
              <a:lstStyle/>
              <a:p>
                <a:pPr>
                  <a:defRPr sz="900"/>
                </a:pPr>
                <a:r>
                  <a:rPr lang="en-AU" sz="900"/>
                  <a:t>Source:</a:t>
                </a:r>
                <a:r>
                  <a:rPr lang="en-AU" sz="900">
                    <a:solidFill>
                      <a:sysClr val="windowText" lastClr="000000"/>
                    </a:solidFill>
                  </a:rPr>
                  <a:t> DTF,</a:t>
                </a:r>
                <a:r>
                  <a:rPr lang="en-AU" sz="900" baseline="0">
                    <a:solidFill>
                      <a:sysClr val="windowText" lastClr="000000"/>
                    </a:solidFill>
                  </a:rPr>
                  <a:t> DMPE</a:t>
                </a:r>
                <a:r>
                  <a:rPr lang="en-AU" sz="900"/>
                  <a:t>, Woodside, and Santos</a:t>
                </a:r>
              </a:p>
            </c:rich>
          </c:tx>
          <c:layout>
            <c:manualLayout>
              <c:xMode val="edge"/>
              <c:yMode val="edge"/>
              <c:x val="0"/>
              <c:y val="0.95537367718470079"/>
            </c:manualLayout>
          </c:layout>
          <c:overlay val="0"/>
        </c:title>
        <c:numFmt formatCode="[$-C09]mmm\-yy;@" sourceLinked="0"/>
        <c:majorTickMark val="out"/>
        <c:minorTickMark val="none"/>
        <c:tickLblPos val="nextTo"/>
        <c:txPr>
          <a:bodyPr rot="-2700000"/>
          <a:lstStyle/>
          <a:p>
            <a:pPr>
              <a:defRPr/>
            </a:pPr>
            <a:endParaRPr lang="en-US"/>
          </a:p>
        </c:txPr>
        <c:crossAx val="134161536"/>
        <c:crosses val="autoZero"/>
        <c:auto val="0"/>
        <c:lblOffset val="100"/>
        <c:baseTimeUnit val="days"/>
        <c:majorUnit val="6"/>
        <c:majorTimeUnit val="months"/>
        <c:minorUnit val="4"/>
      </c:dateAx>
      <c:spPr>
        <a:blipFill>
          <a:blip xmlns:r="http://schemas.openxmlformats.org/officeDocument/2006/relationships" r:embed="rId1"/>
          <a:stretch>
            <a:fillRect/>
          </a:stretch>
        </a:blipFill>
      </c:spPr>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050"/>
              <a:t>Quantity And Value By Quarter</a:t>
            </a:r>
          </a:p>
        </c:rich>
      </c:tx>
      <c:overlay val="0"/>
    </c:title>
    <c:autoTitleDeleted val="0"/>
    <c:plotArea>
      <c:layout/>
      <c:barChart>
        <c:barDir val="col"/>
        <c:grouping val="clustered"/>
        <c:varyColors val="0"/>
        <c:ser>
          <c:idx val="0"/>
          <c:order val="0"/>
          <c:tx>
            <c:v>Quantity</c:v>
          </c:tx>
          <c:invertIfNegative val="0"/>
          <c:cat>
            <c:numRef>
              <c:f>'Petroleum - Q&amp;V 1'!$T$14:$T$22</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'Petroleum - Q&amp;V 1'!$U$14:$U$22</c:f>
              <c:numCache>
                <c:formatCode>0.00</c:formatCode>
                <c:ptCount val="9"/>
                <c:pt idx="0">
                  <c:v>3.5454918961549611</c:v>
                </c:pt>
                <c:pt idx="1">
                  <c:v>3.7808306782891901</c:v>
                </c:pt>
                <c:pt idx="2">
                  <c:v>3.5585132151392509</c:v>
                </c:pt>
                <c:pt idx="3">
                  <c:v>3.4752793458847591</c:v>
                </c:pt>
                <c:pt idx="4">
                  <c:v>3.6029873794181082</c:v>
                </c:pt>
                <c:pt idx="5">
                  <c:v>3.1625543742550635</c:v>
                </c:pt>
                <c:pt idx="6">
                  <c:v>3.5810256828232627</c:v>
                </c:pt>
                <c:pt idx="7">
                  <c:v>3.0050354038771037</c:v>
                </c:pt>
                <c:pt idx="8">
                  <c:v>2.9546653859775356</c:v>
                </c:pt>
              </c:numCache>
            </c:numRef>
          </c:val>
          <c:extLst>
            <c:ext xmlns:c16="http://schemas.microsoft.com/office/drawing/2014/chart" uri="{C3380CC4-5D6E-409C-BE32-E72D297353CC}">
              <c16:uniqueId val="{00000000-511E-4FFC-9C9D-2749C71B41A2}"/>
            </c:ext>
          </c:extLst>
        </c:ser>
        <c:dLbls>
          <c:showLegendKey val="0"/>
          <c:showVal val="0"/>
          <c:showCatName val="0"/>
          <c:showSerName val="0"/>
          <c:showPercent val="0"/>
          <c:showBubbleSize val="0"/>
        </c:dLbls>
        <c:gapWidth val="40"/>
        <c:axId val="133932544"/>
        <c:axId val="133921792"/>
      </c:barChart>
      <c:lineChart>
        <c:grouping val="standard"/>
        <c:varyColors val="0"/>
        <c:ser>
          <c:idx val="1"/>
          <c:order val="1"/>
          <c:tx>
            <c:v>Value</c:v>
          </c:tx>
          <c:spPr>
            <a:ln w="28575"/>
          </c:spPr>
          <c:marker>
            <c:symbol val="none"/>
          </c:marker>
          <c:cat>
            <c:numRef>
              <c:f>'Petroleum - Q&amp;V 1'!$T$14:$T$22</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'Petroleum - Q&amp;V 1'!$V$14:$V$22</c:f>
              <c:numCache>
                <c:formatCode>#,##0.00</c:formatCode>
                <c:ptCount val="9"/>
                <c:pt idx="0">
                  <c:v>2567.1036080391114</c:v>
                </c:pt>
                <c:pt idx="1">
                  <c:v>2747.9213655681715</c:v>
                </c:pt>
                <c:pt idx="2">
                  <c:v>2694.0264890210628</c:v>
                </c:pt>
                <c:pt idx="3">
                  <c:v>2431.6678210110786</c:v>
                </c:pt>
                <c:pt idx="4">
                  <c:v>2429.6059500326264</c:v>
                </c:pt>
                <c:pt idx="5">
                  <c:v>2377.6672453766</c:v>
                </c:pt>
                <c:pt idx="6">
                  <c:v>2549.8829423113266</c:v>
                </c:pt>
                <c:pt idx="7">
                  <c:v>1785.0011311881458</c:v>
                </c:pt>
                <c:pt idx="8">
                  <c:v>1834.9761975753631</c:v>
                </c:pt>
              </c:numCache>
            </c:numRef>
          </c:val>
          <c:smooth val="0"/>
          <c:extLst>
            <c:ext xmlns:c16="http://schemas.microsoft.com/office/drawing/2014/chart" uri="{C3380CC4-5D6E-409C-BE32-E72D297353CC}">
              <c16:uniqueId val="{00000001-511E-4FFC-9C9D-2749C71B41A2}"/>
            </c:ext>
          </c:extLst>
        </c:ser>
        <c:dLbls>
          <c:showLegendKey val="0"/>
          <c:showVal val="0"/>
          <c:showCatName val="0"/>
          <c:showSerName val="0"/>
          <c:showPercent val="0"/>
          <c:showBubbleSize val="0"/>
        </c:dLbls>
        <c:marker val="1"/>
        <c:smooth val="0"/>
        <c:axId val="133913600"/>
        <c:axId val="133919872"/>
      </c:lineChart>
      <c:catAx>
        <c:axId val="133913600"/>
        <c:scaling>
          <c:orientation val="minMax"/>
        </c:scaling>
        <c:delete val="0"/>
        <c:axPos val="b"/>
        <c:title>
          <c:tx>
            <c:rich>
              <a:bodyPr/>
              <a:lstStyle/>
              <a:p>
                <a:pPr>
                  <a:defRPr/>
                </a:pPr>
                <a:r>
                  <a:rPr lang="en-AU" sz="1000" b="1" i="0" u="none" strike="noStrike" baseline="0">
                    <a:effectLst/>
                  </a:rPr>
                  <a:t>Source: DMPE and EnergyQuest</a:t>
                </a:r>
                <a:endParaRPr lang="en-AU"/>
              </a:p>
            </c:rich>
          </c:tx>
          <c:layout>
            <c:manualLayout>
              <c:xMode val="edge"/>
              <c:yMode val="edge"/>
              <c:x val="0"/>
              <c:y val="0.94369215923442673"/>
            </c:manualLayout>
          </c:layout>
          <c:overlay val="0"/>
        </c:title>
        <c:numFmt formatCode="mmm\-yy" sourceLinked="1"/>
        <c:majorTickMark val="out"/>
        <c:minorTickMark val="none"/>
        <c:tickLblPos val="nextTo"/>
        <c:txPr>
          <a:bodyPr rot="-2700000"/>
          <a:lstStyle/>
          <a:p>
            <a:pPr>
              <a:defRPr/>
            </a:pPr>
            <a:endParaRPr lang="en-US"/>
          </a:p>
        </c:txPr>
        <c:crossAx val="133919872"/>
        <c:crosses val="autoZero"/>
        <c:auto val="0"/>
        <c:lblAlgn val="ctr"/>
        <c:lblOffset val="100"/>
        <c:noMultiLvlLbl val="0"/>
      </c:catAx>
      <c:valAx>
        <c:axId val="133919872"/>
        <c:scaling>
          <c:orientation val="minMax"/>
          <c:max val="5000"/>
        </c:scaling>
        <c:delete val="0"/>
        <c:axPos val="l"/>
        <c:majorGridlines/>
        <c:title>
          <c:tx>
            <c:rich>
              <a:bodyPr rot="-5400000" vert="horz"/>
              <a:lstStyle/>
              <a:p>
                <a:pPr>
                  <a:defRPr/>
                </a:pPr>
                <a:r>
                  <a:rPr lang="en-AU"/>
                  <a:t>$ Million</a:t>
                </a:r>
              </a:p>
            </c:rich>
          </c:tx>
          <c:layout>
            <c:manualLayout>
              <c:xMode val="edge"/>
              <c:yMode val="edge"/>
              <c:x val="2.0182981773337168E-2"/>
              <c:y val="0.45808755632356551"/>
            </c:manualLayout>
          </c:layout>
          <c:overlay val="0"/>
        </c:title>
        <c:numFmt formatCode="#,##0" sourceLinked="0"/>
        <c:majorTickMark val="out"/>
        <c:minorTickMark val="none"/>
        <c:tickLblPos val="nextTo"/>
        <c:crossAx val="133913600"/>
        <c:crosses val="autoZero"/>
        <c:crossBetween val="between"/>
        <c:majorUnit val="1000"/>
      </c:valAx>
      <c:valAx>
        <c:axId val="133921792"/>
        <c:scaling>
          <c:orientation val="minMax"/>
          <c:max val="5"/>
          <c:min val="0"/>
        </c:scaling>
        <c:delete val="0"/>
        <c:axPos val="r"/>
        <c:title>
          <c:tx>
            <c:rich>
              <a:bodyPr rot="-5400000" vert="horz"/>
              <a:lstStyle/>
              <a:p>
                <a:pPr>
                  <a:defRPr/>
                </a:pPr>
                <a:r>
                  <a:rPr lang="en-AU"/>
                  <a:t>Gigalitres</a:t>
                </a:r>
              </a:p>
            </c:rich>
          </c:tx>
          <c:overlay val="0"/>
        </c:title>
        <c:numFmt formatCode="#,##0.0" sourceLinked="0"/>
        <c:majorTickMark val="out"/>
        <c:minorTickMark val="none"/>
        <c:tickLblPos val="nextTo"/>
        <c:crossAx val="133932544"/>
        <c:crosses val="max"/>
        <c:crossBetween val="between"/>
        <c:majorUnit val="1"/>
      </c:valAx>
      <c:dateAx>
        <c:axId val="133932544"/>
        <c:scaling>
          <c:orientation val="minMax"/>
        </c:scaling>
        <c:delete val="1"/>
        <c:axPos val="b"/>
        <c:numFmt formatCode="mmm\-yy" sourceLinked="1"/>
        <c:majorTickMark val="out"/>
        <c:minorTickMark val="none"/>
        <c:tickLblPos val="nextTo"/>
        <c:crossAx val="13392179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100"/>
              <a:t>Quantity And Value By Year</a:t>
            </a:r>
          </a:p>
        </c:rich>
      </c:tx>
      <c:overlay val="0"/>
    </c:title>
    <c:autoTitleDeleted val="0"/>
    <c:plotArea>
      <c:layout/>
      <c:barChart>
        <c:barDir val="col"/>
        <c:grouping val="stacked"/>
        <c:varyColors val="0"/>
        <c:ser>
          <c:idx val="2"/>
          <c:order val="1"/>
          <c:tx>
            <c:strRef>
              <c:f>'Petroleum - Q&amp;V 1'!$Z$38</c:f>
              <c:strCache>
                <c:ptCount val="1"/>
                <c:pt idx="0">
                  <c:v>Value ($ Million)</c:v>
                </c:pt>
              </c:strCache>
            </c:strRef>
          </c:tx>
          <c:spPr>
            <a:solidFill>
              <a:srgbClr val="4198AF"/>
            </a:solidFill>
          </c:spPr>
          <c:invertIfNegative val="0"/>
          <c:cat>
            <c:numRef>
              <c:f>'Petroleum - Q&amp;V 1'!$T$39:$T$58</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'Petroleum - Q&amp;V 1'!$Z$39:$Z$58</c:f>
              <c:numCache>
                <c:formatCode>#,##0.00</c:formatCode>
                <c:ptCount val="20"/>
                <c:pt idx="0">
                  <c:v>9542.9867329999997</c:v>
                </c:pt>
                <c:pt idx="1">
                  <c:v>10621.047267999998</c:v>
                </c:pt>
                <c:pt idx="2">
                  <c:v>13250.037224</c:v>
                </c:pt>
                <c:pt idx="3">
                  <c:v>8627.4047559999999</c:v>
                </c:pt>
                <c:pt idx="4">
                  <c:v>11952.743108999999</c:v>
                </c:pt>
                <c:pt idx="5">
                  <c:v>12119.3411</c:v>
                </c:pt>
                <c:pt idx="6">
                  <c:v>10961.89465</c:v>
                </c:pt>
                <c:pt idx="7">
                  <c:v>9228.0147099999995</c:v>
                </c:pt>
                <c:pt idx="8">
                  <c:v>8573.8743172239065</c:v>
                </c:pt>
                <c:pt idx="9">
                  <c:v>6237.2813595666757</c:v>
                </c:pt>
                <c:pt idx="10">
                  <c:v>4297.0676656974283</c:v>
                </c:pt>
                <c:pt idx="11">
                  <c:v>4749.6278853210706</c:v>
                </c:pt>
                <c:pt idx="12">
                  <c:v>6796.6154984380446</c:v>
                </c:pt>
                <c:pt idx="13">
                  <c:v>9123.7566942248268</c:v>
                </c:pt>
                <c:pt idx="14">
                  <c:v>5359.4833150649956</c:v>
                </c:pt>
                <c:pt idx="15">
                  <c:v>9273.1309470193482</c:v>
                </c:pt>
                <c:pt idx="16">
                  <c:v>13148.040748329182</c:v>
                </c:pt>
                <c:pt idx="17">
                  <c:v>10439.200284074479</c:v>
                </c:pt>
                <c:pt idx="18">
                  <c:v>10303.221625632939</c:v>
                </c:pt>
                <c:pt idx="19">
                  <c:v>8547.5275164514351</c:v>
                </c:pt>
              </c:numCache>
            </c:numRef>
          </c:val>
          <c:extLst>
            <c:ext xmlns:c16="http://schemas.microsoft.com/office/drawing/2014/chart" uri="{C3380CC4-5D6E-409C-BE32-E72D297353CC}">
              <c16:uniqueId val="{00000000-DDC6-4515-9000-FB6B86B953A5}"/>
            </c:ext>
          </c:extLst>
        </c:ser>
        <c:dLbls>
          <c:showLegendKey val="0"/>
          <c:showVal val="0"/>
          <c:showCatName val="0"/>
          <c:showSerName val="0"/>
          <c:showPercent val="0"/>
          <c:showBubbleSize val="0"/>
        </c:dLbls>
        <c:gapWidth val="40"/>
        <c:overlap val="100"/>
        <c:axId val="135329664"/>
        <c:axId val="135344128"/>
      </c:barChart>
      <c:lineChart>
        <c:grouping val="standard"/>
        <c:varyColors val="0"/>
        <c:ser>
          <c:idx val="1"/>
          <c:order val="0"/>
          <c:tx>
            <c:strRef>
              <c:f>'Petroleum - Q&amp;V 1'!$Y$38</c:f>
              <c:strCache>
                <c:ptCount val="1"/>
                <c:pt idx="0">
                  <c:v>Quantity (GL)</c:v>
                </c:pt>
              </c:strCache>
            </c:strRef>
          </c:tx>
          <c:spPr>
            <a:ln w="28575">
              <a:solidFill>
                <a:srgbClr val="91C3D5"/>
              </a:solidFill>
            </a:ln>
          </c:spPr>
          <c:marker>
            <c:symbol val="none"/>
          </c:marker>
          <c:cat>
            <c:numRef>
              <c:f>'Petroleum - Q&amp;V 1'!$T$39:$T$58</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'Petroleum - Q&amp;V 1'!$Y$39:$Y$58</c:f>
              <c:numCache>
                <c:formatCode>#,##0.00</c:formatCode>
                <c:ptCount val="20"/>
                <c:pt idx="0">
                  <c:v>17.562943000000001</c:v>
                </c:pt>
                <c:pt idx="1">
                  <c:v>19.051446000000002</c:v>
                </c:pt>
                <c:pt idx="2">
                  <c:v>19.049435000000003</c:v>
                </c:pt>
                <c:pt idx="3">
                  <c:v>18.739460999999999</c:v>
                </c:pt>
                <c:pt idx="4">
                  <c:v>21.920589</c:v>
                </c:pt>
                <c:pt idx="5">
                  <c:v>18.335720000000002</c:v>
                </c:pt>
                <c:pt idx="6">
                  <c:v>15.991191000000001</c:v>
                </c:pt>
                <c:pt idx="7">
                  <c:v>12.828248</c:v>
                </c:pt>
                <c:pt idx="8">
                  <c:v>12.524324309000001</c:v>
                </c:pt>
                <c:pt idx="9">
                  <c:v>14.973535984</c:v>
                </c:pt>
                <c:pt idx="10">
                  <c:v>12.270888789022798</c:v>
                </c:pt>
                <c:pt idx="11">
                  <c:v>11.54600424643619</c:v>
                </c:pt>
                <c:pt idx="12">
                  <c:v>12.419739846484219</c:v>
                </c:pt>
                <c:pt idx="13">
                  <c:v>16.582424801030264</c:v>
                </c:pt>
                <c:pt idx="14">
                  <c:v>15.955466067341865</c:v>
                </c:pt>
                <c:pt idx="15">
                  <c:v>16.731844391425859</c:v>
                </c:pt>
                <c:pt idx="16">
                  <c:v>15.581096618170506</c:v>
                </c:pt>
                <c:pt idx="17">
                  <c:v>14.712702441858191</c:v>
                </c:pt>
                <c:pt idx="18">
                  <c:v>14.417610618731308</c:v>
                </c:pt>
                <c:pt idx="19">
                  <c:v>12.703280846932966</c:v>
                </c:pt>
              </c:numCache>
            </c:numRef>
          </c:val>
          <c:smooth val="0"/>
          <c:extLst>
            <c:ext xmlns:c16="http://schemas.microsoft.com/office/drawing/2014/chart" uri="{C3380CC4-5D6E-409C-BE32-E72D297353CC}">
              <c16:uniqueId val="{00000001-DDC6-4515-9000-FB6B86B953A5}"/>
            </c:ext>
          </c:extLst>
        </c:ser>
        <c:dLbls>
          <c:showLegendKey val="0"/>
          <c:showVal val="0"/>
          <c:showCatName val="0"/>
          <c:showSerName val="0"/>
          <c:showPercent val="0"/>
          <c:showBubbleSize val="0"/>
        </c:dLbls>
        <c:marker val="1"/>
        <c:smooth val="0"/>
        <c:axId val="618303920"/>
        <c:axId val="121975664"/>
      </c:lineChart>
      <c:catAx>
        <c:axId val="135329664"/>
        <c:scaling>
          <c:orientation val="minMax"/>
        </c:scaling>
        <c:delete val="0"/>
        <c:axPos val="b"/>
        <c:title>
          <c:tx>
            <c:rich>
              <a:bodyPr/>
              <a:lstStyle/>
              <a:p>
                <a:pPr>
                  <a:defRPr sz="900"/>
                </a:pPr>
                <a:r>
                  <a:rPr lang="en-AU" sz="900" b="1" i="0" u="none" strike="noStrike" baseline="0">
                    <a:effectLst/>
                  </a:rPr>
                  <a:t>Source: DMPE and EnergyQuest</a:t>
                </a:r>
                <a:endParaRPr lang="en-AU" sz="900"/>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344128"/>
        <c:crosses val="autoZero"/>
        <c:auto val="1"/>
        <c:lblAlgn val="ctr"/>
        <c:lblOffset val="100"/>
        <c:tickLblSkip val="1"/>
        <c:noMultiLvlLbl val="1"/>
      </c:catAx>
      <c:valAx>
        <c:axId val="135344128"/>
        <c:scaling>
          <c:orientation val="minMax"/>
          <c:max val="15000"/>
          <c:min val="0"/>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5329664"/>
        <c:crosses val="autoZero"/>
        <c:crossBetween val="between"/>
        <c:majorUnit val="3000"/>
      </c:valAx>
      <c:valAx>
        <c:axId val="121975664"/>
        <c:scaling>
          <c:orientation val="minMax"/>
        </c:scaling>
        <c:delete val="0"/>
        <c:axPos val="r"/>
        <c:title>
          <c:tx>
            <c:rich>
              <a:bodyPr/>
              <a:lstStyle/>
              <a:p>
                <a:pPr>
                  <a:defRPr/>
                </a:pPr>
                <a:r>
                  <a:rPr lang="en-AU" sz="1000" b="1" i="0" u="none" strike="noStrike" kern="1200" baseline="0">
                    <a:solidFill>
                      <a:sysClr val="windowText" lastClr="000000"/>
                    </a:solidFill>
                  </a:rPr>
                  <a:t>Gigalitres</a:t>
                </a:r>
              </a:p>
            </c:rich>
          </c:tx>
          <c:overlay val="0"/>
        </c:title>
        <c:numFmt formatCode="#,##0" sourceLinked="0"/>
        <c:majorTickMark val="out"/>
        <c:minorTickMark val="none"/>
        <c:tickLblPos val="nextTo"/>
        <c:crossAx val="618303920"/>
        <c:crosses val="max"/>
        <c:crossBetween val="between"/>
      </c:valAx>
      <c:catAx>
        <c:axId val="618303920"/>
        <c:scaling>
          <c:orientation val="minMax"/>
        </c:scaling>
        <c:delete val="1"/>
        <c:axPos val="b"/>
        <c:numFmt formatCode="General" sourceLinked="1"/>
        <c:majorTickMark val="out"/>
        <c:minorTickMark val="none"/>
        <c:tickLblPos val="nextTo"/>
        <c:crossAx val="121975664"/>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a:t>
            </a:r>
          </a:p>
          <a:p>
            <a:pPr>
              <a:defRPr/>
            </a:pPr>
            <a:r>
              <a:rPr lang="en-AU" sz="1050"/>
              <a:t>Quantity And Value By Quarter</a:t>
            </a:r>
          </a:p>
        </c:rich>
      </c:tx>
      <c:overlay val="0"/>
    </c:title>
    <c:autoTitleDeleted val="0"/>
    <c:plotArea>
      <c:layout/>
      <c:barChart>
        <c:barDir val="col"/>
        <c:grouping val="clustered"/>
        <c:varyColors val="0"/>
        <c:ser>
          <c:idx val="0"/>
          <c:order val="0"/>
          <c:tx>
            <c:v>Quantity</c:v>
          </c:tx>
          <c:invertIfNegative val="0"/>
          <c:cat>
            <c:numRef>
              <c:f>'Petroleum - Q&amp;V 2'!$Z$14:$Z$22</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'Petroleum - Q&amp;V 2'!$AA$14:$AA$22</c:f>
              <c:numCache>
                <c:formatCode>#,##0.00</c:formatCode>
                <c:ptCount val="9"/>
                <c:pt idx="0">
                  <c:v>11763031.099801024</c:v>
                </c:pt>
                <c:pt idx="1">
                  <c:v>12514813.679246552</c:v>
                </c:pt>
                <c:pt idx="2">
                  <c:v>11468922.402049195</c:v>
                </c:pt>
                <c:pt idx="3">
                  <c:v>12102881.709110316</c:v>
                </c:pt>
                <c:pt idx="4">
                  <c:v>11984074.443569288</c:v>
                </c:pt>
                <c:pt idx="5">
                  <c:v>11032082.914300151</c:v>
                </c:pt>
                <c:pt idx="6">
                  <c:v>10822500.328575438</c:v>
                </c:pt>
                <c:pt idx="7">
                  <c:v>11226308.019656746</c:v>
                </c:pt>
                <c:pt idx="8">
                  <c:v>11234855.556556832</c:v>
                </c:pt>
              </c:numCache>
            </c:numRef>
          </c:val>
          <c:extLst>
            <c:ext xmlns:c16="http://schemas.microsoft.com/office/drawing/2014/chart" uri="{C3380CC4-5D6E-409C-BE32-E72D297353CC}">
              <c16:uniqueId val="{00000000-EF11-4DA3-A003-38BBF4727A98}"/>
            </c:ext>
          </c:extLst>
        </c:ser>
        <c:dLbls>
          <c:showLegendKey val="0"/>
          <c:showVal val="0"/>
          <c:showCatName val="0"/>
          <c:showSerName val="0"/>
          <c:showPercent val="0"/>
          <c:showBubbleSize val="0"/>
        </c:dLbls>
        <c:gapWidth val="40"/>
        <c:axId val="133932544"/>
        <c:axId val="133921792"/>
      </c:barChart>
      <c:lineChart>
        <c:grouping val="standard"/>
        <c:varyColors val="0"/>
        <c:ser>
          <c:idx val="1"/>
          <c:order val="1"/>
          <c:tx>
            <c:v>Value</c:v>
          </c:tx>
          <c:spPr>
            <a:ln w="28575"/>
          </c:spPr>
          <c:marker>
            <c:symbol val="none"/>
          </c:marker>
          <c:cat>
            <c:numRef>
              <c:f>'Petroleum - Q&amp;V 2'!$Z$14:$Z$22</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'Petroleum - Q&amp;V 2'!$AB$14:$AB$22</c:f>
              <c:numCache>
                <c:formatCode>#,##0.00</c:formatCode>
                <c:ptCount val="9"/>
                <c:pt idx="0">
                  <c:v>9759.7429481689906</c:v>
                </c:pt>
                <c:pt idx="1">
                  <c:v>9613.6318564179201</c:v>
                </c:pt>
                <c:pt idx="2">
                  <c:v>7898.8149657259219</c:v>
                </c:pt>
                <c:pt idx="3">
                  <c:v>8930.3718609523967</c:v>
                </c:pt>
                <c:pt idx="4">
                  <c:v>9242.737156355739</c:v>
                </c:pt>
                <c:pt idx="5">
                  <c:v>9257.5203291933449</c:v>
                </c:pt>
                <c:pt idx="6">
                  <c:v>7274.1235993603786</c:v>
                </c:pt>
                <c:pt idx="7">
                  <c:v>7758.3336979305168</c:v>
                </c:pt>
                <c:pt idx="8">
                  <c:v>7561.5348336975367</c:v>
                </c:pt>
              </c:numCache>
            </c:numRef>
          </c:val>
          <c:smooth val="0"/>
          <c:extLst>
            <c:ext xmlns:c16="http://schemas.microsoft.com/office/drawing/2014/chart" uri="{C3380CC4-5D6E-409C-BE32-E72D297353CC}">
              <c16:uniqueId val="{00000001-EF11-4DA3-A003-38BBF4727A98}"/>
            </c:ext>
          </c:extLst>
        </c:ser>
        <c:dLbls>
          <c:showLegendKey val="0"/>
          <c:showVal val="0"/>
          <c:showCatName val="0"/>
          <c:showSerName val="0"/>
          <c:showPercent val="0"/>
          <c:showBubbleSize val="0"/>
        </c:dLbls>
        <c:marker val="1"/>
        <c:smooth val="0"/>
        <c:axId val="133913600"/>
        <c:axId val="133919872"/>
      </c:lineChart>
      <c:catAx>
        <c:axId val="133913600"/>
        <c:scaling>
          <c:orientation val="minMax"/>
        </c:scaling>
        <c:delete val="0"/>
        <c:axPos val="b"/>
        <c:title>
          <c:tx>
            <c:rich>
              <a:bodyPr/>
              <a:lstStyle/>
              <a:p>
                <a:pPr>
                  <a:defRPr/>
                </a:pPr>
                <a:r>
                  <a:rPr lang="en-AU" sz="1000" b="1" i="0" u="none" strike="noStrike" baseline="0">
                    <a:effectLst/>
                  </a:rPr>
                  <a:t>Source: DMPE, EnergyQuest, and Woodside</a:t>
                </a:r>
                <a:endParaRPr lang="en-AU"/>
              </a:p>
            </c:rich>
          </c:tx>
          <c:layout>
            <c:manualLayout>
              <c:xMode val="edge"/>
              <c:yMode val="edge"/>
              <c:x val="8.5945394006659275E-3"/>
              <c:y val="0.94066460702786325"/>
            </c:manualLayout>
          </c:layout>
          <c:overlay val="0"/>
          <c:spPr>
            <a:noFill/>
          </c:spPr>
        </c:title>
        <c:numFmt formatCode="mmm\-yy" sourceLinked="1"/>
        <c:majorTickMark val="out"/>
        <c:minorTickMark val="none"/>
        <c:tickLblPos val="nextTo"/>
        <c:txPr>
          <a:bodyPr rot="-2700000"/>
          <a:lstStyle/>
          <a:p>
            <a:pPr>
              <a:defRPr/>
            </a:pPr>
            <a:endParaRPr lang="en-US"/>
          </a:p>
        </c:txPr>
        <c:crossAx val="133919872"/>
        <c:crosses val="autoZero"/>
        <c:auto val="0"/>
        <c:lblAlgn val="ctr"/>
        <c:lblOffset val="100"/>
        <c:noMultiLvlLbl val="0"/>
      </c:catAx>
      <c:valAx>
        <c:axId val="133919872"/>
        <c:scaling>
          <c:orientation val="minMax"/>
          <c:max val="14000"/>
        </c:scaling>
        <c:delete val="0"/>
        <c:axPos val="l"/>
        <c:majorGridlines/>
        <c:title>
          <c:tx>
            <c:rich>
              <a:bodyPr rot="-5400000" vert="horz"/>
              <a:lstStyle/>
              <a:p>
                <a:pPr>
                  <a:defRPr/>
                </a:pPr>
                <a:r>
                  <a:rPr lang="en-AU"/>
                  <a:t>$ Million</a:t>
                </a:r>
              </a:p>
            </c:rich>
          </c:tx>
          <c:layout>
            <c:manualLayout>
              <c:xMode val="edge"/>
              <c:yMode val="edge"/>
              <c:x val="2.0182981773337168E-2"/>
              <c:y val="0.45828853848480255"/>
            </c:manualLayout>
          </c:layout>
          <c:overlay val="0"/>
        </c:title>
        <c:numFmt formatCode="#,##0" sourceLinked="0"/>
        <c:majorTickMark val="out"/>
        <c:minorTickMark val="none"/>
        <c:tickLblPos val="nextTo"/>
        <c:crossAx val="133913600"/>
        <c:crosses val="autoZero"/>
        <c:crossBetween val="between"/>
      </c:valAx>
      <c:valAx>
        <c:axId val="133921792"/>
        <c:scaling>
          <c:orientation val="minMax"/>
          <c:min val="0"/>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932544"/>
        <c:crosses val="max"/>
        <c:crossBetween val="between"/>
        <c:dispUnits>
          <c:builtInUnit val="millions"/>
        </c:dispUnits>
      </c:valAx>
      <c:dateAx>
        <c:axId val="133932544"/>
        <c:scaling>
          <c:orientation val="minMax"/>
        </c:scaling>
        <c:delete val="1"/>
        <c:axPos val="b"/>
        <c:numFmt formatCode="mmm\-yy" sourceLinked="1"/>
        <c:majorTickMark val="out"/>
        <c:minorTickMark val="none"/>
        <c:tickLblPos val="nextTo"/>
        <c:crossAx val="13392179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Year</a:t>
            </a:r>
          </a:p>
        </c:rich>
      </c:tx>
      <c:overlay val="0"/>
    </c:title>
    <c:autoTitleDeleted val="0"/>
    <c:plotArea>
      <c:layout/>
      <c:barChart>
        <c:barDir val="col"/>
        <c:grouping val="clustered"/>
        <c:varyColors val="0"/>
        <c:ser>
          <c:idx val="1"/>
          <c:order val="0"/>
          <c:tx>
            <c:strRef>
              <c:f>'Alumina and Bauxite - Q&amp;V'!$U$36</c:f>
              <c:strCache>
                <c:ptCount val="1"/>
                <c:pt idx="0">
                  <c:v>Quantity (Mt)</c:v>
                </c:pt>
              </c:strCache>
            </c:strRef>
          </c:tx>
          <c:invertIfNegative val="0"/>
          <c:cat>
            <c:numRef>
              <c:f>'Alumina and Bauxite - Q&amp;V'!$T$37:$T$56</c:f>
              <c:numCache>
                <c:formatCode>General</c:formatCode>
                <c:ptCount val="20"/>
                <c:pt idx="0">
                  <c:v>2006</c:v>
                </c:pt>
                <c:pt idx="1">
                  <c:v>2007</c:v>
                </c:pt>
                <c:pt idx="2">
                  <c:v>2008</c:v>
                </c:pt>
                <c:pt idx="3">
                  <c:v>2009</c:v>
                </c:pt>
                <c:pt idx="4">
                  <c:v>2010</c:v>
                </c:pt>
                <c:pt idx="5">
                  <c:v>2011</c:v>
                </c:pt>
                <c:pt idx="6" formatCode="0">
                  <c:v>2012</c:v>
                </c:pt>
                <c:pt idx="7" formatCode="0">
                  <c:v>2013</c:v>
                </c:pt>
                <c:pt idx="8" formatCode="0">
                  <c:v>2014</c:v>
                </c:pt>
                <c:pt idx="9" formatCode="0">
                  <c:v>2015</c:v>
                </c:pt>
                <c:pt idx="10" formatCode="0">
                  <c:v>2016</c:v>
                </c:pt>
                <c:pt idx="11" formatCode="0">
                  <c:v>2017</c:v>
                </c:pt>
                <c:pt idx="12" formatCode="0">
                  <c:v>2018</c:v>
                </c:pt>
                <c:pt idx="13" formatCode="0">
                  <c:v>2019</c:v>
                </c:pt>
                <c:pt idx="14" formatCode="0">
                  <c:v>2020</c:v>
                </c:pt>
                <c:pt idx="15" formatCode="0">
                  <c:v>2021</c:v>
                </c:pt>
                <c:pt idx="16" formatCode="0">
                  <c:v>2022</c:v>
                </c:pt>
                <c:pt idx="17" formatCode="0">
                  <c:v>2023</c:v>
                </c:pt>
                <c:pt idx="18" formatCode="0">
                  <c:v>2024</c:v>
                </c:pt>
                <c:pt idx="19" formatCode="0">
                  <c:v>2025</c:v>
                </c:pt>
              </c:numCache>
            </c:numRef>
          </c:cat>
          <c:val>
            <c:numRef>
              <c:f>'Alumina and Bauxite - Q&amp;V'!$U$37:$U$56</c:f>
              <c:numCache>
                <c:formatCode>0.00</c:formatCode>
                <c:ptCount val="20"/>
                <c:pt idx="0">
                  <c:v>11.82174775</c:v>
                </c:pt>
                <c:pt idx="1">
                  <c:v>12.193625759000001</c:v>
                </c:pt>
                <c:pt idx="2">
                  <c:v>12.245763095999999</c:v>
                </c:pt>
                <c:pt idx="3">
                  <c:v>12.42197</c:v>
                </c:pt>
                <c:pt idx="4">
                  <c:v>12.563285</c:v>
                </c:pt>
                <c:pt idx="5">
                  <c:v>12.291484000000001</c:v>
                </c:pt>
                <c:pt idx="6">
                  <c:v>12.81154939</c:v>
                </c:pt>
                <c:pt idx="7">
                  <c:v>13.625703529999999</c:v>
                </c:pt>
                <c:pt idx="8">
                  <c:v>13.876846259999999</c:v>
                </c:pt>
                <c:pt idx="9">
                  <c:v>13.778493585999998</c:v>
                </c:pt>
                <c:pt idx="10">
                  <c:v>13.922088889999999</c:v>
                </c:pt>
                <c:pt idx="11">
                  <c:v>14.671006449999998</c:v>
                </c:pt>
                <c:pt idx="12">
                  <c:v>14.979393799999997</c:v>
                </c:pt>
                <c:pt idx="13">
                  <c:v>15.885883452999998</c:v>
                </c:pt>
                <c:pt idx="14">
                  <c:v>16.198470989999997</c:v>
                </c:pt>
                <c:pt idx="15">
                  <c:v>15.2645722</c:v>
                </c:pt>
                <c:pt idx="16">
                  <c:v>13.451525954000001</c:v>
                </c:pt>
                <c:pt idx="17">
                  <c:v>12.733554529999999</c:v>
                </c:pt>
                <c:pt idx="18">
                  <c:v>11.422483994</c:v>
                </c:pt>
                <c:pt idx="19">
                  <c:v>10.998568907999999</c:v>
                </c:pt>
              </c:numCache>
            </c:numRef>
          </c:val>
          <c:extLst>
            <c:ext xmlns:c16="http://schemas.microsoft.com/office/drawing/2014/chart" uri="{C3380CC4-5D6E-409C-BE32-E72D297353CC}">
              <c16:uniqueId val="{00000000-D8BB-40FB-82BD-368372BF1C84}"/>
            </c:ext>
          </c:extLst>
        </c:ser>
        <c:dLbls>
          <c:showLegendKey val="0"/>
          <c:showVal val="0"/>
          <c:showCatName val="0"/>
          <c:showSerName val="0"/>
          <c:showPercent val="0"/>
          <c:showBubbleSize val="0"/>
        </c:dLbls>
        <c:gapWidth val="50"/>
        <c:axId val="1426405871"/>
        <c:axId val="1982850256"/>
      </c:barChart>
      <c:lineChart>
        <c:grouping val="standard"/>
        <c:varyColors val="0"/>
        <c:ser>
          <c:idx val="2"/>
          <c:order val="1"/>
          <c:tx>
            <c:strRef>
              <c:f>'Alumina and Bauxite - Q&amp;V'!$V$36</c:f>
              <c:strCache>
                <c:ptCount val="1"/>
                <c:pt idx="0">
                  <c:v>Value ($ Million)</c:v>
                </c:pt>
              </c:strCache>
            </c:strRef>
          </c:tx>
          <c:spPr>
            <a:ln w="28575">
              <a:solidFill>
                <a:srgbClr val="B9CD96"/>
              </a:solidFill>
            </a:ln>
          </c:spPr>
          <c:marker>
            <c:symbol val="none"/>
          </c:marker>
          <c:cat>
            <c:numRef>
              <c:f>'Alumina and Bauxite - Q&amp;V'!$T$37:$T$56</c:f>
              <c:numCache>
                <c:formatCode>General</c:formatCode>
                <c:ptCount val="20"/>
                <c:pt idx="0">
                  <c:v>2006</c:v>
                </c:pt>
                <c:pt idx="1">
                  <c:v>2007</c:v>
                </c:pt>
                <c:pt idx="2">
                  <c:v>2008</c:v>
                </c:pt>
                <c:pt idx="3">
                  <c:v>2009</c:v>
                </c:pt>
                <c:pt idx="4">
                  <c:v>2010</c:v>
                </c:pt>
                <c:pt idx="5">
                  <c:v>2011</c:v>
                </c:pt>
                <c:pt idx="6" formatCode="0">
                  <c:v>2012</c:v>
                </c:pt>
                <c:pt idx="7" formatCode="0">
                  <c:v>2013</c:v>
                </c:pt>
                <c:pt idx="8" formatCode="0">
                  <c:v>2014</c:v>
                </c:pt>
                <c:pt idx="9" formatCode="0">
                  <c:v>2015</c:v>
                </c:pt>
                <c:pt idx="10" formatCode="0">
                  <c:v>2016</c:v>
                </c:pt>
                <c:pt idx="11" formatCode="0">
                  <c:v>2017</c:v>
                </c:pt>
                <c:pt idx="12" formatCode="0">
                  <c:v>2018</c:v>
                </c:pt>
                <c:pt idx="13" formatCode="0">
                  <c:v>2019</c:v>
                </c:pt>
                <c:pt idx="14" formatCode="0">
                  <c:v>2020</c:v>
                </c:pt>
                <c:pt idx="15" formatCode="0">
                  <c:v>2021</c:v>
                </c:pt>
                <c:pt idx="16" formatCode="0">
                  <c:v>2022</c:v>
                </c:pt>
                <c:pt idx="17" formatCode="0">
                  <c:v>2023</c:v>
                </c:pt>
                <c:pt idx="18" formatCode="0">
                  <c:v>2024</c:v>
                </c:pt>
                <c:pt idx="19" formatCode="0">
                  <c:v>2025</c:v>
                </c:pt>
              </c:numCache>
            </c:numRef>
          </c:cat>
          <c:val>
            <c:numRef>
              <c:f>'Alumina and Bauxite - Q&amp;V'!$V$37:$V$56</c:f>
              <c:numCache>
                <c:formatCode>"$"#,##0.00</c:formatCode>
                <c:ptCount val="20"/>
                <c:pt idx="0">
                  <c:v>4921.7215114199998</c:v>
                </c:pt>
                <c:pt idx="1">
                  <c:v>5048.3498728499999</c:v>
                </c:pt>
                <c:pt idx="2">
                  <c:v>4759.5109524</c:v>
                </c:pt>
                <c:pt idx="3">
                  <c:v>3800.77350918</c:v>
                </c:pt>
                <c:pt idx="4">
                  <c:v>3959.4147508300002</c:v>
                </c:pt>
                <c:pt idx="5">
                  <c:v>4189.4656799999993</c:v>
                </c:pt>
                <c:pt idx="6">
                  <c:v>3831.1474719999997</c:v>
                </c:pt>
                <c:pt idx="7">
                  <c:v>4147.0508929999996</c:v>
                </c:pt>
                <c:pt idx="8">
                  <c:v>4561.7391589999997</c:v>
                </c:pt>
                <c:pt idx="9">
                  <c:v>5290.3826119999994</c:v>
                </c:pt>
                <c:pt idx="10">
                  <c:v>4584.1956790000004</c:v>
                </c:pt>
                <c:pt idx="11">
                  <c:v>5878.3498520000003</c:v>
                </c:pt>
                <c:pt idx="12">
                  <c:v>7924.8548729999993</c:v>
                </c:pt>
                <c:pt idx="13">
                  <c:v>7361.2106919999997</c:v>
                </c:pt>
                <c:pt idx="14">
                  <c:v>5855.7403219999997</c:v>
                </c:pt>
                <c:pt idx="15">
                  <c:v>5924.6599470000001</c:v>
                </c:pt>
                <c:pt idx="16">
                  <c:v>6855.199075999999</c:v>
                </c:pt>
                <c:pt idx="17">
                  <c:v>6566.738464</c:v>
                </c:pt>
                <c:pt idx="18">
                  <c:v>7367.9030139999995</c:v>
                </c:pt>
                <c:pt idx="19">
                  <c:v>7702.5620019999988</c:v>
                </c:pt>
              </c:numCache>
            </c:numRef>
          </c:val>
          <c:smooth val="0"/>
          <c:extLst>
            <c:ext xmlns:c16="http://schemas.microsoft.com/office/drawing/2014/chart" uri="{C3380CC4-5D6E-409C-BE32-E72D297353CC}">
              <c16:uniqueId val="{00000001-D8BB-40FB-82BD-368372BF1C84}"/>
            </c:ext>
          </c:extLst>
        </c:ser>
        <c:dLbls>
          <c:showLegendKey val="0"/>
          <c:showVal val="0"/>
          <c:showCatName val="0"/>
          <c:showSerName val="0"/>
          <c:showPercent val="0"/>
          <c:showBubbleSize val="0"/>
        </c:dLbls>
        <c:marker val="1"/>
        <c:smooth val="0"/>
        <c:axId val="117312512"/>
        <c:axId val="117314688"/>
      </c:lineChart>
      <c:catAx>
        <c:axId val="117312512"/>
        <c:scaling>
          <c:orientation val="minMax"/>
        </c:scaling>
        <c:delete val="0"/>
        <c:axPos val="b"/>
        <c:title>
          <c:tx>
            <c:rich>
              <a:bodyPr/>
              <a:lstStyle/>
              <a:p>
                <a:pPr>
                  <a:defRPr sz="900"/>
                </a:pPr>
                <a:r>
                  <a:rPr lang="en-AU" sz="900"/>
                  <a:t>Source: </a:t>
                </a:r>
                <a:r>
                  <a:rPr lang="en-AU" sz="900" b="1" i="0" u="none" strike="noStrike" kern="1200" baseline="0">
                    <a:solidFill>
                      <a:sysClr val="windowText" lastClr="000000"/>
                    </a:solidFill>
                  </a:rPr>
                  <a:t>DTF and DMPE</a:t>
                </a:r>
                <a:endParaRPr lang="en-AU" sz="900"/>
              </a:p>
            </c:rich>
          </c:tx>
          <c:layout>
            <c:manualLayout>
              <c:xMode val="edge"/>
              <c:yMode val="edge"/>
              <c:x val="1.5915954545156714E-2"/>
              <c:y val="0.93794295968289965"/>
            </c:manualLayout>
          </c:layout>
          <c:overlay val="0"/>
          <c:spPr>
            <a:noFill/>
          </c:spPr>
        </c:title>
        <c:numFmt formatCode="@@@@@@@@@" sourceLinked="0"/>
        <c:majorTickMark val="out"/>
        <c:minorTickMark val="none"/>
        <c:tickLblPos val="nextTo"/>
        <c:txPr>
          <a:bodyPr rot="-2700000"/>
          <a:lstStyle/>
          <a:p>
            <a:pPr>
              <a:defRPr/>
            </a:pPr>
            <a:endParaRPr lang="en-US"/>
          </a:p>
        </c:txPr>
        <c:crossAx val="117314688"/>
        <c:crosses val="autoZero"/>
        <c:auto val="0"/>
        <c:lblAlgn val="ctr"/>
        <c:lblOffset val="100"/>
        <c:tickLblSkip val="1"/>
        <c:noMultiLvlLbl val="1"/>
      </c:catAx>
      <c:valAx>
        <c:axId val="117314688"/>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7312512"/>
        <c:crosses val="autoZero"/>
        <c:crossBetween val="between"/>
      </c:valAx>
      <c:valAx>
        <c:axId val="1982850256"/>
        <c:scaling>
          <c:orientation val="minMax"/>
        </c:scaling>
        <c:delete val="0"/>
        <c:axPos val="r"/>
        <c:title>
          <c:tx>
            <c:rich>
              <a:bodyPr/>
              <a:lstStyle/>
              <a:p>
                <a:pPr>
                  <a:defRPr/>
                </a:pPr>
                <a:r>
                  <a:rPr lang="en-AU"/>
                  <a:t>Million tonnes</a:t>
                </a:r>
              </a:p>
            </c:rich>
          </c:tx>
          <c:overlay val="0"/>
        </c:title>
        <c:numFmt formatCode="#,##0" sourceLinked="0"/>
        <c:majorTickMark val="out"/>
        <c:minorTickMark val="none"/>
        <c:tickLblPos val="nextTo"/>
        <c:crossAx val="1426405871"/>
        <c:crosses val="max"/>
        <c:crossBetween val="between"/>
      </c:valAx>
      <c:catAx>
        <c:axId val="1426405871"/>
        <c:scaling>
          <c:orientation val="minMax"/>
        </c:scaling>
        <c:delete val="1"/>
        <c:axPos val="b"/>
        <c:numFmt formatCode="General" sourceLinked="1"/>
        <c:majorTickMark val="out"/>
        <c:minorTickMark val="none"/>
        <c:tickLblPos val="nextTo"/>
        <c:crossAx val="1982850256"/>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600"/>
              <a:t>LPG - Butane And Propane</a:t>
            </a:r>
          </a:p>
          <a:p>
            <a:pPr>
              <a:defRPr/>
            </a:pPr>
            <a:r>
              <a:rPr lang="en-AU" sz="1050"/>
              <a:t>Quantity And Value By Quarter</a:t>
            </a:r>
          </a:p>
        </c:rich>
      </c:tx>
      <c:overlay val="0"/>
    </c:title>
    <c:autoTitleDeleted val="0"/>
    <c:plotArea>
      <c:layout/>
      <c:barChart>
        <c:barDir val="col"/>
        <c:grouping val="clustered"/>
        <c:varyColors val="0"/>
        <c:ser>
          <c:idx val="0"/>
          <c:order val="0"/>
          <c:tx>
            <c:v>Quantity</c:v>
          </c:tx>
          <c:invertIfNegative val="0"/>
          <c:cat>
            <c:numRef>
              <c:f>'Petroleum - Q&amp;V 2'!$Z$38:$Z$46</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'Petroleum - Q&amp;V 2'!$AA$38:$AA$46</c:f>
              <c:numCache>
                <c:formatCode>#,##0.00</c:formatCode>
                <c:ptCount val="9"/>
                <c:pt idx="0">
                  <c:v>117268.65834860383</c:v>
                </c:pt>
                <c:pt idx="1">
                  <c:v>166359.72104137004</c:v>
                </c:pt>
                <c:pt idx="2">
                  <c:v>213257.10238466944</c:v>
                </c:pt>
                <c:pt idx="3">
                  <c:v>217334.2820420716</c:v>
                </c:pt>
                <c:pt idx="4">
                  <c:v>208978.34773016852</c:v>
                </c:pt>
                <c:pt idx="5">
                  <c:v>142984.80730682853</c:v>
                </c:pt>
                <c:pt idx="6">
                  <c:v>224004.93929995998</c:v>
                </c:pt>
                <c:pt idx="7">
                  <c:v>155969.89815555001</c:v>
                </c:pt>
                <c:pt idx="8">
                  <c:v>150699.30029326121</c:v>
                </c:pt>
              </c:numCache>
            </c:numRef>
          </c:val>
          <c:extLst>
            <c:ext xmlns:c16="http://schemas.microsoft.com/office/drawing/2014/chart" uri="{C3380CC4-5D6E-409C-BE32-E72D297353CC}">
              <c16:uniqueId val="{00000000-87B0-4DCC-814E-B0A52987EEEF}"/>
            </c:ext>
          </c:extLst>
        </c:ser>
        <c:dLbls>
          <c:showLegendKey val="0"/>
          <c:showVal val="0"/>
          <c:showCatName val="0"/>
          <c:showSerName val="0"/>
          <c:showPercent val="0"/>
          <c:showBubbleSize val="0"/>
        </c:dLbls>
        <c:gapWidth val="40"/>
        <c:axId val="134241280"/>
        <c:axId val="134238976"/>
      </c:barChart>
      <c:lineChart>
        <c:grouping val="standard"/>
        <c:varyColors val="0"/>
        <c:ser>
          <c:idx val="1"/>
          <c:order val="1"/>
          <c:tx>
            <c:v>Value</c:v>
          </c:tx>
          <c:spPr>
            <a:ln w="28575"/>
          </c:spPr>
          <c:marker>
            <c:symbol val="none"/>
          </c:marker>
          <c:cat>
            <c:numRef>
              <c:f>'Petroleum - Q&amp;V 2'!$Z$38:$Z$46</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'Petroleum - Q&amp;V 2'!$AB$38:$AB$46</c:f>
              <c:numCache>
                <c:formatCode>#,##0.00</c:formatCode>
                <c:ptCount val="9"/>
                <c:pt idx="0">
                  <c:v>94.878573084950787</c:v>
                </c:pt>
                <c:pt idx="1">
                  <c:v>142.28655369599912</c:v>
                </c:pt>
                <c:pt idx="2">
                  <c:v>182.61724802081574</c:v>
                </c:pt>
                <c:pt idx="3">
                  <c:v>177.5999204019262</c:v>
                </c:pt>
                <c:pt idx="4">
                  <c:v>194.3851587531166</c:v>
                </c:pt>
                <c:pt idx="5">
                  <c:v>59.635327133643045</c:v>
                </c:pt>
                <c:pt idx="6">
                  <c:v>186.68275218032045</c:v>
                </c:pt>
                <c:pt idx="7">
                  <c:v>55.016882096986855</c:v>
                </c:pt>
                <c:pt idx="8">
                  <c:v>80.601005498022815</c:v>
                </c:pt>
              </c:numCache>
            </c:numRef>
          </c:val>
          <c:smooth val="0"/>
          <c:extLst>
            <c:ext xmlns:c16="http://schemas.microsoft.com/office/drawing/2014/chart" uri="{C3380CC4-5D6E-409C-BE32-E72D297353CC}">
              <c16:uniqueId val="{00000001-87B0-4DCC-814E-B0A52987EEEF}"/>
            </c:ext>
          </c:extLst>
        </c:ser>
        <c:dLbls>
          <c:showLegendKey val="0"/>
          <c:showVal val="0"/>
          <c:showCatName val="0"/>
          <c:showSerName val="0"/>
          <c:showPercent val="0"/>
          <c:showBubbleSize val="0"/>
        </c:dLbls>
        <c:marker val="1"/>
        <c:smooth val="0"/>
        <c:axId val="134234880"/>
        <c:axId val="134236800"/>
      </c:lineChart>
      <c:catAx>
        <c:axId val="134234880"/>
        <c:scaling>
          <c:orientation val="minMax"/>
        </c:scaling>
        <c:delete val="0"/>
        <c:axPos val="b"/>
        <c:title>
          <c:tx>
            <c:rich>
              <a:bodyPr/>
              <a:lstStyle/>
              <a:p>
                <a:pPr>
                  <a:defRPr sz="900"/>
                </a:pPr>
                <a:r>
                  <a:rPr lang="en-AU" sz="900" b="1" i="0" baseline="0">
                    <a:effectLst/>
                  </a:rPr>
                  <a:t>Source: DMPE, EnergyQuest and Woodside</a:t>
                </a:r>
                <a:endParaRPr lang="en-AU" sz="900">
                  <a:effectLst/>
                </a:endParaRPr>
              </a:p>
            </c:rich>
          </c:tx>
          <c:layout>
            <c:manualLayout>
              <c:xMode val="edge"/>
              <c:yMode val="edge"/>
              <c:x val="0"/>
              <c:y val="0.94649534819531755"/>
            </c:manualLayout>
          </c:layout>
          <c:overlay val="0"/>
          <c:spPr>
            <a:noFill/>
          </c:spPr>
        </c:title>
        <c:numFmt formatCode="mmm\-yy" sourceLinked="1"/>
        <c:majorTickMark val="out"/>
        <c:minorTickMark val="none"/>
        <c:tickLblPos val="nextTo"/>
        <c:txPr>
          <a:bodyPr rot="-2700000"/>
          <a:lstStyle/>
          <a:p>
            <a:pPr>
              <a:defRPr/>
            </a:pPr>
            <a:endParaRPr lang="en-US"/>
          </a:p>
        </c:txPr>
        <c:crossAx val="134236800"/>
        <c:crosses val="autoZero"/>
        <c:auto val="0"/>
        <c:lblAlgn val="ctr"/>
        <c:lblOffset val="100"/>
        <c:noMultiLvlLbl val="0"/>
      </c:catAx>
      <c:valAx>
        <c:axId val="13423680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234880"/>
        <c:crosses val="autoZero"/>
        <c:crossBetween val="between"/>
      </c:valAx>
      <c:valAx>
        <c:axId val="134238976"/>
        <c:scaling>
          <c:orientation val="minMax"/>
        </c:scaling>
        <c:delete val="0"/>
        <c:axPos val="r"/>
        <c:title>
          <c:tx>
            <c:rich>
              <a:bodyPr rot="-5400000" vert="horz"/>
              <a:lstStyle/>
              <a:p>
                <a:pPr>
                  <a:defRPr/>
                </a:pPr>
                <a:r>
                  <a:rPr lang="en-AU"/>
                  <a:t>Thousand Tonnes</a:t>
                </a:r>
              </a:p>
            </c:rich>
          </c:tx>
          <c:overlay val="0"/>
        </c:title>
        <c:numFmt formatCode="#,##0_ ;\-#,##0\ " sourceLinked="0"/>
        <c:majorTickMark val="out"/>
        <c:minorTickMark val="none"/>
        <c:tickLblPos val="nextTo"/>
        <c:crossAx val="134241280"/>
        <c:crosses val="max"/>
        <c:crossBetween val="between"/>
        <c:dispUnits>
          <c:builtInUnit val="thousands"/>
        </c:dispUnits>
      </c:valAx>
      <c:dateAx>
        <c:axId val="134241280"/>
        <c:scaling>
          <c:orientation val="minMax"/>
        </c:scaling>
        <c:delete val="1"/>
        <c:axPos val="b"/>
        <c:numFmt formatCode="mmm\-yy" sourceLinked="1"/>
        <c:majorTickMark val="out"/>
        <c:minorTickMark val="none"/>
        <c:tickLblPos val="nextTo"/>
        <c:crossAx val="13423897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a:t>Domestic Gas</a:t>
            </a:r>
            <a:endParaRPr lang="en-AU" sz="1600"/>
          </a:p>
          <a:p>
            <a:pPr>
              <a:defRPr/>
            </a:pPr>
            <a:r>
              <a:rPr lang="en-AU" sz="1050"/>
              <a:t>Quantity And Value By Quarter</a:t>
            </a:r>
          </a:p>
        </c:rich>
      </c:tx>
      <c:overlay val="0"/>
    </c:title>
    <c:autoTitleDeleted val="0"/>
    <c:plotArea>
      <c:layout/>
      <c:barChart>
        <c:barDir val="col"/>
        <c:grouping val="clustered"/>
        <c:varyColors val="0"/>
        <c:ser>
          <c:idx val="0"/>
          <c:order val="0"/>
          <c:tx>
            <c:v>Quantity</c:v>
          </c:tx>
          <c:invertIfNegative val="0"/>
          <c:cat>
            <c:numRef>
              <c:f>'Petroleum - Q&amp;V 2'!$Z$62:$Z$70</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'Petroleum - Q&amp;V 2'!$AA$62:$AA$70</c:f>
              <c:numCache>
                <c:formatCode>#,##0.00</c:formatCode>
                <c:ptCount val="9"/>
                <c:pt idx="0">
                  <c:v>2820180.6252250001</c:v>
                </c:pt>
                <c:pt idx="1">
                  <c:v>2681709.6549549997</c:v>
                </c:pt>
                <c:pt idx="2">
                  <c:v>3007627.3853699993</c:v>
                </c:pt>
                <c:pt idx="3">
                  <c:v>3020128.3598300004</c:v>
                </c:pt>
                <c:pt idx="4">
                  <c:v>3015494.5621249997</c:v>
                </c:pt>
                <c:pt idx="5">
                  <c:v>2707730.7639899999</c:v>
                </c:pt>
                <c:pt idx="6">
                  <c:v>3050034.2914599995</c:v>
                </c:pt>
                <c:pt idx="7">
                  <c:v>2916296.3064800003</c:v>
                </c:pt>
                <c:pt idx="8">
                  <c:v>2892945.8101500003</c:v>
                </c:pt>
              </c:numCache>
            </c:numRef>
          </c:val>
          <c:extLst>
            <c:ext xmlns:c16="http://schemas.microsoft.com/office/drawing/2014/chart" uri="{C3380CC4-5D6E-409C-BE32-E72D297353CC}">
              <c16:uniqueId val="{00000000-DE99-4A48-8EC2-842C932342B9}"/>
            </c:ext>
          </c:extLst>
        </c:ser>
        <c:dLbls>
          <c:showLegendKey val="0"/>
          <c:showVal val="0"/>
          <c:showCatName val="0"/>
          <c:showSerName val="0"/>
          <c:showPercent val="0"/>
          <c:showBubbleSize val="0"/>
        </c:dLbls>
        <c:gapWidth val="40"/>
        <c:axId val="134312320"/>
        <c:axId val="134293376"/>
      </c:barChart>
      <c:lineChart>
        <c:grouping val="standard"/>
        <c:varyColors val="0"/>
        <c:ser>
          <c:idx val="1"/>
          <c:order val="1"/>
          <c:tx>
            <c:v>Value</c:v>
          </c:tx>
          <c:spPr>
            <a:ln w="28575"/>
          </c:spPr>
          <c:marker>
            <c:symbol val="none"/>
          </c:marker>
          <c:cat>
            <c:numRef>
              <c:f>'Petroleum - Q&amp;V 2'!$Z$62:$Z$70</c:f>
              <c:numCache>
                <c:formatCode>mmm\-yy</c:formatCode>
                <c:ptCount val="9"/>
                <c:pt idx="0">
                  <c:v>45261</c:v>
                </c:pt>
                <c:pt idx="1">
                  <c:v>45352</c:v>
                </c:pt>
                <c:pt idx="2">
                  <c:v>45444</c:v>
                </c:pt>
                <c:pt idx="3">
                  <c:v>45536</c:v>
                </c:pt>
                <c:pt idx="4">
                  <c:v>45627</c:v>
                </c:pt>
                <c:pt idx="5">
                  <c:v>45717</c:v>
                </c:pt>
                <c:pt idx="6">
                  <c:v>45809</c:v>
                </c:pt>
                <c:pt idx="7">
                  <c:v>45901</c:v>
                </c:pt>
                <c:pt idx="8">
                  <c:v>45992</c:v>
                </c:pt>
              </c:numCache>
            </c:numRef>
          </c:cat>
          <c:val>
            <c:numRef>
              <c:f>'Petroleum - Q&amp;V 2'!$AB$62:$AB$70</c:f>
              <c:numCache>
                <c:formatCode>#,##0.00</c:formatCode>
                <c:ptCount val="9"/>
                <c:pt idx="0">
                  <c:v>764.26163214900214</c:v>
                </c:pt>
                <c:pt idx="1">
                  <c:v>721.26678504470715</c:v>
                </c:pt>
                <c:pt idx="2">
                  <c:v>814.55086151165563</c:v>
                </c:pt>
                <c:pt idx="3">
                  <c:v>811.17306860135579</c:v>
                </c:pt>
                <c:pt idx="4">
                  <c:v>824.36727941979416</c:v>
                </c:pt>
                <c:pt idx="5">
                  <c:v>783.42163817933692</c:v>
                </c:pt>
                <c:pt idx="6">
                  <c:v>849.71368013731467</c:v>
                </c:pt>
                <c:pt idx="7">
                  <c:v>838.52155741592333</c:v>
                </c:pt>
                <c:pt idx="8">
                  <c:v>807.392998460184</c:v>
                </c:pt>
              </c:numCache>
            </c:numRef>
          </c:val>
          <c:smooth val="0"/>
          <c:extLst>
            <c:ext xmlns:c16="http://schemas.microsoft.com/office/drawing/2014/chart" uri="{C3380CC4-5D6E-409C-BE32-E72D297353CC}">
              <c16:uniqueId val="{00000001-DE99-4A48-8EC2-842C932342B9}"/>
            </c:ext>
          </c:extLst>
        </c:ser>
        <c:dLbls>
          <c:showLegendKey val="0"/>
          <c:showVal val="0"/>
          <c:showCatName val="0"/>
          <c:showSerName val="0"/>
          <c:showPercent val="0"/>
          <c:showBubbleSize val="0"/>
        </c:dLbls>
        <c:marker val="1"/>
        <c:smooth val="0"/>
        <c:axId val="134281088"/>
        <c:axId val="134291456"/>
      </c:lineChart>
      <c:catAx>
        <c:axId val="134281088"/>
        <c:scaling>
          <c:orientation val="minMax"/>
        </c:scaling>
        <c:delete val="0"/>
        <c:axPos val="b"/>
        <c:title>
          <c:tx>
            <c:rich>
              <a:bodyPr/>
              <a:lstStyle/>
              <a:p>
                <a:pPr>
                  <a:defRPr sz="900"/>
                </a:pPr>
                <a:r>
                  <a:rPr lang="en-AU" sz="900" b="1" i="0" u="none" strike="noStrike" baseline="0">
                    <a:effectLst/>
                  </a:rPr>
                  <a:t>Source: DMPE, EnergyQuest, Woodside, and Santos</a:t>
                </a:r>
                <a:endParaRPr lang="en-AU" sz="900"/>
              </a:p>
            </c:rich>
          </c:tx>
          <c:layout>
            <c:manualLayout>
              <c:xMode val="edge"/>
              <c:yMode val="edge"/>
              <c:x val="1.4418069863217373E-2"/>
              <c:y val="0.94663334068768223"/>
            </c:manualLayout>
          </c:layout>
          <c:overlay val="0"/>
          <c:spPr>
            <a:noFill/>
          </c:spPr>
        </c:title>
        <c:numFmt formatCode="mmm\-yy" sourceLinked="1"/>
        <c:majorTickMark val="out"/>
        <c:minorTickMark val="none"/>
        <c:tickLblPos val="nextTo"/>
        <c:txPr>
          <a:bodyPr rot="-2700000" vert="horz"/>
          <a:lstStyle/>
          <a:p>
            <a:pPr>
              <a:defRPr/>
            </a:pPr>
            <a:endParaRPr lang="en-US"/>
          </a:p>
        </c:txPr>
        <c:crossAx val="134291456"/>
        <c:crosses val="autoZero"/>
        <c:auto val="0"/>
        <c:lblAlgn val="ctr"/>
        <c:lblOffset val="100"/>
        <c:noMultiLvlLbl val="0"/>
      </c:catAx>
      <c:valAx>
        <c:axId val="13429145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281088"/>
        <c:crosses val="autoZero"/>
        <c:crossBetween val="between"/>
        <c:majorUnit val="250"/>
      </c:valAx>
      <c:valAx>
        <c:axId val="134293376"/>
        <c:scaling>
          <c:orientation val="minMax"/>
          <c:max val="4000000"/>
          <c:min val="0"/>
        </c:scaling>
        <c:delete val="0"/>
        <c:axPos val="r"/>
        <c:title>
          <c:tx>
            <c:rich>
              <a:bodyPr rot="-5400000" vert="horz"/>
              <a:lstStyle/>
              <a:p>
                <a:pPr>
                  <a:defRPr/>
                </a:pPr>
                <a:r>
                  <a:rPr lang="en-AU"/>
                  <a:t>Million cubic</a:t>
                </a:r>
                <a:r>
                  <a:rPr lang="en-AU" baseline="0"/>
                  <a:t> metres</a:t>
                </a:r>
                <a:r>
                  <a:rPr lang="en-AU"/>
                  <a:t> </a:t>
                </a:r>
              </a:p>
            </c:rich>
          </c:tx>
          <c:overlay val="0"/>
        </c:title>
        <c:numFmt formatCode="#,##0" sourceLinked="0"/>
        <c:majorTickMark val="out"/>
        <c:minorTickMark val="none"/>
        <c:tickLblPos val="nextTo"/>
        <c:crossAx val="134312320"/>
        <c:crosses val="max"/>
        <c:crossBetween val="between"/>
        <c:majorUnit val="1000000"/>
        <c:dispUnits>
          <c:builtInUnit val="thousands"/>
        </c:dispUnits>
      </c:valAx>
      <c:dateAx>
        <c:axId val="134312320"/>
        <c:scaling>
          <c:orientation val="minMax"/>
        </c:scaling>
        <c:delete val="1"/>
        <c:axPos val="b"/>
        <c:numFmt formatCode="mmm\-yy" sourceLinked="1"/>
        <c:majorTickMark val="out"/>
        <c:minorTickMark val="none"/>
        <c:tickLblPos val="nextTo"/>
        <c:crossAx val="134293376"/>
        <c:crosses val="autoZero"/>
        <c:auto val="1"/>
        <c:lblOffset val="100"/>
        <c:baseTimeUnit val="months"/>
      </c:dateAx>
    </c:plotArea>
    <c:legend>
      <c:legendPos val="t"/>
      <c:layout>
        <c:manualLayout>
          <c:xMode val="edge"/>
          <c:yMode val="edge"/>
          <c:x val="0.37125354235273622"/>
          <c:y val="0.15428646185607645"/>
          <c:w val="0.27017208791607411"/>
          <c:h val="5.4925614015618615E-2"/>
        </c:manualLayout>
      </c:layout>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Liquefied Natural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 2'!$AE$38</c:f>
              <c:strCache>
                <c:ptCount val="1"/>
                <c:pt idx="0">
                  <c:v>Quantity (t)</c:v>
                </c:pt>
              </c:strCache>
            </c:strRef>
          </c:tx>
          <c:invertIfNegative val="0"/>
          <c:cat>
            <c:numRef>
              <c:f>'Petroleum - Q&amp;V 2'!$AD$39:$AD$58</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'Petroleum - Q&amp;V 2'!$AE$39:$AE$58</c:f>
              <c:numCache>
                <c:formatCode>#,##0.00</c:formatCode>
                <c:ptCount val="20"/>
                <c:pt idx="0">
                  <c:v>11958780</c:v>
                </c:pt>
                <c:pt idx="1">
                  <c:v>12375731</c:v>
                </c:pt>
                <c:pt idx="2">
                  <c:v>12381004</c:v>
                </c:pt>
                <c:pt idx="3">
                  <c:v>15252516</c:v>
                </c:pt>
                <c:pt idx="4">
                  <c:v>16527193</c:v>
                </c:pt>
                <c:pt idx="5">
                  <c:v>16554099.919233976</c:v>
                </c:pt>
                <c:pt idx="6">
                  <c:v>18260551</c:v>
                </c:pt>
                <c:pt idx="7">
                  <c:v>19220443</c:v>
                </c:pt>
                <c:pt idx="8">
                  <c:v>20852601</c:v>
                </c:pt>
                <c:pt idx="9">
                  <c:v>20385653</c:v>
                </c:pt>
                <c:pt idx="10">
                  <c:v>23774656.646750003</c:v>
                </c:pt>
                <c:pt idx="11">
                  <c:v>32729696.569625001</c:v>
                </c:pt>
                <c:pt idx="12">
                  <c:v>44542484.37063162</c:v>
                </c:pt>
                <c:pt idx="13">
                  <c:v>44584685.399831846</c:v>
                </c:pt>
                <c:pt idx="14">
                  <c:v>44064357.32577163</c:v>
                </c:pt>
                <c:pt idx="15">
                  <c:v>45637085.72443305</c:v>
                </c:pt>
                <c:pt idx="16">
                  <c:v>48608467.014604136</c:v>
                </c:pt>
                <c:pt idx="17">
                  <c:v>48028219.391891696</c:v>
                </c:pt>
                <c:pt idx="18">
                  <c:v>48070692.233975351</c:v>
                </c:pt>
                <c:pt idx="19">
                  <c:v>44315746.819089174</c:v>
                </c:pt>
              </c:numCache>
            </c:numRef>
          </c:val>
          <c:extLst>
            <c:ext xmlns:c16="http://schemas.microsoft.com/office/drawing/2014/chart" uri="{C3380CC4-5D6E-409C-BE32-E72D297353CC}">
              <c16:uniqueId val="{00000000-798A-4BBC-8D16-4A79F3883DCB}"/>
            </c:ext>
          </c:extLst>
        </c:ser>
        <c:dLbls>
          <c:showLegendKey val="0"/>
          <c:showVal val="0"/>
          <c:showCatName val="0"/>
          <c:showSerName val="0"/>
          <c:showPercent val="0"/>
          <c:showBubbleSize val="0"/>
        </c:dLbls>
        <c:gapWidth val="40"/>
        <c:axId val="134362240"/>
        <c:axId val="134351872"/>
      </c:barChart>
      <c:lineChart>
        <c:grouping val="standard"/>
        <c:varyColors val="0"/>
        <c:ser>
          <c:idx val="1"/>
          <c:order val="1"/>
          <c:tx>
            <c:strRef>
              <c:f>'Petroleum - Q&amp;V 2'!$AG$38</c:f>
              <c:strCache>
                <c:ptCount val="1"/>
                <c:pt idx="0">
                  <c:v>Value ($ Million)</c:v>
                </c:pt>
              </c:strCache>
            </c:strRef>
          </c:tx>
          <c:spPr>
            <a:ln w="28575"/>
          </c:spPr>
          <c:marker>
            <c:symbol val="none"/>
          </c:marker>
          <c:cat>
            <c:numRef>
              <c:f>'Petroleum - Q&amp;V 2'!$AD$39:$AD$58</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'Petroleum - Q&amp;V 2'!$AG$39:$AG$58</c:f>
              <c:numCache>
                <c:formatCode>#,##0.00</c:formatCode>
                <c:ptCount val="20"/>
                <c:pt idx="0">
                  <c:v>4550.7623777269846</c:v>
                </c:pt>
                <c:pt idx="1">
                  <c:v>4448.5751194258501</c:v>
                </c:pt>
                <c:pt idx="2">
                  <c:v>8157.4775156968399</c:v>
                </c:pt>
                <c:pt idx="3">
                  <c:v>6320.7449907749478</c:v>
                </c:pt>
                <c:pt idx="4">
                  <c:v>8754.6824736822309</c:v>
                </c:pt>
                <c:pt idx="5">
                  <c:v>8552.0712839999997</c:v>
                </c:pt>
                <c:pt idx="6">
                  <c:v>11271.620675400678</c:v>
                </c:pt>
                <c:pt idx="7">
                  <c:v>13287.960818379126</c:v>
                </c:pt>
                <c:pt idx="8">
                  <c:v>15487.317250651384</c:v>
                </c:pt>
                <c:pt idx="9">
                  <c:v>11554.349752904898</c:v>
                </c:pt>
                <c:pt idx="10">
                  <c:v>10620.614121943232</c:v>
                </c:pt>
                <c:pt idx="11">
                  <c:v>14989.360185607753</c:v>
                </c:pt>
                <c:pt idx="12">
                  <c:v>27586.900679211456</c:v>
                </c:pt>
                <c:pt idx="13">
                  <c:v>26746.308803143744</c:v>
                </c:pt>
                <c:pt idx="14">
                  <c:v>19215.29316960799</c:v>
                </c:pt>
                <c:pt idx="15">
                  <c:v>27072.614240758579</c:v>
                </c:pt>
                <c:pt idx="16">
                  <c:v>54477.946827522363</c:v>
                </c:pt>
                <c:pt idx="17">
                  <c:v>42354.627972561764</c:v>
                </c:pt>
                <c:pt idx="18">
                  <c:v>35685.555839451976</c:v>
                </c:pt>
                <c:pt idx="19">
                  <c:v>31851.512460181777</c:v>
                </c:pt>
              </c:numCache>
            </c:numRef>
          </c:val>
          <c:smooth val="0"/>
          <c:extLst>
            <c:ext xmlns:c16="http://schemas.microsoft.com/office/drawing/2014/chart" uri="{C3380CC4-5D6E-409C-BE32-E72D297353CC}">
              <c16:uniqueId val="{00000001-798A-4BBC-8D16-4A79F3883DCB}"/>
            </c:ext>
          </c:extLst>
        </c:ser>
        <c:dLbls>
          <c:showLegendKey val="0"/>
          <c:showVal val="0"/>
          <c:showCatName val="0"/>
          <c:showSerName val="0"/>
          <c:showPercent val="0"/>
          <c:showBubbleSize val="0"/>
        </c:dLbls>
        <c:marker val="1"/>
        <c:smooth val="0"/>
        <c:axId val="134347776"/>
        <c:axId val="134349952"/>
      </c:lineChart>
      <c:catAx>
        <c:axId val="134347776"/>
        <c:scaling>
          <c:orientation val="minMax"/>
        </c:scaling>
        <c:delete val="0"/>
        <c:axPos val="b"/>
        <c:title>
          <c:tx>
            <c:rich>
              <a:bodyPr/>
              <a:lstStyle/>
              <a:p>
                <a:pPr>
                  <a:defRPr/>
                </a:pPr>
                <a:r>
                  <a:rPr lang="en-AU" sz="1000" b="1" i="0" u="none" strike="noStrike" baseline="0">
                    <a:effectLst/>
                  </a:rPr>
                  <a:t>Source: DMPE, NOPTA, EnergyQuest, and Woodside</a:t>
                </a:r>
                <a:endParaRPr lang="en-AU"/>
              </a:p>
            </c:rich>
          </c:tx>
          <c:layout>
            <c:manualLayout>
              <c:xMode val="edge"/>
              <c:yMode val="edge"/>
              <c:x val="0"/>
              <c:y val="0.94405253113618148"/>
            </c:manualLayout>
          </c:layout>
          <c:overlay val="0"/>
          <c:spPr>
            <a:noFill/>
          </c:spPr>
        </c:title>
        <c:numFmt formatCode="@@@@@@@@@" sourceLinked="0"/>
        <c:majorTickMark val="out"/>
        <c:minorTickMark val="none"/>
        <c:tickLblPos val="nextTo"/>
        <c:txPr>
          <a:bodyPr rot="-2700000"/>
          <a:lstStyle/>
          <a:p>
            <a:pPr>
              <a:defRPr/>
            </a:pPr>
            <a:endParaRPr lang="en-US"/>
          </a:p>
        </c:txPr>
        <c:crossAx val="134349952"/>
        <c:crosses val="autoZero"/>
        <c:auto val="0"/>
        <c:lblAlgn val="ctr"/>
        <c:lblOffset val="100"/>
        <c:tickLblSkip val="1"/>
        <c:noMultiLvlLbl val="0"/>
      </c:catAx>
      <c:valAx>
        <c:axId val="134349952"/>
        <c:scaling>
          <c:orientation val="minMax"/>
        </c:scaling>
        <c:delete val="0"/>
        <c:axPos val="l"/>
        <c:majorGridlines/>
        <c:title>
          <c:tx>
            <c:rich>
              <a:bodyPr rot="-5400000" vert="horz"/>
              <a:lstStyle/>
              <a:p>
                <a:pPr>
                  <a:defRPr/>
                </a:pPr>
                <a:r>
                  <a:rPr lang="en-AU"/>
                  <a:t>$ Million</a:t>
                </a:r>
              </a:p>
            </c:rich>
          </c:tx>
          <c:layout>
            <c:manualLayout>
              <c:xMode val="edge"/>
              <c:yMode val="edge"/>
              <c:x val="1.7662580050950286E-2"/>
              <c:y val="0.44760163968574446"/>
            </c:manualLayout>
          </c:layout>
          <c:overlay val="0"/>
        </c:title>
        <c:numFmt formatCode="#,##0" sourceLinked="0"/>
        <c:majorTickMark val="out"/>
        <c:minorTickMark val="none"/>
        <c:tickLblPos val="nextTo"/>
        <c:crossAx val="134347776"/>
        <c:crosses val="autoZero"/>
        <c:crossBetween val="between"/>
      </c:valAx>
      <c:valAx>
        <c:axId val="134351872"/>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34362240"/>
        <c:crosses val="max"/>
        <c:crossBetween val="between"/>
      </c:valAx>
      <c:catAx>
        <c:axId val="134362240"/>
        <c:scaling>
          <c:orientation val="minMax"/>
        </c:scaling>
        <c:delete val="1"/>
        <c:axPos val="b"/>
        <c:numFmt formatCode="General" sourceLinked="1"/>
        <c:majorTickMark val="out"/>
        <c:minorTickMark val="none"/>
        <c:tickLblPos val="nextTo"/>
        <c:crossAx val="13435187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LPG - Butane And Propane</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 2'!$AH$38</c:f>
              <c:strCache>
                <c:ptCount val="1"/>
                <c:pt idx="0">
                  <c:v>Quantity (t)</c:v>
                </c:pt>
              </c:strCache>
            </c:strRef>
          </c:tx>
          <c:invertIfNegative val="0"/>
          <c:cat>
            <c:numRef>
              <c:f>'Petroleum - Q&amp;V 2'!$AD$39:$AD$58</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'Petroleum - Q&amp;V 2'!$AH$39:$AH$58</c:f>
              <c:numCache>
                <c:formatCode>#,##0.00</c:formatCode>
                <c:ptCount val="20"/>
                <c:pt idx="0">
                  <c:v>862231</c:v>
                </c:pt>
                <c:pt idx="1">
                  <c:v>893914</c:v>
                </c:pt>
                <c:pt idx="2">
                  <c:v>764668</c:v>
                </c:pt>
                <c:pt idx="3">
                  <c:v>950524</c:v>
                </c:pt>
                <c:pt idx="4">
                  <c:v>988724</c:v>
                </c:pt>
                <c:pt idx="5">
                  <c:v>861480</c:v>
                </c:pt>
                <c:pt idx="6">
                  <c:v>809878</c:v>
                </c:pt>
                <c:pt idx="7">
                  <c:v>685934</c:v>
                </c:pt>
                <c:pt idx="8">
                  <c:v>357609</c:v>
                </c:pt>
                <c:pt idx="9">
                  <c:v>501903</c:v>
                </c:pt>
                <c:pt idx="10">
                  <c:v>575755</c:v>
                </c:pt>
                <c:pt idx="11">
                  <c:v>456275</c:v>
                </c:pt>
                <c:pt idx="12">
                  <c:v>463110</c:v>
                </c:pt>
                <c:pt idx="13">
                  <c:v>519453.81927710841</c:v>
                </c:pt>
                <c:pt idx="14">
                  <c:v>453184.40963855421</c:v>
                </c:pt>
                <c:pt idx="15">
                  <c:v>645819.04819277104</c:v>
                </c:pt>
                <c:pt idx="16">
                  <c:v>706846.15355983807</c:v>
                </c:pt>
                <c:pt idx="17">
                  <c:v>676967.71410848713</c:v>
                </c:pt>
                <c:pt idx="18">
                  <c:v>805929.4531982796</c:v>
                </c:pt>
                <c:pt idx="19">
                  <c:v>673658.94505559967</c:v>
                </c:pt>
              </c:numCache>
            </c:numRef>
          </c:val>
          <c:extLst>
            <c:ext xmlns:c16="http://schemas.microsoft.com/office/drawing/2014/chart" uri="{C3380CC4-5D6E-409C-BE32-E72D297353CC}">
              <c16:uniqueId val="{00000000-6B56-471A-A868-08E264DC19C6}"/>
            </c:ext>
          </c:extLst>
        </c:ser>
        <c:dLbls>
          <c:showLegendKey val="0"/>
          <c:showVal val="0"/>
          <c:showCatName val="0"/>
          <c:showSerName val="0"/>
          <c:showPercent val="0"/>
          <c:showBubbleSize val="0"/>
        </c:dLbls>
        <c:gapWidth val="40"/>
        <c:axId val="134411776"/>
        <c:axId val="134393216"/>
      </c:barChart>
      <c:lineChart>
        <c:grouping val="standard"/>
        <c:varyColors val="0"/>
        <c:ser>
          <c:idx val="1"/>
          <c:order val="1"/>
          <c:tx>
            <c:strRef>
              <c:f>'Petroleum - Q&amp;V 2'!$AJ$38</c:f>
              <c:strCache>
                <c:ptCount val="1"/>
                <c:pt idx="0">
                  <c:v>Value ($ Million)</c:v>
                </c:pt>
              </c:strCache>
            </c:strRef>
          </c:tx>
          <c:spPr>
            <a:ln w="28575"/>
          </c:spPr>
          <c:marker>
            <c:symbol val="none"/>
          </c:marker>
          <c:cat>
            <c:numRef>
              <c:f>'Petroleum - Q&amp;V 2'!$AD$39:$AD$58</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'Petroleum - Q&amp;V 2'!$AJ$39:$AJ$58</c:f>
              <c:numCache>
                <c:formatCode>#,##0.00</c:formatCode>
                <c:ptCount val="20"/>
                <c:pt idx="0">
                  <c:v>613.83007330998862</c:v>
                </c:pt>
                <c:pt idx="1">
                  <c:v>686.63688681833992</c:v>
                </c:pt>
                <c:pt idx="2">
                  <c:v>754.34074919629415</c:v>
                </c:pt>
                <c:pt idx="3">
                  <c:v>612.77696613916544</c:v>
                </c:pt>
                <c:pt idx="4">
                  <c:v>763.32843501571767</c:v>
                </c:pt>
                <c:pt idx="5">
                  <c:v>745.87995994549283</c:v>
                </c:pt>
                <c:pt idx="6">
                  <c:v>729.15576319075694</c:v>
                </c:pt>
                <c:pt idx="7">
                  <c:v>600.13530129233538</c:v>
                </c:pt>
                <c:pt idx="8">
                  <c:v>309.00702295666264</c:v>
                </c:pt>
                <c:pt idx="9">
                  <c:v>254.10829640322834</c:v>
                </c:pt>
                <c:pt idx="10">
                  <c:v>288.14071602423235</c:v>
                </c:pt>
                <c:pt idx="11">
                  <c:v>288.49812577110589</c:v>
                </c:pt>
                <c:pt idx="12">
                  <c:v>348.82439421846777</c:v>
                </c:pt>
                <c:pt idx="13">
                  <c:v>378.73178336639558</c:v>
                </c:pt>
                <c:pt idx="14">
                  <c:v>247.23123420624256</c:v>
                </c:pt>
                <c:pt idx="15">
                  <c:v>536.71560228877081</c:v>
                </c:pt>
                <c:pt idx="16">
                  <c:v>761.43462905630315</c:v>
                </c:pt>
                <c:pt idx="17">
                  <c:v>595.05627131774986</c:v>
                </c:pt>
                <c:pt idx="18">
                  <c:v>696.88888087185762</c:v>
                </c:pt>
                <c:pt idx="19">
                  <c:v>381.93596690897317</c:v>
                </c:pt>
              </c:numCache>
            </c:numRef>
          </c:val>
          <c:smooth val="0"/>
          <c:extLst>
            <c:ext xmlns:c16="http://schemas.microsoft.com/office/drawing/2014/chart" uri="{C3380CC4-5D6E-409C-BE32-E72D297353CC}">
              <c16:uniqueId val="{00000001-6B56-471A-A868-08E264DC19C6}"/>
            </c:ext>
          </c:extLst>
        </c:ser>
        <c:dLbls>
          <c:showLegendKey val="0"/>
          <c:showVal val="0"/>
          <c:showCatName val="0"/>
          <c:showSerName val="0"/>
          <c:showPercent val="0"/>
          <c:showBubbleSize val="0"/>
        </c:dLbls>
        <c:marker val="1"/>
        <c:smooth val="0"/>
        <c:axId val="134389120"/>
        <c:axId val="134391296"/>
      </c:lineChart>
      <c:catAx>
        <c:axId val="134389120"/>
        <c:scaling>
          <c:orientation val="minMax"/>
        </c:scaling>
        <c:delete val="0"/>
        <c:axPos val="b"/>
        <c:title>
          <c:tx>
            <c:rich>
              <a:bodyPr/>
              <a:lstStyle/>
              <a:p>
                <a:pPr>
                  <a:defRPr/>
                </a:pPr>
                <a:r>
                  <a:rPr lang="en-AU" sz="1000" b="1" i="0" baseline="0">
                    <a:effectLst/>
                  </a:rPr>
                  <a:t>Source: DMPE, NOPTA, EnergyQuest and Woodside</a:t>
                </a:r>
                <a:endParaRPr lang="en-AU" sz="1000">
                  <a:effectLst/>
                </a:endParaRPr>
              </a:p>
            </c:rich>
          </c:tx>
          <c:layout>
            <c:manualLayout>
              <c:xMode val="edge"/>
              <c:yMode val="edge"/>
              <c:x val="1.5915954545156714E-2"/>
              <c:y val="0.93794295968289965"/>
            </c:manualLayout>
          </c:layout>
          <c:overlay val="0"/>
          <c:spPr>
            <a:noFill/>
          </c:spPr>
        </c:title>
        <c:numFmt formatCode="@@@@@@@@@" sourceLinked="0"/>
        <c:majorTickMark val="out"/>
        <c:minorTickMark val="none"/>
        <c:tickLblPos val="nextTo"/>
        <c:txPr>
          <a:bodyPr rot="-2700000"/>
          <a:lstStyle/>
          <a:p>
            <a:pPr>
              <a:defRPr/>
            </a:pPr>
            <a:endParaRPr lang="en-US"/>
          </a:p>
        </c:txPr>
        <c:crossAx val="134391296"/>
        <c:crosses val="autoZero"/>
        <c:auto val="0"/>
        <c:lblAlgn val="ctr"/>
        <c:lblOffset val="100"/>
        <c:tickLblSkip val="1"/>
        <c:noMultiLvlLbl val="0"/>
      </c:catAx>
      <c:valAx>
        <c:axId val="13439129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389120"/>
        <c:crosses val="autoZero"/>
        <c:crossBetween val="between"/>
      </c:valAx>
      <c:valAx>
        <c:axId val="134393216"/>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34411776"/>
        <c:crosses val="max"/>
        <c:crossBetween val="between"/>
      </c:valAx>
      <c:catAx>
        <c:axId val="134411776"/>
        <c:scaling>
          <c:orientation val="minMax"/>
        </c:scaling>
        <c:delete val="1"/>
        <c:axPos val="b"/>
        <c:numFmt formatCode="General" sourceLinked="1"/>
        <c:majorTickMark val="out"/>
        <c:minorTickMark val="none"/>
        <c:tickLblPos val="nextTo"/>
        <c:crossAx val="13439321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Domestic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 2'!$AK$38</c:f>
              <c:strCache>
                <c:ptCount val="1"/>
                <c:pt idx="0">
                  <c:v>Quantity (000 cubic metres)</c:v>
                </c:pt>
              </c:strCache>
            </c:strRef>
          </c:tx>
          <c:invertIfNegative val="0"/>
          <c:cat>
            <c:numRef>
              <c:f>'Petroleum - Q&amp;V 2'!$AD$39:$AD$58</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'Petroleum - Q&amp;V 2'!$AK$39:$AK$58</c:f>
              <c:numCache>
                <c:formatCode>#,##0.00</c:formatCode>
                <c:ptCount val="20"/>
                <c:pt idx="0">
                  <c:v>8364468</c:v>
                </c:pt>
                <c:pt idx="1">
                  <c:v>9174076</c:v>
                </c:pt>
                <c:pt idx="2">
                  <c:v>8502567</c:v>
                </c:pt>
                <c:pt idx="3">
                  <c:v>9312415</c:v>
                </c:pt>
                <c:pt idx="4">
                  <c:v>9226158</c:v>
                </c:pt>
                <c:pt idx="5">
                  <c:v>8869413</c:v>
                </c:pt>
                <c:pt idx="6">
                  <c:v>9009209</c:v>
                </c:pt>
                <c:pt idx="7">
                  <c:v>9297667</c:v>
                </c:pt>
                <c:pt idx="8">
                  <c:v>9590165.3870000001</c:v>
                </c:pt>
                <c:pt idx="9">
                  <c:v>10016682.171999998</c:v>
                </c:pt>
                <c:pt idx="10">
                  <c:v>10044024.695659999</c:v>
                </c:pt>
                <c:pt idx="11">
                  <c:v>10148197.224273</c:v>
                </c:pt>
                <c:pt idx="12">
                  <c:v>10222884.855462998</c:v>
                </c:pt>
                <c:pt idx="13">
                  <c:v>11125072.782876607</c:v>
                </c:pt>
                <c:pt idx="14">
                  <c:v>10992855.743000001</c:v>
                </c:pt>
                <c:pt idx="15">
                  <c:v>10168814.849000001</c:v>
                </c:pt>
                <c:pt idx="16">
                  <c:v>10639056.20482</c:v>
                </c:pt>
                <c:pt idx="17">
                  <c:v>10537517.245035</c:v>
                </c:pt>
                <c:pt idx="18">
                  <c:v>11724959.96228</c:v>
                </c:pt>
                <c:pt idx="19">
                  <c:v>11567007.172079999</c:v>
                </c:pt>
              </c:numCache>
            </c:numRef>
          </c:val>
          <c:extLst>
            <c:ext xmlns:c16="http://schemas.microsoft.com/office/drawing/2014/chart" uri="{C3380CC4-5D6E-409C-BE32-E72D297353CC}">
              <c16:uniqueId val="{00000000-377F-41B9-A138-09A96387ADF1}"/>
            </c:ext>
          </c:extLst>
        </c:ser>
        <c:dLbls>
          <c:showLegendKey val="0"/>
          <c:showVal val="0"/>
          <c:showCatName val="0"/>
          <c:showSerName val="0"/>
          <c:showPercent val="0"/>
          <c:showBubbleSize val="0"/>
        </c:dLbls>
        <c:gapWidth val="40"/>
        <c:axId val="135821568"/>
        <c:axId val="135819648"/>
      </c:barChart>
      <c:lineChart>
        <c:grouping val="standard"/>
        <c:varyColors val="0"/>
        <c:ser>
          <c:idx val="1"/>
          <c:order val="1"/>
          <c:tx>
            <c:strRef>
              <c:f>'Petroleum - Q&amp;V 2'!$AM$38</c:f>
              <c:strCache>
                <c:ptCount val="1"/>
                <c:pt idx="0">
                  <c:v>Value ($ Million)</c:v>
                </c:pt>
              </c:strCache>
            </c:strRef>
          </c:tx>
          <c:spPr>
            <a:ln w="28575"/>
          </c:spPr>
          <c:marker>
            <c:symbol val="none"/>
          </c:marker>
          <c:cat>
            <c:numRef>
              <c:f>'Petroleum - Q&amp;V 2'!$AD$39:$AD$58</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'Petroleum - Q&amp;V 2'!$AM$39:$AM$58</c:f>
              <c:numCache>
                <c:formatCode>#,##0.00</c:formatCode>
                <c:ptCount val="20"/>
                <c:pt idx="0">
                  <c:v>816.67366399999992</c:v>
                </c:pt>
                <c:pt idx="1">
                  <c:v>1002.465839</c:v>
                </c:pt>
                <c:pt idx="2">
                  <c:v>1191.442427</c:v>
                </c:pt>
                <c:pt idx="3">
                  <c:v>1156.2353419999999</c:v>
                </c:pt>
                <c:pt idx="4">
                  <c:v>1391.1696790000001</c:v>
                </c:pt>
                <c:pt idx="5">
                  <c:v>1421.1261059999999</c:v>
                </c:pt>
                <c:pt idx="6">
                  <c:v>1470.5418970000001</c:v>
                </c:pt>
                <c:pt idx="7">
                  <c:v>1559.45633</c:v>
                </c:pt>
                <c:pt idx="8">
                  <c:v>1779.2849022361886</c:v>
                </c:pt>
                <c:pt idx="9">
                  <c:v>1861.5234301979999</c:v>
                </c:pt>
                <c:pt idx="10">
                  <c:v>1901.5378175870001</c:v>
                </c:pt>
                <c:pt idx="11">
                  <c:v>1796.3566788560001</c:v>
                </c:pt>
                <c:pt idx="12">
                  <c:v>1543.1121670929001</c:v>
                </c:pt>
                <c:pt idx="13">
                  <c:v>1461.314564111849</c:v>
                </c:pt>
                <c:pt idx="14">
                  <c:v>1756.9243565955067</c:v>
                </c:pt>
                <c:pt idx="15">
                  <c:v>1965.9108979559655</c:v>
                </c:pt>
                <c:pt idx="16">
                  <c:v>2152.7301253252094</c:v>
                </c:pt>
                <c:pt idx="17">
                  <c:v>2718.9526449922187</c:v>
                </c:pt>
                <c:pt idx="18">
                  <c:v>3171.3579945775127</c:v>
                </c:pt>
                <c:pt idx="19">
                  <c:v>3279.049874192759</c:v>
                </c:pt>
              </c:numCache>
            </c:numRef>
          </c:val>
          <c:smooth val="0"/>
          <c:extLst>
            <c:ext xmlns:c16="http://schemas.microsoft.com/office/drawing/2014/chart" uri="{C3380CC4-5D6E-409C-BE32-E72D297353CC}">
              <c16:uniqueId val="{00000001-377F-41B9-A138-09A96387ADF1}"/>
            </c:ext>
          </c:extLst>
        </c:ser>
        <c:dLbls>
          <c:showLegendKey val="0"/>
          <c:showVal val="0"/>
          <c:showCatName val="0"/>
          <c:showSerName val="0"/>
          <c:showPercent val="0"/>
          <c:showBubbleSize val="0"/>
        </c:dLbls>
        <c:marker val="1"/>
        <c:smooth val="0"/>
        <c:axId val="135811456"/>
        <c:axId val="135813376"/>
      </c:lineChart>
      <c:dateAx>
        <c:axId val="135811456"/>
        <c:scaling>
          <c:orientation val="minMax"/>
        </c:scaling>
        <c:delete val="0"/>
        <c:axPos val="b"/>
        <c:title>
          <c:tx>
            <c:rich>
              <a:bodyPr/>
              <a:lstStyle/>
              <a:p>
                <a:pPr>
                  <a:defRPr/>
                </a:pPr>
                <a:r>
                  <a:rPr lang="en-AU" sz="1000" b="1" i="0" baseline="0">
                    <a:effectLst/>
                  </a:rPr>
                  <a:t>Source: DMPE, NOPTA, EnergyQuest and Woodside</a:t>
                </a:r>
                <a:endParaRPr lang="en-AU" sz="1000">
                  <a:effectLst/>
                </a:endParaRPr>
              </a:p>
            </c:rich>
          </c:tx>
          <c:layout>
            <c:manualLayout>
              <c:xMode val="edge"/>
              <c:yMode val="edge"/>
              <c:x val="1.1532814620415072E-2"/>
              <c:y val="0.94713224908928129"/>
            </c:manualLayout>
          </c:layout>
          <c:overlay val="0"/>
          <c:spPr>
            <a:noFill/>
          </c:spPr>
        </c:title>
        <c:numFmt formatCode="@@@@@@@@@" sourceLinked="0"/>
        <c:majorTickMark val="out"/>
        <c:minorTickMark val="none"/>
        <c:tickLblPos val="nextTo"/>
        <c:txPr>
          <a:bodyPr rot="-2700000"/>
          <a:lstStyle/>
          <a:p>
            <a:pPr>
              <a:defRPr/>
            </a:pPr>
            <a:endParaRPr lang="en-US"/>
          </a:p>
        </c:txPr>
        <c:crossAx val="135813376"/>
        <c:crosses val="autoZero"/>
        <c:auto val="0"/>
        <c:lblOffset val="100"/>
        <c:baseTimeUnit val="days"/>
        <c:majorUnit val="1"/>
        <c:majorTimeUnit val="days"/>
      </c:dateAx>
      <c:valAx>
        <c:axId val="13581337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5811456"/>
        <c:crosses val="autoZero"/>
        <c:crossBetween val="between"/>
      </c:valAx>
      <c:valAx>
        <c:axId val="135819648"/>
        <c:scaling>
          <c:orientation val="minMax"/>
        </c:scaling>
        <c:delete val="0"/>
        <c:axPos val="r"/>
        <c:title>
          <c:tx>
            <c:rich>
              <a:bodyPr rot="-5400000" vert="horz"/>
              <a:lstStyle/>
              <a:p>
                <a:pPr>
                  <a:defRPr/>
                </a:pPr>
                <a:r>
                  <a:rPr lang="en-AU"/>
                  <a:t>'000 cubic metres</a:t>
                </a:r>
              </a:p>
            </c:rich>
          </c:tx>
          <c:overlay val="0"/>
        </c:title>
        <c:numFmt formatCode="#,##0" sourceLinked="0"/>
        <c:majorTickMark val="out"/>
        <c:minorTickMark val="none"/>
        <c:tickLblPos val="nextTo"/>
        <c:crossAx val="135821568"/>
        <c:crosses val="max"/>
        <c:crossBetween val="between"/>
      </c:valAx>
      <c:catAx>
        <c:axId val="135821568"/>
        <c:scaling>
          <c:orientation val="minMax"/>
        </c:scaling>
        <c:delete val="1"/>
        <c:axPos val="b"/>
        <c:numFmt formatCode="General" sourceLinked="1"/>
        <c:majorTickMark val="out"/>
        <c:minorTickMark val="none"/>
        <c:tickLblPos val="nextTo"/>
        <c:crossAx val="1358196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5"/>
    </mc:Choice>
    <mc:Fallback>
      <c:style val="15"/>
    </mc:Fallback>
  </mc:AlternateContent>
  <c:chart>
    <c:title>
      <c:tx>
        <c:strRef>
          <c:f>'Petroleum - Exports'!$W$1</c:f>
          <c:strCache>
            <c:ptCount val="1"/>
            <c:pt idx="0">
              <c:v>Petroleum Exports 2023
Total Value: $</c:v>
            </c:pt>
          </c:strCache>
        </c:strRef>
      </c:tx>
      <c:overlay val="0"/>
    </c:title>
    <c:autoTitleDeleted val="0"/>
    <c:plotArea>
      <c:layout>
        <c:manualLayout>
          <c:layoutTarget val="inner"/>
          <c:xMode val="edge"/>
          <c:yMode val="edge"/>
          <c:x val="0.28740048988312072"/>
          <c:y val="0.28959079907435026"/>
          <c:w val="0.39128258411259803"/>
          <c:h val="0.63860079244116286"/>
        </c:manualLayout>
      </c:layout>
      <c:pieChart>
        <c:varyColors val="1"/>
        <c:ser>
          <c:idx val="0"/>
          <c:order val="0"/>
          <c:tx>
            <c:v>Exports</c:v>
          </c:tx>
          <c:dPt>
            <c:idx val="0"/>
            <c:bubble3D val="0"/>
            <c:extLst>
              <c:ext xmlns:c16="http://schemas.microsoft.com/office/drawing/2014/chart" uri="{C3380CC4-5D6E-409C-BE32-E72D297353CC}">
                <c16:uniqueId val="{00000000-015C-47A5-B7BD-E8807373A57A}"/>
              </c:ext>
            </c:extLst>
          </c:dPt>
          <c:dPt>
            <c:idx val="1"/>
            <c:bubble3D val="0"/>
            <c:extLst>
              <c:ext xmlns:c16="http://schemas.microsoft.com/office/drawing/2014/chart" uri="{C3380CC4-5D6E-409C-BE32-E72D297353CC}">
                <c16:uniqueId val="{00000001-015C-47A5-B7BD-E8807373A57A}"/>
              </c:ext>
            </c:extLst>
          </c:dPt>
          <c:dPt>
            <c:idx val="2"/>
            <c:bubble3D val="0"/>
            <c:extLst>
              <c:ext xmlns:c16="http://schemas.microsoft.com/office/drawing/2014/chart" uri="{C3380CC4-5D6E-409C-BE32-E72D297353CC}">
                <c16:uniqueId val="{00000002-015C-47A5-B7BD-E8807373A57A}"/>
              </c:ext>
            </c:extLst>
          </c:dPt>
          <c:dPt>
            <c:idx val="3"/>
            <c:bubble3D val="0"/>
            <c:extLst>
              <c:ext xmlns:c16="http://schemas.microsoft.com/office/drawing/2014/chart" uri="{C3380CC4-5D6E-409C-BE32-E72D297353CC}">
                <c16:uniqueId val="{00000003-015C-47A5-B7BD-E8807373A57A}"/>
              </c:ext>
            </c:extLst>
          </c:dPt>
          <c:dPt>
            <c:idx val="4"/>
            <c:bubble3D val="0"/>
            <c:extLst>
              <c:ext xmlns:c16="http://schemas.microsoft.com/office/drawing/2014/chart" uri="{C3380CC4-5D6E-409C-BE32-E72D297353CC}">
                <c16:uniqueId val="{00000004-015C-47A5-B7BD-E8807373A57A}"/>
              </c:ext>
            </c:extLst>
          </c:dPt>
          <c:dPt>
            <c:idx val="5"/>
            <c:bubble3D val="0"/>
            <c:extLst>
              <c:ext xmlns:c16="http://schemas.microsoft.com/office/drawing/2014/chart" uri="{C3380CC4-5D6E-409C-BE32-E72D297353CC}">
                <c16:uniqueId val="{00000005-015C-47A5-B7BD-E8807373A57A}"/>
              </c:ext>
            </c:extLst>
          </c:dPt>
          <c:dPt>
            <c:idx val="6"/>
            <c:bubble3D val="0"/>
            <c:extLst>
              <c:ext xmlns:c16="http://schemas.microsoft.com/office/drawing/2014/chart" uri="{C3380CC4-5D6E-409C-BE32-E72D297353CC}">
                <c16:uniqueId val="{00000006-015C-47A5-B7BD-E8807373A57A}"/>
              </c:ext>
            </c:extLst>
          </c:dPt>
          <c:dPt>
            <c:idx val="7"/>
            <c:bubble3D val="0"/>
            <c:extLst>
              <c:ext xmlns:c16="http://schemas.microsoft.com/office/drawing/2014/chart" uri="{C3380CC4-5D6E-409C-BE32-E72D297353CC}">
                <c16:uniqueId val="{00000007-015C-47A5-B7BD-E8807373A57A}"/>
              </c:ext>
            </c:extLst>
          </c:dPt>
          <c:dPt>
            <c:idx val="8"/>
            <c:bubble3D val="0"/>
            <c:extLst>
              <c:ext xmlns:c16="http://schemas.microsoft.com/office/drawing/2014/chart" uri="{C3380CC4-5D6E-409C-BE32-E72D297353CC}">
                <c16:uniqueId val="{00000008-015C-47A5-B7BD-E8807373A57A}"/>
              </c:ext>
            </c:extLst>
          </c:dPt>
          <c:dPt>
            <c:idx val="9"/>
            <c:bubble3D val="0"/>
            <c:extLst>
              <c:ext xmlns:c16="http://schemas.microsoft.com/office/drawing/2014/chart" uri="{C3380CC4-5D6E-409C-BE32-E72D297353CC}">
                <c16:uniqueId val="{00000009-015C-47A5-B7BD-E8807373A57A}"/>
              </c:ext>
            </c:extLst>
          </c:dPt>
          <c:dPt>
            <c:idx val="10"/>
            <c:bubble3D val="0"/>
            <c:extLst>
              <c:ext xmlns:c16="http://schemas.microsoft.com/office/drawing/2014/chart" uri="{C3380CC4-5D6E-409C-BE32-E72D297353CC}">
                <c16:uniqueId val="{0000000A-015C-47A5-B7BD-E8807373A57A}"/>
              </c:ext>
            </c:extLst>
          </c:dPt>
          <c:dLbls>
            <c:dLbl>
              <c:idx val="0"/>
              <c:layout>
                <c:manualLayout>
                  <c:x val="2.9279988650067312E-2"/>
                  <c:y val="-0.1956997115164424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5C-47A5-B7BD-E8807373A57A}"/>
                </c:ext>
              </c:extLst>
            </c:dLbl>
            <c:dLbl>
              <c:idx val="1"/>
              <c:layout>
                <c:manualLayout>
                  <c:x val="-5.1004928040592701E-2"/>
                  <c:y val="2.818083131409300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5C-47A5-B7BD-E8807373A57A}"/>
                </c:ext>
              </c:extLst>
            </c:dLbl>
            <c:dLbl>
              <c:idx val="2"/>
              <c:layout>
                <c:manualLayout>
                  <c:x val="-0.12464908036394787"/>
                  <c:y val="-7.2293446603218627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5C-47A5-B7BD-E8807373A57A}"/>
                </c:ext>
              </c:extLst>
            </c:dLbl>
            <c:dLbl>
              <c:idx val="3"/>
              <c:layout>
                <c:manualLayout>
                  <c:x val="7.2808983137839095E-2"/>
                  <c:y val="-1.741082312816761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5C-47A5-B7BD-E8807373A57A}"/>
                </c:ext>
              </c:extLst>
            </c:dLbl>
            <c:dLbl>
              <c:idx val="4"/>
              <c:layout>
                <c:manualLayout>
                  <c:x val="6.4674753493650983E-2"/>
                  <c:y val="-2.7383155150823433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2688915872797299"/>
                      <c:h val="9.7780072276716576E-2"/>
                    </c:manualLayout>
                  </c15:layout>
                </c:ext>
                <c:ext xmlns:c16="http://schemas.microsoft.com/office/drawing/2014/chart" uri="{C3380CC4-5D6E-409C-BE32-E72D297353CC}">
                  <c16:uniqueId val="{00000004-015C-47A5-B7BD-E8807373A57A}"/>
                </c:ext>
              </c:extLst>
            </c:dLbl>
            <c:dLbl>
              <c:idx val="5"/>
              <c:layout>
                <c:manualLayout>
                  <c:x val="5.8438883533834897E-2"/>
                  <c:y val="-1.950075389512487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5C-47A5-B7BD-E8807373A57A}"/>
                </c:ext>
              </c:extLst>
            </c:dLbl>
            <c:dLbl>
              <c:idx val="6"/>
              <c:layout>
                <c:manualLayout>
                  <c:x val="7.8282070861968964E-2"/>
                  <c:y val="-1.921199912283927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5C-47A5-B7BD-E8807373A57A}"/>
                </c:ext>
              </c:extLst>
            </c:dLbl>
            <c:dLbl>
              <c:idx val="7"/>
              <c:layout>
                <c:manualLayout>
                  <c:x val="8.8964443832438275E-2"/>
                  <c:y val="-1.93329492350041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5C-47A5-B7BD-E8807373A57A}"/>
                </c:ext>
              </c:extLst>
            </c:dLbl>
            <c:dLbl>
              <c:idx val="8"/>
              <c:layout>
                <c:manualLayout>
                  <c:x val="0.11271818367696089"/>
                  <c:y val="3.425406878347744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5C-47A5-B7BD-E8807373A57A}"/>
                </c:ext>
              </c:extLst>
            </c:dLbl>
            <c:dLbl>
              <c:idx val="9"/>
              <c:layout>
                <c:manualLayout>
                  <c:x val="0.12346924043079671"/>
                  <c:y val="0.10440199267495297"/>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0190779014308427"/>
                      <c:h val="6.5001461185718062E-2"/>
                    </c:manualLayout>
                  </c15:layout>
                </c:ext>
                <c:ext xmlns:c16="http://schemas.microsoft.com/office/drawing/2014/chart" uri="{C3380CC4-5D6E-409C-BE32-E72D297353CC}">
                  <c16:uniqueId val="{00000009-015C-47A5-B7BD-E8807373A57A}"/>
                </c:ext>
              </c:extLst>
            </c:dLbl>
            <c:dLbl>
              <c:idx val="10"/>
              <c:layout>
                <c:manualLayout>
                  <c:x val="-1.3028387349832464E-2"/>
                  <c:y val="9.8215168473347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5C-47A5-B7BD-E8807373A57A}"/>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'Petroleum - Exports'!$A$12:$A$22</c:f>
              <c:strCache>
                <c:ptCount val="11"/>
                <c:pt idx="0">
                  <c:v>Japan</c:v>
                </c:pt>
                <c:pt idx="1">
                  <c:v>China</c:v>
                </c:pt>
                <c:pt idx="2">
                  <c:v>Singapore</c:v>
                </c:pt>
                <c:pt idx="3">
                  <c:v>Korea, Republic Of</c:v>
                </c:pt>
                <c:pt idx="4">
                  <c:v>Taiwan, Province Of China</c:v>
                </c:pt>
                <c:pt idx="5">
                  <c:v>Thailand</c:v>
                </c:pt>
                <c:pt idx="6">
                  <c:v>Malaysia</c:v>
                </c:pt>
                <c:pt idx="7">
                  <c:v>Indonesia</c:v>
                </c:pt>
                <c:pt idx="8">
                  <c:v>Brunei Darussalam</c:v>
                </c:pt>
                <c:pt idx="9">
                  <c:v>India</c:v>
                </c:pt>
                <c:pt idx="10">
                  <c:v>Other</c:v>
                </c:pt>
              </c:strCache>
            </c:strRef>
          </c:cat>
          <c:val>
            <c:numRef>
              <c:f>'Petroleum - Exports'!$D$12:$D$22</c:f>
              <c:numCache>
                <c:formatCode>0.0%</c:formatCode>
                <c:ptCount val="11"/>
                <c:pt idx="0">
                  <c:v>0.38838311710299356</c:v>
                </c:pt>
                <c:pt idx="1">
                  <c:v>0.13646686644164946</c:v>
                </c:pt>
                <c:pt idx="2">
                  <c:v>0.12920414970187566</c:v>
                </c:pt>
                <c:pt idx="3">
                  <c:v>0.11611948976282785</c:v>
                </c:pt>
                <c:pt idx="4">
                  <c:v>9.94513504667002E-2</c:v>
                </c:pt>
                <c:pt idx="5">
                  <c:v>5.9475147885704328E-2</c:v>
                </c:pt>
                <c:pt idx="6">
                  <c:v>2.7288636594375231E-2</c:v>
                </c:pt>
                <c:pt idx="7">
                  <c:v>2.166938502390971E-2</c:v>
                </c:pt>
                <c:pt idx="8">
                  <c:v>1.0560995345139381E-2</c:v>
                </c:pt>
                <c:pt idx="9">
                  <c:v>3.6705741683558707E-3</c:v>
                </c:pt>
                <c:pt idx="10">
                  <c:v>7.710287506468903E-3</c:v>
                </c:pt>
              </c:numCache>
            </c:numRef>
          </c:val>
          <c:extLst>
            <c:ext xmlns:c16="http://schemas.microsoft.com/office/drawing/2014/chart" uri="{C3380CC4-5D6E-409C-BE32-E72D297353CC}">
              <c16:uniqueId val="{0000000B-015C-47A5-B7BD-E8807373A57A}"/>
            </c:ext>
          </c:extLst>
        </c:ser>
        <c:dLbls>
          <c:showLegendKey val="0"/>
          <c:showVal val="1"/>
          <c:showCatName val="1"/>
          <c:showSerName val="0"/>
          <c:showPercent val="0"/>
          <c:showBubbleSize val="0"/>
          <c:showLeaderLines val="1"/>
        </c:dLbls>
        <c:firstSliceAng val="120"/>
      </c:pieChart>
    </c:plotArea>
    <c:plotVisOnly val="1"/>
    <c:dispBlanksAs val="gap"/>
    <c:showDLblsOverMax val="0"/>
  </c:chart>
  <c:spPr>
    <a:ln>
      <a:solidFill>
        <a:srgbClr val="868686"/>
      </a:solid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br>
              <a:rPr lang="en-AU"/>
            </a:br>
            <a:r>
              <a:rPr lang="en-AU" sz="1100"/>
              <a:t>Western Australia vs Rest of Australia</a:t>
            </a:r>
            <a:endParaRPr lang="en-AU"/>
          </a:p>
        </c:rich>
      </c:tx>
      <c:layout>
        <c:manualLayout>
          <c:xMode val="edge"/>
          <c:yMode val="edge"/>
          <c:x val="0.34519830335032253"/>
          <c:y val="3.7221032764162908E-2"/>
        </c:manualLayout>
      </c:layout>
      <c:overlay val="0"/>
    </c:title>
    <c:autoTitleDeleted val="0"/>
    <c:plotArea>
      <c:layout>
        <c:manualLayout>
          <c:layoutTarget val="inner"/>
          <c:xMode val="edge"/>
          <c:yMode val="edge"/>
          <c:x val="8.2633137604100043E-2"/>
          <c:y val="0.24354855643044621"/>
          <c:w val="0.85154134417309546"/>
          <c:h val="0.60794284057827075"/>
        </c:manualLayout>
      </c:layout>
      <c:barChart>
        <c:barDir val="col"/>
        <c:grouping val="stacked"/>
        <c:varyColors val="0"/>
        <c:ser>
          <c:idx val="0"/>
          <c:order val="0"/>
          <c:tx>
            <c:v>Western Australia</c:v>
          </c:tx>
          <c:invertIfNegative val="0"/>
          <c:cat>
            <c:numRef>
              <c:f>'Petroleum - WA vs Aus 1'!$A$10:$A$68</c:f>
              <c:numCache>
                <c:formatCode>General</c:formatCode>
                <c:ptCount val="59"/>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pt idx="51">
                  <c:v>2017</c:v>
                </c:pt>
                <c:pt idx="52">
                  <c:v>2018</c:v>
                </c:pt>
                <c:pt idx="53">
                  <c:v>2019</c:v>
                </c:pt>
                <c:pt idx="54">
                  <c:v>2020</c:v>
                </c:pt>
                <c:pt idx="55">
                  <c:v>2021</c:v>
                </c:pt>
                <c:pt idx="56">
                  <c:v>2022</c:v>
                </c:pt>
                <c:pt idx="57">
                  <c:v>2023</c:v>
                </c:pt>
                <c:pt idx="58">
                  <c:v>2024</c:v>
                </c:pt>
              </c:numCache>
            </c:numRef>
          </c:cat>
          <c:val>
            <c:numRef>
              <c:f>'Petroleum - WA vs Aus 1'!$B$10:$B$68</c:f>
              <c:numCache>
                <c:formatCode>#,##0.00</c:formatCode>
                <c:ptCount val="59"/>
                <c:pt idx="0">
                  <c:v>0</c:v>
                </c:pt>
                <c:pt idx="1">
                  <c:v>0.73855690000000007</c:v>
                </c:pt>
                <c:pt idx="2">
                  <c:v>1.691354</c:v>
                </c:pt>
                <c:pt idx="3">
                  <c:v>2.0883660000000002</c:v>
                </c:pt>
                <c:pt idx="4">
                  <c:v>2.6482829999999997</c:v>
                </c:pt>
                <c:pt idx="5">
                  <c:v>2.5990139999999999</c:v>
                </c:pt>
                <c:pt idx="6">
                  <c:v>2.454863</c:v>
                </c:pt>
                <c:pt idx="7">
                  <c:v>2.3218369999999999</c:v>
                </c:pt>
                <c:pt idx="8">
                  <c:v>2.1989830000000001</c:v>
                </c:pt>
                <c:pt idx="9">
                  <c:v>2.0499050000000003</c:v>
                </c:pt>
                <c:pt idx="10">
                  <c:v>1.776065</c:v>
                </c:pt>
                <c:pt idx="11">
                  <c:v>1.874762</c:v>
                </c:pt>
                <c:pt idx="12">
                  <c:v>1.822473</c:v>
                </c:pt>
                <c:pt idx="13">
                  <c:v>1.4239999999999999</c:v>
                </c:pt>
                <c:pt idx="14">
                  <c:v>1.6279999999999999</c:v>
                </c:pt>
                <c:pt idx="15">
                  <c:v>1.4419999999999999</c:v>
                </c:pt>
                <c:pt idx="16">
                  <c:v>1.2809999999999999</c:v>
                </c:pt>
                <c:pt idx="17">
                  <c:v>1.2649999999999999</c:v>
                </c:pt>
                <c:pt idx="18">
                  <c:v>1.3240000000000001</c:v>
                </c:pt>
                <c:pt idx="19">
                  <c:v>1.476</c:v>
                </c:pt>
                <c:pt idx="20">
                  <c:v>2.0299999999999998</c:v>
                </c:pt>
                <c:pt idx="21">
                  <c:v>2.6859999999999999</c:v>
                </c:pt>
                <c:pt idx="22">
                  <c:v>3.1869999999999998</c:v>
                </c:pt>
                <c:pt idx="23">
                  <c:v>3.867</c:v>
                </c:pt>
                <c:pt idx="24">
                  <c:v>6.92</c:v>
                </c:pt>
                <c:pt idx="25">
                  <c:v>7.0839999999999996</c:v>
                </c:pt>
                <c:pt idx="26">
                  <c:v>7.1070000000000002</c:v>
                </c:pt>
                <c:pt idx="27">
                  <c:v>6.1619999999999999</c:v>
                </c:pt>
                <c:pt idx="28">
                  <c:v>11.09408</c:v>
                </c:pt>
                <c:pt idx="29">
                  <c:v>12.51158</c:v>
                </c:pt>
                <c:pt idx="30">
                  <c:v>16.224634999999999</c:v>
                </c:pt>
                <c:pt idx="31">
                  <c:v>15.976610000000001</c:v>
                </c:pt>
                <c:pt idx="32">
                  <c:v>17.382999999999999</c:v>
                </c:pt>
                <c:pt idx="33">
                  <c:v>14.055568000000001</c:v>
                </c:pt>
                <c:pt idx="34">
                  <c:v>19.939762000000002</c:v>
                </c:pt>
                <c:pt idx="35">
                  <c:v>20.076323000000002</c:v>
                </c:pt>
                <c:pt idx="36">
                  <c:v>22.166976999999996</c:v>
                </c:pt>
                <c:pt idx="37">
                  <c:v>20.513078</c:v>
                </c:pt>
                <c:pt idx="38">
                  <c:v>17.702249000000002</c:v>
                </c:pt>
                <c:pt idx="39">
                  <c:v>19.058396999999999</c:v>
                </c:pt>
                <c:pt idx="40">
                  <c:v>17.562943000000001</c:v>
                </c:pt>
                <c:pt idx="41">
                  <c:v>19.051446000000002</c:v>
                </c:pt>
                <c:pt idx="42">
                  <c:v>19.049435000000003</c:v>
                </c:pt>
                <c:pt idx="43">
                  <c:v>18.739460999999999</c:v>
                </c:pt>
                <c:pt idx="44">
                  <c:v>21.920589</c:v>
                </c:pt>
                <c:pt idx="45">
                  <c:v>18.335720000000002</c:v>
                </c:pt>
                <c:pt idx="46">
                  <c:v>15.991191000000001</c:v>
                </c:pt>
                <c:pt idx="47">
                  <c:v>12.828248</c:v>
                </c:pt>
                <c:pt idx="48">
                  <c:v>12.524324309000001</c:v>
                </c:pt>
                <c:pt idx="49">
                  <c:v>14.973535984</c:v>
                </c:pt>
                <c:pt idx="50">
                  <c:v>12.270888789022798</c:v>
                </c:pt>
                <c:pt idx="51">
                  <c:v>11.54600424643619</c:v>
                </c:pt>
                <c:pt idx="52">
                  <c:v>12.419739846484219</c:v>
                </c:pt>
                <c:pt idx="53">
                  <c:v>16.582424801030264</c:v>
                </c:pt>
                <c:pt idx="54">
                  <c:v>15.955466067341865</c:v>
                </c:pt>
                <c:pt idx="55">
                  <c:v>16.731844391425859</c:v>
                </c:pt>
                <c:pt idx="56">
                  <c:v>15.581096618170506</c:v>
                </c:pt>
                <c:pt idx="57">
                  <c:v>14.712702441858191</c:v>
                </c:pt>
                <c:pt idx="58">
                  <c:v>14.417610618731308</c:v>
                </c:pt>
              </c:numCache>
            </c:numRef>
          </c:val>
          <c:extLst>
            <c:ext xmlns:c16="http://schemas.microsoft.com/office/drawing/2014/chart" uri="{C3380CC4-5D6E-409C-BE32-E72D297353CC}">
              <c16:uniqueId val="{00000000-C268-43E4-A90C-749B6AAACF72}"/>
            </c:ext>
          </c:extLst>
        </c:ser>
        <c:ser>
          <c:idx val="1"/>
          <c:order val="1"/>
          <c:tx>
            <c:v>Rest of Australia</c:v>
          </c:tx>
          <c:invertIfNegative val="0"/>
          <c:cat>
            <c:numRef>
              <c:f>'Petroleum - WA vs Aus 1'!$A$10:$A$68</c:f>
              <c:numCache>
                <c:formatCode>General</c:formatCode>
                <c:ptCount val="59"/>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pt idx="51">
                  <c:v>2017</c:v>
                </c:pt>
                <c:pt idx="52">
                  <c:v>2018</c:v>
                </c:pt>
                <c:pt idx="53">
                  <c:v>2019</c:v>
                </c:pt>
                <c:pt idx="54">
                  <c:v>2020</c:v>
                </c:pt>
                <c:pt idx="55">
                  <c:v>2021</c:v>
                </c:pt>
                <c:pt idx="56">
                  <c:v>2022</c:v>
                </c:pt>
                <c:pt idx="57">
                  <c:v>2023</c:v>
                </c:pt>
                <c:pt idx="58">
                  <c:v>2024</c:v>
                </c:pt>
              </c:numCache>
            </c:numRef>
          </c:cat>
          <c:val>
            <c:numRef>
              <c:f>'Petroleum - WA vs Aus 1'!$C$10:$C$68</c:f>
              <c:numCache>
                <c:formatCode>#,##0.00</c:formatCode>
                <c:ptCount val="59"/>
                <c:pt idx="0">
                  <c:v>0.53867200000000004</c:v>
                </c:pt>
                <c:pt idx="1">
                  <c:v>0.46932610000000002</c:v>
                </c:pt>
                <c:pt idx="2">
                  <c:v>0.51414490000000002</c:v>
                </c:pt>
                <c:pt idx="3">
                  <c:v>0.41703750000000001</c:v>
                </c:pt>
                <c:pt idx="4">
                  <c:v>7.719716</c:v>
                </c:pt>
                <c:pt idx="5">
                  <c:v>15.35299</c:v>
                </c:pt>
                <c:pt idx="6">
                  <c:v>16.546130000000002</c:v>
                </c:pt>
                <c:pt idx="7">
                  <c:v>20.298159999999999</c:v>
                </c:pt>
                <c:pt idx="8">
                  <c:v>20.20402</c:v>
                </c:pt>
                <c:pt idx="9">
                  <c:v>21.78209</c:v>
                </c:pt>
                <c:pt idx="10">
                  <c:v>22.474930000000001</c:v>
                </c:pt>
                <c:pt idx="11">
                  <c:v>23.120240000000003</c:v>
                </c:pt>
                <c:pt idx="12">
                  <c:v>23.364529999999998</c:v>
                </c:pt>
                <c:pt idx="13">
                  <c:v>23.943999999999999</c:v>
                </c:pt>
                <c:pt idx="14">
                  <c:v>19.695</c:v>
                </c:pt>
                <c:pt idx="15">
                  <c:v>20.262</c:v>
                </c:pt>
                <c:pt idx="16">
                  <c:v>20.396999999999998</c:v>
                </c:pt>
                <c:pt idx="17">
                  <c:v>23.8</c:v>
                </c:pt>
                <c:pt idx="18">
                  <c:v>27.591000000000001</c:v>
                </c:pt>
                <c:pt idx="19">
                  <c:v>31.901</c:v>
                </c:pt>
                <c:pt idx="20">
                  <c:v>27.734000000000002</c:v>
                </c:pt>
                <c:pt idx="21">
                  <c:v>29.187999999999999</c:v>
                </c:pt>
                <c:pt idx="22">
                  <c:v>26.952000000000002</c:v>
                </c:pt>
                <c:pt idx="23">
                  <c:v>24.533999999999999</c:v>
                </c:pt>
                <c:pt idx="24">
                  <c:v>26.567</c:v>
                </c:pt>
                <c:pt idx="25">
                  <c:v>24.526</c:v>
                </c:pt>
                <c:pt idx="26">
                  <c:v>23.945</c:v>
                </c:pt>
                <c:pt idx="27">
                  <c:v>22.596</c:v>
                </c:pt>
                <c:pt idx="28">
                  <c:v>20.153919999999999</c:v>
                </c:pt>
                <c:pt idx="29">
                  <c:v>16.872420000000002</c:v>
                </c:pt>
                <c:pt idx="30">
                  <c:v>15.353365</c:v>
                </c:pt>
                <c:pt idx="31">
                  <c:v>16.927389999999999</c:v>
                </c:pt>
                <c:pt idx="32">
                  <c:v>13.651999999999999</c:v>
                </c:pt>
                <c:pt idx="33">
                  <c:v>16.036999999999999</c:v>
                </c:pt>
                <c:pt idx="34">
                  <c:v>20.478000000000002</c:v>
                </c:pt>
                <c:pt idx="35">
                  <c:v>16.702677000000001</c:v>
                </c:pt>
                <c:pt idx="36">
                  <c:v>13.944922999999999</c:v>
                </c:pt>
                <c:pt idx="37">
                  <c:v>9.5589230000000001</c:v>
                </c:pt>
                <c:pt idx="38">
                  <c:v>7.359886000000003</c:v>
                </c:pt>
                <c:pt idx="39">
                  <c:v>6.7048319999999997</c:v>
                </c:pt>
                <c:pt idx="40">
                  <c:v>8.4257999999999988</c:v>
                </c:pt>
                <c:pt idx="41">
                  <c:v>10.921000000000003</c:v>
                </c:pt>
                <c:pt idx="42">
                  <c:v>7.6799649999999993</c:v>
                </c:pt>
                <c:pt idx="43">
                  <c:v>5.8065390000000008</c:v>
                </c:pt>
                <c:pt idx="44">
                  <c:v>5.3974110000000017</c:v>
                </c:pt>
                <c:pt idx="45">
                  <c:v>5.5312799999999989</c:v>
                </c:pt>
                <c:pt idx="46">
                  <c:v>5.9488090000000007</c:v>
                </c:pt>
                <c:pt idx="47">
                  <c:v>6.1817520000000012</c:v>
                </c:pt>
                <c:pt idx="48">
                  <c:v>7.9256756909999986</c:v>
                </c:pt>
                <c:pt idx="49">
                  <c:v>3.6764640159999988</c:v>
                </c:pt>
                <c:pt idx="50">
                  <c:v>4.7191112109772</c:v>
                </c:pt>
                <c:pt idx="51">
                  <c:v>4.941995753563809</c:v>
                </c:pt>
                <c:pt idx="52">
                  <c:v>5.0628409999999997</c:v>
                </c:pt>
                <c:pt idx="53">
                  <c:v>6.0302290000000003</c:v>
                </c:pt>
                <c:pt idx="54">
                  <c:v>5.7037979999999999</c:v>
                </c:pt>
                <c:pt idx="55">
                  <c:v>4.7230239705586303</c:v>
                </c:pt>
                <c:pt idx="56">
                  <c:v>4.3304269493691496</c:v>
                </c:pt>
                <c:pt idx="57">
                  <c:v>4.02621979819489</c:v>
                </c:pt>
                <c:pt idx="58">
                  <c:v>4.9608172585752905</c:v>
                </c:pt>
              </c:numCache>
            </c:numRef>
          </c:val>
          <c:extLst>
            <c:ext xmlns:c16="http://schemas.microsoft.com/office/drawing/2014/chart" uri="{C3380CC4-5D6E-409C-BE32-E72D297353CC}">
              <c16:uniqueId val="{00000001-C268-43E4-A90C-749B6AAACF72}"/>
            </c:ext>
          </c:extLst>
        </c:ser>
        <c:dLbls>
          <c:showLegendKey val="0"/>
          <c:showVal val="0"/>
          <c:showCatName val="0"/>
          <c:showSerName val="0"/>
          <c:showPercent val="0"/>
          <c:showBubbleSize val="0"/>
        </c:dLbls>
        <c:gapWidth val="60"/>
        <c:overlap val="100"/>
        <c:axId val="135947776"/>
        <c:axId val="135949312"/>
      </c:barChart>
      <c:dateAx>
        <c:axId val="13594777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5949312"/>
        <c:crosses val="autoZero"/>
        <c:auto val="0"/>
        <c:lblOffset val="100"/>
        <c:baseTimeUnit val="days"/>
        <c:majorUnit val="2"/>
        <c:majorTimeUnit val="days"/>
      </c:dateAx>
      <c:valAx>
        <c:axId val="135949312"/>
        <c:scaling>
          <c:orientation val="minMax"/>
        </c:scaling>
        <c:delete val="0"/>
        <c:axPos val="l"/>
        <c:majorGridlines/>
        <c:title>
          <c:tx>
            <c:rich>
              <a:bodyPr rot="-5400000" vert="horz"/>
              <a:lstStyle/>
              <a:p>
                <a:pPr>
                  <a:defRPr/>
                </a:pPr>
                <a:r>
                  <a:rPr lang="en-AU"/>
                  <a:t>Gigalitres</a:t>
                </a:r>
              </a:p>
            </c:rich>
          </c:tx>
          <c:layout>
            <c:manualLayout>
              <c:xMode val="edge"/>
              <c:yMode val="edge"/>
              <c:x val="1.4200544030956004E-2"/>
              <c:y val="0.48363461278749553"/>
            </c:manualLayout>
          </c:layout>
          <c:overlay val="0"/>
        </c:title>
        <c:numFmt formatCode="0" sourceLinked="0"/>
        <c:majorTickMark val="out"/>
        <c:minorTickMark val="none"/>
        <c:tickLblPos val="nextTo"/>
        <c:txPr>
          <a:bodyPr rot="0" vert="horz"/>
          <a:lstStyle/>
          <a:p>
            <a:pPr>
              <a:defRPr/>
            </a:pPr>
            <a:endParaRPr lang="en-US"/>
          </a:p>
        </c:txPr>
        <c:crossAx val="135947776"/>
        <c:crosses val="autoZero"/>
        <c:crossBetween val="between"/>
        <c:majorUnit val="10"/>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a:t>
            </a:r>
            <a:r>
              <a:rPr lang="en-AU" baseline="0"/>
              <a:t> Oil and Condensate</a:t>
            </a:r>
            <a:endParaRPr lang="en-AU"/>
          </a:p>
          <a:p>
            <a:pPr>
              <a:defRPr/>
            </a:pPr>
            <a:r>
              <a:rPr lang="en-AU" sz="1100"/>
              <a:t>Western Australia vs Rest of Australia</a:t>
            </a:r>
          </a:p>
          <a:p>
            <a:pPr>
              <a:defRPr/>
            </a:pPr>
            <a:r>
              <a:rPr lang="en-AU" sz="1100"/>
              <a:t>Last 10 Years</a:t>
            </a:r>
          </a:p>
        </c:rich>
      </c:tx>
      <c:overlay val="0"/>
    </c:title>
    <c:autoTitleDeleted val="0"/>
    <c:plotArea>
      <c:layout/>
      <c:lineChart>
        <c:grouping val="standard"/>
        <c:varyColors val="0"/>
        <c:ser>
          <c:idx val="0"/>
          <c:order val="0"/>
          <c:tx>
            <c:v>Western Australia</c:v>
          </c:tx>
          <c:spPr>
            <a:ln w="28575"/>
          </c:spPr>
          <c:cat>
            <c:numRef>
              <c:f>'Petroleum - WA vs Aus 1'!$O$12:$O$21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'Petroleum - WA vs Aus 1'!$P$12:$P$21</c:f>
              <c:numCache>
                <c:formatCode>0.00</c:formatCode>
                <c:ptCount val="10"/>
                <c:pt idx="0">
                  <c:v>14.973535984</c:v>
                </c:pt>
                <c:pt idx="1">
                  <c:v>12.270888789022798</c:v>
                </c:pt>
                <c:pt idx="2">
                  <c:v>11.54600424643619</c:v>
                </c:pt>
                <c:pt idx="3">
                  <c:v>12.419739846484219</c:v>
                </c:pt>
                <c:pt idx="4">
                  <c:v>16.582424801030264</c:v>
                </c:pt>
                <c:pt idx="5">
                  <c:v>15.955466067341865</c:v>
                </c:pt>
                <c:pt idx="6">
                  <c:v>16.731844391425859</c:v>
                </c:pt>
                <c:pt idx="7">
                  <c:v>15.581096618170506</c:v>
                </c:pt>
                <c:pt idx="8">
                  <c:v>14.712702441858191</c:v>
                </c:pt>
                <c:pt idx="9">
                  <c:v>14.417610618731308</c:v>
                </c:pt>
              </c:numCache>
            </c:numRef>
          </c:val>
          <c:smooth val="0"/>
          <c:extLst>
            <c:ext xmlns:c16="http://schemas.microsoft.com/office/drawing/2014/chart" uri="{C3380CC4-5D6E-409C-BE32-E72D297353CC}">
              <c16:uniqueId val="{00000000-95DD-4DC2-BEB0-CC01DFD3BA1B}"/>
            </c:ext>
          </c:extLst>
        </c:ser>
        <c:ser>
          <c:idx val="1"/>
          <c:order val="1"/>
          <c:tx>
            <c:v>Rest of Australia</c:v>
          </c:tx>
          <c:spPr>
            <a:ln w="28575"/>
          </c:spPr>
          <c:cat>
            <c:numRef>
              <c:f>'Petroleum - WA vs Aus 1'!$O$12:$O$21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'Petroleum - WA vs Aus 1'!$Q$12:$Q$21</c:f>
              <c:numCache>
                <c:formatCode>0.00</c:formatCode>
                <c:ptCount val="10"/>
                <c:pt idx="0">
                  <c:v>3.6764640159999988</c:v>
                </c:pt>
                <c:pt idx="1">
                  <c:v>4.7191112109772</c:v>
                </c:pt>
                <c:pt idx="2">
                  <c:v>4.941995753563809</c:v>
                </c:pt>
                <c:pt idx="3">
                  <c:v>5.0628409999999997</c:v>
                </c:pt>
                <c:pt idx="4">
                  <c:v>6.0302290000000003</c:v>
                </c:pt>
                <c:pt idx="5">
                  <c:v>5.7037979999999999</c:v>
                </c:pt>
                <c:pt idx="6">
                  <c:v>4.7230239705586303</c:v>
                </c:pt>
                <c:pt idx="7">
                  <c:v>4.3304269493691496</c:v>
                </c:pt>
                <c:pt idx="8">
                  <c:v>4.02621979819489</c:v>
                </c:pt>
                <c:pt idx="9">
                  <c:v>4.9608172585752905</c:v>
                </c:pt>
              </c:numCache>
            </c:numRef>
          </c:val>
          <c:smooth val="0"/>
          <c:extLst>
            <c:ext xmlns:c16="http://schemas.microsoft.com/office/drawing/2014/chart" uri="{C3380CC4-5D6E-409C-BE32-E72D297353CC}">
              <c16:uniqueId val="{00000001-95DD-4DC2-BEB0-CC01DFD3BA1B}"/>
            </c:ext>
          </c:extLst>
        </c:ser>
        <c:dLbls>
          <c:showLegendKey val="0"/>
          <c:showVal val="0"/>
          <c:showCatName val="0"/>
          <c:showSerName val="0"/>
          <c:showPercent val="0"/>
          <c:showBubbleSize val="0"/>
        </c:dLbls>
        <c:marker val="1"/>
        <c:smooth val="0"/>
        <c:axId val="136997888"/>
        <c:axId val="136996352"/>
      </c:lineChart>
      <c:valAx>
        <c:axId val="136996352"/>
        <c:scaling>
          <c:orientation val="minMax"/>
          <c:max val="20"/>
        </c:scaling>
        <c:delete val="0"/>
        <c:axPos val="l"/>
        <c:majorGridlines/>
        <c:title>
          <c:tx>
            <c:rich>
              <a:bodyPr/>
              <a:lstStyle/>
              <a:p>
                <a:pPr>
                  <a:defRPr/>
                </a:pPr>
                <a:r>
                  <a:rPr lang="en-AU"/>
                  <a:t>Gigalitres</a:t>
                </a:r>
              </a:p>
            </c:rich>
          </c:tx>
          <c:layout>
            <c:manualLayout>
              <c:xMode val="edge"/>
              <c:yMode val="edge"/>
              <c:x val="1.1978419980381801E-2"/>
              <c:y val="0.48888456756670601"/>
            </c:manualLayout>
          </c:layout>
          <c:overlay val="0"/>
        </c:title>
        <c:numFmt formatCode="0" sourceLinked="0"/>
        <c:majorTickMark val="out"/>
        <c:minorTickMark val="none"/>
        <c:tickLblPos val="nextTo"/>
        <c:crossAx val="136997888"/>
        <c:crosses val="autoZero"/>
        <c:crossBetween val="between"/>
        <c:majorUnit val="4"/>
      </c:valAx>
      <c:catAx>
        <c:axId val="136997888"/>
        <c:scaling>
          <c:orientation val="minMax"/>
        </c:scaling>
        <c:delete val="0"/>
        <c:axPos val="b"/>
        <c:title>
          <c:tx>
            <c:rich>
              <a:bodyPr/>
              <a:lstStyle/>
              <a:p>
                <a:pPr>
                  <a:defRPr sz="900"/>
                </a:pPr>
                <a:r>
                  <a:rPr lang="en-AU" sz="900" b="1" i="0" baseline="0">
                    <a:effectLst/>
                  </a:rPr>
                  <a:t>Source:  DMPE and EnergyQuest</a:t>
                </a:r>
                <a:endParaRPr lang="en-AU" sz="900">
                  <a:effectLst/>
                </a:endParaRPr>
              </a:p>
            </c:rich>
          </c:tx>
          <c:layout>
            <c:manualLayout>
              <c:xMode val="edge"/>
              <c:yMode val="edge"/>
              <c:x val="1.161495561004988E-2"/>
              <c:y val="0.95243641997462836"/>
            </c:manualLayout>
          </c:layout>
          <c:overlay val="0"/>
        </c:title>
        <c:numFmt formatCode="General" sourceLinked="1"/>
        <c:majorTickMark val="out"/>
        <c:minorTickMark val="none"/>
        <c:tickLblPos val="nextTo"/>
        <c:txPr>
          <a:bodyPr rot="-2700000"/>
          <a:lstStyle/>
          <a:p>
            <a:pPr>
              <a:defRPr/>
            </a:pPr>
            <a:endParaRPr lang="en-US"/>
          </a:p>
        </c:txPr>
        <c:crossAx val="136996352"/>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 </a:t>
            </a:r>
            <a:br>
              <a:rPr lang="en-AU"/>
            </a:br>
            <a:r>
              <a:rPr lang="en-AU" sz="1100"/>
              <a:t>Western Australia vs Rest of Australia</a:t>
            </a:r>
            <a:endParaRPr lang="en-AU"/>
          </a:p>
        </c:rich>
      </c:tx>
      <c:layout>
        <c:manualLayout>
          <c:xMode val="edge"/>
          <c:yMode val="edge"/>
          <c:x val="0.3688238201478522"/>
          <c:y val="3.7220978671236971E-2"/>
        </c:manualLayout>
      </c:layout>
      <c:overlay val="0"/>
    </c:title>
    <c:autoTitleDeleted val="0"/>
    <c:plotArea>
      <c:layout>
        <c:manualLayout>
          <c:layoutTarget val="inner"/>
          <c:xMode val="edge"/>
          <c:yMode val="edge"/>
          <c:x val="8.6161382089374905E-2"/>
          <c:y val="0.24354848062764717"/>
          <c:w val="0.87125098303225634"/>
          <c:h val="0.6079428544485832"/>
        </c:manualLayout>
      </c:layout>
      <c:barChart>
        <c:barDir val="col"/>
        <c:grouping val="stacked"/>
        <c:varyColors val="0"/>
        <c:ser>
          <c:idx val="0"/>
          <c:order val="0"/>
          <c:tx>
            <c:v>Western Australia</c:v>
          </c:tx>
          <c:invertIfNegative val="0"/>
          <c:cat>
            <c:numRef>
              <c:f>'Petroleum - WA vs Aus 2'!$A$9:$A$44</c:f>
              <c:numCache>
                <c:formatCode>General</c:formatCode>
                <c:ptCount val="3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pt idx="35">
                  <c:v>2024</c:v>
                </c:pt>
              </c:numCache>
            </c:numRef>
          </c:cat>
          <c:val>
            <c:numRef>
              <c:f>'Petroleum - WA vs Aus 2'!$B$9:$B$44</c:f>
              <c:numCache>
                <c:formatCode>#,##0</c:formatCode>
                <c:ptCount val="36"/>
                <c:pt idx="0">
                  <c:v>724675</c:v>
                </c:pt>
                <c:pt idx="1">
                  <c:v>2945027.3076923075</c:v>
                </c:pt>
                <c:pt idx="2">
                  <c:v>3938443.6153846155</c:v>
                </c:pt>
                <c:pt idx="3">
                  <c:v>4570048.634615385</c:v>
                </c:pt>
                <c:pt idx="4">
                  <c:v>5091341.923076923</c:v>
                </c:pt>
                <c:pt idx="5">
                  <c:v>6445317.692307692</c:v>
                </c:pt>
                <c:pt idx="6">
                  <c:v>7218118.519230769</c:v>
                </c:pt>
                <c:pt idx="7">
                  <c:v>7265855</c:v>
                </c:pt>
                <c:pt idx="8">
                  <c:v>7252140</c:v>
                </c:pt>
                <c:pt idx="9">
                  <c:v>7460694.230769231</c:v>
                </c:pt>
                <c:pt idx="10">
                  <c:v>7864308.2088672249</c:v>
                </c:pt>
                <c:pt idx="11">
                  <c:v>7808637.1174924597</c:v>
                </c:pt>
                <c:pt idx="12">
                  <c:v>7908707.098006526</c:v>
                </c:pt>
                <c:pt idx="13">
                  <c:v>8000993.128996823</c:v>
                </c:pt>
                <c:pt idx="14">
                  <c:v>8288457.5208532624</c:v>
                </c:pt>
                <c:pt idx="15">
                  <c:v>9219308.2852303274</c:v>
                </c:pt>
                <c:pt idx="16">
                  <c:v>11600612</c:v>
                </c:pt>
                <c:pt idx="17">
                  <c:v>11958780</c:v>
                </c:pt>
                <c:pt idx="18">
                  <c:v>12375731</c:v>
                </c:pt>
                <c:pt idx="19">
                  <c:v>12381004</c:v>
                </c:pt>
                <c:pt idx="20">
                  <c:v>15252516</c:v>
                </c:pt>
                <c:pt idx="21">
                  <c:v>16527193</c:v>
                </c:pt>
                <c:pt idx="22">
                  <c:v>16554099.919233976</c:v>
                </c:pt>
                <c:pt idx="23">
                  <c:v>18260551</c:v>
                </c:pt>
                <c:pt idx="24">
                  <c:v>19220443</c:v>
                </c:pt>
                <c:pt idx="25">
                  <c:v>20852601</c:v>
                </c:pt>
                <c:pt idx="26">
                  <c:v>20385653</c:v>
                </c:pt>
                <c:pt idx="27">
                  <c:v>23774656.646750003</c:v>
                </c:pt>
                <c:pt idx="28">
                  <c:v>32729696.569625001</c:v>
                </c:pt>
                <c:pt idx="29">
                  <c:v>44542484.37063162</c:v>
                </c:pt>
                <c:pt idx="30">
                  <c:v>44584685.399831846</c:v>
                </c:pt>
                <c:pt idx="31">
                  <c:v>44064357.32577163</c:v>
                </c:pt>
                <c:pt idx="32">
                  <c:v>45637085.72443305</c:v>
                </c:pt>
                <c:pt idx="33">
                  <c:v>48608467.014604136</c:v>
                </c:pt>
                <c:pt idx="34">
                  <c:v>48028219.391891696</c:v>
                </c:pt>
                <c:pt idx="35">
                  <c:v>48070692.233975351</c:v>
                </c:pt>
              </c:numCache>
            </c:numRef>
          </c:val>
          <c:extLst>
            <c:ext xmlns:c16="http://schemas.microsoft.com/office/drawing/2014/chart" uri="{C3380CC4-5D6E-409C-BE32-E72D297353CC}">
              <c16:uniqueId val="{00000000-42DA-4379-BE47-D10E71D031D4}"/>
            </c:ext>
          </c:extLst>
        </c:ser>
        <c:ser>
          <c:idx val="1"/>
          <c:order val="1"/>
          <c:tx>
            <c:v>Rest of Australia</c:v>
          </c:tx>
          <c:invertIfNegative val="0"/>
          <c:cat>
            <c:numRef>
              <c:f>'Petroleum - WA vs Aus 2'!$A$9:$A$44</c:f>
              <c:numCache>
                <c:formatCode>General</c:formatCode>
                <c:ptCount val="3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pt idx="35">
                  <c:v>2024</c:v>
                </c:pt>
              </c:numCache>
            </c:numRef>
          </c:cat>
          <c:val>
            <c:numRef>
              <c:f>'Petroleum - WA vs Aus 2'!$C$9:$C$44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2410337.7234242707</c:v>
                </c:pt>
                <c:pt idx="18">
                  <c:v>3007797</c:v>
                </c:pt>
                <c:pt idx="19">
                  <c:v>3433344</c:v>
                </c:pt>
                <c:pt idx="20">
                  <c:v>3404654.9999999995</c:v>
                </c:pt>
                <c:pt idx="21">
                  <c:v>3289517.0000000005</c:v>
                </c:pt>
                <c:pt idx="22">
                  <c:v>3671140</c:v>
                </c:pt>
                <c:pt idx="23">
                  <c:v>3525016</c:v>
                </c:pt>
                <c:pt idx="24">
                  <c:v>4001813.2</c:v>
                </c:pt>
                <c:pt idx="25">
                  <c:v>3589960</c:v>
                </c:pt>
                <c:pt idx="26">
                  <c:v>9810036.7450183667</c:v>
                </c:pt>
                <c:pt idx="27">
                  <c:v>21123834.912853334</c:v>
                </c:pt>
                <c:pt idx="28">
                  <c:v>23720687.584956668</c:v>
                </c:pt>
                <c:pt idx="29">
                  <c:v>24660348.820281334</c:v>
                </c:pt>
                <c:pt idx="30">
                  <c:v>32764694.395784575</c:v>
                </c:pt>
                <c:pt idx="31">
                  <c:v>34173181.687156245</c:v>
                </c:pt>
                <c:pt idx="32">
                  <c:v>34977565.140725397</c:v>
                </c:pt>
                <c:pt idx="33">
                  <c:v>32634067.539353501</c:v>
                </c:pt>
                <c:pt idx="34">
                  <c:v>31986750.104394007</c:v>
                </c:pt>
                <c:pt idx="35">
                  <c:v>32296169.618091911</c:v>
                </c:pt>
              </c:numCache>
            </c:numRef>
          </c:val>
          <c:extLst>
            <c:ext xmlns:c16="http://schemas.microsoft.com/office/drawing/2014/chart" uri="{C3380CC4-5D6E-409C-BE32-E72D297353CC}">
              <c16:uniqueId val="{00000001-42DA-4379-BE47-D10E71D031D4}"/>
            </c:ext>
          </c:extLst>
        </c:ser>
        <c:dLbls>
          <c:showLegendKey val="0"/>
          <c:showVal val="0"/>
          <c:showCatName val="0"/>
          <c:showSerName val="0"/>
          <c:showPercent val="0"/>
          <c:showBubbleSize val="0"/>
        </c:dLbls>
        <c:gapWidth val="60"/>
        <c:overlap val="100"/>
        <c:axId val="135947776"/>
        <c:axId val="135949312"/>
      </c:barChart>
      <c:dateAx>
        <c:axId val="135947776"/>
        <c:scaling>
          <c:orientation val="minMax"/>
        </c:scaling>
        <c:delete val="0"/>
        <c:axPos val="b"/>
        <c:numFmt formatCode="General" sourceLinked="1"/>
        <c:majorTickMark val="out"/>
        <c:minorTickMark val="none"/>
        <c:tickLblPos val="nextTo"/>
        <c:spPr>
          <a:ln/>
        </c:spPr>
        <c:txPr>
          <a:bodyPr rot="-2700000" vert="horz"/>
          <a:lstStyle/>
          <a:p>
            <a:pPr>
              <a:defRPr/>
            </a:pPr>
            <a:endParaRPr lang="en-US"/>
          </a:p>
        </c:txPr>
        <c:crossAx val="135949312"/>
        <c:crosses val="autoZero"/>
        <c:auto val="0"/>
        <c:lblOffset val="100"/>
        <c:baseTimeUnit val="days"/>
        <c:majorUnit val="1"/>
        <c:majorTimeUnit val="days"/>
      </c:dateAx>
      <c:valAx>
        <c:axId val="135949312"/>
        <c:scaling>
          <c:orientation val="minMax"/>
          <c:max val="100000000"/>
        </c:scaling>
        <c:delete val="0"/>
        <c:axPos val="l"/>
        <c:majorGridlines/>
        <c:title>
          <c:tx>
            <c:rich>
              <a:bodyPr rot="-5400000" vert="horz"/>
              <a:lstStyle/>
              <a:p>
                <a:pPr>
                  <a:defRPr/>
                </a:pPr>
                <a:r>
                  <a:rPr lang="en-AU"/>
                  <a:t>Million tonnes</a:t>
                </a:r>
              </a:p>
            </c:rich>
          </c:tx>
          <c:layout>
            <c:manualLayout>
              <c:xMode val="edge"/>
              <c:yMode val="edge"/>
              <c:x val="1.0022176351219308E-2"/>
              <c:y val="0.47844636672096352"/>
            </c:manualLayout>
          </c:layout>
          <c:overlay val="0"/>
        </c:title>
        <c:numFmt formatCode="#,##0" sourceLinked="0"/>
        <c:majorTickMark val="out"/>
        <c:minorTickMark val="none"/>
        <c:tickLblPos val="nextTo"/>
        <c:txPr>
          <a:bodyPr rot="0" vert="horz"/>
          <a:lstStyle/>
          <a:p>
            <a:pPr>
              <a:defRPr/>
            </a:pPr>
            <a:endParaRPr lang="en-US"/>
          </a:p>
        </c:txPr>
        <c:crossAx val="135947776"/>
        <c:crosses val="autoZero"/>
        <c:crossBetween val="between"/>
        <c:majorUnit val="20000000"/>
        <c:dispUnits>
          <c:builtInUnit val="millions"/>
        </c:dispUnits>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a:t>
            </a:r>
          </a:p>
          <a:p>
            <a:pPr>
              <a:defRPr/>
            </a:pPr>
            <a:r>
              <a:rPr lang="en-AU" sz="1100"/>
              <a:t>Western Australia vs Rest of Australia</a:t>
            </a:r>
          </a:p>
          <a:p>
            <a:pPr>
              <a:defRPr/>
            </a:pPr>
            <a:r>
              <a:rPr lang="en-AU" sz="1100"/>
              <a:t>Last 10 Years</a:t>
            </a:r>
          </a:p>
        </c:rich>
      </c:tx>
      <c:layout>
        <c:manualLayout>
          <c:xMode val="edge"/>
          <c:yMode val="edge"/>
          <c:x val="0.34455569444444445"/>
          <c:y val="2.1677083333333333E-2"/>
        </c:manualLayout>
      </c:layout>
      <c:overlay val="0"/>
    </c:title>
    <c:autoTitleDeleted val="0"/>
    <c:plotArea>
      <c:layout>
        <c:manualLayout>
          <c:layoutTarget val="inner"/>
          <c:xMode val="edge"/>
          <c:yMode val="edge"/>
          <c:x val="8.119890975166566E-2"/>
          <c:y val="0.28220480376266205"/>
          <c:w val="0.90385548152634765"/>
          <c:h val="0.5400152051033017"/>
        </c:manualLayout>
      </c:layout>
      <c:lineChart>
        <c:grouping val="standard"/>
        <c:varyColors val="0"/>
        <c:ser>
          <c:idx val="0"/>
          <c:order val="0"/>
          <c:tx>
            <c:v>Western Australia</c:v>
          </c:tx>
          <c:spPr>
            <a:ln w="28575"/>
          </c:spPr>
          <c:cat>
            <c:numRef>
              <c:f>'Petroleum - WA vs Aus 2'!$P$12:$P$21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'Petroleum - WA vs Aus 2'!$Q$12:$Q$21</c:f>
              <c:numCache>
                <c:formatCode>#,##0</c:formatCode>
                <c:ptCount val="10"/>
                <c:pt idx="0">
                  <c:v>20385653</c:v>
                </c:pt>
                <c:pt idx="1">
                  <c:v>23774656.646750003</c:v>
                </c:pt>
                <c:pt idx="2">
                  <c:v>32729696.569625001</c:v>
                </c:pt>
                <c:pt idx="3">
                  <c:v>44542484.37063162</c:v>
                </c:pt>
                <c:pt idx="4">
                  <c:v>44584685.399831846</c:v>
                </c:pt>
                <c:pt idx="5">
                  <c:v>44064357.32577163</c:v>
                </c:pt>
                <c:pt idx="6">
                  <c:v>45637085.72443305</c:v>
                </c:pt>
                <c:pt idx="7">
                  <c:v>48608467.014604136</c:v>
                </c:pt>
                <c:pt idx="8">
                  <c:v>48028219.391891696</c:v>
                </c:pt>
                <c:pt idx="9">
                  <c:v>48070692.233975351</c:v>
                </c:pt>
              </c:numCache>
            </c:numRef>
          </c:val>
          <c:smooth val="0"/>
          <c:extLst>
            <c:ext xmlns:c16="http://schemas.microsoft.com/office/drawing/2014/chart" uri="{C3380CC4-5D6E-409C-BE32-E72D297353CC}">
              <c16:uniqueId val="{00000000-9F28-42D8-A90A-EF5E7724A717}"/>
            </c:ext>
          </c:extLst>
        </c:ser>
        <c:ser>
          <c:idx val="1"/>
          <c:order val="1"/>
          <c:tx>
            <c:v>Rest of Australia</c:v>
          </c:tx>
          <c:spPr>
            <a:ln w="28575"/>
          </c:spPr>
          <c:cat>
            <c:numRef>
              <c:f>'Petroleum - WA vs Aus 2'!$P$12:$P$21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'Petroleum - WA vs Aus 2'!$R$12:$R$21</c:f>
              <c:numCache>
                <c:formatCode>#,##0</c:formatCode>
                <c:ptCount val="10"/>
                <c:pt idx="0">
                  <c:v>9810036.7450183667</c:v>
                </c:pt>
                <c:pt idx="1">
                  <c:v>21123834.912853334</c:v>
                </c:pt>
                <c:pt idx="2">
                  <c:v>23720687.584956668</c:v>
                </c:pt>
                <c:pt idx="3">
                  <c:v>24660348.820281334</c:v>
                </c:pt>
                <c:pt idx="4">
                  <c:v>32764694.395784575</c:v>
                </c:pt>
                <c:pt idx="5">
                  <c:v>34173181.687156245</c:v>
                </c:pt>
                <c:pt idx="6">
                  <c:v>34977565.140725397</c:v>
                </c:pt>
                <c:pt idx="7">
                  <c:v>32634067.539353501</c:v>
                </c:pt>
                <c:pt idx="8">
                  <c:v>31986750.104394007</c:v>
                </c:pt>
                <c:pt idx="9">
                  <c:v>32296169.618091911</c:v>
                </c:pt>
              </c:numCache>
            </c:numRef>
          </c:val>
          <c:smooth val="0"/>
          <c:extLst>
            <c:ext xmlns:c16="http://schemas.microsoft.com/office/drawing/2014/chart" uri="{C3380CC4-5D6E-409C-BE32-E72D297353CC}">
              <c16:uniqueId val="{00000001-9F28-42D8-A90A-EF5E7724A717}"/>
            </c:ext>
          </c:extLst>
        </c:ser>
        <c:dLbls>
          <c:showLegendKey val="0"/>
          <c:showVal val="0"/>
          <c:showCatName val="0"/>
          <c:showSerName val="0"/>
          <c:showPercent val="0"/>
          <c:showBubbleSize val="0"/>
        </c:dLbls>
        <c:marker val="1"/>
        <c:smooth val="0"/>
        <c:axId val="136997888"/>
        <c:axId val="136996352"/>
      </c:lineChart>
      <c:valAx>
        <c:axId val="136996352"/>
        <c:scaling>
          <c:orientation val="minMax"/>
        </c:scaling>
        <c:delete val="0"/>
        <c:axPos val="l"/>
        <c:majorGridlines/>
        <c:title>
          <c:tx>
            <c:rich>
              <a:bodyPr/>
              <a:lstStyle/>
              <a:p>
                <a:pPr>
                  <a:defRPr/>
                </a:pPr>
                <a:r>
                  <a:rPr lang="en-AU"/>
                  <a:t>Million tonnes</a:t>
                </a:r>
              </a:p>
            </c:rich>
          </c:tx>
          <c:layout>
            <c:manualLayout>
              <c:xMode val="edge"/>
              <c:yMode val="edge"/>
              <c:x val="9.1513022410660214E-3"/>
              <c:y val="0.48905240691067464"/>
            </c:manualLayout>
          </c:layout>
          <c:overlay val="0"/>
        </c:title>
        <c:numFmt formatCode="#,##0" sourceLinked="0"/>
        <c:majorTickMark val="out"/>
        <c:minorTickMark val="none"/>
        <c:tickLblPos val="nextTo"/>
        <c:crossAx val="136997888"/>
        <c:crosses val="autoZero"/>
        <c:crossBetween val="between"/>
        <c:majorUnit val="10000000"/>
        <c:dispUnits>
          <c:builtInUnit val="millions"/>
        </c:dispUnits>
      </c:valAx>
      <c:catAx>
        <c:axId val="136997888"/>
        <c:scaling>
          <c:orientation val="minMax"/>
        </c:scaling>
        <c:delete val="0"/>
        <c:axPos val="b"/>
        <c:title>
          <c:tx>
            <c:rich>
              <a:bodyPr/>
              <a:lstStyle/>
              <a:p>
                <a:pPr>
                  <a:defRPr sz="900"/>
                </a:pPr>
                <a:r>
                  <a:rPr lang="en-AU" sz="900" b="1" i="0" baseline="0">
                    <a:effectLst/>
                  </a:rPr>
                  <a:t>Source:  DMPE, EnergyQuest and Woodside</a:t>
                </a:r>
                <a:endParaRPr lang="en-AU" sz="900">
                  <a:effectLst/>
                </a:endParaRPr>
              </a:p>
            </c:rich>
          </c:tx>
          <c:layout>
            <c:manualLayout>
              <c:xMode val="edge"/>
              <c:yMode val="edge"/>
              <c:x val="6.9995154451847367E-3"/>
              <c:y val="0.9524363300741252"/>
            </c:manualLayout>
          </c:layout>
          <c:overlay val="0"/>
        </c:title>
        <c:numFmt formatCode="General" sourceLinked="1"/>
        <c:majorTickMark val="out"/>
        <c:minorTickMark val="none"/>
        <c:tickLblPos val="nextTo"/>
        <c:txPr>
          <a:bodyPr rot="-2700000"/>
          <a:lstStyle/>
          <a:p>
            <a:pPr>
              <a:defRPr/>
            </a:pPr>
            <a:endParaRPr lang="en-US"/>
          </a:p>
        </c:txPr>
        <c:crossAx val="136996352"/>
        <c:crosses val="autoZero"/>
        <c:auto val="0"/>
        <c:lblAlgn val="ctr"/>
        <c:lblOffset val="100"/>
        <c:noMultiLvlLbl val="0"/>
      </c:catAx>
    </c:plotArea>
    <c:legend>
      <c:legendPos val="t"/>
      <c:overlay val="1"/>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'Alumina and Bauxite - Exports'!$W$1</c:f>
          <c:strCache>
            <c:ptCount val="1"/>
            <c:pt idx="0">
              <c:v>Alumina and Bauxite Exports 2025
Total Value: $7,088,050,000</c:v>
            </c:pt>
          </c:strCache>
        </c:strRef>
      </c:tx>
      <c:overlay val="0"/>
    </c:title>
    <c:autoTitleDeleted val="0"/>
    <c:plotArea>
      <c:layout>
        <c:manualLayout>
          <c:layoutTarget val="inner"/>
          <c:xMode val="edge"/>
          <c:yMode val="edge"/>
          <c:x val="0.30619823221337283"/>
          <c:y val="0.1968584513843219"/>
          <c:w val="0.41549024198579698"/>
          <c:h val="0.71749453440216138"/>
        </c:manualLayout>
      </c:layout>
      <c:pieChart>
        <c:varyColors val="1"/>
        <c:ser>
          <c:idx val="0"/>
          <c:order val="0"/>
          <c:tx>
            <c:v>Exports</c:v>
          </c:tx>
          <c:dPt>
            <c:idx val="0"/>
            <c:bubble3D val="0"/>
            <c:extLst>
              <c:ext xmlns:c16="http://schemas.microsoft.com/office/drawing/2014/chart" uri="{C3380CC4-5D6E-409C-BE32-E72D297353CC}">
                <c16:uniqueId val="{00000000-5DFC-478D-9E1B-38108A766521}"/>
              </c:ext>
            </c:extLst>
          </c:dPt>
          <c:dPt>
            <c:idx val="1"/>
            <c:bubble3D val="0"/>
            <c:extLst>
              <c:ext xmlns:c16="http://schemas.microsoft.com/office/drawing/2014/chart" uri="{C3380CC4-5D6E-409C-BE32-E72D297353CC}">
                <c16:uniqueId val="{00000001-5DFC-478D-9E1B-38108A766521}"/>
              </c:ext>
            </c:extLst>
          </c:dPt>
          <c:dPt>
            <c:idx val="2"/>
            <c:bubble3D val="0"/>
            <c:extLst>
              <c:ext xmlns:c16="http://schemas.microsoft.com/office/drawing/2014/chart" uri="{C3380CC4-5D6E-409C-BE32-E72D297353CC}">
                <c16:uniqueId val="{00000002-5DFC-478D-9E1B-38108A766521}"/>
              </c:ext>
            </c:extLst>
          </c:dPt>
          <c:dPt>
            <c:idx val="3"/>
            <c:bubble3D val="0"/>
            <c:extLst>
              <c:ext xmlns:c16="http://schemas.microsoft.com/office/drawing/2014/chart" uri="{C3380CC4-5D6E-409C-BE32-E72D297353CC}">
                <c16:uniqueId val="{00000003-5DFC-478D-9E1B-38108A766521}"/>
              </c:ext>
            </c:extLst>
          </c:dPt>
          <c:dPt>
            <c:idx val="4"/>
            <c:bubble3D val="0"/>
            <c:extLst>
              <c:ext xmlns:c16="http://schemas.microsoft.com/office/drawing/2014/chart" uri="{C3380CC4-5D6E-409C-BE32-E72D297353CC}">
                <c16:uniqueId val="{00000004-5DFC-478D-9E1B-38108A766521}"/>
              </c:ext>
            </c:extLst>
          </c:dPt>
          <c:dPt>
            <c:idx val="5"/>
            <c:bubble3D val="0"/>
            <c:extLst>
              <c:ext xmlns:c16="http://schemas.microsoft.com/office/drawing/2014/chart" uri="{C3380CC4-5D6E-409C-BE32-E72D297353CC}">
                <c16:uniqueId val="{00000005-5DFC-478D-9E1B-38108A766521}"/>
              </c:ext>
            </c:extLst>
          </c:dPt>
          <c:dPt>
            <c:idx val="6"/>
            <c:bubble3D val="0"/>
            <c:extLst>
              <c:ext xmlns:c16="http://schemas.microsoft.com/office/drawing/2014/chart" uri="{C3380CC4-5D6E-409C-BE32-E72D297353CC}">
                <c16:uniqueId val="{00000006-5DFC-478D-9E1B-38108A766521}"/>
              </c:ext>
            </c:extLst>
          </c:dPt>
          <c:dPt>
            <c:idx val="7"/>
            <c:bubble3D val="0"/>
            <c:extLst>
              <c:ext xmlns:c16="http://schemas.microsoft.com/office/drawing/2014/chart" uri="{C3380CC4-5D6E-409C-BE32-E72D297353CC}">
                <c16:uniqueId val="{00000007-5DFC-478D-9E1B-38108A766521}"/>
              </c:ext>
            </c:extLst>
          </c:dPt>
          <c:dPt>
            <c:idx val="8"/>
            <c:bubble3D val="0"/>
            <c:extLst>
              <c:ext xmlns:c16="http://schemas.microsoft.com/office/drawing/2014/chart" uri="{C3380CC4-5D6E-409C-BE32-E72D297353CC}">
                <c16:uniqueId val="{00000008-5DFC-478D-9E1B-38108A766521}"/>
              </c:ext>
            </c:extLst>
          </c:dPt>
          <c:dPt>
            <c:idx val="9"/>
            <c:bubble3D val="0"/>
            <c:extLst>
              <c:ext xmlns:c16="http://schemas.microsoft.com/office/drawing/2014/chart" uri="{C3380CC4-5D6E-409C-BE32-E72D297353CC}">
                <c16:uniqueId val="{00000009-5DFC-478D-9E1B-38108A766521}"/>
              </c:ext>
            </c:extLst>
          </c:dPt>
          <c:dPt>
            <c:idx val="10"/>
            <c:bubble3D val="0"/>
            <c:extLst>
              <c:ext xmlns:c16="http://schemas.microsoft.com/office/drawing/2014/chart" uri="{C3380CC4-5D6E-409C-BE32-E72D297353CC}">
                <c16:uniqueId val="{0000000A-5DFC-478D-9E1B-38108A766521}"/>
              </c:ext>
            </c:extLst>
          </c:dPt>
          <c:dLbls>
            <c:dLbl>
              <c:idx val="0"/>
              <c:layout>
                <c:manualLayout>
                  <c:x val="2.2480226101902308E-2"/>
                  <c:y val="9.5058253464923217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FC-478D-9E1B-38108A766521}"/>
                </c:ext>
              </c:extLst>
            </c:dLbl>
            <c:dLbl>
              <c:idx val="1"/>
              <c:layout>
                <c:manualLayout>
                  <c:x val="5.0820777682290819E-2"/>
                  <c:y val="4.6625548781571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FC-478D-9E1B-38108A766521}"/>
                </c:ext>
              </c:extLst>
            </c:dLbl>
            <c:dLbl>
              <c:idx val="2"/>
              <c:layout>
                <c:manualLayout>
                  <c:x val="8.4697087513480179E-2"/>
                  <c:y val="-3.362897922184106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FC-478D-9E1B-38108A766521}"/>
                </c:ext>
              </c:extLst>
            </c:dLbl>
            <c:dLbl>
              <c:idx val="3"/>
              <c:layout>
                <c:manualLayout>
                  <c:x val="-3.5580047610512741E-2"/>
                  <c:y val="9.1814933968469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FC-478D-9E1B-38108A766521}"/>
                </c:ext>
              </c:extLst>
            </c:dLbl>
            <c:dLbl>
              <c:idx val="4"/>
              <c:layout>
                <c:manualLayout>
                  <c:x val="-8.8323457248937979E-3"/>
                  <c:y val="2.694584170206715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FC-478D-9E1B-38108A766521}"/>
                </c:ext>
              </c:extLst>
            </c:dLbl>
            <c:dLbl>
              <c:idx val="5"/>
              <c:layout>
                <c:manualLayout>
                  <c:x val="-2.6148453344524612E-2"/>
                  <c:y val="5.5218831280401458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FC-478D-9E1B-38108A766521}"/>
                </c:ext>
              </c:extLst>
            </c:dLbl>
            <c:dLbl>
              <c:idx val="6"/>
              <c:layout>
                <c:manualLayout>
                  <c:x val="-3.5187822182722157E-2"/>
                  <c:y val="-1.16751094600759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FC-478D-9E1B-38108A766521}"/>
                </c:ext>
              </c:extLst>
            </c:dLbl>
            <c:dLbl>
              <c:idx val="7"/>
              <c:layout>
                <c:manualLayout>
                  <c:x val="-3.0617874445593888E-2"/>
                  <c:y val="-4.6751153848432602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FC-478D-9E1B-38108A766521}"/>
                </c:ext>
              </c:extLst>
            </c:dLbl>
            <c:dLbl>
              <c:idx val="8"/>
              <c:layout>
                <c:manualLayout>
                  <c:x val="-4.2481664353296027E-2"/>
                  <c:y val="-9.821131275069226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DFC-478D-9E1B-38108A766521}"/>
                </c:ext>
              </c:extLst>
            </c:dLbl>
            <c:dLbl>
              <c:idx val="9"/>
              <c:layout>
                <c:manualLayout>
                  <c:x val="-4.7591436695117881E-2"/>
                  <c:y val="-2.694812586628918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DFC-478D-9E1B-38108A766521}"/>
                </c:ext>
              </c:extLst>
            </c:dLbl>
            <c:dLbl>
              <c:idx val="10"/>
              <c:layout>
                <c:manualLayout>
                  <c:x val="2.134856379344837E-2"/>
                  <c:y val="7.282336314295526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DFC-478D-9E1B-38108A766521}"/>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'Alumina and Bauxite - Exports'!$A$12:$A$22</c:f>
              <c:strCache>
                <c:ptCount val="11"/>
                <c:pt idx="0">
                  <c:v>Bahrain</c:v>
                </c:pt>
                <c:pt idx="1">
                  <c:v>United Arab Emirates</c:v>
                </c:pt>
                <c:pt idx="2">
                  <c:v>South Africa</c:v>
                </c:pt>
                <c:pt idx="3">
                  <c:v>Mozambique</c:v>
                </c:pt>
                <c:pt idx="4">
                  <c:v>Oman</c:v>
                </c:pt>
                <c:pt idx="5">
                  <c:v>Argentina</c:v>
                </c:pt>
                <c:pt idx="6">
                  <c:v>Qatar</c:v>
                </c:pt>
                <c:pt idx="7">
                  <c:v>China (excludes SARs and Taiwan)</c:v>
                </c:pt>
                <c:pt idx="8">
                  <c:v>Iceland</c:v>
                </c:pt>
                <c:pt idx="9">
                  <c:v>Indonesia</c:v>
                </c:pt>
                <c:pt idx="10">
                  <c:v>Other</c:v>
                </c:pt>
              </c:strCache>
            </c:strRef>
          </c:cat>
          <c:val>
            <c:numRef>
              <c:f>'Alumina and Bauxite - Exports'!$D$12:$D$22</c:f>
              <c:numCache>
                <c:formatCode>0.0%</c:formatCode>
                <c:ptCount val="11"/>
                <c:pt idx="0">
                  <c:v>0.23107991619697943</c:v>
                </c:pt>
                <c:pt idx="1">
                  <c:v>0.20354512171894951</c:v>
                </c:pt>
                <c:pt idx="2">
                  <c:v>0.12895154520636848</c:v>
                </c:pt>
                <c:pt idx="3">
                  <c:v>0.10242379780052342</c:v>
                </c:pt>
                <c:pt idx="4">
                  <c:v>6.6979211489760937E-2</c:v>
                </c:pt>
                <c:pt idx="5">
                  <c:v>5.396702901362152E-2</c:v>
                </c:pt>
                <c:pt idx="6">
                  <c:v>5.1983408694916092E-2</c:v>
                </c:pt>
                <c:pt idx="7">
                  <c:v>4.1649960144186343E-2</c:v>
                </c:pt>
                <c:pt idx="8">
                  <c:v>3.9272860659842979E-2</c:v>
                </c:pt>
                <c:pt idx="9">
                  <c:v>2.4397542342393184E-2</c:v>
                </c:pt>
                <c:pt idx="10">
                  <c:v>5.574960673245815E-2</c:v>
                </c:pt>
              </c:numCache>
            </c:numRef>
          </c:val>
          <c:extLst>
            <c:ext xmlns:c16="http://schemas.microsoft.com/office/drawing/2014/chart" uri="{C3380CC4-5D6E-409C-BE32-E72D297353CC}">
              <c16:uniqueId val="{0000000B-5DFC-478D-9E1B-38108A766521}"/>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br>
              <a:rPr lang="en-AU"/>
            </a:br>
            <a:r>
              <a:rPr lang="en-AU" sz="1100"/>
              <a:t>Western</a:t>
            </a:r>
            <a:r>
              <a:rPr lang="en-AU" sz="1100" baseline="0"/>
              <a:t> Australia vs Rest of Australia</a:t>
            </a:r>
            <a:endParaRPr lang="en-AU"/>
          </a:p>
        </c:rich>
      </c:tx>
      <c:layout>
        <c:manualLayout>
          <c:xMode val="edge"/>
          <c:yMode val="edge"/>
          <c:x val="0.36170568344914344"/>
          <c:y val="2.523115121862568E-2"/>
        </c:manualLayout>
      </c:layout>
      <c:overlay val="0"/>
    </c:title>
    <c:autoTitleDeleted val="0"/>
    <c:plotArea>
      <c:layout>
        <c:manualLayout>
          <c:layoutTarget val="inner"/>
          <c:xMode val="edge"/>
          <c:yMode val="edge"/>
          <c:x val="8.2633123858902341E-2"/>
          <c:y val="0.22558777609810843"/>
          <c:w val="0.85154134417309546"/>
          <c:h val="0.62892485033438006"/>
        </c:manualLayout>
      </c:layout>
      <c:barChart>
        <c:barDir val="col"/>
        <c:grouping val="stacked"/>
        <c:varyColors val="0"/>
        <c:ser>
          <c:idx val="1"/>
          <c:order val="0"/>
          <c:tx>
            <c:v>Western Australia</c:v>
          </c:tx>
          <c:invertIfNegative val="0"/>
          <c:cat>
            <c:numRef>
              <c:f>'Alumina and Bauxite - WA vs Aus'!$A$9:$A$73</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'Alumina and Bauxite - WA vs Aus'!$B$9:$B$73</c:f>
              <c:numCache>
                <c:formatCode>0.00</c:formatCode>
                <c:ptCount val="65"/>
                <c:pt idx="0">
                  <c:v>0</c:v>
                </c:pt>
                <c:pt idx="1">
                  <c:v>0</c:v>
                </c:pt>
                <c:pt idx="2">
                  <c:v>0</c:v>
                </c:pt>
                <c:pt idx="3">
                  <c:v>0</c:v>
                </c:pt>
                <c:pt idx="4">
                  <c:v>0.119613</c:v>
                </c:pt>
                <c:pt idx="5">
                  <c:v>0.1508504</c:v>
                </c:pt>
                <c:pt idx="6">
                  <c:v>0.24705370000000001</c:v>
                </c:pt>
                <c:pt idx="7">
                  <c:v>0.41172740000000002</c:v>
                </c:pt>
                <c:pt idx="8">
                  <c:v>0.4885832</c:v>
                </c:pt>
                <c:pt idx="9">
                  <c:v>0.77114260000000001</c:v>
                </c:pt>
                <c:pt idx="10">
                  <c:v>0.9652309</c:v>
                </c:pt>
                <c:pt idx="11">
                  <c:v>1.2753509999999999</c:v>
                </c:pt>
                <c:pt idx="12">
                  <c:v>1.435859</c:v>
                </c:pt>
                <c:pt idx="13">
                  <c:v>1.7291289999999999</c:v>
                </c:pt>
                <c:pt idx="14">
                  <c:v>1.9812050000000001</c:v>
                </c:pt>
                <c:pt idx="15">
                  <c:v>2.2302550000000001</c:v>
                </c:pt>
                <c:pt idx="16">
                  <c:v>3.1200570000000001</c:v>
                </c:pt>
                <c:pt idx="17">
                  <c:v>3.4569869999999998</c:v>
                </c:pt>
                <c:pt idx="18">
                  <c:v>3.47038</c:v>
                </c:pt>
                <c:pt idx="19">
                  <c:v>3.9454449999999999</c:v>
                </c:pt>
                <c:pt idx="20">
                  <c:v>3.6639889999999999</c:v>
                </c:pt>
                <c:pt idx="21">
                  <c:v>3.67848</c:v>
                </c:pt>
                <c:pt idx="22">
                  <c:v>3.6763849999999998</c:v>
                </c:pt>
                <c:pt idx="23">
                  <c:v>3.983098</c:v>
                </c:pt>
                <c:pt idx="24">
                  <c:v>5.004988</c:v>
                </c:pt>
                <c:pt idx="25">
                  <c:v>5.4196229999999996</c:v>
                </c:pt>
                <c:pt idx="26">
                  <c:v>5.4427899999999996</c:v>
                </c:pt>
                <c:pt idx="27">
                  <c:v>5.928763</c:v>
                </c:pt>
                <c:pt idx="28">
                  <c:v>6.1764140000000003</c:v>
                </c:pt>
                <c:pt idx="29">
                  <c:v>6.3847959999999997</c:v>
                </c:pt>
                <c:pt idx="30">
                  <c:v>6.7222920000000004</c:v>
                </c:pt>
                <c:pt idx="31">
                  <c:v>7.0091840000000003</c:v>
                </c:pt>
                <c:pt idx="32">
                  <c:v>7.0927569999999998</c:v>
                </c:pt>
                <c:pt idx="33">
                  <c:v>7.8012740000000003</c:v>
                </c:pt>
                <c:pt idx="34">
                  <c:v>7.9333210000000003</c:v>
                </c:pt>
                <c:pt idx="35">
                  <c:v>8.06738</c:v>
                </c:pt>
                <c:pt idx="36">
                  <c:v>8.2496600000000004</c:v>
                </c:pt>
                <c:pt idx="37">
                  <c:v>8.4818949999999997</c:v>
                </c:pt>
                <c:pt idx="38">
                  <c:v>8.7480000000000011</c:v>
                </c:pt>
                <c:pt idx="39">
                  <c:v>8.9310000000000009</c:v>
                </c:pt>
                <c:pt idx="40">
                  <c:v>10.001999999999999</c:v>
                </c:pt>
                <c:pt idx="41">
                  <c:v>10.758000000000001</c:v>
                </c:pt>
                <c:pt idx="42">
                  <c:v>11</c:v>
                </c:pt>
                <c:pt idx="43">
                  <c:v>11.227864</c:v>
                </c:pt>
                <c:pt idx="44">
                  <c:v>10.988386</c:v>
                </c:pt>
                <c:pt idx="45">
                  <c:v>11.352183</c:v>
                </c:pt>
                <c:pt idx="46">
                  <c:v>11.82174775</c:v>
                </c:pt>
                <c:pt idx="47">
                  <c:v>12.193625759000001</c:v>
                </c:pt>
                <c:pt idx="48">
                  <c:v>12.245763095999999</c:v>
                </c:pt>
                <c:pt idx="49">
                  <c:v>12.42197</c:v>
                </c:pt>
                <c:pt idx="50">
                  <c:v>12.563285</c:v>
                </c:pt>
                <c:pt idx="51">
                  <c:v>12.291484000000001</c:v>
                </c:pt>
                <c:pt idx="52">
                  <c:v>12.81154939</c:v>
                </c:pt>
                <c:pt idx="53">
                  <c:v>13.625703529999999</c:v>
                </c:pt>
                <c:pt idx="54">
                  <c:v>13.876846259999999</c:v>
                </c:pt>
                <c:pt idx="55">
                  <c:v>13.778493585999998</c:v>
                </c:pt>
                <c:pt idx="56">
                  <c:v>13.829773889999998</c:v>
                </c:pt>
                <c:pt idx="57">
                  <c:v>13.84700406</c:v>
                </c:pt>
                <c:pt idx="58">
                  <c:v>13.498431119999999</c:v>
                </c:pt>
                <c:pt idx="59">
                  <c:v>14.019717422999999</c:v>
                </c:pt>
                <c:pt idx="60">
                  <c:v>14.242609689999998</c:v>
                </c:pt>
                <c:pt idx="61">
                  <c:v>14.193521710000001</c:v>
                </c:pt>
                <c:pt idx="62">
                  <c:v>13.451525954000001</c:v>
                </c:pt>
                <c:pt idx="63">
                  <c:v>12.733554529999999</c:v>
                </c:pt>
                <c:pt idx="64">
                  <c:v>11.422483994</c:v>
                </c:pt>
              </c:numCache>
            </c:numRef>
          </c:val>
          <c:extLst>
            <c:ext xmlns:c16="http://schemas.microsoft.com/office/drawing/2014/chart" uri="{C3380CC4-5D6E-409C-BE32-E72D297353CC}">
              <c16:uniqueId val="{00000000-4102-483B-8DD5-6FA790C02F9D}"/>
            </c:ext>
          </c:extLst>
        </c:ser>
        <c:ser>
          <c:idx val="2"/>
          <c:order val="1"/>
          <c:tx>
            <c:v>Rest of Australia</c:v>
          </c:tx>
          <c:invertIfNegative val="0"/>
          <c:cat>
            <c:numRef>
              <c:f>'Alumina and Bauxite - WA vs Aus'!$A$9:$A$73</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'Alumina and Bauxite - WA vs Aus'!$C$9:$C$73</c:f>
              <c:numCache>
                <c:formatCode>0.00</c:formatCode>
                <c:ptCount val="65"/>
                <c:pt idx="0">
                  <c:v>2.9801000000000001E-2</c:v>
                </c:pt>
                <c:pt idx="1">
                  <c:v>2.9468000000000001E-2</c:v>
                </c:pt>
                <c:pt idx="2">
                  <c:v>0.01</c:v>
                </c:pt>
                <c:pt idx="3">
                  <c:v>7.1437E-2</c:v>
                </c:pt>
                <c:pt idx="4">
                  <c:v>4.1045230000000002E-2</c:v>
                </c:pt>
                <c:pt idx="5">
                  <c:v>5.1594839999999996E-2</c:v>
                </c:pt>
                <c:pt idx="6">
                  <c:v>5.9915239999999995E-2</c:v>
                </c:pt>
                <c:pt idx="7">
                  <c:v>0.44268940000000001</c:v>
                </c:pt>
                <c:pt idx="8">
                  <c:v>0.82087299999999996</c:v>
                </c:pt>
                <c:pt idx="9">
                  <c:v>1.1598729999999999</c:v>
                </c:pt>
                <c:pt idx="10">
                  <c:v>1.186992</c:v>
                </c:pt>
                <c:pt idx="11">
                  <c:v>1.3944049999999999</c:v>
                </c:pt>
                <c:pt idx="12">
                  <c:v>1.6322190000000001</c:v>
                </c:pt>
                <c:pt idx="13">
                  <c:v>2.3597670000000002</c:v>
                </c:pt>
                <c:pt idx="14">
                  <c:v>2.9182839999999999</c:v>
                </c:pt>
                <c:pt idx="15">
                  <c:v>2.2837450000000001</c:v>
                </c:pt>
                <c:pt idx="16">
                  <c:v>2.7349429999999999</c:v>
                </c:pt>
                <c:pt idx="17">
                  <c:v>2.6140129999999999</c:v>
                </c:pt>
                <c:pt idx="18">
                  <c:v>2.77962</c:v>
                </c:pt>
                <c:pt idx="19">
                  <c:v>3.4691610000000002</c:v>
                </c:pt>
                <c:pt idx="20">
                  <c:v>3.5825100000000001</c:v>
                </c:pt>
                <c:pt idx="21">
                  <c:v>3.4005290000000001</c:v>
                </c:pt>
                <c:pt idx="22">
                  <c:v>2.9541219999999999</c:v>
                </c:pt>
                <c:pt idx="23">
                  <c:v>3.2474280000000002</c:v>
                </c:pt>
                <c:pt idx="24">
                  <c:v>3.7757139999999998</c:v>
                </c:pt>
                <c:pt idx="25">
                  <c:v>3.3718780000000002</c:v>
                </c:pt>
                <c:pt idx="26">
                  <c:v>3.9804300000000001</c:v>
                </c:pt>
                <c:pt idx="27">
                  <c:v>4.1805269999999997</c:v>
                </c:pt>
                <c:pt idx="28">
                  <c:v>4.3341000000000003</c:v>
                </c:pt>
                <c:pt idx="29">
                  <c:v>4.42</c:v>
                </c:pt>
                <c:pt idx="30">
                  <c:v>4.5090000000000003</c:v>
                </c:pt>
                <c:pt idx="31">
                  <c:v>4.7039999999999997</c:v>
                </c:pt>
                <c:pt idx="32">
                  <c:v>4.6892430000000003</c:v>
                </c:pt>
                <c:pt idx="33">
                  <c:v>4.7737259999999999</c:v>
                </c:pt>
                <c:pt idx="34">
                  <c:v>4.9586790000000001</c:v>
                </c:pt>
                <c:pt idx="35">
                  <c:v>5.0796200000000002</c:v>
                </c:pt>
                <c:pt idx="36">
                  <c:v>5.0683400000000001</c:v>
                </c:pt>
                <c:pt idx="37">
                  <c:v>4.9050000000000002</c:v>
                </c:pt>
                <c:pt idx="38">
                  <c:v>5.1029999999999998</c:v>
                </c:pt>
                <c:pt idx="39">
                  <c:v>5.6</c:v>
                </c:pt>
                <c:pt idx="40">
                  <c:v>5.681</c:v>
                </c:pt>
                <c:pt idx="41">
                  <c:v>5.35</c:v>
                </c:pt>
                <c:pt idx="42">
                  <c:v>5.3819860000000013</c:v>
                </c:pt>
                <c:pt idx="43">
                  <c:v>4.9242849999999994</c:v>
                </c:pt>
                <c:pt idx="44">
                  <c:v>5.5366139999999984</c:v>
                </c:pt>
                <c:pt idx="45">
                  <c:v>6.3500370000000004</c:v>
                </c:pt>
                <c:pt idx="46">
                  <c:v>6.708000000000002</c:v>
                </c:pt>
                <c:pt idx="47">
                  <c:v>6.6770000000000014</c:v>
                </c:pt>
                <c:pt idx="48">
                  <c:v>7.200489000000001</c:v>
                </c:pt>
                <c:pt idx="49">
                  <c:v>7.5180300000000013</c:v>
                </c:pt>
                <c:pt idx="50">
                  <c:v>7.426714999999998</c:v>
                </c:pt>
                <c:pt idx="51">
                  <c:v>7.1075160000000004</c:v>
                </c:pt>
                <c:pt idx="52">
                  <c:v>8.5454506099999996</c:v>
                </c:pt>
                <c:pt idx="53">
                  <c:v>7.9025564700000004</c:v>
                </c:pt>
                <c:pt idx="54">
                  <c:v>6.5986737399999997</c:v>
                </c:pt>
                <c:pt idx="55">
                  <c:v>6.3186864140000019</c:v>
                </c:pt>
                <c:pt idx="56">
                  <c:v>6.85105611</c:v>
                </c:pt>
                <c:pt idx="57">
                  <c:v>6.638765939999999</c:v>
                </c:pt>
                <c:pt idx="58">
                  <c:v>6.563368879999997</c:v>
                </c:pt>
                <c:pt idx="59">
                  <c:v>6.1802830000000002</c:v>
                </c:pt>
                <c:pt idx="60">
                  <c:v>6.5945320000000001</c:v>
                </c:pt>
                <c:pt idx="61">
                  <c:v>6.4305662899999998</c:v>
                </c:pt>
                <c:pt idx="62">
                  <c:v>6.1139330459999996</c:v>
                </c:pt>
                <c:pt idx="63">
                  <c:v>6.0689104489999988</c:v>
                </c:pt>
                <c:pt idx="64">
                  <c:v>5.6615160059999994</c:v>
                </c:pt>
              </c:numCache>
            </c:numRef>
          </c:val>
          <c:extLst>
            <c:ext xmlns:c16="http://schemas.microsoft.com/office/drawing/2014/chart" uri="{C3380CC4-5D6E-409C-BE32-E72D297353CC}">
              <c16:uniqueId val="{00000001-4102-483B-8DD5-6FA790C02F9D}"/>
            </c:ext>
          </c:extLst>
        </c:ser>
        <c:dLbls>
          <c:showLegendKey val="0"/>
          <c:showVal val="0"/>
          <c:showCatName val="0"/>
          <c:showSerName val="0"/>
          <c:showPercent val="0"/>
          <c:showBubbleSize val="0"/>
        </c:dLbls>
        <c:gapWidth val="60"/>
        <c:overlap val="100"/>
        <c:axId val="118961664"/>
        <c:axId val="118963200"/>
      </c:barChart>
      <c:catAx>
        <c:axId val="11896166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8963200"/>
        <c:crosses val="autoZero"/>
        <c:auto val="0"/>
        <c:lblAlgn val="ctr"/>
        <c:lblOffset val="100"/>
        <c:tickLblSkip val="4"/>
        <c:noMultiLvlLbl val="0"/>
      </c:catAx>
      <c:valAx>
        <c:axId val="118963200"/>
        <c:scaling>
          <c:orientation val="minMax"/>
          <c:max val="25"/>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18961664"/>
        <c:crosses val="autoZero"/>
        <c:crossBetween val="between"/>
        <c:majorUnit val="5"/>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 id="16">
  <a:schemeClr val="accent3"/>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withinLinear" id="16">
  <a:schemeClr val="accent3"/>
</cs:colorStyle>
</file>

<file path=xl/charts/colors5.xml><?xml version="1.0" encoding="utf-8"?>
<cs:colorStyle xmlns:cs="http://schemas.microsoft.com/office/drawing/2012/chartStyle" xmlns:a="http://schemas.openxmlformats.org/drawingml/2006/main" meth="withinLinear" id="19">
  <a:schemeClr val="accent6"/>
</cs:colorStyle>
</file>

<file path=xl/charts/colors6.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ex!A1"/><Relationship Id="rId1" Type="http://schemas.openxmlformats.org/officeDocument/2006/relationships/chart" Target="../charts/chart3.xml"/></Relationships>
</file>

<file path=xl/drawings/_rels/drawing1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ex!A1"/><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image" Target="../media/image1.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15.xml"/><Relationship Id="rId7" Type="http://schemas.openxmlformats.org/officeDocument/2006/relationships/hyperlink" Target="#Index!A1"/><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ex!A1"/><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22.xml"/><Relationship Id="rId7" Type="http://schemas.openxmlformats.org/officeDocument/2006/relationships/hyperlink" Target="#Index!A1"/><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ex!A1"/><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png"/></Relationships>
</file>

<file path=xl/drawings/_rels/drawing3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ex!A1"/><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ex!A1"/><Relationship Id="rId1" Type="http://schemas.openxmlformats.org/officeDocument/2006/relationships/chart" Target="../charts/chart1.xml"/></Relationships>
</file>

<file path=xl/drawings/_rels/drawing4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image" Target="../media/image1.png"/></Relationships>
</file>

<file path=xl/drawings/_rels/drawing4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3.xml"/><Relationship Id="rId1" Type="http://schemas.openxmlformats.org/officeDocument/2006/relationships/chart" Target="../charts/chart42.xml"/><Relationship Id="rId4" Type="http://schemas.openxmlformats.org/officeDocument/2006/relationships/image" Target="../media/image1.png"/></Relationships>
</file>

<file path=xl/drawings/_rels/drawing4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ex!A1"/><Relationship Id="rId1" Type="http://schemas.openxmlformats.org/officeDocument/2006/relationships/chart" Target="../charts/chart44.xml"/></Relationships>
</file>

<file path=xl/drawings/_rels/drawing4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image" Target="../media/image1.png"/></Relationships>
</file>

<file path=xl/drawings/_rels/drawing4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image" Target="../media/image1.png"/></Relationships>
</file>

<file path=xl/drawings/_rels/drawing4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ex!A1"/><Relationship Id="rId1" Type="http://schemas.openxmlformats.org/officeDocument/2006/relationships/chart" Target="../charts/chart49.xml"/></Relationships>
</file>

<file path=xl/drawings/_rels/drawing4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1.xml"/><Relationship Id="rId1" Type="http://schemas.openxmlformats.org/officeDocument/2006/relationships/chart" Target="../charts/chart50.xml"/><Relationship Id="rId4" Type="http://schemas.openxmlformats.org/officeDocument/2006/relationships/image" Target="../media/image1.png"/></Relationships>
</file>

<file path=xl/drawings/_rels/drawing5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3.xml"/><Relationship Id="rId1" Type="http://schemas.openxmlformats.org/officeDocument/2006/relationships/chart" Target="../charts/chart52.xml"/><Relationship Id="rId4" Type="http://schemas.openxmlformats.org/officeDocument/2006/relationships/image" Target="../media/image1.png"/></Relationships>
</file>

<file path=xl/drawings/_rels/drawing5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image" Target="../media/image1.png"/></Relationships>
</file>

<file path=xl/drawings/_rels/drawing5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ex!A1"/><Relationship Id="rId1" Type="http://schemas.openxmlformats.org/officeDocument/2006/relationships/chart" Target="../charts/chart56.xml"/></Relationships>
</file>

<file path=xl/drawings/_rels/drawing5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image" Target="../media/image1.png"/></Relationships>
</file>

<file path=xl/drawings/_rels/drawing5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image" Target="../media/image1.png"/></Relationships>
</file>

<file path=xl/drawings/_rels/drawing5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image" Target="../media/image1.png"/></Relationships>
</file>

<file path=xl/drawings/_rels/drawing5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4.xml"/><Relationship Id="rId1" Type="http://schemas.openxmlformats.org/officeDocument/2006/relationships/chart" Target="../charts/chart63.xml"/><Relationship Id="rId4" Type="http://schemas.openxmlformats.org/officeDocument/2006/relationships/image" Target="../media/image1.png"/></Relationships>
</file>

<file path=xl/drawings/_rels/drawing5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ex!A1"/><Relationship Id="rId1" Type="http://schemas.openxmlformats.org/officeDocument/2006/relationships/chart" Target="../charts/chart2.xml"/></Relationships>
</file>

<file path=xl/drawings/_rels/drawing6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image" Target="../media/image1.png"/></Relationships>
</file>

<file path=xl/drawings/_rels/drawing6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71.xml"/><Relationship Id="rId7" Type="http://schemas.openxmlformats.org/officeDocument/2006/relationships/hyperlink" Target="#Index!A1"/><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5" Type="http://schemas.openxmlformats.org/officeDocument/2006/relationships/chart" Target="../charts/chart73.xml"/><Relationship Id="rId4" Type="http://schemas.openxmlformats.org/officeDocument/2006/relationships/chart" Target="../charts/chart72.xml"/></Relationships>
</file>

<file path=xl/drawings/_rels/drawing6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ex!A1"/><Relationship Id="rId1" Type="http://schemas.openxmlformats.org/officeDocument/2006/relationships/chart" Target="../charts/chart75.xml"/></Relationships>
</file>

<file path=xl/drawings/_rels/drawing6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7.xml"/><Relationship Id="rId1" Type="http://schemas.openxmlformats.org/officeDocument/2006/relationships/chart" Target="../charts/chart76.xml"/><Relationship Id="rId4" Type="http://schemas.openxmlformats.org/officeDocument/2006/relationships/image" Target="../media/image1.png"/></Relationships>
</file>

<file path=xl/drawings/_rels/drawing6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9.xml"/><Relationship Id="rId1" Type="http://schemas.openxmlformats.org/officeDocument/2006/relationships/chart" Target="../charts/chart78.xml"/><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1</xdr:col>
      <xdr:colOff>0</xdr:colOff>
      <xdr:row>53</xdr:row>
      <xdr:rowOff>0</xdr:rowOff>
    </xdr:from>
    <xdr:to>
      <xdr:col>3</xdr:col>
      <xdr:colOff>1980300</xdr:colOff>
      <xdr:row>64</xdr:row>
      <xdr:rowOff>64500</xdr:rowOff>
    </xdr:to>
    <xdr:sp macro="" textlink="">
      <xdr:nvSpPr>
        <xdr:cNvPr id="8" name="TextBox 7">
          <a:extLst>
            <a:ext uri="{FF2B5EF4-FFF2-40B4-BE49-F238E27FC236}">
              <a16:creationId xmlns:a16="http://schemas.microsoft.com/office/drawing/2014/main" id="{BED00E4E-5F67-4AE7-AAD6-3B1D0253D333}"/>
            </a:ext>
          </a:extLst>
        </xdr:cNvPr>
        <xdr:cNvSpPr txBox="1"/>
      </xdr:nvSpPr>
      <xdr:spPr>
        <a:xfrm>
          <a:off x="1924050" y="9906000"/>
          <a:ext cx="7200000" cy="21600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Information provided in this file is made available without charge, as a public service, in good faith. It is derived from sources believed to be reliable and accurate at the time of publication. As a result, it is recommended that the latest release is used wherever possible. However, use of the information in this file is at your own risk.</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Users of this information are responsible for making their own assessment of the information provided therein and users are advised to verify all representations, statements and information for decisions that concern the conduct of business that involves monetary or operational consequences.</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Each user waives and releas</a:t>
          </a:r>
          <a:r>
            <a:rPr lang="en-AU" sz="1100">
              <a:solidFill>
                <a:sysClr val="windowText" lastClr="000000"/>
              </a:solidFill>
              <a:effectLst/>
              <a:latin typeface="+mn-lt"/>
              <a:ea typeface="+mn-ea"/>
              <a:cs typeface="+mn-cs"/>
            </a:rPr>
            <a:t>es the Department of Mines, Petroleum and Exploration and the State of Western Australia and its servants to the full extent permitted by law from all and any claims relating to the use of the material in this file. In no event shall the Department of Mines, Petroleum and Exploration or the State of Western Australia be liable for any incidental or consequential damages arising from any use or reliance on any material in this file.</a:t>
          </a:r>
        </a:p>
      </xdr:txBody>
    </xdr:sp>
    <xdr:clientData/>
  </xdr:twoCellAnchor>
  <xdr:twoCellAnchor editAs="oneCell">
    <xdr:from>
      <xdr:col>0</xdr:col>
      <xdr:colOff>0</xdr:colOff>
      <xdr:row>0</xdr:row>
      <xdr:rowOff>0</xdr:rowOff>
    </xdr:from>
    <xdr:to>
      <xdr:col>2</xdr:col>
      <xdr:colOff>971227</xdr:colOff>
      <xdr:row>5</xdr:row>
      <xdr:rowOff>29041</xdr:rowOff>
    </xdr:to>
    <xdr:pic>
      <xdr:nvPicPr>
        <xdr:cNvPr id="2" name="Picture 1">
          <a:hlinkClick xmlns:r="http://schemas.openxmlformats.org/officeDocument/2006/relationships" r:id="rId1"/>
          <a:extLst>
            <a:ext uri="{FF2B5EF4-FFF2-40B4-BE49-F238E27FC236}">
              <a16:creationId xmlns:a16="http://schemas.microsoft.com/office/drawing/2014/main" id="{BFF5EB2E-8B40-408B-A224-AD8BA3C0E9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287668</xdr:colOff>
      <xdr:row>5</xdr:row>
      <xdr:rowOff>29041</xdr:rowOff>
    </xdr:to>
    <xdr:pic>
      <xdr:nvPicPr>
        <xdr:cNvPr id="3" name="Picture 2">
          <a:hlinkClick xmlns:r="http://schemas.openxmlformats.org/officeDocument/2006/relationships" r:id="rId1"/>
          <a:extLst>
            <a:ext uri="{FF2B5EF4-FFF2-40B4-BE49-F238E27FC236}">
              <a16:creationId xmlns:a16="http://schemas.microsoft.com/office/drawing/2014/main" id="{A5B01164-F1D1-4E6D-BCEE-BDBB2EE21C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twoCellAnchor>
    <xdr:from>
      <xdr:col>0</xdr:col>
      <xdr:colOff>44824</xdr:colOff>
      <xdr:row>104</xdr:row>
      <xdr:rowOff>156883</xdr:rowOff>
    </xdr:from>
    <xdr:to>
      <xdr:col>0</xdr:col>
      <xdr:colOff>2692774</xdr:colOff>
      <xdr:row>109</xdr:row>
      <xdr:rowOff>11207</xdr:rowOff>
    </xdr:to>
    <xdr:sp macro="" textlink="">
      <xdr:nvSpPr>
        <xdr:cNvPr id="2" name="TextBox 1">
          <a:extLst>
            <a:ext uri="{FF2B5EF4-FFF2-40B4-BE49-F238E27FC236}">
              <a16:creationId xmlns:a16="http://schemas.microsoft.com/office/drawing/2014/main" id="{71171110-D83E-4C5C-AC59-C844AA0394E1}"/>
            </a:ext>
          </a:extLst>
        </xdr:cNvPr>
        <xdr:cNvSpPr txBox="1"/>
      </xdr:nvSpPr>
      <xdr:spPr>
        <a:xfrm>
          <a:off x="44824" y="19778383"/>
          <a:ext cx="2647950" cy="806824"/>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n/a is not available. </a:t>
          </a:r>
        </a:p>
        <a:p>
          <a:endParaRPr lang="en-AU" sz="1100" baseline="0"/>
        </a:p>
        <a:p>
          <a:r>
            <a:rPr lang="en-AU" sz="1100" baseline="0"/>
            <a:t>nfp is not for publication due to confidentiality.</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287668</xdr:colOff>
      <xdr:row>5</xdr:row>
      <xdr:rowOff>29041</xdr:rowOff>
    </xdr:to>
    <xdr:pic>
      <xdr:nvPicPr>
        <xdr:cNvPr id="4" name="Picture 3">
          <a:hlinkClick xmlns:r="http://schemas.openxmlformats.org/officeDocument/2006/relationships" r:id="rId1"/>
          <a:extLst>
            <a:ext uri="{FF2B5EF4-FFF2-40B4-BE49-F238E27FC236}">
              <a16:creationId xmlns:a16="http://schemas.microsoft.com/office/drawing/2014/main" id="{939CF9A0-01AC-4534-A87D-2E7081EA5C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twoCellAnchor>
    <xdr:from>
      <xdr:col>0</xdr:col>
      <xdr:colOff>67236</xdr:colOff>
      <xdr:row>175</xdr:row>
      <xdr:rowOff>44824</xdr:rowOff>
    </xdr:from>
    <xdr:to>
      <xdr:col>1</xdr:col>
      <xdr:colOff>3362</xdr:colOff>
      <xdr:row>180</xdr:row>
      <xdr:rowOff>78441</xdr:rowOff>
    </xdr:to>
    <xdr:sp macro="" textlink="">
      <xdr:nvSpPr>
        <xdr:cNvPr id="2" name="TextBox 1">
          <a:extLst>
            <a:ext uri="{FF2B5EF4-FFF2-40B4-BE49-F238E27FC236}">
              <a16:creationId xmlns:a16="http://schemas.microsoft.com/office/drawing/2014/main" id="{164C98D3-CC0E-4AB7-8668-D592C5DB103D}"/>
            </a:ext>
          </a:extLst>
        </xdr:cNvPr>
        <xdr:cNvSpPr txBox="1"/>
      </xdr:nvSpPr>
      <xdr:spPr>
        <a:xfrm>
          <a:off x="67236" y="33415942"/>
          <a:ext cx="2647950" cy="986117"/>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n/a is not available. </a:t>
          </a:r>
        </a:p>
        <a:p>
          <a:endParaRPr lang="en-AU" sz="1100" baseline="0"/>
        </a:p>
        <a:p>
          <a:r>
            <a:rPr lang="en-AU" sz="1100" baseline="0"/>
            <a:t>Grouping of historic quantities and values is in the format in which it was originally published.</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287668</xdr:colOff>
      <xdr:row>5</xdr:row>
      <xdr:rowOff>29041</xdr:rowOff>
    </xdr:to>
    <xdr:pic>
      <xdr:nvPicPr>
        <xdr:cNvPr id="3" name="Picture 2">
          <a:hlinkClick xmlns:r="http://schemas.openxmlformats.org/officeDocument/2006/relationships" r:id="rId1"/>
          <a:extLst>
            <a:ext uri="{FF2B5EF4-FFF2-40B4-BE49-F238E27FC236}">
              <a16:creationId xmlns:a16="http://schemas.microsoft.com/office/drawing/2014/main" id="{4473AC62-5F61-4354-936C-EEA0BE53B1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twoCellAnchor>
    <xdr:from>
      <xdr:col>0</xdr:col>
      <xdr:colOff>56029</xdr:colOff>
      <xdr:row>105</xdr:row>
      <xdr:rowOff>22412</xdr:rowOff>
    </xdr:from>
    <xdr:to>
      <xdr:col>0</xdr:col>
      <xdr:colOff>2703979</xdr:colOff>
      <xdr:row>109</xdr:row>
      <xdr:rowOff>67236</xdr:rowOff>
    </xdr:to>
    <xdr:sp macro="" textlink="">
      <xdr:nvSpPr>
        <xdr:cNvPr id="2" name="TextBox 1">
          <a:extLst>
            <a:ext uri="{FF2B5EF4-FFF2-40B4-BE49-F238E27FC236}">
              <a16:creationId xmlns:a16="http://schemas.microsoft.com/office/drawing/2014/main" id="{2DFBA301-FF5A-41A2-BDD6-61F67CED10D6}"/>
            </a:ext>
          </a:extLst>
        </xdr:cNvPr>
        <xdr:cNvSpPr txBox="1"/>
      </xdr:nvSpPr>
      <xdr:spPr>
        <a:xfrm>
          <a:off x="56029" y="19834412"/>
          <a:ext cx="2647950" cy="806824"/>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n/a is not available. </a:t>
          </a:r>
        </a:p>
        <a:p>
          <a:endParaRPr lang="en-AU" sz="1100" baseline="0"/>
        </a:p>
        <a:p>
          <a:r>
            <a:rPr lang="en-AU" sz="1100" baseline="0"/>
            <a:t>nfp is not for publication due to confidentiality.</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27</xdr:row>
      <xdr:rowOff>190498</xdr:rowOff>
    </xdr:from>
    <xdr:to>
      <xdr:col>6</xdr:col>
      <xdr:colOff>43589</xdr:colOff>
      <xdr:row>34</xdr:row>
      <xdr:rowOff>33617</xdr:rowOff>
    </xdr:to>
    <xdr:sp macro="" textlink="">
      <xdr:nvSpPr>
        <xdr:cNvPr id="3" name="TextBox 2">
          <a:extLst>
            <a:ext uri="{FF2B5EF4-FFF2-40B4-BE49-F238E27FC236}">
              <a16:creationId xmlns:a16="http://schemas.microsoft.com/office/drawing/2014/main" id="{668CE203-3153-4062-B257-08C33BB75207}"/>
            </a:ext>
          </a:extLst>
        </xdr:cNvPr>
        <xdr:cNvSpPr txBox="1"/>
      </xdr:nvSpPr>
      <xdr:spPr>
        <a:xfrm>
          <a:off x="605118" y="5647763"/>
          <a:ext cx="5400000" cy="1176619"/>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For comparative purposes, ilmenite production for Western Australia does not include ilmenite feedstock used in the production of synthetic rutile. </a:t>
          </a:r>
          <a:r>
            <a:rPr lang="en-AU" sz="1100" baseline="0">
              <a:solidFill>
                <a:schemeClr val="dk1"/>
              </a:solidFill>
              <a:effectLst/>
              <a:latin typeface="+mn-lt"/>
              <a:ea typeface="+mn-ea"/>
              <a:cs typeface="+mn-cs"/>
            </a:rPr>
            <a:t>Synthetic rutile production in Western Australia is also not included in r</a:t>
          </a:r>
          <a:r>
            <a:rPr lang="en-AU" sz="1100" baseline="0"/>
            <a:t>utile figures.</a:t>
          </a:r>
        </a:p>
        <a:p>
          <a:endParaRPr lang="en-AU" sz="1100" baseline="0"/>
        </a:p>
        <a:p>
          <a:r>
            <a:rPr lang="en-AU" sz="1100" baseline="0"/>
            <a:t>Western Australia also produces Heavy Mineral Concentrates containing ilmenite and zircon that are not reflected in production shares and rankings.</a:t>
          </a:r>
        </a:p>
      </xdr:txBody>
    </xdr:sp>
    <xdr:clientData/>
  </xdr:twoCellAnchor>
  <xdr:twoCellAnchor editAs="oneCell">
    <xdr:from>
      <xdr:col>6</xdr:col>
      <xdr:colOff>605117</xdr:colOff>
      <xdr:row>7</xdr:row>
      <xdr:rowOff>9525</xdr:rowOff>
    </xdr:from>
    <xdr:to>
      <xdr:col>17</xdr:col>
      <xdr:colOff>428822</xdr:colOff>
      <xdr:row>28</xdr:row>
      <xdr:rowOff>26466</xdr:rowOff>
    </xdr:to>
    <xdr:graphicFrame macro="">
      <xdr:nvGraphicFramePr>
        <xdr:cNvPr id="4" name="Chart 3">
          <a:extLst>
            <a:ext uri="{FF2B5EF4-FFF2-40B4-BE49-F238E27FC236}">
              <a16:creationId xmlns:a16="http://schemas.microsoft.com/office/drawing/2014/main" id="{8FE528E8-0A8D-43BE-BC46-D080A697D2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97168</xdr:colOff>
      <xdr:row>5</xdr:row>
      <xdr:rowOff>29041</xdr:rowOff>
    </xdr:to>
    <xdr:pic>
      <xdr:nvPicPr>
        <xdr:cNvPr id="5" name="Picture 4">
          <a:hlinkClick xmlns:r="http://schemas.openxmlformats.org/officeDocument/2006/relationships" r:id="rId2"/>
          <a:extLst>
            <a:ext uri="{FF2B5EF4-FFF2-40B4-BE49-F238E27FC236}">
              <a16:creationId xmlns:a16="http://schemas.microsoft.com/office/drawing/2014/main" id="{FDCCA581-B500-48C3-9568-5080A86C74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twoCellAnchor editAs="oneCell">
    <xdr:from>
      <xdr:col>0</xdr:col>
      <xdr:colOff>593912</xdr:colOff>
      <xdr:row>34</xdr:row>
      <xdr:rowOff>145675</xdr:rowOff>
    </xdr:from>
    <xdr:to>
      <xdr:col>6</xdr:col>
      <xdr:colOff>44824</xdr:colOff>
      <xdr:row>39</xdr:row>
      <xdr:rowOff>0</xdr:rowOff>
    </xdr:to>
    <xdr:sp macro="" textlink="">
      <xdr:nvSpPr>
        <xdr:cNvPr id="6" name="TextBox 5">
          <a:extLst>
            <a:ext uri="{FF2B5EF4-FFF2-40B4-BE49-F238E27FC236}">
              <a16:creationId xmlns:a16="http://schemas.microsoft.com/office/drawing/2014/main" id="{6F849965-04F0-4D55-92B1-9F8E30C92523}"/>
            </a:ext>
          </a:extLst>
        </xdr:cNvPr>
        <xdr:cNvSpPr txBox="1"/>
      </xdr:nvSpPr>
      <xdr:spPr>
        <a:xfrm>
          <a:off x="593912" y="6936440"/>
          <a:ext cx="5412441" cy="8068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solidFill>
                <a:schemeClr val="dk1"/>
              </a:solidFill>
              <a:effectLst/>
              <a:latin typeface="+mn-lt"/>
              <a:ea typeface="+mn-ea"/>
              <a:cs typeface="+mn-cs"/>
            </a:rPr>
            <a:t>Data for 2024 is reported as, u</a:t>
          </a:r>
          <a:r>
            <a:rPr lang="en-AU" sz="1100" baseline="0"/>
            <a:t>nfortunately, complete 2025 data for the Rest of Australia and the Rest of the World is not currently available. It is expected to be available around the end of June and DMPE will issue an update including 2025 WA, Rest of Australia, and Rest of World data at that time.</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cdr:x>
      <cdr:y>0.94169</cdr:y>
    </cdr:from>
    <cdr:to>
      <cdr:x>0.95842</cdr:x>
      <cdr:y>0.98818</cdr:y>
    </cdr:to>
    <cdr:sp macro="" textlink="">
      <cdr:nvSpPr>
        <cdr:cNvPr id="3" name="TextBox 3"/>
        <cdr:cNvSpPr txBox="1"/>
      </cdr:nvSpPr>
      <cdr:spPr>
        <a:xfrm xmlns:a="http://schemas.openxmlformats.org/drawingml/2006/main">
          <a:off x="0" y="3794125"/>
          <a:ext cx="4610100" cy="1873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900" b="1"/>
            <a:t>Source: DMPE</a:t>
          </a:r>
          <a:r>
            <a:rPr lang="en-AU" sz="900" b="1" baseline="0"/>
            <a:t>, DTF, EnergyQuest, </a:t>
          </a:r>
          <a:r>
            <a:rPr lang="en-AU" sz="900" b="1" baseline="0">
              <a:solidFill>
                <a:schemeClr val="dk1"/>
              </a:solidFill>
              <a:effectLst/>
              <a:latin typeface="+mn-lt"/>
              <a:ea typeface="+mn-ea"/>
              <a:cs typeface="+mn-cs"/>
            </a:rPr>
            <a:t>OoCE, </a:t>
          </a:r>
          <a:r>
            <a:rPr lang="en-AU" sz="900" b="1" baseline="0"/>
            <a:t>USGS, Energy Institute</a:t>
          </a:r>
          <a:endParaRPr lang="en-AU" sz="900" b="1"/>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7</xdr:col>
      <xdr:colOff>601556</xdr:colOff>
      <xdr:row>11</xdr:row>
      <xdr:rowOff>145675</xdr:rowOff>
    </xdr:from>
    <xdr:to>
      <xdr:col>19</xdr:col>
      <xdr:colOff>428086</xdr:colOff>
      <xdr:row>34</xdr:row>
      <xdr:rowOff>84175</xdr:rowOff>
    </xdr:to>
    <xdr:graphicFrame macro="">
      <xdr:nvGraphicFramePr>
        <xdr:cNvPr id="9" name="Chart 8">
          <a:extLst>
            <a:ext uri="{FF2B5EF4-FFF2-40B4-BE49-F238E27FC236}">
              <a16:creationId xmlns:a16="http://schemas.microsoft.com/office/drawing/2014/main" id="{60E33A5D-EDC1-00BD-B3ED-A942E83593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11206</xdr:colOff>
      <xdr:row>36</xdr:row>
      <xdr:rowOff>0</xdr:rowOff>
    </xdr:from>
    <xdr:to>
      <xdr:col>19</xdr:col>
      <xdr:colOff>442853</xdr:colOff>
      <xdr:row>58</xdr:row>
      <xdr:rowOff>95437</xdr:rowOff>
    </xdr:to>
    <xdr:graphicFrame macro="">
      <xdr:nvGraphicFramePr>
        <xdr:cNvPr id="3" name="Chart 2">
          <a:extLst>
            <a:ext uri="{FF2B5EF4-FFF2-40B4-BE49-F238E27FC236}">
              <a16:creationId xmlns:a16="http://schemas.microsoft.com/office/drawing/2014/main" id="{14691E4D-8AD1-4761-9E50-8AD8A140C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41139</xdr:colOff>
      <xdr:row>5</xdr:row>
      <xdr:rowOff>29041</xdr:rowOff>
    </xdr:to>
    <xdr:pic>
      <xdr:nvPicPr>
        <xdr:cNvPr id="4" name="Picture 3">
          <a:hlinkClick xmlns:r="http://schemas.openxmlformats.org/officeDocument/2006/relationships" r:id="rId3"/>
          <a:extLst>
            <a:ext uri="{FF2B5EF4-FFF2-40B4-BE49-F238E27FC236}">
              <a16:creationId xmlns:a16="http://schemas.microsoft.com/office/drawing/2014/main" id="{83D3B33A-E892-4D4E-A587-517EC921772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33617</xdr:colOff>
      <xdr:row>9</xdr:row>
      <xdr:rowOff>123265</xdr:rowOff>
    </xdr:from>
    <xdr:to>
      <xdr:col>18</xdr:col>
      <xdr:colOff>102268</xdr:colOff>
      <xdr:row>31</xdr:row>
      <xdr:rowOff>46504</xdr:rowOff>
    </xdr:to>
    <xdr:graphicFrame macro="">
      <xdr:nvGraphicFramePr>
        <xdr:cNvPr id="4" name="Chart 3">
          <a:extLst>
            <a:ext uri="{FF2B5EF4-FFF2-40B4-BE49-F238E27FC236}">
              <a16:creationId xmlns:a16="http://schemas.microsoft.com/office/drawing/2014/main" id="{7DD34121-908E-49CA-A9F8-287B65D145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33</xdr:row>
      <xdr:rowOff>0</xdr:rowOff>
    </xdr:from>
    <xdr:to>
      <xdr:col>18</xdr:col>
      <xdr:colOff>130844</xdr:colOff>
      <xdr:row>54</xdr:row>
      <xdr:rowOff>111437</xdr:rowOff>
    </xdr:to>
    <xdr:graphicFrame macro="">
      <xdr:nvGraphicFramePr>
        <xdr:cNvPr id="5" name="Chart 4">
          <a:extLst>
            <a:ext uri="{FF2B5EF4-FFF2-40B4-BE49-F238E27FC236}">
              <a16:creationId xmlns:a16="http://schemas.microsoft.com/office/drawing/2014/main" id="{8BDE2708-6AF8-4497-AD45-E53810DD6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22</xdr:row>
      <xdr:rowOff>0</xdr:rowOff>
    </xdr:from>
    <xdr:to>
      <xdr:col>22</xdr:col>
      <xdr:colOff>22412</xdr:colOff>
      <xdr:row>25</xdr:row>
      <xdr:rowOff>47625</xdr:rowOff>
    </xdr:to>
    <xdr:sp macro="" textlink="">
      <xdr:nvSpPr>
        <xdr:cNvPr id="6" name="TextBox 5">
          <a:extLst>
            <a:ext uri="{FF2B5EF4-FFF2-40B4-BE49-F238E27FC236}">
              <a16:creationId xmlns:a16="http://schemas.microsoft.com/office/drawing/2014/main" id="{8285E8BE-75FC-4F20-BDAB-18F873B534CB}"/>
            </a:ext>
          </a:extLst>
        </xdr:cNvPr>
        <xdr:cNvSpPr txBox="1"/>
      </xdr:nvSpPr>
      <xdr:spPr>
        <a:xfrm>
          <a:off x="13256559" y="4224618"/>
          <a:ext cx="2980765" cy="6191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From</a:t>
          </a:r>
          <a:r>
            <a:rPr lang="en-AU" sz="1100" baseline="0"/>
            <a:t> </a:t>
          </a:r>
          <a:r>
            <a:rPr lang="en-AU" sz="1100"/>
            <a:t>Q2 2016 to Q4 2021, in addition to its alumina exports, Alcoa</a:t>
          </a:r>
          <a:r>
            <a:rPr lang="en-AU" sz="1100" baseline="0"/>
            <a:t> produced and exported unrefined bauxite.</a:t>
          </a:r>
        </a:p>
      </xdr:txBody>
    </xdr:sp>
    <xdr:clientData/>
  </xdr:twoCellAnchor>
  <xdr:twoCellAnchor editAs="oneCell">
    <xdr:from>
      <xdr:col>0</xdr:col>
      <xdr:colOff>0</xdr:colOff>
      <xdr:row>0</xdr:row>
      <xdr:rowOff>0</xdr:rowOff>
    </xdr:from>
    <xdr:to>
      <xdr:col>3</xdr:col>
      <xdr:colOff>41139</xdr:colOff>
      <xdr:row>5</xdr:row>
      <xdr:rowOff>29041</xdr:rowOff>
    </xdr:to>
    <xdr:pic>
      <xdr:nvPicPr>
        <xdr:cNvPr id="3" name="Picture 2">
          <a:hlinkClick xmlns:r="http://schemas.openxmlformats.org/officeDocument/2006/relationships" r:id="rId3"/>
          <a:extLst>
            <a:ext uri="{FF2B5EF4-FFF2-40B4-BE49-F238E27FC236}">
              <a16:creationId xmlns:a16="http://schemas.microsoft.com/office/drawing/2014/main" id="{9C025C58-23BC-4442-8ED0-75AF7C3AE98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17.xml><?xml version="1.0" encoding="utf-8"?>
<xdr:wsDr xmlns:xdr="http://schemas.openxmlformats.org/drawingml/2006/spreadsheetDrawing" xmlns:a="http://schemas.openxmlformats.org/drawingml/2006/main">
  <xdr:twoCellAnchor>
    <xdr:from>
      <xdr:col>5</xdr:col>
      <xdr:colOff>0</xdr:colOff>
      <xdr:row>6</xdr:row>
      <xdr:rowOff>0</xdr:rowOff>
    </xdr:from>
    <xdr:to>
      <xdr:col>11</xdr:col>
      <xdr:colOff>885826</xdr:colOff>
      <xdr:row>27</xdr:row>
      <xdr:rowOff>180975</xdr:rowOff>
    </xdr:to>
    <xdr:graphicFrame macro="">
      <xdr:nvGraphicFramePr>
        <xdr:cNvPr id="5" name="Chart 4">
          <a:extLst>
            <a:ext uri="{FF2B5EF4-FFF2-40B4-BE49-F238E27FC236}">
              <a16:creationId xmlns:a16="http://schemas.microsoft.com/office/drawing/2014/main" id="{C8D39AB1-28D7-4E08-AEB5-2F78EC823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xdr:row>
      <xdr:rowOff>95250</xdr:rowOff>
    </xdr:from>
    <xdr:to>
      <xdr:col>8</xdr:col>
      <xdr:colOff>542926</xdr:colOff>
      <xdr:row>33</xdr:row>
      <xdr:rowOff>152400</xdr:rowOff>
    </xdr:to>
    <xdr:sp macro="" textlink="">
      <xdr:nvSpPr>
        <xdr:cNvPr id="6" name="TextBox 5">
          <a:extLst>
            <a:ext uri="{FF2B5EF4-FFF2-40B4-BE49-F238E27FC236}">
              <a16:creationId xmlns:a16="http://schemas.microsoft.com/office/drawing/2014/main" id="{9C282484-8B8A-4CD9-822E-A1BC8384D362}"/>
            </a:ext>
          </a:extLst>
        </xdr:cNvPr>
        <xdr:cNvSpPr txBox="1"/>
      </xdr:nvSpPr>
      <xdr:spPr>
        <a:xfrm>
          <a:off x="5334000" y="5172075"/>
          <a:ext cx="3629026" cy="10096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From</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Q2 2016 to Q4 2021, in addition to its alumina exports, Alcoa</a:t>
          </a:r>
          <a:r>
            <a:rPr lang="en-AU" sz="1100" baseline="0">
              <a:solidFill>
                <a:schemeClr val="dk1"/>
              </a:solidFill>
              <a:effectLst/>
              <a:latin typeface="+mn-lt"/>
              <a:ea typeface="+mn-ea"/>
              <a:cs typeface="+mn-cs"/>
            </a:rPr>
            <a:t> produced and exported unrefined bauxite.</a:t>
          </a:r>
          <a:endParaRPr lang="en-AU">
            <a:effectLst/>
          </a:endParaRPr>
        </a:p>
        <a:p>
          <a:endParaRPr lang="en-AU" sz="1100" baseline="0"/>
        </a:p>
        <a:p>
          <a:r>
            <a:rPr lang="en-AU" sz="1100" baseline="0"/>
            <a:t>Exports data from 2015-16 to 2021 therefore includes </a:t>
          </a:r>
          <a:r>
            <a:rPr lang="en-AU" sz="1100" baseline="0">
              <a:solidFill>
                <a:schemeClr val="dk1"/>
              </a:solidFill>
              <a:effectLst/>
              <a:latin typeface="+mn-lt"/>
              <a:ea typeface="+mn-ea"/>
              <a:cs typeface="+mn-cs"/>
            </a:rPr>
            <a:t>alumina </a:t>
          </a:r>
          <a:r>
            <a:rPr lang="en-AU" sz="1100" baseline="0"/>
            <a:t>and small amounts of bauxite.</a:t>
          </a:r>
          <a:endParaRPr lang="en-AU" sz="1100"/>
        </a:p>
      </xdr:txBody>
    </xdr:sp>
    <xdr:clientData/>
  </xdr:twoCellAnchor>
  <xdr:twoCellAnchor editAs="oneCell">
    <xdr:from>
      <xdr:col>0</xdr:col>
      <xdr:colOff>0</xdr:colOff>
      <xdr:row>0</xdr:row>
      <xdr:rowOff>0</xdr:rowOff>
    </xdr:from>
    <xdr:to>
      <xdr:col>2</xdr:col>
      <xdr:colOff>1027257</xdr:colOff>
      <xdr:row>5</xdr:row>
      <xdr:rowOff>29041</xdr:rowOff>
    </xdr:to>
    <xdr:pic>
      <xdr:nvPicPr>
        <xdr:cNvPr id="3" name="Picture 2">
          <a:hlinkClick xmlns:r="http://schemas.openxmlformats.org/officeDocument/2006/relationships" r:id="rId2"/>
          <a:extLst>
            <a:ext uri="{FF2B5EF4-FFF2-40B4-BE49-F238E27FC236}">
              <a16:creationId xmlns:a16="http://schemas.microsoft.com/office/drawing/2014/main" id="{0B584FF7-8A5A-4319-B6D2-F74E4E17CCF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18.xml><?xml version="1.0" encoding="utf-8"?>
<c:userShapes xmlns:c="http://schemas.openxmlformats.org/drawingml/2006/chart">
  <cdr:relSizeAnchor xmlns:cdr="http://schemas.openxmlformats.org/drawingml/2006/chartDrawing">
    <cdr:from>
      <cdr:x>0.00174</cdr:x>
      <cdr:y>0.93891</cdr:y>
    </cdr:from>
    <cdr:to>
      <cdr:x>0.2</cdr:x>
      <cdr:y>0.99398</cdr:y>
    </cdr:to>
    <cdr:sp macro="" textlink="">
      <cdr:nvSpPr>
        <cdr:cNvPr id="2" name="TextBox 1"/>
        <cdr:cNvSpPr txBox="1"/>
      </cdr:nvSpPr>
      <cdr:spPr>
        <a:xfrm xmlns:a="http://schemas.openxmlformats.org/drawingml/2006/main">
          <a:off x="12679" y="3952858"/>
          <a:ext cx="1444646" cy="2318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DMPE and ABS</a:t>
          </a:r>
          <a:endParaRPr lang="en-AU" sz="900" b="1">
            <a:effectLst/>
            <a:latin typeface="+mn-lt"/>
          </a:endParaRPr>
        </a:p>
        <a:p xmlns:a="http://schemas.openxmlformats.org/drawingml/2006/main">
          <a:endParaRPr lang="en-AU" sz="900"/>
        </a:p>
      </cdr:txBody>
    </cdr:sp>
  </cdr:relSizeAnchor>
</c:userShapes>
</file>

<file path=xl/drawings/drawing19.xml><?xml version="1.0" encoding="utf-8"?>
<xdr:wsDr xmlns:xdr="http://schemas.openxmlformats.org/drawingml/2006/spreadsheetDrawing" xmlns:a="http://schemas.openxmlformats.org/drawingml/2006/main">
  <xdr:twoCellAnchor>
    <xdr:from>
      <xdr:col>5</xdr:col>
      <xdr:colOff>0</xdr:colOff>
      <xdr:row>8</xdr:row>
      <xdr:rowOff>100852</xdr:rowOff>
    </xdr:from>
    <xdr:to>
      <xdr:col>16</xdr:col>
      <xdr:colOff>568138</xdr:colOff>
      <xdr:row>29</xdr:row>
      <xdr:rowOff>178734</xdr:rowOff>
    </xdr:to>
    <xdr:graphicFrame macro="">
      <xdr:nvGraphicFramePr>
        <xdr:cNvPr id="3" name="Chart 4">
          <a:extLst>
            <a:ext uri="{FF2B5EF4-FFF2-40B4-BE49-F238E27FC236}">
              <a16:creationId xmlns:a16="http://schemas.microsoft.com/office/drawing/2014/main" id="{0408C7FA-F7D4-403E-A943-4A353CF56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134470</xdr:colOff>
      <xdr:row>31</xdr:row>
      <xdr:rowOff>44823</xdr:rowOff>
    </xdr:from>
    <xdr:to>
      <xdr:col>16</xdr:col>
      <xdr:colOff>575982</xdr:colOff>
      <xdr:row>53</xdr:row>
      <xdr:rowOff>56028</xdr:rowOff>
    </xdr:to>
    <xdr:graphicFrame macro="">
      <xdr:nvGraphicFramePr>
        <xdr:cNvPr id="4" name="Chart 3">
          <a:extLst>
            <a:ext uri="{FF2B5EF4-FFF2-40B4-BE49-F238E27FC236}">
              <a16:creationId xmlns:a16="http://schemas.microsoft.com/office/drawing/2014/main" id="{6AC63420-AA00-44EE-99AC-5F6BBA1FEC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769521</xdr:colOff>
      <xdr:row>5</xdr:row>
      <xdr:rowOff>29041</xdr:rowOff>
    </xdr:to>
    <xdr:pic>
      <xdr:nvPicPr>
        <xdr:cNvPr id="5" name="Picture 4">
          <a:hlinkClick xmlns:r="http://schemas.openxmlformats.org/officeDocument/2006/relationships" r:id="rId3"/>
          <a:extLst>
            <a:ext uri="{FF2B5EF4-FFF2-40B4-BE49-F238E27FC236}">
              <a16:creationId xmlns:a16="http://schemas.microsoft.com/office/drawing/2014/main" id="{89E624A9-3E74-4CE5-884B-D58DA1340A9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twoCellAnchor editAs="oneCell">
    <xdr:from>
      <xdr:col>17</xdr:col>
      <xdr:colOff>291353</xdr:colOff>
      <xdr:row>21</xdr:row>
      <xdr:rowOff>145676</xdr:rowOff>
    </xdr:from>
    <xdr:to>
      <xdr:col>20</xdr:col>
      <xdr:colOff>1187823</xdr:colOff>
      <xdr:row>27</xdr:row>
      <xdr:rowOff>145676</xdr:rowOff>
    </xdr:to>
    <xdr:sp macro="" textlink="">
      <xdr:nvSpPr>
        <xdr:cNvPr id="6" name="TextBox 5">
          <a:extLst>
            <a:ext uri="{FF2B5EF4-FFF2-40B4-BE49-F238E27FC236}">
              <a16:creationId xmlns:a16="http://schemas.microsoft.com/office/drawing/2014/main" id="{D0556C85-7A52-454B-AF61-48FD2036E6FF}"/>
            </a:ext>
          </a:extLst>
        </xdr:cNvPr>
        <xdr:cNvSpPr txBox="1"/>
      </xdr:nvSpPr>
      <xdr:spPr>
        <a:xfrm>
          <a:off x="11060206" y="4179794"/>
          <a:ext cx="3429000" cy="114300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solidFill>
                <a:schemeClr val="dk1"/>
              </a:solidFill>
              <a:effectLst/>
              <a:latin typeface="+mn-lt"/>
              <a:ea typeface="+mn-ea"/>
              <a:cs typeface="+mn-cs"/>
            </a:rPr>
            <a:t>Data only to 2024 is reported as, unfortunately, complete 2025 data for the Rest of Australia is not currently available as at May 2025. It is expected to be available around the end of June and DMPE will issue an update including 2025 WA and Rest of Australia data at that time.</a:t>
          </a:r>
          <a:endParaRPr lang="en-AU">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64</xdr:row>
      <xdr:rowOff>1</xdr:rowOff>
    </xdr:from>
    <xdr:to>
      <xdr:col>2</xdr:col>
      <xdr:colOff>7095225</xdr:colOff>
      <xdr:row>83</xdr:row>
      <xdr:rowOff>145677</xdr:rowOff>
    </xdr:to>
    <xdr:sp macro="" textlink="">
      <xdr:nvSpPr>
        <xdr:cNvPr id="2" name="TextBox 1">
          <a:extLst>
            <a:ext uri="{FF2B5EF4-FFF2-40B4-BE49-F238E27FC236}">
              <a16:creationId xmlns:a16="http://schemas.microsoft.com/office/drawing/2014/main" id="{8737E9A3-2050-4AE3-B11F-6CF43A8F8DD3}"/>
            </a:ext>
          </a:extLst>
        </xdr:cNvPr>
        <xdr:cNvSpPr txBox="1"/>
      </xdr:nvSpPr>
      <xdr:spPr>
        <a:xfrm>
          <a:off x="4796118" y="12192001"/>
          <a:ext cx="7196078" cy="3765176"/>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100">
              <a:solidFill>
                <a:sysClr val="windowText" lastClr="000000"/>
              </a:solidFill>
              <a:effectLst/>
              <a:latin typeface="+mn-lt"/>
              <a:ea typeface="+mn-ea"/>
              <a:cs typeface="+mn-cs"/>
            </a:rPr>
            <a:t>Quantities and value figures reported only apply to Minerals and Petroleum covered by the </a:t>
          </a:r>
          <a:r>
            <a:rPr lang="en-AU" sz="1100" i="1">
              <a:solidFill>
                <a:sysClr val="windowText" lastClr="000000"/>
              </a:solidFill>
              <a:effectLst/>
              <a:latin typeface="+mn-lt"/>
              <a:ea typeface="+mn-ea"/>
              <a:cs typeface="+mn-cs"/>
            </a:rPr>
            <a:t>Mining Act 1978 </a:t>
          </a:r>
          <a:r>
            <a:rPr lang="en-AU" sz="1100">
              <a:solidFill>
                <a:sysClr val="windowText" lastClr="000000"/>
              </a:solidFill>
              <a:effectLst/>
              <a:latin typeface="+mn-lt"/>
              <a:ea typeface="+mn-ea"/>
              <a:cs typeface="+mn-cs"/>
            </a:rPr>
            <a:t>, the </a:t>
          </a:r>
          <a:r>
            <a:rPr lang="en-AU" sz="1100" i="1">
              <a:solidFill>
                <a:sysClr val="windowText" lastClr="000000"/>
              </a:solidFill>
              <a:effectLst/>
              <a:latin typeface="+mn-lt"/>
              <a:ea typeface="+mn-ea"/>
              <a:cs typeface="+mn-cs"/>
            </a:rPr>
            <a:t>Petroleum and Geothermal Energy Resources Act 1967</a:t>
          </a:r>
          <a:r>
            <a:rPr lang="en-AU" sz="1100">
              <a:solidFill>
                <a:sysClr val="windowText" lastClr="000000"/>
              </a:solidFill>
              <a:effectLst/>
              <a:latin typeface="+mn-lt"/>
              <a:ea typeface="+mn-ea"/>
              <a:cs typeface="+mn-cs"/>
            </a:rPr>
            <a:t>, the </a:t>
          </a:r>
          <a:r>
            <a:rPr lang="en-AU" sz="1100" i="1">
              <a:solidFill>
                <a:sysClr val="windowText" lastClr="000000"/>
              </a:solidFill>
              <a:effectLst/>
              <a:latin typeface="+mn-lt"/>
              <a:ea typeface="+mn-ea"/>
              <a:cs typeface="+mn-cs"/>
            </a:rPr>
            <a:t>Petroleum (Submerged Lands) Act 1982</a:t>
          </a:r>
          <a:r>
            <a:rPr lang="en-AU" sz="1100">
              <a:solidFill>
                <a:sysClr val="windowText" lastClr="000000"/>
              </a:solidFill>
              <a:effectLst/>
              <a:latin typeface="+mn-lt"/>
              <a:ea typeface="+mn-ea"/>
              <a:cs typeface="+mn-cs"/>
            </a:rPr>
            <a:t>, the </a:t>
          </a:r>
          <a:r>
            <a:rPr lang="en-AU" sz="1100" i="1">
              <a:solidFill>
                <a:sysClr val="windowText" lastClr="000000"/>
              </a:solidFill>
              <a:effectLst/>
              <a:latin typeface="+mn-lt"/>
              <a:ea typeface="+mn-ea"/>
              <a:cs typeface="+mn-cs"/>
            </a:rPr>
            <a:t>Offshore Petroleum Act 2006 </a:t>
          </a:r>
          <a:r>
            <a:rPr lang="en-AU" sz="1100">
              <a:solidFill>
                <a:sysClr val="windowText" lastClr="000000"/>
              </a:solidFill>
              <a:effectLst/>
              <a:latin typeface="+mn-lt"/>
              <a:ea typeface="+mn-ea"/>
              <a:cs typeface="+mn-cs"/>
            </a:rPr>
            <a:t>and relevant State Agreement Acts.</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They are based primarily on royalties data collected by RevenueWA.</a:t>
          </a:r>
          <a:r>
            <a:rPr lang="en-AU" sz="1100" baseline="0">
              <a:solidFill>
                <a:schemeClr val="dk1"/>
              </a:solidFill>
              <a:effectLst/>
              <a:latin typeface="+mn-lt"/>
              <a:ea typeface="+mn-ea"/>
              <a:cs typeface="+mn-cs"/>
            </a:rPr>
            <a:t> </a:t>
          </a:r>
        </a:p>
        <a:p>
          <a:endParaRPr lang="en-AU" sz="1100" baseline="0">
            <a:solidFill>
              <a:schemeClr val="dk1"/>
            </a:solidFill>
            <a:effectLst/>
            <a:latin typeface="+mn-lt"/>
            <a:ea typeface="+mn-ea"/>
            <a:cs typeface="+mn-cs"/>
          </a:endParaRPr>
        </a:p>
        <a:p>
          <a:r>
            <a:rPr lang="en-AU" sz="1100" baseline="0">
              <a:solidFill>
                <a:schemeClr val="dk1"/>
              </a:solidFill>
              <a:effectLst/>
              <a:latin typeface="+mn-lt"/>
              <a:ea typeface="+mn-ea"/>
              <a:cs typeface="+mn-cs"/>
            </a:rPr>
            <a:t>Royalties figures</a:t>
          </a:r>
          <a:r>
            <a:rPr lang="en-AU" sz="1100">
              <a:solidFill>
                <a:schemeClr val="dk1"/>
              </a:solidFill>
              <a:effectLst/>
              <a:latin typeface="+mn-lt"/>
              <a:ea typeface="+mn-ea"/>
              <a:cs typeface="+mn-cs"/>
            </a:rPr>
            <a:t> are frequently audited and adjusted for accuracy, often over a period of several years after they are first reported. </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Previously, these adjustments were indicated through the use of an (r) symbol, indicating a revision had taken place since the first publication of a given data point.</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As part of the modernisation process of</a:t>
          </a:r>
          <a:r>
            <a:rPr lang="en-AU" sz="1100">
              <a:solidFill>
                <a:sysClr val="windowText" lastClr="000000"/>
              </a:solidFill>
              <a:effectLst/>
              <a:latin typeface="+mn-lt"/>
              <a:ea typeface="+mn-ea"/>
              <a:cs typeface="+mn-cs"/>
            </a:rPr>
            <a:t> DMPE </a:t>
          </a:r>
          <a:r>
            <a:rPr lang="en-AU" sz="1100">
              <a:solidFill>
                <a:schemeClr val="dk1"/>
              </a:solidFill>
              <a:effectLst/>
              <a:latin typeface="+mn-lt"/>
              <a:ea typeface="+mn-ea"/>
              <a:cs typeface="+mn-cs"/>
            </a:rPr>
            <a:t>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ysClr val="windowText" lastClr="000000"/>
              </a:solidFill>
              <a:effectLst/>
              <a:latin typeface="+mn-lt"/>
              <a:ea typeface="+mn-ea"/>
              <a:cs typeface="+mn-cs"/>
            </a:rPr>
            <a:t>DMPE e</a:t>
          </a:r>
          <a:r>
            <a:rPr lang="en-AU" sz="1100">
              <a:solidFill>
                <a:schemeClr val="dk1"/>
              </a:solidFill>
              <a:effectLst/>
              <a:latin typeface="+mn-lt"/>
              <a:ea typeface="+mn-ea"/>
              <a:cs typeface="+mn-cs"/>
            </a:rPr>
            <a:t>ncourages that all</a:t>
          </a:r>
          <a:r>
            <a:rPr lang="en-AU" sz="1100" baseline="0">
              <a:solidFill>
                <a:schemeClr val="dk1"/>
              </a:solidFill>
              <a:effectLst/>
              <a:latin typeface="+mn-lt"/>
              <a:ea typeface="+mn-ea"/>
              <a:cs typeface="+mn-cs"/>
            </a:rPr>
            <a:t> data be treated as having been revised since the previous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a:t>
          </a:r>
          <a:r>
            <a:rPr lang="en-AU" sz="1100">
              <a:solidFill>
                <a:sysClr val="windowText" lastClr="000000"/>
              </a:solidFill>
              <a:effectLst/>
              <a:latin typeface="+mn-lt"/>
              <a:ea typeface="+mn-ea"/>
              <a:cs typeface="+mn-cs"/>
            </a:rPr>
            <a:t>om the DMPE websit</a:t>
          </a:r>
          <a:r>
            <a:rPr lang="en-AU" sz="1100">
              <a:solidFill>
                <a:schemeClr val="dk1"/>
              </a:solidFill>
              <a:effectLst/>
              <a:latin typeface="+mn-lt"/>
              <a:ea typeface="+mn-ea"/>
              <a:cs typeface="+mn-cs"/>
            </a:rPr>
            <a:t>e.</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Note that some figures are reported as n/a as they are not available or nfp as they are not for publication due to confidentiality.</a:t>
          </a:r>
        </a:p>
      </xdr:txBody>
    </xdr:sp>
    <xdr:clientData/>
  </xdr:twoCellAnchor>
  <xdr:twoCellAnchor editAs="oneCell">
    <xdr:from>
      <xdr:col>0</xdr:col>
      <xdr:colOff>0</xdr:colOff>
      <xdr:row>0</xdr:row>
      <xdr:rowOff>0</xdr:rowOff>
    </xdr:from>
    <xdr:to>
      <xdr:col>0</xdr:col>
      <xdr:colOff>2999492</xdr:colOff>
      <xdr:row>5</xdr:row>
      <xdr:rowOff>29041</xdr:rowOff>
    </xdr:to>
    <xdr:pic>
      <xdr:nvPicPr>
        <xdr:cNvPr id="4" name="Picture 3">
          <a:hlinkClick xmlns:r="http://schemas.openxmlformats.org/officeDocument/2006/relationships" r:id="rId1"/>
          <a:extLst>
            <a:ext uri="{FF2B5EF4-FFF2-40B4-BE49-F238E27FC236}">
              <a16:creationId xmlns:a16="http://schemas.microsoft.com/office/drawing/2014/main" id="{0A73F518-4374-4926-B972-6EB9798B7A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20.xml><?xml version="1.0" encoding="utf-8"?>
<c:userShapes xmlns:c="http://schemas.openxmlformats.org/drawingml/2006/chart">
  <cdr:relSizeAnchor xmlns:cdr="http://schemas.openxmlformats.org/drawingml/2006/chartDrawing">
    <cdr:from>
      <cdr:x>0.00553</cdr:x>
      <cdr:y>0.95333</cdr:y>
    </cdr:from>
    <cdr:to>
      <cdr:x>0.17564</cdr:x>
      <cdr:y>0.99906</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9962" y="3898715"/>
          <a:ext cx="1228927"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DMPE and OoCE</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9</xdr:col>
      <xdr:colOff>560295</xdr:colOff>
      <xdr:row>10</xdr:row>
      <xdr:rowOff>134471</xdr:rowOff>
    </xdr:from>
    <xdr:to>
      <xdr:col>21</xdr:col>
      <xdr:colOff>498884</xdr:colOff>
      <xdr:row>33</xdr:row>
      <xdr:rowOff>72971</xdr:rowOff>
    </xdr:to>
    <xdr:graphicFrame macro="">
      <xdr:nvGraphicFramePr>
        <xdr:cNvPr id="3" name="Chart 2">
          <a:extLst>
            <a:ext uri="{FF2B5EF4-FFF2-40B4-BE49-F238E27FC236}">
              <a16:creationId xmlns:a16="http://schemas.microsoft.com/office/drawing/2014/main" id="{93C20D21-DD91-4162-B928-510F37774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560294</xdr:colOff>
      <xdr:row>34</xdr:row>
      <xdr:rowOff>44824</xdr:rowOff>
    </xdr:from>
    <xdr:to>
      <xdr:col>21</xdr:col>
      <xdr:colOff>582706</xdr:colOff>
      <xdr:row>56</xdr:row>
      <xdr:rowOff>10958</xdr:rowOff>
    </xdr:to>
    <xdr:graphicFrame macro="">
      <xdr:nvGraphicFramePr>
        <xdr:cNvPr id="4" name="Chart 3">
          <a:extLst>
            <a:ext uri="{FF2B5EF4-FFF2-40B4-BE49-F238E27FC236}">
              <a16:creationId xmlns:a16="http://schemas.microsoft.com/office/drawing/2014/main" id="{6F01D0CC-9F8C-4535-BBDE-C8683A36E0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41139</xdr:colOff>
      <xdr:row>5</xdr:row>
      <xdr:rowOff>29041</xdr:rowOff>
    </xdr:to>
    <xdr:pic>
      <xdr:nvPicPr>
        <xdr:cNvPr id="5" name="Picture 4">
          <a:hlinkClick xmlns:r="http://schemas.openxmlformats.org/officeDocument/2006/relationships" r:id="rId3"/>
          <a:extLst>
            <a:ext uri="{FF2B5EF4-FFF2-40B4-BE49-F238E27FC236}">
              <a16:creationId xmlns:a16="http://schemas.microsoft.com/office/drawing/2014/main" id="{492589A7-5C28-4572-B05E-9314091BBDB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18</xdr:col>
      <xdr:colOff>0</xdr:colOff>
      <xdr:row>9</xdr:row>
      <xdr:rowOff>179294</xdr:rowOff>
    </xdr:from>
    <xdr:to>
      <xdr:col>26</xdr:col>
      <xdr:colOff>501429</xdr:colOff>
      <xdr:row>31</xdr:row>
      <xdr:rowOff>85071</xdr:rowOff>
    </xdr:to>
    <xdr:graphicFrame macro="">
      <xdr:nvGraphicFramePr>
        <xdr:cNvPr id="20" name="Chart 19">
          <a:extLst>
            <a:ext uri="{FF2B5EF4-FFF2-40B4-BE49-F238E27FC236}">
              <a16:creationId xmlns:a16="http://schemas.microsoft.com/office/drawing/2014/main" id="{F2DFD72C-AA13-4E59-A8D7-588A0DAF7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0</xdr:colOff>
      <xdr:row>32</xdr:row>
      <xdr:rowOff>78441</xdr:rowOff>
    </xdr:from>
    <xdr:to>
      <xdr:col>26</xdr:col>
      <xdr:colOff>501429</xdr:colOff>
      <xdr:row>54</xdr:row>
      <xdr:rowOff>13834</xdr:rowOff>
    </xdr:to>
    <xdr:graphicFrame macro="">
      <xdr:nvGraphicFramePr>
        <xdr:cNvPr id="23" name="Chart 22">
          <a:extLst>
            <a:ext uri="{FF2B5EF4-FFF2-40B4-BE49-F238E27FC236}">
              <a16:creationId xmlns:a16="http://schemas.microsoft.com/office/drawing/2014/main" id="{D92834E4-4F57-45A6-B21F-9ACC9190D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11206</xdr:colOff>
      <xdr:row>9</xdr:row>
      <xdr:rowOff>190499</xdr:rowOff>
    </xdr:from>
    <xdr:to>
      <xdr:col>35</xdr:col>
      <xdr:colOff>512635</xdr:colOff>
      <xdr:row>31</xdr:row>
      <xdr:rowOff>96276</xdr:rowOff>
    </xdr:to>
    <xdr:graphicFrame macro="">
      <xdr:nvGraphicFramePr>
        <xdr:cNvPr id="24" name="Chart 23">
          <a:extLst>
            <a:ext uri="{FF2B5EF4-FFF2-40B4-BE49-F238E27FC236}">
              <a16:creationId xmlns:a16="http://schemas.microsoft.com/office/drawing/2014/main" id="{84E6BB84-37B9-4343-89CA-62B4B3E85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27</xdr:col>
      <xdr:colOff>11206</xdr:colOff>
      <xdr:row>32</xdr:row>
      <xdr:rowOff>89647</xdr:rowOff>
    </xdr:from>
    <xdr:to>
      <xdr:col>35</xdr:col>
      <xdr:colOff>512635</xdr:colOff>
      <xdr:row>54</xdr:row>
      <xdr:rowOff>25040</xdr:rowOff>
    </xdr:to>
    <xdr:graphicFrame macro="">
      <xdr:nvGraphicFramePr>
        <xdr:cNvPr id="25" name="Chart 24">
          <a:extLst>
            <a:ext uri="{FF2B5EF4-FFF2-40B4-BE49-F238E27FC236}">
              <a16:creationId xmlns:a16="http://schemas.microsoft.com/office/drawing/2014/main" id="{E4B0A582-1DA2-4178-B719-478ACBFCDE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17</xdr:col>
      <xdr:colOff>582706</xdr:colOff>
      <xdr:row>55</xdr:row>
      <xdr:rowOff>11206</xdr:rowOff>
    </xdr:from>
    <xdr:to>
      <xdr:col>26</xdr:col>
      <xdr:colOff>479017</xdr:colOff>
      <xdr:row>76</xdr:row>
      <xdr:rowOff>150706</xdr:rowOff>
    </xdr:to>
    <xdr:graphicFrame macro="">
      <xdr:nvGraphicFramePr>
        <xdr:cNvPr id="27" name="Chart 26">
          <a:extLst>
            <a:ext uri="{FF2B5EF4-FFF2-40B4-BE49-F238E27FC236}">
              <a16:creationId xmlns:a16="http://schemas.microsoft.com/office/drawing/2014/main" id="{355A07BF-DE4C-44BD-AFC9-318E838C9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27</xdr:col>
      <xdr:colOff>22412</xdr:colOff>
      <xdr:row>55</xdr:row>
      <xdr:rowOff>0</xdr:rowOff>
    </xdr:from>
    <xdr:to>
      <xdr:col>35</xdr:col>
      <xdr:colOff>523841</xdr:colOff>
      <xdr:row>76</xdr:row>
      <xdr:rowOff>139500</xdr:rowOff>
    </xdr:to>
    <xdr:graphicFrame macro="">
      <xdr:nvGraphicFramePr>
        <xdr:cNvPr id="28" name="Chart 27">
          <a:extLst>
            <a:ext uri="{FF2B5EF4-FFF2-40B4-BE49-F238E27FC236}">
              <a16:creationId xmlns:a16="http://schemas.microsoft.com/office/drawing/2014/main" id="{10CDB0B7-BCA2-4872-ACD9-CC870C4A74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3</xdr:col>
      <xdr:colOff>41139</xdr:colOff>
      <xdr:row>5</xdr:row>
      <xdr:rowOff>29041</xdr:rowOff>
    </xdr:to>
    <xdr:pic>
      <xdr:nvPicPr>
        <xdr:cNvPr id="3" name="Picture 2">
          <a:hlinkClick xmlns:r="http://schemas.openxmlformats.org/officeDocument/2006/relationships" r:id="rId7"/>
          <a:extLst>
            <a:ext uri="{FF2B5EF4-FFF2-40B4-BE49-F238E27FC236}">
              <a16:creationId xmlns:a16="http://schemas.microsoft.com/office/drawing/2014/main" id="{97652BED-E463-423F-BD35-BA03F9AE29E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xdr:col>
      <xdr:colOff>0</xdr:colOff>
      <xdr:row>6</xdr:row>
      <xdr:rowOff>0</xdr:rowOff>
    </xdr:from>
    <xdr:to>
      <xdr:col>14</xdr:col>
      <xdr:colOff>542925</xdr:colOff>
      <xdr:row>25</xdr:row>
      <xdr:rowOff>169769</xdr:rowOff>
    </xdr:to>
    <xdr:graphicFrame macro="">
      <xdr:nvGraphicFramePr>
        <xdr:cNvPr id="3" name="Chart 2">
          <a:extLst>
            <a:ext uri="{FF2B5EF4-FFF2-40B4-BE49-F238E27FC236}">
              <a16:creationId xmlns:a16="http://schemas.microsoft.com/office/drawing/2014/main" id="{8F2AA6E8-7303-470D-A479-2FFEDD271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0</xdr:colOff>
      <xdr:row>26</xdr:row>
      <xdr:rowOff>0</xdr:rowOff>
    </xdr:from>
    <xdr:to>
      <xdr:col>14</xdr:col>
      <xdr:colOff>533400</xdr:colOff>
      <xdr:row>40</xdr:row>
      <xdr:rowOff>5043</xdr:rowOff>
    </xdr:to>
    <xdr:sp macro="" textlink="">
      <xdr:nvSpPr>
        <xdr:cNvPr id="4" name="TextBox 3">
          <a:extLst>
            <a:ext uri="{FF2B5EF4-FFF2-40B4-BE49-F238E27FC236}">
              <a16:creationId xmlns:a16="http://schemas.microsoft.com/office/drawing/2014/main" id="{9902517F-3594-452D-ADC7-F8135DC1BFA8}"/>
            </a:ext>
          </a:extLst>
        </xdr:cNvPr>
        <xdr:cNvSpPr txBox="1"/>
      </xdr:nvSpPr>
      <xdr:spPr>
        <a:xfrm>
          <a:off x="4695265" y="4941794"/>
          <a:ext cx="5979459" cy="2716866"/>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Copper, lead and zinc produced in WA is </a:t>
          </a:r>
          <a:r>
            <a:rPr lang="en-AU" sz="1100" baseline="0"/>
            <a:t>exported primarily as concentrates for further refining in overseas facilities</a:t>
          </a:r>
          <a:endParaRPr lang="en-AU" sz="1100"/>
        </a:p>
        <a:p>
          <a:endParaRPr lang="en-AU" sz="1100"/>
        </a:p>
        <a:p>
          <a:pPr algn="just"/>
          <a:r>
            <a:rPr lang="en-AU" sz="1100">
              <a:solidFill>
                <a:schemeClr val="dk1"/>
              </a:solidFill>
              <a:effectLst/>
              <a:latin typeface="+mn-lt"/>
              <a:ea typeface="+mn-ea"/>
              <a:cs typeface="+mn-cs"/>
            </a:rPr>
            <a:t>Concentrates</a:t>
          </a:r>
          <a:r>
            <a:rPr lang="en-AU" sz="1100" baseline="0">
              <a:solidFill>
                <a:schemeClr val="dk1"/>
              </a:solidFill>
              <a:effectLst/>
              <a:latin typeface="+mn-lt"/>
              <a:ea typeface="+mn-ea"/>
              <a:cs typeface="+mn-cs"/>
            </a:rPr>
            <a:t> of these metals often contain significant amounts of other valuable metals, most significantly gold and silver. </a:t>
          </a:r>
        </a:p>
        <a:p>
          <a:pPr algn="just"/>
          <a:endParaRPr lang="en-AU" sz="1100" baseline="0">
            <a:solidFill>
              <a:schemeClr val="dk1"/>
            </a:solidFill>
            <a:effectLst/>
            <a:latin typeface="+mn-lt"/>
            <a:ea typeface="+mn-ea"/>
            <a:cs typeface="+mn-cs"/>
          </a:endParaRPr>
        </a:p>
        <a:p>
          <a:pPr algn="just"/>
          <a:r>
            <a:rPr lang="en-AU" sz="1100" baseline="0">
              <a:solidFill>
                <a:schemeClr val="dk1"/>
              </a:solidFill>
              <a:effectLst/>
              <a:latin typeface="+mn-lt"/>
              <a:ea typeface="+mn-ea"/>
              <a:cs typeface="+mn-cs"/>
            </a:rPr>
            <a:t>Under the methodolgy for determining copper-lead-zinc exports prior to 2019-20, subtracting the value of other valuable metals from the total provides the value of exported copper-lead-zinc and copper-lead-zinc concentrates from Western Australia. Due to processing overseas, this value may be lower than the pure value of the metal produced.</a:t>
          </a:r>
        </a:p>
        <a:p>
          <a:pPr algn="just"/>
          <a:endParaRPr lang="en-AU" sz="1100" baseline="0">
            <a:solidFill>
              <a:schemeClr val="dk1"/>
            </a:solidFill>
            <a:effectLst/>
            <a:latin typeface="+mn-lt"/>
            <a:ea typeface="+mn-ea"/>
            <a:cs typeface="+mn-cs"/>
          </a:endParaRPr>
        </a:p>
        <a:p>
          <a:pPr algn="just"/>
          <a:r>
            <a:rPr lang="en-AU" sz="1100" baseline="0">
              <a:solidFill>
                <a:schemeClr val="dk1"/>
              </a:solidFill>
              <a:effectLst/>
              <a:latin typeface="+mn-lt"/>
              <a:ea typeface="+mn-ea"/>
              <a:cs typeface="+mn-cs"/>
            </a:rPr>
            <a:t>Between 2019-20 and 2003, only export destinations and the related share of exports are published due to data issues and confidentiality restrictions.</a:t>
          </a:r>
        </a:p>
        <a:p>
          <a:pPr algn="just"/>
          <a:endParaRPr lang="en-AU" sz="1100" baseline="0">
            <a:solidFill>
              <a:schemeClr val="dk1"/>
            </a:solidFill>
            <a:effectLst/>
            <a:latin typeface="+mn-lt"/>
            <a:ea typeface="+mn-ea"/>
            <a:cs typeface="+mn-cs"/>
          </a:endParaRPr>
        </a:p>
        <a:p>
          <a:pPr eaLnBrk="1" fontAlgn="auto" latinLnBrk="0" hangingPunct="1"/>
          <a:r>
            <a:rPr lang="en-AU" sz="1100" baseline="0">
              <a:solidFill>
                <a:schemeClr val="dk1"/>
              </a:solidFill>
              <a:effectLst/>
              <a:latin typeface="+mn-lt"/>
              <a:ea typeface="+mn-ea"/>
              <a:cs typeface="+mn-cs"/>
            </a:rPr>
            <a:t>Data is unavailable from 2023-24.</a:t>
          </a:r>
          <a:endParaRPr lang="en-AU">
            <a:effectLst/>
          </a:endParaRPr>
        </a:p>
      </xdr:txBody>
    </xdr:sp>
    <xdr:clientData/>
  </xdr:twoCellAnchor>
  <xdr:twoCellAnchor editAs="oneCell">
    <xdr:from>
      <xdr:col>0</xdr:col>
      <xdr:colOff>0</xdr:colOff>
      <xdr:row>0</xdr:row>
      <xdr:rowOff>0</xdr:rowOff>
    </xdr:from>
    <xdr:to>
      <xdr:col>2</xdr:col>
      <xdr:colOff>1038463</xdr:colOff>
      <xdr:row>5</xdr:row>
      <xdr:rowOff>17835</xdr:rowOff>
    </xdr:to>
    <xdr:pic>
      <xdr:nvPicPr>
        <xdr:cNvPr id="5" name="Picture 4">
          <a:hlinkClick xmlns:r="http://schemas.openxmlformats.org/officeDocument/2006/relationships" r:id="rId2"/>
          <a:extLst>
            <a:ext uri="{FF2B5EF4-FFF2-40B4-BE49-F238E27FC236}">
              <a16:creationId xmlns:a16="http://schemas.microsoft.com/office/drawing/2014/main" id="{5BA7CED6-A5C9-43C4-80DD-0137258B57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24.xml><?xml version="1.0" encoding="utf-8"?>
<c:userShapes xmlns:c="http://schemas.openxmlformats.org/drawingml/2006/chart">
  <cdr:relSizeAnchor xmlns:cdr="http://schemas.openxmlformats.org/drawingml/2006/chartDrawing">
    <cdr:from>
      <cdr:x>0.00672</cdr:x>
      <cdr:y>0.94672</cdr:y>
    </cdr:from>
    <cdr:to>
      <cdr:x>0.20052</cdr:x>
      <cdr:y>0.99508</cdr:y>
    </cdr:to>
    <cdr:sp macro="" textlink="">
      <cdr:nvSpPr>
        <cdr:cNvPr id="2" name="Text Box 1025"/>
        <cdr:cNvSpPr txBox="1">
          <a:spLocks xmlns:a="http://schemas.openxmlformats.org/drawingml/2006/main" noChangeArrowheads="1"/>
        </cdr:cNvSpPr>
      </cdr:nvSpPr>
      <cdr:spPr bwMode="auto">
        <a:xfrm xmlns:a="http://schemas.openxmlformats.org/drawingml/2006/main">
          <a:off x="40259" y="3661641"/>
          <a:ext cx="1160639"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DMPE and ABS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7</xdr:col>
      <xdr:colOff>560295</xdr:colOff>
      <xdr:row>26</xdr:row>
      <xdr:rowOff>123265</xdr:rowOff>
    </xdr:from>
    <xdr:to>
      <xdr:col>17</xdr:col>
      <xdr:colOff>204284</xdr:colOff>
      <xdr:row>43</xdr:row>
      <xdr:rowOff>124765</xdr:rowOff>
    </xdr:to>
    <xdr:graphicFrame macro="">
      <xdr:nvGraphicFramePr>
        <xdr:cNvPr id="18" name="Chart 4">
          <a:extLst>
            <a:ext uri="{FF2B5EF4-FFF2-40B4-BE49-F238E27FC236}">
              <a16:creationId xmlns:a16="http://schemas.microsoft.com/office/drawing/2014/main" id="{528F8B6E-0F64-4D30-83E8-DE60D9303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560295</xdr:colOff>
      <xdr:row>44</xdr:row>
      <xdr:rowOff>123265</xdr:rowOff>
    </xdr:from>
    <xdr:to>
      <xdr:col>17</xdr:col>
      <xdr:colOff>204284</xdr:colOff>
      <xdr:row>61</xdr:row>
      <xdr:rowOff>111157</xdr:rowOff>
    </xdr:to>
    <xdr:graphicFrame macro="">
      <xdr:nvGraphicFramePr>
        <xdr:cNvPr id="19" name="Chart 4">
          <a:extLst>
            <a:ext uri="{FF2B5EF4-FFF2-40B4-BE49-F238E27FC236}">
              <a16:creationId xmlns:a16="http://schemas.microsoft.com/office/drawing/2014/main" id="{5FA7F567-F7EE-42DB-BB53-D369E2D918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549089</xdr:colOff>
      <xdr:row>9</xdr:row>
      <xdr:rowOff>67236</xdr:rowOff>
    </xdr:from>
    <xdr:to>
      <xdr:col>17</xdr:col>
      <xdr:colOff>193078</xdr:colOff>
      <xdr:row>26</xdr:row>
      <xdr:rowOff>39121</xdr:rowOff>
    </xdr:to>
    <xdr:graphicFrame macro="">
      <xdr:nvGraphicFramePr>
        <xdr:cNvPr id="20" name="Chart 4">
          <a:extLst>
            <a:ext uri="{FF2B5EF4-FFF2-40B4-BE49-F238E27FC236}">
              <a16:creationId xmlns:a16="http://schemas.microsoft.com/office/drawing/2014/main" id="{F8F5CA67-3122-4928-BEF8-5EE97DC20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26</xdr:col>
      <xdr:colOff>0</xdr:colOff>
      <xdr:row>9</xdr:row>
      <xdr:rowOff>100852</xdr:rowOff>
    </xdr:from>
    <xdr:to>
      <xdr:col>35</xdr:col>
      <xdr:colOff>249106</xdr:colOff>
      <xdr:row>26</xdr:row>
      <xdr:rowOff>72737</xdr:rowOff>
    </xdr:to>
    <xdr:graphicFrame macro="">
      <xdr:nvGraphicFramePr>
        <xdr:cNvPr id="21" name="Chart 20">
          <a:extLst>
            <a:ext uri="{FF2B5EF4-FFF2-40B4-BE49-F238E27FC236}">
              <a16:creationId xmlns:a16="http://schemas.microsoft.com/office/drawing/2014/main" id="{0CE1A567-CA84-4322-AFD8-55112F491A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25</xdr:col>
      <xdr:colOff>593912</xdr:colOff>
      <xdr:row>27</xdr:row>
      <xdr:rowOff>11206</xdr:rowOff>
    </xdr:from>
    <xdr:to>
      <xdr:col>35</xdr:col>
      <xdr:colOff>237901</xdr:colOff>
      <xdr:row>44</xdr:row>
      <xdr:rowOff>12706</xdr:rowOff>
    </xdr:to>
    <xdr:graphicFrame macro="">
      <xdr:nvGraphicFramePr>
        <xdr:cNvPr id="22" name="Chart 21">
          <a:extLst>
            <a:ext uri="{FF2B5EF4-FFF2-40B4-BE49-F238E27FC236}">
              <a16:creationId xmlns:a16="http://schemas.microsoft.com/office/drawing/2014/main" id="{B792A4D5-A4FE-442D-BFBD-E30DA8A425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25</xdr:col>
      <xdr:colOff>582706</xdr:colOff>
      <xdr:row>44</xdr:row>
      <xdr:rowOff>168088</xdr:rowOff>
    </xdr:from>
    <xdr:to>
      <xdr:col>35</xdr:col>
      <xdr:colOff>226695</xdr:colOff>
      <xdr:row>61</xdr:row>
      <xdr:rowOff>155980</xdr:rowOff>
    </xdr:to>
    <xdr:graphicFrame macro="">
      <xdr:nvGraphicFramePr>
        <xdr:cNvPr id="23" name="Chart 22">
          <a:extLst>
            <a:ext uri="{FF2B5EF4-FFF2-40B4-BE49-F238E27FC236}">
              <a16:creationId xmlns:a16="http://schemas.microsoft.com/office/drawing/2014/main" id="{1C1160D1-B625-4768-A949-6449B0F55D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2</xdr:col>
      <xdr:colOff>769521</xdr:colOff>
      <xdr:row>5</xdr:row>
      <xdr:rowOff>29041</xdr:rowOff>
    </xdr:to>
    <xdr:pic>
      <xdr:nvPicPr>
        <xdr:cNvPr id="3" name="Picture 2">
          <a:hlinkClick xmlns:r="http://schemas.openxmlformats.org/officeDocument/2006/relationships" r:id="rId7"/>
          <a:extLst>
            <a:ext uri="{FF2B5EF4-FFF2-40B4-BE49-F238E27FC236}">
              <a16:creationId xmlns:a16="http://schemas.microsoft.com/office/drawing/2014/main" id="{C6FD31CD-17BA-4D5C-A013-E6F35CE21FA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twoCellAnchor editAs="oneCell">
    <xdr:from>
      <xdr:col>17</xdr:col>
      <xdr:colOff>593911</xdr:colOff>
      <xdr:row>23</xdr:row>
      <xdr:rowOff>156882</xdr:rowOff>
    </xdr:from>
    <xdr:to>
      <xdr:col>20</xdr:col>
      <xdr:colOff>1187823</xdr:colOff>
      <xdr:row>29</xdr:row>
      <xdr:rowOff>156882</xdr:rowOff>
    </xdr:to>
    <xdr:sp macro="" textlink="">
      <xdr:nvSpPr>
        <xdr:cNvPr id="4" name="TextBox 3">
          <a:extLst>
            <a:ext uri="{FF2B5EF4-FFF2-40B4-BE49-F238E27FC236}">
              <a16:creationId xmlns:a16="http://schemas.microsoft.com/office/drawing/2014/main" id="{32141240-5EDE-4CC9-B2D5-0379C299A853}"/>
            </a:ext>
          </a:extLst>
        </xdr:cNvPr>
        <xdr:cNvSpPr txBox="1"/>
      </xdr:nvSpPr>
      <xdr:spPr>
        <a:xfrm>
          <a:off x="15083117" y="4572000"/>
          <a:ext cx="3429000" cy="114300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solidFill>
                <a:schemeClr val="dk1"/>
              </a:solidFill>
              <a:effectLst/>
              <a:latin typeface="+mn-lt"/>
              <a:ea typeface="+mn-ea"/>
              <a:cs typeface="+mn-cs"/>
            </a:rPr>
            <a:t>Data only to 2024 is reported as, unfortunately, complete 2025 data for the Rest of Australia is not currently available as at May 2025. It is expected to be available around the end of June and DMPE will issue an update including 2025 WA and Rest of Australia data at that time.</a:t>
          </a:r>
          <a:endParaRPr lang="en-AU">
            <a:effectLst/>
          </a:endParaRPr>
        </a:p>
      </xdr:txBody>
    </xdr:sp>
    <xdr:clientData/>
  </xdr:twoCellAnchor>
</xdr:wsDr>
</file>

<file path=xl/drawings/drawing26.xml><?xml version="1.0" encoding="utf-8"?>
<c:userShapes xmlns:c="http://schemas.openxmlformats.org/drawingml/2006/chart">
  <cdr:relSizeAnchor xmlns:cdr="http://schemas.openxmlformats.org/drawingml/2006/chartDrawing">
    <cdr:from>
      <cdr:x>0.00689</cdr:x>
      <cdr:y>0.94227</cdr:y>
    </cdr:from>
    <cdr:to>
      <cdr:x>0.22267</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9228" y="3052961"/>
          <a:ext cx="1228927"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DMPE and OoCE</a:t>
          </a:r>
        </a:p>
      </cdr:txBody>
    </cdr:sp>
  </cdr:relSizeAnchor>
</c:userShapes>
</file>

<file path=xl/drawings/drawing27.xml><?xml version="1.0" encoding="utf-8"?>
<c:userShapes xmlns:c="http://schemas.openxmlformats.org/drawingml/2006/chart">
  <cdr:relSizeAnchor xmlns:cdr="http://schemas.openxmlformats.org/drawingml/2006/chartDrawing">
    <cdr:from>
      <cdr:x>0.00689</cdr:x>
      <cdr:y>0.94223</cdr:y>
    </cdr:from>
    <cdr:to>
      <cdr:x>0.22267</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9228" y="3050559"/>
          <a:ext cx="1228927"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DMPE and OoCE</a:t>
          </a:r>
        </a:p>
      </cdr:txBody>
    </cdr:sp>
  </cdr:relSizeAnchor>
</c:userShapes>
</file>

<file path=xl/drawings/drawing28.xml><?xml version="1.0" encoding="utf-8"?>
<c:userShapes xmlns:c="http://schemas.openxmlformats.org/drawingml/2006/chart">
  <cdr:relSizeAnchor xmlns:cdr="http://schemas.openxmlformats.org/drawingml/2006/chartDrawing">
    <cdr:from>
      <cdr:x>0.00689</cdr:x>
      <cdr:y>0.94214</cdr:y>
    </cdr:from>
    <cdr:to>
      <cdr:x>0.22267</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9228" y="3045758"/>
          <a:ext cx="1228927"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DMPE and OoCE</a:t>
          </a: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7</xdr:col>
      <xdr:colOff>593911</xdr:colOff>
      <xdr:row>9</xdr:row>
      <xdr:rowOff>134471</xdr:rowOff>
    </xdr:from>
    <xdr:to>
      <xdr:col>19</xdr:col>
      <xdr:colOff>532499</xdr:colOff>
      <xdr:row>32</xdr:row>
      <xdr:rowOff>72971</xdr:rowOff>
    </xdr:to>
    <xdr:graphicFrame macro="">
      <xdr:nvGraphicFramePr>
        <xdr:cNvPr id="3" name="Chart 2">
          <a:extLst>
            <a:ext uri="{FF2B5EF4-FFF2-40B4-BE49-F238E27FC236}">
              <a16:creationId xmlns:a16="http://schemas.microsoft.com/office/drawing/2014/main" id="{40F740B0-BBE7-4C52-BB1D-9C4391CC72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593910</xdr:colOff>
      <xdr:row>33</xdr:row>
      <xdr:rowOff>67234</xdr:rowOff>
    </xdr:from>
    <xdr:to>
      <xdr:col>19</xdr:col>
      <xdr:colOff>532498</xdr:colOff>
      <xdr:row>56</xdr:row>
      <xdr:rowOff>5734</xdr:rowOff>
    </xdr:to>
    <xdr:graphicFrame macro="">
      <xdr:nvGraphicFramePr>
        <xdr:cNvPr id="4" name="Chart 3">
          <a:extLst>
            <a:ext uri="{FF2B5EF4-FFF2-40B4-BE49-F238E27FC236}">
              <a16:creationId xmlns:a16="http://schemas.microsoft.com/office/drawing/2014/main" id="{B99A82C0-71FE-47BF-A35E-079FFA2648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41139</xdr:colOff>
      <xdr:row>5</xdr:row>
      <xdr:rowOff>29041</xdr:rowOff>
    </xdr:to>
    <xdr:pic>
      <xdr:nvPicPr>
        <xdr:cNvPr id="5" name="Picture 4">
          <a:hlinkClick xmlns:r="http://schemas.openxmlformats.org/officeDocument/2006/relationships" r:id="rId3"/>
          <a:extLst>
            <a:ext uri="{FF2B5EF4-FFF2-40B4-BE49-F238E27FC236}">
              <a16:creationId xmlns:a16="http://schemas.microsoft.com/office/drawing/2014/main" id="{68A68F40-8D82-4794-B52E-CE88F46E2A6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352425</xdr:colOff>
      <xdr:row>6</xdr:row>
      <xdr:rowOff>0</xdr:rowOff>
    </xdr:from>
    <xdr:to>
      <xdr:col>6</xdr:col>
      <xdr:colOff>9525</xdr:colOff>
      <xdr:row>19</xdr:row>
      <xdr:rowOff>76199</xdr:rowOff>
    </xdr:to>
    <xdr:sp macro="" textlink="">
      <xdr:nvSpPr>
        <xdr:cNvPr id="2" name="Text Box 2">
          <a:extLst>
            <a:ext uri="{FF2B5EF4-FFF2-40B4-BE49-F238E27FC236}">
              <a16:creationId xmlns:a16="http://schemas.microsoft.com/office/drawing/2014/main" id="{73657CDD-33D2-4AD8-A95E-CC1B18E88C15}"/>
            </a:ext>
          </a:extLst>
        </xdr:cNvPr>
        <xdr:cNvSpPr txBox="1">
          <a:spLocks noChangeArrowheads="1"/>
        </xdr:cNvSpPr>
      </xdr:nvSpPr>
      <xdr:spPr bwMode="auto">
        <a:xfrm>
          <a:off x="352425" y="1143000"/>
          <a:ext cx="6210300" cy="2600324"/>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27432" rIns="0" bIns="0" anchor="t" upright="1"/>
        <a:lstStyle/>
        <a:p>
          <a:pPr algn="l" rtl="0">
            <a:defRPr sz="1000"/>
          </a:pPr>
          <a:r>
            <a:rPr lang="en-AU" sz="1100" b="1" i="0" u="none" strike="noStrike" baseline="0">
              <a:solidFill>
                <a:srgbClr val="000000"/>
              </a:solidFill>
              <a:latin typeface="+mn-lt"/>
            </a:rPr>
            <a:t>Navigation: 		</a:t>
          </a:r>
          <a:r>
            <a:rPr lang="en-AU" sz="1100" b="0" i="0" u="none" strike="noStrike" baseline="0">
              <a:solidFill>
                <a:srgbClr val="000000"/>
              </a:solidFill>
              <a:latin typeface="+mn-lt"/>
            </a:rPr>
            <a:t>All tabs have a link to the index tab in the top left. Clicking on this logo will 		return you to the index page. Alternately, navigate through the named 		tabs at the bottom of the screen.</a:t>
          </a:r>
        </a:p>
        <a:p>
          <a:pPr algn="l" rtl="0">
            <a:defRPr sz="1000"/>
          </a:pPr>
          <a:endParaRPr lang="en-AU" sz="1100" b="0" i="0" u="none" strike="noStrike" baseline="0">
            <a:solidFill>
              <a:srgbClr val="000000"/>
            </a:solidFill>
            <a:latin typeface="+mn-lt"/>
          </a:endParaRPr>
        </a:p>
        <a:p>
          <a:pPr rtl="0"/>
          <a:r>
            <a:rPr lang="en-AU" sz="1100" b="1" i="0" baseline="0">
              <a:effectLst/>
              <a:latin typeface="+mn-lt"/>
              <a:ea typeface="+mn-ea"/>
              <a:cs typeface="+mn-cs"/>
            </a:rPr>
            <a:t>Dynamic Graphs: 	</a:t>
          </a:r>
          <a:r>
            <a:rPr lang="en-AU" sz="1100" b="0" i="0" baseline="0">
              <a:effectLst/>
              <a:latin typeface="+mn-lt"/>
              <a:ea typeface="+mn-ea"/>
              <a:cs typeface="+mn-cs"/>
            </a:rPr>
            <a:t>Several of the charts and graphs in this workbook are dynamic, i.e. they 		can display more than one set of data. To the right, you can see some 		examples of cells formatted for input.  Where you see similar cells 		throughout the workbook, you may click on them to manipulate displayed 		data.</a:t>
          </a:r>
          <a:endParaRPr lang="en-AU">
            <a:effectLst/>
          </a:endParaRPr>
        </a:p>
        <a:p>
          <a:pPr rtl="0"/>
          <a:r>
            <a:rPr lang="en-AU" sz="1100" b="0" i="0" baseline="0">
              <a:effectLst/>
              <a:latin typeface="+mn-lt"/>
              <a:ea typeface="+mn-ea"/>
              <a:cs typeface="+mn-cs"/>
            </a:rPr>
            <a:t>		</a:t>
          </a:r>
        </a:p>
        <a:p>
          <a:pPr rtl="0"/>
          <a:r>
            <a:rPr lang="en-AU" sz="1100" b="0" i="0" baseline="0">
              <a:effectLst/>
              <a:latin typeface="+mn-lt"/>
              <a:ea typeface="+mn-ea"/>
              <a:cs typeface="+mn-cs"/>
            </a:rPr>
            <a:t>		Note that all the raw data underpinning these dynamic tables and graphs 		is available within the workbook, though not neccesarily within the same 		tab. For example, the raw data that populates the "Calendar Year 		Employment" tab is found in the "Historic Employment 			Monthly" tab.</a:t>
          </a:r>
          <a:endParaRPr lang="en-AU">
            <a:effectLst/>
          </a:endParaRPr>
        </a:p>
        <a:p>
          <a:pPr algn="l" rtl="0">
            <a:defRPr sz="1000"/>
          </a:pPr>
          <a:endParaRPr lang="en-AU" sz="1100" b="0" i="0" u="none" strike="noStrike" baseline="0">
            <a:solidFill>
              <a:srgbClr val="000000"/>
            </a:solidFill>
            <a:latin typeface="+mn-lt"/>
          </a:endParaRPr>
        </a:p>
      </xdr:txBody>
    </xdr:sp>
    <xdr:clientData/>
  </xdr:twoCellAnchor>
  <xdr:twoCellAnchor editAs="oneCell">
    <xdr:from>
      <xdr:col>0</xdr:col>
      <xdr:colOff>0</xdr:colOff>
      <xdr:row>0</xdr:row>
      <xdr:rowOff>0</xdr:rowOff>
    </xdr:from>
    <xdr:to>
      <xdr:col>1</xdr:col>
      <xdr:colOff>1822874</xdr:colOff>
      <xdr:row>5</xdr:row>
      <xdr:rowOff>29041</xdr:rowOff>
    </xdr:to>
    <xdr:pic>
      <xdr:nvPicPr>
        <xdr:cNvPr id="4" name="Picture 3">
          <a:hlinkClick xmlns:r="http://schemas.openxmlformats.org/officeDocument/2006/relationships" r:id="rId1"/>
          <a:extLst>
            <a:ext uri="{FF2B5EF4-FFF2-40B4-BE49-F238E27FC236}">
              <a16:creationId xmlns:a16="http://schemas.microsoft.com/office/drawing/2014/main" id="{F84A282C-6AC0-4767-AE4B-A69F54D9B9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30.xml><?xml version="1.0" encoding="utf-8"?>
<xdr:wsDr xmlns:xdr="http://schemas.openxmlformats.org/drawingml/2006/spreadsheetDrawing" xmlns:a="http://schemas.openxmlformats.org/drawingml/2006/main">
  <xdr:twoCellAnchor>
    <xdr:from>
      <xdr:col>5</xdr:col>
      <xdr:colOff>573741</xdr:colOff>
      <xdr:row>8</xdr:row>
      <xdr:rowOff>67235</xdr:rowOff>
    </xdr:from>
    <xdr:to>
      <xdr:col>13</xdr:col>
      <xdr:colOff>235324</xdr:colOff>
      <xdr:row>29</xdr:row>
      <xdr:rowOff>147357</xdr:rowOff>
    </xdr:to>
    <xdr:graphicFrame macro="">
      <xdr:nvGraphicFramePr>
        <xdr:cNvPr id="4" name="Chart 3">
          <a:extLst>
            <a:ext uri="{FF2B5EF4-FFF2-40B4-BE49-F238E27FC236}">
              <a16:creationId xmlns:a16="http://schemas.microsoft.com/office/drawing/2014/main" id="{C1DBFA7A-1B5E-4961-B5E7-0803866AD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562536</xdr:colOff>
      <xdr:row>30</xdr:row>
      <xdr:rowOff>112059</xdr:rowOff>
    </xdr:from>
    <xdr:to>
      <xdr:col>13</xdr:col>
      <xdr:colOff>224118</xdr:colOff>
      <xdr:row>51</xdr:row>
      <xdr:rowOff>130868</xdr:rowOff>
    </xdr:to>
    <xdr:graphicFrame macro="">
      <xdr:nvGraphicFramePr>
        <xdr:cNvPr id="6" name="Chart 5">
          <a:extLst>
            <a:ext uri="{FF2B5EF4-FFF2-40B4-BE49-F238E27FC236}">
              <a16:creationId xmlns:a16="http://schemas.microsoft.com/office/drawing/2014/main" id="{301EE8B2-1D48-409F-B1F0-0FEAFAE0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41139</xdr:colOff>
      <xdr:row>4</xdr:row>
      <xdr:rowOff>185923</xdr:rowOff>
    </xdr:to>
    <xdr:pic>
      <xdr:nvPicPr>
        <xdr:cNvPr id="3" name="Picture 2">
          <a:hlinkClick xmlns:r="http://schemas.openxmlformats.org/officeDocument/2006/relationships" r:id="rId3"/>
          <a:extLst>
            <a:ext uri="{FF2B5EF4-FFF2-40B4-BE49-F238E27FC236}">
              <a16:creationId xmlns:a16="http://schemas.microsoft.com/office/drawing/2014/main" id="{E7213CCB-7212-4C5B-BE10-5AD479E9FDE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31.xml><?xml version="1.0" encoding="utf-8"?>
<xdr:wsDr xmlns:xdr="http://schemas.openxmlformats.org/drawingml/2006/spreadsheetDrawing" xmlns:a="http://schemas.openxmlformats.org/drawingml/2006/main">
  <xdr:twoCellAnchor>
    <xdr:from>
      <xdr:col>5</xdr:col>
      <xdr:colOff>0</xdr:colOff>
      <xdr:row>6</xdr:row>
      <xdr:rowOff>0</xdr:rowOff>
    </xdr:from>
    <xdr:to>
      <xdr:col>11</xdr:col>
      <xdr:colOff>466725</xdr:colOff>
      <xdr:row>28</xdr:row>
      <xdr:rowOff>152400</xdr:rowOff>
    </xdr:to>
    <xdr:graphicFrame macro="">
      <xdr:nvGraphicFramePr>
        <xdr:cNvPr id="3" name="Chart 2">
          <a:extLst>
            <a:ext uri="{FF2B5EF4-FFF2-40B4-BE49-F238E27FC236}">
              <a16:creationId xmlns:a16="http://schemas.microsoft.com/office/drawing/2014/main" id="{E212D952-6570-4D3C-8DBB-5E4A570BFB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30</xdr:row>
      <xdr:rowOff>0</xdr:rowOff>
    </xdr:from>
    <xdr:to>
      <xdr:col>11</xdr:col>
      <xdr:colOff>476250</xdr:colOff>
      <xdr:row>43</xdr:row>
      <xdr:rowOff>76200</xdr:rowOff>
    </xdr:to>
    <xdr:sp macro="" textlink="">
      <xdr:nvSpPr>
        <xdr:cNvPr id="4" name="Text Box 1">
          <a:extLst>
            <a:ext uri="{FF2B5EF4-FFF2-40B4-BE49-F238E27FC236}">
              <a16:creationId xmlns:a16="http://schemas.microsoft.com/office/drawing/2014/main" id="{6ACF9E33-02F3-49C7-83A7-9C062CF9A8CD}"/>
            </a:ext>
          </a:extLst>
        </xdr:cNvPr>
        <xdr:cNvSpPr txBox="1"/>
      </xdr:nvSpPr>
      <xdr:spPr>
        <a:xfrm>
          <a:off x="5314950" y="5448300"/>
          <a:ext cx="6648450" cy="255270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The ABS</a:t>
          </a:r>
          <a:r>
            <a:rPr lang="en-AU" sz="1100" baseline="0">
              <a:effectLst/>
              <a:latin typeface="+mn-lt"/>
              <a:ea typeface="Times New Roman"/>
            </a:rPr>
            <a:t> </a:t>
          </a:r>
          <a:r>
            <a:rPr lang="en-AU" sz="1100">
              <a:effectLst/>
              <a:latin typeface="+mn-lt"/>
              <a:ea typeface="Times New Roman"/>
            </a:rPr>
            <a:t>releases Western Australian export data which shows exports of gold that are significantly higher than gold produced in this State.  </a:t>
          </a:r>
        </a:p>
        <a:p>
          <a:pPr>
            <a:spcAft>
              <a:spcPts val="0"/>
            </a:spcAft>
          </a:pPr>
          <a:r>
            <a:rPr lang="en-AU" sz="1100">
              <a:effectLst/>
              <a:latin typeface="+mn-lt"/>
              <a:ea typeface="Times New Roman"/>
            </a:rPr>
            <a:t> </a:t>
          </a:r>
        </a:p>
        <a:p>
          <a:pPr>
            <a:spcAft>
              <a:spcPts val="0"/>
            </a:spcAft>
          </a:pPr>
          <a:r>
            <a:rPr lang="en-AU" sz="1100">
              <a:effectLst/>
              <a:latin typeface="+mn-lt"/>
              <a:ea typeface="Times New Roman"/>
            </a:rPr>
            <a:t>This is because Gold Corporation, or as it is more commonly known, The Perth Mint, which</a:t>
          </a:r>
          <a:r>
            <a:rPr lang="en-AU" sz="1100" baseline="0">
              <a:effectLst/>
              <a:latin typeface="+mn-lt"/>
              <a:ea typeface="Times New Roman"/>
            </a:rPr>
            <a:t> is</a:t>
          </a:r>
          <a:r>
            <a:rPr lang="en-AU" sz="1100">
              <a:effectLst/>
              <a:latin typeface="+mn-lt"/>
              <a:ea typeface="Times New Roman"/>
            </a:rPr>
            <a:t> Australia’s only London Bullion Market Association accredited gold refinery,</a:t>
          </a:r>
          <a:r>
            <a:rPr lang="en-AU" sz="1100" baseline="0">
              <a:effectLst/>
              <a:latin typeface="+mn-lt"/>
              <a:ea typeface="Times New Roman"/>
            </a:rPr>
            <a:t> </a:t>
          </a:r>
          <a:r>
            <a:rPr lang="en-AU" sz="1100">
              <a:effectLst/>
              <a:latin typeface="+mn-lt"/>
              <a:ea typeface="Times New Roman"/>
            </a:rPr>
            <a:t>refines gold produced in other States and Territories, gold from surrounding countries and also secondary gold, mainly from Asia.  </a:t>
          </a:r>
        </a:p>
        <a:p>
          <a:pPr>
            <a:spcAft>
              <a:spcPts val="0"/>
            </a:spcAft>
          </a:pPr>
          <a:r>
            <a:rPr lang="en-AU" sz="1100">
              <a:effectLst/>
              <a:latin typeface="+mn-lt"/>
              <a:ea typeface="Times New Roman"/>
            </a:rPr>
            <a:t>  </a:t>
          </a:r>
        </a:p>
        <a:p>
          <a:pPr>
            <a:spcAft>
              <a:spcPts val="0"/>
            </a:spcAft>
          </a:pPr>
          <a:r>
            <a:rPr lang="en-AU" sz="1100">
              <a:solidFill>
                <a:sysClr val="windowText" lastClr="000000"/>
              </a:solidFill>
              <a:effectLst/>
              <a:latin typeface="+mn-lt"/>
              <a:ea typeface="Times New Roman"/>
            </a:rPr>
            <a:t>For example, the ABS estimated that gold exports from Western Australia in 2020-21</a:t>
          </a:r>
          <a:r>
            <a:rPr lang="en-AU" sz="1100" baseline="0">
              <a:solidFill>
                <a:sysClr val="windowText" lastClr="000000"/>
              </a:solidFill>
              <a:effectLst/>
              <a:latin typeface="+mn-lt"/>
              <a:ea typeface="Times New Roman"/>
            </a:rPr>
            <a:t> </a:t>
          </a:r>
          <a:r>
            <a:rPr lang="en-AU" sz="1100">
              <a:solidFill>
                <a:sysClr val="windowText" lastClr="000000"/>
              </a:solidFill>
              <a:effectLst/>
              <a:latin typeface="+mn-lt"/>
              <a:ea typeface="Times New Roman"/>
            </a:rPr>
            <a:t>amounted to approximately $22 billion.  Approximately 75 per cent or $16.6 billion was gold produced in Western Australia.  </a:t>
          </a:r>
        </a:p>
        <a:p>
          <a:pPr>
            <a:spcAft>
              <a:spcPts val="0"/>
            </a:spcAft>
          </a:pPr>
          <a:endParaRPr lang="en-AU" sz="1100">
            <a:solidFill>
              <a:sysClr val="windowText" lastClr="000000"/>
            </a:solidFill>
            <a:effectLst/>
            <a:latin typeface="+mn-lt"/>
            <a:ea typeface="Times New Roman"/>
          </a:endParaRPr>
        </a:p>
        <a:p>
          <a:pPr>
            <a:spcAft>
              <a:spcPts val="0"/>
            </a:spcAft>
          </a:pPr>
          <a:r>
            <a:rPr lang="en-AU" sz="1100">
              <a:solidFill>
                <a:sysClr val="windowText" lastClr="000000"/>
              </a:solidFill>
              <a:effectLst/>
              <a:latin typeface="+mn-lt"/>
              <a:ea typeface="Times New Roman"/>
            </a:rPr>
            <a:t>The remaining 25 per cent (approximately $5.4 billion) can </a:t>
          </a:r>
          <a:r>
            <a:rPr lang="en-AU" sz="1100">
              <a:solidFill>
                <a:schemeClr val="tx1"/>
              </a:solidFill>
              <a:effectLst/>
              <a:latin typeface="+mn-lt"/>
              <a:ea typeface="Times New Roman"/>
            </a:rPr>
            <a:t>be attributed to gold refined and exported from Western Australia but produced from mining operations in other States, Territories and overseas.</a:t>
          </a:r>
        </a:p>
        <a:p>
          <a:pPr>
            <a:spcAft>
              <a:spcPts val="0"/>
            </a:spcAft>
          </a:pPr>
          <a:r>
            <a:rPr lang="en-AU" sz="1100">
              <a:effectLst/>
              <a:latin typeface="+mn-lt"/>
              <a:ea typeface="Times New Roman"/>
            </a:rPr>
            <a:t> </a:t>
          </a:r>
        </a:p>
        <a:p>
          <a:pPr>
            <a:spcAft>
              <a:spcPts val="0"/>
            </a:spcAft>
          </a:pPr>
          <a:r>
            <a:rPr lang="en-AU" sz="1100">
              <a:effectLst/>
              <a:latin typeface="+mn-lt"/>
              <a:ea typeface="Times New Roman"/>
            </a:rPr>
            <a:t>Overseas imported gold also includes scrap which is refined in Western Australia and exported</a:t>
          </a:r>
          <a:r>
            <a:rPr lang="en-AU" sz="1050">
              <a:effectLst/>
              <a:latin typeface="+mn-lt"/>
              <a:ea typeface="Times New Roman"/>
            </a:rPr>
            <a:t>.  </a:t>
          </a:r>
        </a:p>
        <a:p>
          <a:pPr>
            <a:spcAft>
              <a:spcPts val="0"/>
            </a:spcAft>
          </a:pPr>
          <a:r>
            <a:rPr lang="en-AU" sz="1200">
              <a:effectLst/>
              <a:latin typeface="Times New Roman"/>
              <a:ea typeface="Times New Roman"/>
            </a:rPr>
            <a:t> </a:t>
          </a:r>
        </a:p>
      </xdr:txBody>
    </xdr:sp>
    <xdr:clientData/>
  </xdr:twoCellAnchor>
  <xdr:twoCellAnchor editAs="oneCell">
    <xdr:from>
      <xdr:col>0</xdr:col>
      <xdr:colOff>0</xdr:colOff>
      <xdr:row>0</xdr:row>
      <xdr:rowOff>0</xdr:rowOff>
    </xdr:from>
    <xdr:to>
      <xdr:col>2</xdr:col>
      <xdr:colOff>1016051</xdr:colOff>
      <xdr:row>5</xdr:row>
      <xdr:rowOff>29041</xdr:rowOff>
    </xdr:to>
    <xdr:pic>
      <xdr:nvPicPr>
        <xdr:cNvPr id="5" name="Picture 4">
          <a:hlinkClick xmlns:r="http://schemas.openxmlformats.org/officeDocument/2006/relationships" r:id="rId2"/>
          <a:extLst>
            <a:ext uri="{FF2B5EF4-FFF2-40B4-BE49-F238E27FC236}">
              <a16:creationId xmlns:a16="http://schemas.microsoft.com/office/drawing/2014/main" id="{9CE7D746-E5EB-4410-ACFA-3FDE0DEE76A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32.xml><?xml version="1.0" encoding="utf-8"?>
<c:userShapes xmlns:c="http://schemas.openxmlformats.org/drawingml/2006/chart">
  <cdr:relSizeAnchor xmlns:cdr="http://schemas.openxmlformats.org/drawingml/2006/chartDrawing">
    <cdr:from>
      <cdr:x>0.00057</cdr:x>
      <cdr:y>0.95295</cdr:y>
    </cdr:from>
    <cdr:to>
      <cdr:x>0.10676</cdr:x>
      <cdr:y>0.99971</cdr:y>
    </cdr:to>
    <cdr:sp macro="" textlink="">
      <cdr:nvSpPr>
        <cdr:cNvPr id="2" name="Text Box 1025"/>
        <cdr:cNvSpPr txBox="1">
          <a:spLocks xmlns:a="http://schemas.openxmlformats.org/drawingml/2006/main" noChangeArrowheads="1"/>
        </cdr:cNvSpPr>
      </cdr:nvSpPr>
      <cdr:spPr bwMode="auto">
        <a:xfrm xmlns:a="http://schemas.openxmlformats.org/drawingml/2006/main">
          <a:off x="3795" y="4193524"/>
          <a:ext cx="704988" cy="20577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33.xml><?xml version="1.0" encoding="utf-8"?>
<xdr:wsDr xmlns:xdr="http://schemas.openxmlformats.org/drawingml/2006/spreadsheetDrawing" xmlns:a="http://schemas.openxmlformats.org/drawingml/2006/main">
  <xdr:twoCellAnchor>
    <xdr:from>
      <xdr:col>5</xdr:col>
      <xdr:colOff>1</xdr:colOff>
      <xdr:row>8</xdr:row>
      <xdr:rowOff>100853</xdr:rowOff>
    </xdr:from>
    <xdr:to>
      <xdr:col>14</xdr:col>
      <xdr:colOff>510988</xdr:colOff>
      <xdr:row>29</xdr:row>
      <xdr:rowOff>119903</xdr:rowOff>
    </xdr:to>
    <xdr:graphicFrame macro="">
      <xdr:nvGraphicFramePr>
        <xdr:cNvPr id="3" name="Chart 4">
          <a:extLst>
            <a:ext uri="{FF2B5EF4-FFF2-40B4-BE49-F238E27FC236}">
              <a16:creationId xmlns:a16="http://schemas.microsoft.com/office/drawing/2014/main" id="{34FE693C-E2D7-4D7F-A7BA-B8F18F45B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30</xdr:row>
      <xdr:rowOff>76761</xdr:rowOff>
    </xdr:from>
    <xdr:to>
      <xdr:col>14</xdr:col>
      <xdr:colOff>493619</xdr:colOff>
      <xdr:row>50</xdr:row>
      <xdr:rowOff>133911</xdr:rowOff>
    </xdr:to>
    <xdr:graphicFrame macro="">
      <xdr:nvGraphicFramePr>
        <xdr:cNvPr id="4" name="Chart 3">
          <a:extLst>
            <a:ext uri="{FF2B5EF4-FFF2-40B4-BE49-F238E27FC236}">
              <a16:creationId xmlns:a16="http://schemas.microsoft.com/office/drawing/2014/main" id="{23FE4FFD-82A2-407B-88AF-7DC764A26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769521</xdr:colOff>
      <xdr:row>5</xdr:row>
      <xdr:rowOff>29041</xdr:rowOff>
    </xdr:to>
    <xdr:pic>
      <xdr:nvPicPr>
        <xdr:cNvPr id="5" name="Picture 4">
          <a:hlinkClick xmlns:r="http://schemas.openxmlformats.org/officeDocument/2006/relationships" r:id="rId3"/>
          <a:extLst>
            <a:ext uri="{FF2B5EF4-FFF2-40B4-BE49-F238E27FC236}">
              <a16:creationId xmlns:a16="http://schemas.microsoft.com/office/drawing/2014/main" id="{95192A36-145E-46F4-B73E-BEBBB8FCAE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twoCellAnchor editAs="oneCell">
    <xdr:from>
      <xdr:col>15</xdr:col>
      <xdr:colOff>33618</xdr:colOff>
      <xdr:row>21</xdr:row>
      <xdr:rowOff>179294</xdr:rowOff>
    </xdr:from>
    <xdr:to>
      <xdr:col>17</xdr:col>
      <xdr:colOff>1232647</xdr:colOff>
      <xdr:row>27</xdr:row>
      <xdr:rowOff>179294</xdr:rowOff>
    </xdr:to>
    <xdr:sp macro="" textlink="">
      <xdr:nvSpPr>
        <xdr:cNvPr id="6" name="TextBox 5">
          <a:extLst>
            <a:ext uri="{FF2B5EF4-FFF2-40B4-BE49-F238E27FC236}">
              <a16:creationId xmlns:a16="http://schemas.microsoft.com/office/drawing/2014/main" id="{749C08BA-31E4-4BA6-81DA-D9B7DAA5F1D9}"/>
            </a:ext>
          </a:extLst>
        </xdr:cNvPr>
        <xdr:cNvSpPr txBox="1"/>
      </xdr:nvSpPr>
      <xdr:spPr>
        <a:xfrm>
          <a:off x="10791265" y="4213412"/>
          <a:ext cx="3429000" cy="114300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solidFill>
                <a:schemeClr val="dk1"/>
              </a:solidFill>
              <a:effectLst/>
              <a:latin typeface="+mn-lt"/>
              <a:ea typeface="+mn-ea"/>
              <a:cs typeface="+mn-cs"/>
            </a:rPr>
            <a:t>Data only to 2024 is reported as, unfortunately, complete 2025 data for the Rest of Australia is not currently available as at May 2025. It is expected to be available around the end of June and DMPE will issue an update including 2025 WA and Rest of Australia data at that time.</a:t>
          </a:r>
          <a:endParaRPr lang="en-AU">
            <a:effectLst/>
          </a:endParaRPr>
        </a:p>
      </xdr:txBody>
    </xdr:sp>
    <xdr:clientData/>
  </xdr:twoCellAnchor>
</xdr:wsDr>
</file>

<file path=xl/drawings/drawing34.xml><?xml version="1.0" encoding="utf-8"?>
<c:userShapes xmlns:c="http://schemas.openxmlformats.org/drawingml/2006/chart">
  <cdr:relSizeAnchor xmlns:cdr="http://schemas.openxmlformats.org/drawingml/2006/chartDrawing">
    <cdr:from>
      <cdr:x>0.01324</cdr:x>
      <cdr:y>0.9536</cdr:y>
    </cdr:from>
    <cdr:to>
      <cdr:x>0.21536</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80517" y="3851540"/>
          <a:ext cx="1228927"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DMPE and OoCE</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7</xdr:col>
      <xdr:colOff>566457</xdr:colOff>
      <xdr:row>11</xdr:row>
      <xdr:rowOff>44823</xdr:rowOff>
    </xdr:from>
    <xdr:to>
      <xdr:col>19</xdr:col>
      <xdr:colOff>505046</xdr:colOff>
      <xdr:row>33</xdr:row>
      <xdr:rowOff>140205</xdr:rowOff>
    </xdr:to>
    <xdr:graphicFrame macro="">
      <xdr:nvGraphicFramePr>
        <xdr:cNvPr id="3" name="Chart 2">
          <a:extLst>
            <a:ext uri="{FF2B5EF4-FFF2-40B4-BE49-F238E27FC236}">
              <a16:creationId xmlns:a16="http://schemas.microsoft.com/office/drawing/2014/main" id="{3FF85538-F400-44EF-998A-1B27382897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571500</xdr:colOff>
      <xdr:row>34</xdr:row>
      <xdr:rowOff>157351</xdr:rowOff>
    </xdr:from>
    <xdr:to>
      <xdr:col>19</xdr:col>
      <xdr:colOff>510089</xdr:colOff>
      <xdr:row>57</xdr:row>
      <xdr:rowOff>95851</xdr:rowOff>
    </xdr:to>
    <xdr:graphicFrame macro="">
      <xdr:nvGraphicFramePr>
        <xdr:cNvPr id="4" name="Chart 3">
          <a:extLst>
            <a:ext uri="{FF2B5EF4-FFF2-40B4-BE49-F238E27FC236}">
              <a16:creationId xmlns:a16="http://schemas.microsoft.com/office/drawing/2014/main" id="{22DC525A-BFE1-496D-8130-AF67ECC47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433345</xdr:colOff>
      <xdr:row>5</xdr:row>
      <xdr:rowOff>29041</xdr:rowOff>
    </xdr:to>
    <xdr:pic>
      <xdr:nvPicPr>
        <xdr:cNvPr id="5" name="Picture 4">
          <a:hlinkClick xmlns:r="http://schemas.openxmlformats.org/officeDocument/2006/relationships" r:id="rId3"/>
          <a:extLst>
            <a:ext uri="{FF2B5EF4-FFF2-40B4-BE49-F238E27FC236}">
              <a16:creationId xmlns:a16="http://schemas.microsoft.com/office/drawing/2014/main" id="{865DC60B-68C0-4D87-B318-55A34B0A6B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36.xml><?xml version="1.0" encoding="utf-8"?>
<xdr:wsDr xmlns:xdr="http://schemas.openxmlformats.org/drawingml/2006/spreadsheetDrawing" xmlns:a="http://schemas.openxmlformats.org/drawingml/2006/main">
  <xdr:twoCellAnchor>
    <xdr:from>
      <xdr:col>5</xdr:col>
      <xdr:colOff>571500</xdr:colOff>
      <xdr:row>8</xdr:row>
      <xdr:rowOff>168088</xdr:rowOff>
    </xdr:from>
    <xdr:to>
      <xdr:col>15</xdr:col>
      <xdr:colOff>324144</xdr:colOff>
      <xdr:row>30</xdr:row>
      <xdr:rowOff>87965</xdr:rowOff>
    </xdr:to>
    <xdr:graphicFrame macro="">
      <xdr:nvGraphicFramePr>
        <xdr:cNvPr id="4" name="Chart 3">
          <a:extLst>
            <a:ext uri="{FF2B5EF4-FFF2-40B4-BE49-F238E27FC236}">
              <a16:creationId xmlns:a16="http://schemas.microsoft.com/office/drawing/2014/main" id="{25B4DA6A-4C2A-4A9C-9B48-4301D62A7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571500</xdr:colOff>
      <xdr:row>32</xdr:row>
      <xdr:rowOff>33617</xdr:rowOff>
    </xdr:from>
    <xdr:to>
      <xdr:col>15</xdr:col>
      <xdr:colOff>303814</xdr:colOff>
      <xdr:row>53</xdr:row>
      <xdr:rowOff>158882</xdr:rowOff>
    </xdr:to>
    <xdr:graphicFrame macro="">
      <xdr:nvGraphicFramePr>
        <xdr:cNvPr id="5" name="Chart 4">
          <a:extLst>
            <a:ext uri="{FF2B5EF4-FFF2-40B4-BE49-F238E27FC236}">
              <a16:creationId xmlns:a16="http://schemas.microsoft.com/office/drawing/2014/main" id="{83AAE6C5-4E51-480C-8FF0-54EB243A95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41139</xdr:colOff>
      <xdr:row>5</xdr:row>
      <xdr:rowOff>29041</xdr:rowOff>
    </xdr:to>
    <xdr:pic>
      <xdr:nvPicPr>
        <xdr:cNvPr id="3" name="Picture 2">
          <a:hlinkClick xmlns:r="http://schemas.openxmlformats.org/officeDocument/2006/relationships" r:id="rId3"/>
          <a:extLst>
            <a:ext uri="{FF2B5EF4-FFF2-40B4-BE49-F238E27FC236}">
              <a16:creationId xmlns:a16="http://schemas.microsoft.com/office/drawing/2014/main" id="{E6868F6B-79CF-46E7-8A4A-8AFD92021B3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twoCellAnchor editAs="oneCell">
    <xdr:from>
      <xdr:col>16</xdr:col>
      <xdr:colOff>291354</xdr:colOff>
      <xdr:row>21</xdr:row>
      <xdr:rowOff>123264</xdr:rowOff>
    </xdr:from>
    <xdr:to>
      <xdr:col>18</xdr:col>
      <xdr:colOff>705972</xdr:colOff>
      <xdr:row>23</xdr:row>
      <xdr:rowOff>100853</xdr:rowOff>
    </xdr:to>
    <xdr:sp macro="" textlink="">
      <xdr:nvSpPr>
        <xdr:cNvPr id="2" name="TextBox 1">
          <a:extLst>
            <a:ext uri="{FF2B5EF4-FFF2-40B4-BE49-F238E27FC236}">
              <a16:creationId xmlns:a16="http://schemas.microsoft.com/office/drawing/2014/main" id="{8D47FB46-DA31-47B5-8148-F234CB711FBD}"/>
            </a:ext>
          </a:extLst>
        </xdr:cNvPr>
        <xdr:cNvSpPr txBox="1"/>
      </xdr:nvSpPr>
      <xdr:spPr>
        <a:xfrm>
          <a:off x="9906001" y="4157382"/>
          <a:ext cx="2319618" cy="358589"/>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Iron ore quantities are in dry tonnes.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5</xdr:col>
      <xdr:colOff>0</xdr:colOff>
      <xdr:row>6</xdr:row>
      <xdr:rowOff>0</xdr:rowOff>
    </xdr:from>
    <xdr:to>
      <xdr:col>10</xdr:col>
      <xdr:colOff>811742</xdr:colOff>
      <xdr:row>26</xdr:row>
      <xdr:rowOff>185208</xdr:rowOff>
    </xdr:to>
    <xdr:graphicFrame macro="">
      <xdr:nvGraphicFramePr>
        <xdr:cNvPr id="3" name="Chart 2">
          <a:extLst>
            <a:ext uri="{FF2B5EF4-FFF2-40B4-BE49-F238E27FC236}">
              <a16:creationId xmlns:a16="http://schemas.microsoft.com/office/drawing/2014/main" id="{6316030D-BF24-45EB-9040-881A590EA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545404</xdr:colOff>
      <xdr:row>5</xdr:row>
      <xdr:rowOff>29041</xdr:rowOff>
    </xdr:to>
    <xdr:pic>
      <xdr:nvPicPr>
        <xdr:cNvPr id="4" name="Picture 3">
          <a:hlinkClick xmlns:r="http://schemas.openxmlformats.org/officeDocument/2006/relationships" r:id="rId2"/>
          <a:extLst>
            <a:ext uri="{FF2B5EF4-FFF2-40B4-BE49-F238E27FC236}">
              <a16:creationId xmlns:a16="http://schemas.microsoft.com/office/drawing/2014/main" id="{336EB9A2-1F07-4A14-8F3D-7976E7B914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38.xml><?xml version="1.0" encoding="utf-8"?>
<c:userShapes xmlns:c="http://schemas.openxmlformats.org/drawingml/2006/chart">
  <cdr:relSizeAnchor xmlns:cdr="http://schemas.openxmlformats.org/drawingml/2006/chartDrawing">
    <cdr:from>
      <cdr:x>0</cdr:x>
      <cdr:y>0.94824</cdr:y>
    </cdr:from>
    <cdr:to>
      <cdr:x>0.1256</cdr:x>
      <cdr:y>0.99521</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838575"/>
          <a:ext cx="752475" cy="19015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39.xml><?xml version="1.0" encoding="utf-8"?>
<xdr:wsDr xmlns:xdr="http://schemas.openxmlformats.org/drawingml/2006/spreadsheetDrawing" xmlns:a="http://schemas.openxmlformats.org/drawingml/2006/main">
  <xdr:twoCellAnchor>
    <xdr:from>
      <xdr:col>3</xdr:col>
      <xdr:colOff>452157</xdr:colOff>
      <xdr:row>31</xdr:row>
      <xdr:rowOff>123265</xdr:rowOff>
    </xdr:from>
    <xdr:to>
      <xdr:col>15</xdr:col>
      <xdr:colOff>168088</xdr:colOff>
      <xdr:row>51</xdr:row>
      <xdr:rowOff>108698</xdr:rowOff>
    </xdr:to>
    <xdr:graphicFrame macro="">
      <xdr:nvGraphicFramePr>
        <xdr:cNvPr id="7" name="Chart 6">
          <a:extLst>
            <a:ext uri="{FF2B5EF4-FFF2-40B4-BE49-F238E27FC236}">
              <a16:creationId xmlns:a16="http://schemas.microsoft.com/office/drawing/2014/main" id="{FC44F5B4-8D4B-40C7-A107-CC80925A2F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485776</xdr:colOff>
      <xdr:row>9</xdr:row>
      <xdr:rowOff>44824</xdr:rowOff>
    </xdr:from>
    <xdr:to>
      <xdr:col>15</xdr:col>
      <xdr:colOff>212913</xdr:colOff>
      <xdr:row>30</xdr:row>
      <xdr:rowOff>98986</xdr:rowOff>
    </xdr:to>
    <xdr:graphicFrame macro="">
      <xdr:nvGraphicFramePr>
        <xdr:cNvPr id="8" name="Chart 7">
          <a:extLst>
            <a:ext uri="{FF2B5EF4-FFF2-40B4-BE49-F238E27FC236}">
              <a16:creationId xmlns:a16="http://schemas.microsoft.com/office/drawing/2014/main" id="{7F35B279-BD3A-4F89-B38F-A7C3BEC50D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769521</xdr:colOff>
      <xdr:row>5</xdr:row>
      <xdr:rowOff>29041</xdr:rowOff>
    </xdr:to>
    <xdr:pic>
      <xdr:nvPicPr>
        <xdr:cNvPr id="3" name="Picture 2">
          <a:hlinkClick xmlns:r="http://schemas.openxmlformats.org/officeDocument/2006/relationships" r:id="rId3"/>
          <a:extLst>
            <a:ext uri="{FF2B5EF4-FFF2-40B4-BE49-F238E27FC236}">
              <a16:creationId xmlns:a16="http://schemas.microsoft.com/office/drawing/2014/main" id="{04CF80C9-B68F-48C1-A7A5-A03BBE617D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twoCellAnchor editAs="oneCell">
    <xdr:from>
      <xdr:col>15</xdr:col>
      <xdr:colOff>571500</xdr:colOff>
      <xdr:row>22</xdr:row>
      <xdr:rowOff>78442</xdr:rowOff>
    </xdr:from>
    <xdr:to>
      <xdr:col>19</xdr:col>
      <xdr:colOff>22412</xdr:colOff>
      <xdr:row>27</xdr:row>
      <xdr:rowOff>156882</xdr:rowOff>
    </xdr:to>
    <xdr:sp macro="" textlink="">
      <xdr:nvSpPr>
        <xdr:cNvPr id="4" name="TextBox 3">
          <a:extLst>
            <a:ext uri="{FF2B5EF4-FFF2-40B4-BE49-F238E27FC236}">
              <a16:creationId xmlns:a16="http://schemas.microsoft.com/office/drawing/2014/main" id="{CEF48DFE-477D-48A3-B8A9-544E426DBA9C}"/>
            </a:ext>
          </a:extLst>
        </xdr:cNvPr>
        <xdr:cNvSpPr txBox="1"/>
      </xdr:nvSpPr>
      <xdr:spPr>
        <a:xfrm>
          <a:off x="13032441" y="4303060"/>
          <a:ext cx="3664324" cy="103094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solidFill>
                <a:schemeClr val="dk1"/>
              </a:solidFill>
              <a:effectLst/>
              <a:latin typeface="+mn-lt"/>
              <a:ea typeface="+mn-ea"/>
              <a:cs typeface="+mn-cs"/>
            </a:rPr>
            <a:t>Data only to 2024 is reported as, unfortunately, complete 2025 data for the Rest of Australia is not currently available as at May 2025. It is expected to be available around the end of June and DMPE will issue an update including 2025 WA and Rest of Australia data at that time.</a:t>
          </a:r>
          <a:endParaRPr lang="en-AU">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605116</xdr:colOff>
      <xdr:row>10</xdr:row>
      <xdr:rowOff>0</xdr:rowOff>
    </xdr:from>
    <xdr:to>
      <xdr:col>18</xdr:col>
      <xdr:colOff>159881</xdr:colOff>
      <xdr:row>40</xdr:row>
      <xdr:rowOff>19765</xdr:rowOff>
    </xdr:to>
    <xdr:graphicFrame macro="">
      <xdr:nvGraphicFramePr>
        <xdr:cNvPr id="7" name="Chart 6">
          <a:extLst>
            <a:ext uri="{FF2B5EF4-FFF2-40B4-BE49-F238E27FC236}">
              <a16:creationId xmlns:a16="http://schemas.microsoft.com/office/drawing/2014/main" id="{5EBBA947-05D0-4147-8312-967478D472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612639</xdr:colOff>
      <xdr:row>5</xdr:row>
      <xdr:rowOff>29041</xdr:rowOff>
    </xdr:to>
    <xdr:pic>
      <xdr:nvPicPr>
        <xdr:cNvPr id="3" name="Picture 2">
          <a:hlinkClick xmlns:r="http://schemas.openxmlformats.org/officeDocument/2006/relationships" r:id="rId2"/>
          <a:extLst>
            <a:ext uri="{FF2B5EF4-FFF2-40B4-BE49-F238E27FC236}">
              <a16:creationId xmlns:a16="http://schemas.microsoft.com/office/drawing/2014/main" id="{2903083F-8D74-4603-8449-2174621DC00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40.xml><?xml version="1.0" encoding="utf-8"?>
<c:userShapes xmlns:c="http://schemas.openxmlformats.org/drawingml/2006/chart">
  <cdr:relSizeAnchor xmlns:cdr="http://schemas.openxmlformats.org/drawingml/2006/chartDrawing">
    <cdr:from>
      <cdr:x>0.01271</cdr:x>
      <cdr:y>0.95507</cdr:y>
    </cdr:from>
    <cdr:to>
      <cdr:x>0.16651</cdr:x>
      <cdr:y>0.99542</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107195" y="3883175"/>
          <a:ext cx="1296702"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DMPE and OoCE</a:t>
          </a:r>
        </a:p>
      </cdr:txBody>
    </cdr:sp>
  </cdr:relSizeAnchor>
</c:userShapes>
</file>

<file path=xl/drawings/drawing41.xml><?xml version="1.0" encoding="utf-8"?>
<xdr:wsDr xmlns:xdr="http://schemas.openxmlformats.org/drawingml/2006/spreadsheetDrawing" xmlns:a="http://schemas.openxmlformats.org/drawingml/2006/main">
  <xdr:twoCellAnchor editAs="oneCell">
    <xdr:from>
      <xdr:col>7</xdr:col>
      <xdr:colOff>1285223</xdr:colOff>
      <xdr:row>11</xdr:row>
      <xdr:rowOff>44823</xdr:rowOff>
    </xdr:from>
    <xdr:to>
      <xdr:col>19</xdr:col>
      <xdr:colOff>541373</xdr:colOff>
      <xdr:row>33</xdr:row>
      <xdr:rowOff>173823</xdr:rowOff>
    </xdr:to>
    <xdr:graphicFrame macro="">
      <xdr:nvGraphicFramePr>
        <xdr:cNvPr id="3" name="Chart 2">
          <a:extLst>
            <a:ext uri="{FF2B5EF4-FFF2-40B4-BE49-F238E27FC236}">
              <a16:creationId xmlns:a16="http://schemas.microsoft.com/office/drawing/2014/main" id="{CFADF2EA-5AB3-4568-8123-DD23E52C6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1288677</xdr:colOff>
      <xdr:row>35</xdr:row>
      <xdr:rowOff>61634</xdr:rowOff>
    </xdr:from>
    <xdr:to>
      <xdr:col>19</xdr:col>
      <xdr:colOff>544827</xdr:colOff>
      <xdr:row>58</xdr:row>
      <xdr:rowOff>134</xdr:rowOff>
    </xdr:to>
    <xdr:graphicFrame macro="">
      <xdr:nvGraphicFramePr>
        <xdr:cNvPr id="4" name="Chart 3">
          <a:extLst>
            <a:ext uri="{FF2B5EF4-FFF2-40B4-BE49-F238E27FC236}">
              <a16:creationId xmlns:a16="http://schemas.microsoft.com/office/drawing/2014/main" id="{FE71E157-B701-4DD8-A4EB-4158B716F7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769521</xdr:colOff>
      <xdr:row>5</xdr:row>
      <xdr:rowOff>29041</xdr:rowOff>
    </xdr:to>
    <xdr:pic>
      <xdr:nvPicPr>
        <xdr:cNvPr id="5" name="Picture 4">
          <a:hlinkClick xmlns:r="http://schemas.openxmlformats.org/officeDocument/2006/relationships" r:id="rId3"/>
          <a:extLst>
            <a:ext uri="{FF2B5EF4-FFF2-40B4-BE49-F238E27FC236}">
              <a16:creationId xmlns:a16="http://schemas.microsoft.com/office/drawing/2014/main" id="{EB0D1390-07E5-48E7-8FD7-8911759E3D3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42.xml><?xml version="1.0" encoding="utf-8"?>
<xdr:wsDr xmlns:xdr="http://schemas.openxmlformats.org/drawingml/2006/spreadsheetDrawing" xmlns:a="http://schemas.openxmlformats.org/drawingml/2006/main">
  <xdr:twoCellAnchor>
    <xdr:from>
      <xdr:col>5</xdr:col>
      <xdr:colOff>885264</xdr:colOff>
      <xdr:row>10</xdr:row>
      <xdr:rowOff>22413</xdr:rowOff>
    </xdr:from>
    <xdr:to>
      <xdr:col>13</xdr:col>
      <xdr:colOff>479051</xdr:colOff>
      <xdr:row>31</xdr:row>
      <xdr:rowOff>130550</xdr:rowOff>
    </xdr:to>
    <xdr:graphicFrame macro="">
      <xdr:nvGraphicFramePr>
        <xdr:cNvPr id="2" name="Chart 1">
          <a:extLst>
            <a:ext uri="{FF2B5EF4-FFF2-40B4-BE49-F238E27FC236}">
              <a16:creationId xmlns:a16="http://schemas.microsoft.com/office/drawing/2014/main" id="{372CB486-1620-4017-BCAB-E1C403450B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896470</xdr:colOff>
      <xdr:row>32</xdr:row>
      <xdr:rowOff>112059</xdr:rowOff>
    </xdr:from>
    <xdr:to>
      <xdr:col>13</xdr:col>
      <xdr:colOff>446689</xdr:colOff>
      <xdr:row>54</xdr:row>
      <xdr:rowOff>54668</xdr:rowOff>
    </xdr:to>
    <xdr:graphicFrame macro="">
      <xdr:nvGraphicFramePr>
        <xdr:cNvPr id="5" name="Chart 4">
          <a:extLst>
            <a:ext uri="{FF2B5EF4-FFF2-40B4-BE49-F238E27FC236}">
              <a16:creationId xmlns:a16="http://schemas.microsoft.com/office/drawing/2014/main" id="{D2F09096-4976-4269-9D59-9BFAA6FD2B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41139</xdr:colOff>
      <xdr:row>5</xdr:row>
      <xdr:rowOff>29041</xdr:rowOff>
    </xdr:to>
    <xdr:pic>
      <xdr:nvPicPr>
        <xdr:cNvPr id="4" name="Picture 3">
          <a:hlinkClick xmlns:r="http://schemas.openxmlformats.org/officeDocument/2006/relationships" r:id="rId3"/>
          <a:extLst>
            <a:ext uri="{FF2B5EF4-FFF2-40B4-BE49-F238E27FC236}">
              <a16:creationId xmlns:a16="http://schemas.microsoft.com/office/drawing/2014/main" id="{40D35AF2-082F-4AF6-A49A-ED33CA185D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43.xml><?xml version="1.0" encoding="utf-8"?>
<xdr:wsDr xmlns:xdr="http://schemas.openxmlformats.org/drawingml/2006/spreadsheetDrawing" xmlns:a="http://schemas.openxmlformats.org/drawingml/2006/main">
  <xdr:twoCellAnchor>
    <xdr:from>
      <xdr:col>5</xdr:col>
      <xdr:colOff>0</xdr:colOff>
      <xdr:row>6</xdr:row>
      <xdr:rowOff>0</xdr:rowOff>
    </xdr:from>
    <xdr:to>
      <xdr:col>10</xdr:col>
      <xdr:colOff>847725</xdr:colOff>
      <xdr:row>26</xdr:row>
      <xdr:rowOff>187325</xdr:rowOff>
    </xdr:to>
    <xdr:graphicFrame macro="">
      <xdr:nvGraphicFramePr>
        <xdr:cNvPr id="3" name="Chart 2">
          <a:extLst>
            <a:ext uri="{FF2B5EF4-FFF2-40B4-BE49-F238E27FC236}">
              <a16:creationId xmlns:a16="http://schemas.microsoft.com/office/drawing/2014/main" id="{548BF96B-E720-485D-B4B1-E789CD371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545404</xdr:colOff>
      <xdr:row>5</xdr:row>
      <xdr:rowOff>29041</xdr:rowOff>
    </xdr:to>
    <xdr:pic>
      <xdr:nvPicPr>
        <xdr:cNvPr id="4" name="Picture 3">
          <a:hlinkClick xmlns:r="http://schemas.openxmlformats.org/officeDocument/2006/relationships" r:id="rId2"/>
          <a:extLst>
            <a:ext uri="{FF2B5EF4-FFF2-40B4-BE49-F238E27FC236}">
              <a16:creationId xmlns:a16="http://schemas.microsoft.com/office/drawing/2014/main" id="{88DBFB07-F2C6-4150-A14A-332ABFDBE3C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44.xml><?xml version="1.0" encoding="utf-8"?>
<c:userShapes xmlns:c="http://schemas.openxmlformats.org/drawingml/2006/chart">
  <cdr:relSizeAnchor xmlns:cdr="http://schemas.openxmlformats.org/drawingml/2006/chartDrawing">
    <cdr:from>
      <cdr:x>0</cdr:x>
      <cdr:y>0.94824</cdr:y>
    </cdr:from>
    <cdr:to>
      <cdr:x>0.1256</cdr:x>
      <cdr:y>0.99521</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838575"/>
          <a:ext cx="752475" cy="19015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dr:relSizeAnchor xmlns:cdr="http://schemas.openxmlformats.org/drawingml/2006/chartDrawing">
    <cdr:from>
      <cdr:x>0</cdr:x>
      <cdr:y>0.94824</cdr:y>
    </cdr:from>
    <cdr:to>
      <cdr:x>0.1256</cdr:x>
      <cdr:y>0.99521</cdr:y>
    </cdr:to>
    <cdr:sp macro="" textlink="">
      <cdr:nvSpPr>
        <cdr:cNvPr id="3" name="Text Box 1025"/>
        <cdr:cNvSpPr txBox="1">
          <a:spLocks xmlns:a="http://schemas.openxmlformats.org/drawingml/2006/main" noChangeArrowheads="1"/>
        </cdr:cNvSpPr>
      </cdr:nvSpPr>
      <cdr:spPr bwMode="auto">
        <a:xfrm xmlns:a="http://schemas.openxmlformats.org/drawingml/2006/main">
          <a:off x="0" y="3838575"/>
          <a:ext cx="752475" cy="19015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7</xdr:col>
      <xdr:colOff>581026</xdr:colOff>
      <xdr:row>34</xdr:row>
      <xdr:rowOff>179856</xdr:rowOff>
    </xdr:from>
    <xdr:to>
      <xdr:col>19</xdr:col>
      <xdr:colOff>520514</xdr:colOff>
      <xdr:row>57</xdr:row>
      <xdr:rowOff>84738</xdr:rowOff>
    </xdr:to>
    <xdr:graphicFrame macro="">
      <xdr:nvGraphicFramePr>
        <xdr:cNvPr id="3" name="Chart 2">
          <a:extLst>
            <a:ext uri="{FF2B5EF4-FFF2-40B4-BE49-F238E27FC236}">
              <a16:creationId xmlns:a16="http://schemas.microsoft.com/office/drawing/2014/main" id="{F079FB65-74A4-4EB2-AC3B-3DD467762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582706</xdr:colOff>
      <xdr:row>11</xdr:row>
      <xdr:rowOff>22410</xdr:rowOff>
    </xdr:from>
    <xdr:to>
      <xdr:col>19</xdr:col>
      <xdr:colOff>521294</xdr:colOff>
      <xdr:row>33</xdr:row>
      <xdr:rowOff>151410</xdr:rowOff>
    </xdr:to>
    <xdr:graphicFrame macro="">
      <xdr:nvGraphicFramePr>
        <xdr:cNvPr id="4" name="Chart 3">
          <a:extLst>
            <a:ext uri="{FF2B5EF4-FFF2-40B4-BE49-F238E27FC236}">
              <a16:creationId xmlns:a16="http://schemas.microsoft.com/office/drawing/2014/main" id="{405121A7-D5B4-4CF4-AF81-EB2EB78899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433345</xdr:colOff>
      <xdr:row>5</xdr:row>
      <xdr:rowOff>29041</xdr:rowOff>
    </xdr:to>
    <xdr:pic>
      <xdr:nvPicPr>
        <xdr:cNvPr id="5" name="Picture 4">
          <a:hlinkClick xmlns:r="http://schemas.openxmlformats.org/officeDocument/2006/relationships" r:id="rId3"/>
          <a:extLst>
            <a:ext uri="{FF2B5EF4-FFF2-40B4-BE49-F238E27FC236}">
              <a16:creationId xmlns:a16="http://schemas.microsoft.com/office/drawing/2014/main" id="{A508F6F1-0329-4F57-B27B-7CFC3E9A3D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46.xml><?xml version="1.0" encoding="utf-8"?>
<xdr:wsDr xmlns:xdr="http://schemas.openxmlformats.org/drawingml/2006/spreadsheetDrawing" xmlns:a="http://schemas.openxmlformats.org/drawingml/2006/main">
  <xdr:twoCellAnchor>
    <xdr:from>
      <xdr:col>6</xdr:col>
      <xdr:colOff>24655</xdr:colOff>
      <xdr:row>9</xdr:row>
      <xdr:rowOff>33618</xdr:rowOff>
    </xdr:from>
    <xdr:to>
      <xdr:col>15</xdr:col>
      <xdr:colOff>582706</xdr:colOff>
      <xdr:row>30</xdr:row>
      <xdr:rowOff>94690</xdr:rowOff>
    </xdr:to>
    <xdr:graphicFrame macro="">
      <xdr:nvGraphicFramePr>
        <xdr:cNvPr id="5" name="Chart 4">
          <a:extLst>
            <a:ext uri="{FF2B5EF4-FFF2-40B4-BE49-F238E27FC236}">
              <a16:creationId xmlns:a16="http://schemas.microsoft.com/office/drawing/2014/main" id="{686132A0-0315-43AC-B5EE-3238BEC198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2242</xdr:colOff>
      <xdr:row>31</xdr:row>
      <xdr:rowOff>76760</xdr:rowOff>
    </xdr:from>
    <xdr:to>
      <xdr:col>15</xdr:col>
      <xdr:colOff>582706</xdr:colOff>
      <xdr:row>49</xdr:row>
      <xdr:rowOff>114860</xdr:rowOff>
    </xdr:to>
    <xdr:graphicFrame macro="">
      <xdr:nvGraphicFramePr>
        <xdr:cNvPr id="6" name="Chart 5">
          <a:extLst>
            <a:ext uri="{FF2B5EF4-FFF2-40B4-BE49-F238E27FC236}">
              <a16:creationId xmlns:a16="http://schemas.microsoft.com/office/drawing/2014/main" id="{7B1F4DD3-3061-4F12-BB5A-64E4707C00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0</xdr:colOff>
      <xdr:row>5</xdr:row>
      <xdr:rowOff>29041</xdr:rowOff>
    </xdr:to>
    <xdr:pic>
      <xdr:nvPicPr>
        <xdr:cNvPr id="3" name="Picture 2">
          <a:hlinkClick xmlns:r="http://schemas.openxmlformats.org/officeDocument/2006/relationships" r:id="rId3"/>
          <a:extLst>
            <a:ext uri="{FF2B5EF4-FFF2-40B4-BE49-F238E27FC236}">
              <a16:creationId xmlns:a16="http://schemas.microsoft.com/office/drawing/2014/main" id="{99EB936A-1E23-4989-9F7E-C18EF3188E8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twoCellAnchor>
    <xdr:from>
      <xdr:col>6</xdr:col>
      <xdr:colOff>459443</xdr:colOff>
      <xdr:row>50</xdr:row>
      <xdr:rowOff>67234</xdr:rowOff>
    </xdr:from>
    <xdr:to>
      <xdr:col>15</xdr:col>
      <xdr:colOff>128309</xdr:colOff>
      <xdr:row>54</xdr:row>
      <xdr:rowOff>152960</xdr:rowOff>
    </xdr:to>
    <xdr:sp macro="" textlink="">
      <xdr:nvSpPr>
        <xdr:cNvPr id="2" name="Text Box 1">
          <a:extLst>
            <a:ext uri="{FF2B5EF4-FFF2-40B4-BE49-F238E27FC236}">
              <a16:creationId xmlns:a16="http://schemas.microsoft.com/office/drawing/2014/main" id="{E0F12B33-1FB4-46D8-AE4B-7ABD1EEE21FD}"/>
            </a:ext>
          </a:extLst>
        </xdr:cNvPr>
        <xdr:cNvSpPr txBox="1"/>
      </xdr:nvSpPr>
      <xdr:spPr>
        <a:xfrm>
          <a:off x="4034119" y="9637058"/>
          <a:ext cx="4240866" cy="847726"/>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baseline="0">
              <a:solidFill>
                <a:schemeClr val="dk1"/>
              </a:solidFill>
              <a:effectLst/>
              <a:latin typeface="+mn-lt"/>
              <a:ea typeface="+mn-ea"/>
              <a:cs typeface="+mn-cs"/>
            </a:rPr>
            <a:t>P</a:t>
          </a:r>
          <a:r>
            <a:rPr lang="en-AU" sz="1100">
              <a:solidFill>
                <a:schemeClr val="dk1"/>
              </a:solidFill>
              <a:effectLst/>
              <a:latin typeface="+mn-lt"/>
              <a:ea typeface="+mn-ea"/>
              <a:cs typeface="+mn-cs"/>
            </a:rPr>
            <a:t>rior</a:t>
          </a:r>
          <a:r>
            <a:rPr lang="en-AU" sz="1100" baseline="0">
              <a:solidFill>
                <a:schemeClr val="dk1"/>
              </a:solidFill>
              <a:effectLst/>
              <a:latin typeface="+mn-lt"/>
              <a:ea typeface="+mn-ea"/>
              <a:cs typeface="+mn-cs"/>
            </a:rPr>
            <a:t> to March 2014, m</a:t>
          </a:r>
          <a:r>
            <a:rPr lang="en-AU" sz="1100" baseline="0">
              <a:effectLst/>
              <a:latin typeface="+mn-lt"/>
              <a:ea typeface="Times New Roman"/>
            </a:rPr>
            <a:t>ineral sands quantities and values include higher volume, but lower value, ilmenite feedstock . From March 2014, they include lower volume, but higher value, synthetic rutile (i.e. ilmenite converted into synthetic rutile).</a:t>
          </a:r>
          <a:endParaRPr lang="en-AU" sz="1100">
            <a:effectLst/>
            <a:latin typeface="+mn-lt"/>
            <a:ea typeface="Times New Roman"/>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5</xdr:col>
      <xdr:colOff>0</xdr:colOff>
      <xdr:row>6</xdr:row>
      <xdr:rowOff>0</xdr:rowOff>
    </xdr:from>
    <xdr:to>
      <xdr:col>11</xdr:col>
      <xdr:colOff>304800</xdr:colOff>
      <xdr:row>27</xdr:row>
      <xdr:rowOff>155575</xdr:rowOff>
    </xdr:to>
    <xdr:graphicFrame macro="">
      <xdr:nvGraphicFramePr>
        <xdr:cNvPr id="3" name="Chart 2">
          <a:extLst>
            <a:ext uri="{FF2B5EF4-FFF2-40B4-BE49-F238E27FC236}">
              <a16:creationId xmlns:a16="http://schemas.microsoft.com/office/drawing/2014/main" id="{DBF1AAFA-2696-4C54-AFBA-792583BEC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29</xdr:row>
      <xdr:rowOff>0</xdr:rowOff>
    </xdr:from>
    <xdr:to>
      <xdr:col>10</xdr:col>
      <xdr:colOff>76200</xdr:colOff>
      <xdr:row>37</xdr:row>
      <xdr:rowOff>133350</xdr:rowOff>
    </xdr:to>
    <xdr:sp macro="" textlink="">
      <xdr:nvSpPr>
        <xdr:cNvPr id="4" name="Text Box 1">
          <a:extLst>
            <a:ext uri="{FF2B5EF4-FFF2-40B4-BE49-F238E27FC236}">
              <a16:creationId xmlns:a16="http://schemas.microsoft.com/office/drawing/2014/main" id="{6B813C06-0A45-4841-B657-13053867A579}"/>
            </a:ext>
          </a:extLst>
        </xdr:cNvPr>
        <xdr:cNvSpPr txBox="1"/>
      </xdr:nvSpPr>
      <xdr:spPr>
        <a:xfrm>
          <a:off x="5619750" y="5276850"/>
          <a:ext cx="5219700" cy="165735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Western Australian export trade data shows exports of mineral sands that are significantly higher than the value of mineral sands</a:t>
          </a:r>
          <a:r>
            <a:rPr lang="en-AU" sz="1100" baseline="0">
              <a:effectLst/>
              <a:latin typeface="+mn-lt"/>
              <a:ea typeface="Times New Roman"/>
            </a:rPr>
            <a:t> sales</a:t>
          </a:r>
          <a:r>
            <a:rPr lang="en-AU" sz="1100">
              <a:effectLst/>
              <a:latin typeface="+mn-lt"/>
              <a:ea typeface="Times New Roman"/>
            </a:rPr>
            <a:t>. This disparity is the result of:</a:t>
          </a:r>
        </a:p>
        <a:p>
          <a:pPr marL="0" marR="0" indent="0" defTabSz="914400" eaLnBrk="1" fontAlgn="auto" latinLnBrk="0" hangingPunct="1">
            <a:lnSpc>
              <a:spcPct val="100000"/>
            </a:lnSpc>
            <a:spcBef>
              <a:spcPts val="0"/>
            </a:spcBef>
            <a:spcAft>
              <a:spcPts val="0"/>
            </a:spcAft>
            <a:buClrTx/>
            <a:buSzTx/>
            <a:buFontTx/>
            <a:buNone/>
            <a:tabLst/>
            <a:defRPr/>
          </a:pPr>
          <a:r>
            <a:rPr lang="en-AU" sz="11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100">
              <a:effectLst/>
              <a:latin typeface="+mn-lt"/>
              <a:ea typeface="Times New Roman"/>
            </a:rPr>
            <a:t>The use of Western</a:t>
          </a:r>
          <a:r>
            <a:rPr lang="en-AU" sz="1100" baseline="0">
              <a:effectLst/>
              <a:latin typeface="+mn-lt"/>
              <a:ea typeface="Times New Roman"/>
            </a:rPr>
            <a:t> Australian mineral sand refining and export capacity for mineral sands produced outside the state.</a:t>
          </a:r>
        </a:p>
        <a:p>
          <a:pPr>
            <a:spcAft>
              <a:spcPts val="0"/>
            </a:spcAft>
          </a:pPr>
          <a:r>
            <a:rPr lang="en-AU" sz="11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100" baseline="0">
              <a:effectLst/>
              <a:latin typeface="+mn-lt"/>
              <a:ea typeface="Times New Roman"/>
            </a:rPr>
            <a:t>The export of mineral sand products from projects on Minerals to Owner land (i.e. land granted before 1899) that are not required to report production and sales to the State Government.</a:t>
          </a:r>
        </a:p>
        <a:p>
          <a:pPr eaLnBrk="1" fontAlgn="auto" latinLnBrk="0" hangingPunct="1"/>
          <a:endParaRPr lang="en-AU" sz="1100" baseline="0">
            <a:solidFill>
              <a:schemeClr val="dk1"/>
            </a:solidFill>
            <a:effectLst/>
            <a:latin typeface="+mn-lt"/>
            <a:ea typeface="+mn-ea"/>
            <a:cs typeface="+mn-cs"/>
          </a:endParaRPr>
        </a:p>
        <a:p>
          <a:pPr eaLnBrk="1" fontAlgn="auto" latinLnBrk="0" hangingPunct="1"/>
          <a:r>
            <a:rPr lang="en-AU" sz="1100" baseline="0">
              <a:solidFill>
                <a:schemeClr val="dk1"/>
              </a:solidFill>
              <a:effectLst/>
              <a:latin typeface="+mn-lt"/>
              <a:ea typeface="+mn-ea"/>
              <a:cs typeface="+mn-cs"/>
            </a:rPr>
            <a:t>Data is unavailable from 2023-24.</a:t>
          </a:r>
          <a:endParaRPr lang="en-AU">
            <a:effectLst/>
          </a:endParaRPr>
        </a:p>
      </xdr:txBody>
    </xdr:sp>
    <xdr:clientData/>
  </xdr:twoCellAnchor>
  <xdr:twoCellAnchor editAs="oneCell">
    <xdr:from>
      <xdr:col>0</xdr:col>
      <xdr:colOff>0</xdr:colOff>
      <xdr:row>0</xdr:row>
      <xdr:rowOff>0</xdr:rowOff>
    </xdr:from>
    <xdr:to>
      <xdr:col>2</xdr:col>
      <xdr:colOff>971227</xdr:colOff>
      <xdr:row>5</xdr:row>
      <xdr:rowOff>29041</xdr:rowOff>
    </xdr:to>
    <xdr:pic>
      <xdr:nvPicPr>
        <xdr:cNvPr id="5" name="Picture 4">
          <a:hlinkClick xmlns:r="http://schemas.openxmlformats.org/officeDocument/2006/relationships" r:id="rId2"/>
          <a:extLst>
            <a:ext uri="{FF2B5EF4-FFF2-40B4-BE49-F238E27FC236}">
              <a16:creationId xmlns:a16="http://schemas.microsoft.com/office/drawing/2014/main" id="{194947AD-9CA1-4F0B-8209-FC6912F245B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48.xml><?xml version="1.0" encoding="utf-8"?>
<c:userShapes xmlns:c="http://schemas.openxmlformats.org/drawingml/2006/chart">
  <cdr:relSizeAnchor xmlns:cdr="http://schemas.openxmlformats.org/drawingml/2006/chartDrawing">
    <cdr:from>
      <cdr:x>0.00783</cdr:x>
      <cdr:y>0.95335</cdr:y>
    </cdr:from>
    <cdr:to>
      <cdr:x>0.12159</cdr:x>
      <cdr:y>0.99823</cdr:y>
    </cdr:to>
    <cdr:sp macro="" textlink="">
      <cdr:nvSpPr>
        <cdr:cNvPr id="2" name="Text Box 1025">
          <a:extLst xmlns:a="http://schemas.openxmlformats.org/drawingml/2006/main">
            <a:ext uri="{FF2B5EF4-FFF2-40B4-BE49-F238E27FC236}">
              <a16:creationId xmlns:a16="http://schemas.microsoft.com/office/drawing/2014/main" id="{376DA893-FCF2-AB41-4EB2-D7C1F4259D1D}"/>
            </a:ext>
          </a:extLst>
        </cdr:cNvPr>
        <cdr:cNvSpPr txBox="1">
          <a:spLocks xmlns:a="http://schemas.openxmlformats.org/drawingml/2006/main" noChangeArrowheads="1"/>
        </cdr:cNvSpPr>
      </cdr:nvSpPr>
      <cdr:spPr bwMode="auto">
        <a:xfrm xmlns:a="http://schemas.openxmlformats.org/drawingml/2006/main">
          <a:off x="50800" y="3972859"/>
          <a:ext cx="738344"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DMPE</a:t>
          </a:r>
        </a:p>
      </cdr:txBody>
    </cdr:sp>
  </cdr:relSizeAnchor>
</c:userShapes>
</file>

<file path=xl/drawings/drawing49.xml><?xml version="1.0" encoding="utf-8"?>
<xdr:wsDr xmlns:xdr="http://schemas.openxmlformats.org/drawingml/2006/spreadsheetDrawing" xmlns:a="http://schemas.openxmlformats.org/drawingml/2006/main">
  <xdr:twoCellAnchor>
    <xdr:from>
      <xdr:col>4</xdr:col>
      <xdr:colOff>2241</xdr:colOff>
      <xdr:row>8</xdr:row>
      <xdr:rowOff>145676</xdr:rowOff>
    </xdr:from>
    <xdr:to>
      <xdr:col>15</xdr:col>
      <xdr:colOff>33617</xdr:colOff>
      <xdr:row>29</xdr:row>
      <xdr:rowOff>125504</xdr:rowOff>
    </xdr:to>
    <xdr:graphicFrame macro="">
      <xdr:nvGraphicFramePr>
        <xdr:cNvPr id="5" name="Chart 4">
          <a:extLst>
            <a:ext uri="{FF2B5EF4-FFF2-40B4-BE49-F238E27FC236}">
              <a16:creationId xmlns:a16="http://schemas.microsoft.com/office/drawing/2014/main" id="{48B15A4A-E947-4B7B-9E44-3EC443C946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551329</xdr:colOff>
      <xdr:row>30</xdr:row>
      <xdr:rowOff>56029</xdr:rowOff>
    </xdr:from>
    <xdr:to>
      <xdr:col>15</xdr:col>
      <xdr:colOff>11206</xdr:colOff>
      <xdr:row>51</xdr:row>
      <xdr:rowOff>34176</xdr:rowOff>
    </xdr:to>
    <xdr:graphicFrame macro="">
      <xdr:nvGraphicFramePr>
        <xdr:cNvPr id="6" name="Chart 5">
          <a:extLst>
            <a:ext uri="{FF2B5EF4-FFF2-40B4-BE49-F238E27FC236}">
              <a16:creationId xmlns:a16="http://schemas.microsoft.com/office/drawing/2014/main" id="{38163F0F-F6DB-4B0D-94CB-911DF0100B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769521</xdr:colOff>
      <xdr:row>5</xdr:row>
      <xdr:rowOff>29041</xdr:rowOff>
    </xdr:to>
    <xdr:pic>
      <xdr:nvPicPr>
        <xdr:cNvPr id="3" name="Picture 2">
          <a:hlinkClick xmlns:r="http://schemas.openxmlformats.org/officeDocument/2006/relationships" r:id="rId3"/>
          <a:extLst>
            <a:ext uri="{FF2B5EF4-FFF2-40B4-BE49-F238E27FC236}">
              <a16:creationId xmlns:a16="http://schemas.microsoft.com/office/drawing/2014/main" id="{B9E42FF7-377C-4C65-8CA4-234E31A45E8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twoCellAnchor editAs="oneCell">
    <xdr:from>
      <xdr:col>16</xdr:col>
      <xdr:colOff>78441</xdr:colOff>
      <xdr:row>22</xdr:row>
      <xdr:rowOff>168088</xdr:rowOff>
    </xdr:from>
    <xdr:to>
      <xdr:col>19</xdr:col>
      <xdr:colOff>78441</xdr:colOff>
      <xdr:row>25</xdr:row>
      <xdr:rowOff>56028</xdr:rowOff>
    </xdr:to>
    <xdr:sp macro="" textlink="">
      <xdr:nvSpPr>
        <xdr:cNvPr id="2" name="TextBox 1">
          <a:extLst>
            <a:ext uri="{FF2B5EF4-FFF2-40B4-BE49-F238E27FC236}">
              <a16:creationId xmlns:a16="http://schemas.microsoft.com/office/drawing/2014/main" id="{FB765ADC-BB2E-4EC9-90C7-82C4A4E5F947}"/>
            </a:ext>
          </a:extLst>
        </xdr:cNvPr>
        <xdr:cNvSpPr txBox="1"/>
      </xdr:nvSpPr>
      <xdr:spPr>
        <a:xfrm>
          <a:off x="13424647" y="4392706"/>
          <a:ext cx="3608294" cy="45944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The value of Mineral Sands in the Rest of Australia is only available to 2014.</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0.00672</cdr:x>
      <cdr:y>0.95278</cdr:y>
    </cdr:from>
    <cdr:to>
      <cdr:x>0.71706</cdr:x>
      <cdr:y>0.99035</cdr:y>
    </cdr:to>
    <cdr:sp macro="" textlink="">
      <cdr:nvSpPr>
        <cdr:cNvPr id="3369985" name="Text Box 1"/>
        <cdr:cNvSpPr txBox="1">
          <a:spLocks xmlns:a="http://schemas.openxmlformats.org/drawingml/2006/main" noChangeArrowheads="1"/>
        </cdr:cNvSpPr>
      </cdr:nvSpPr>
      <cdr:spPr bwMode="auto">
        <a:xfrm xmlns:a="http://schemas.openxmlformats.org/drawingml/2006/main">
          <a:off x="38100" y="4582993"/>
          <a:ext cx="4029522" cy="1807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Various</a:t>
          </a:r>
        </a:p>
      </cdr:txBody>
    </cdr:sp>
  </cdr:relSizeAnchor>
</c:userShapes>
</file>

<file path=xl/drawings/drawing50.xml><?xml version="1.0" encoding="utf-8"?>
<xdr:wsDr xmlns:xdr="http://schemas.openxmlformats.org/drawingml/2006/spreadsheetDrawing" xmlns:a="http://schemas.openxmlformats.org/drawingml/2006/main">
  <xdr:twoCellAnchor editAs="oneCell">
    <xdr:from>
      <xdr:col>7</xdr:col>
      <xdr:colOff>560295</xdr:colOff>
      <xdr:row>10</xdr:row>
      <xdr:rowOff>22412</xdr:rowOff>
    </xdr:from>
    <xdr:to>
      <xdr:col>19</xdr:col>
      <xdr:colOff>521295</xdr:colOff>
      <xdr:row>32</xdr:row>
      <xdr:rowOff>151412</xdr:rowOff>
    </xdr:to>
    <xdr:graphicFrame macro="">
      <xdr:nvGraphicFramePr>
        <xdr:cNvPr id="4" name="Chart 3">
          <a:extLst>
            <a:ext uri="{FF2B5EF4-FFF2-40B4-BE49-F238E27FC236}">
              <a16:creationId xmlns:a16="http://schemas.microsoft.com/office/drawing/2014/main" id="{80842842-4021-4804-B837-4B8703CE10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549089</xdr:colOff>
      <xdr:row>33</xdr:row>
      <xdr:rowOff>112058</xdr:rowOff>
    </xdr:from>
    <xdr:to>
      <xdr:col>19</xdr:col>
      <xdr:colOff>510089</xdr:colOff>
      <xdr:row>56</xdr:row>
      <xdr:rowOff>16940</xdr:rowOff>
    </xdr:to>
    <xdr:graphicFrame macro="">
      <xdr:nvGraphicFramePr>
        <xdr:cNvPr id="6" name="Chart 5">
          <a:extLst>
            <a:ext uri="{FF2B5EF4-FFF2-40B4-BE49-F238E27FC236}">
              <a16:creationId xmlns:a16="http://schemas.microsoft.com/office/drawing/2014/main" id="{280CA28E-8F08-4DD9-8D36-FE8071E37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41139</xdr:colOff>
      <xdr:row>5</xdr:row>
      <xdr:rowOff>29041</xdr:rowOff>
    </xdr:to>
    <xdr:pic>
      <xdr:nvPicPr>
        <xdr:cNvPr id="7" name="Picture 6">
          <a:hlinkClick xmlns:r="http://schemas.openxmlformats.org/officeDocument/2006/relationships" r:id="rId3"/>
          <a:extLst>
            <a:ext uri="{FF2B5EF4-FFF2-40B4-BE49-F238E27FC236}">
              <a16:creationId xmlns:a16="http://schemas.microsoft.com/office/drawing/2014/main" id="{F9BE8FE3-3550-48F4-BF4B-4D9760792E7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51.xml><?xml version="1.0" encoding="utf-8"?>
<xdr:wsDr xmlns:xdr="http://schemas.openxmlformats.org/drawingml/2006/spreadsheetDrawing" xmlns:a="http://schemas.openxmlformats.org/drawingml/2006/main">
  <xdr:twoCellAnchor>
    <xdr:from>
      <xdr:col>5</xdr:col>
      <xdr:colOff>739589</xdr:colOff>
      <xdr:row>8</xdr:row>
      <xdr:rowOff>100852</xdr:rowOff>
    </xdr:from>
    <xdr:to>
      <xdr:col>14</xdr:col>
      <xdr:colOff>194983</xdr:colOff>
      <xdr:row>27</xdr:row>
      <xdr:rowOff>188257</xdr:rowOff>
    </xdr:to>
    <xdr:graphicFrame macro="">
      <xdr:nvGraphicFramePr>
        <xdr:cNvPr id="3" name="Chart 2">
          <a:extLst>
            <a:ext uri="{FF2B5EF4-FFF2-40B4-BE49-F238E27FC236}">
              <a16:creationId xmlns:a16="http://schemas.microsoft.com/office/drawing/2014/main" id="{9FE3699F-1D0C-4D89-9982-534F197EA6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739588</xdr:colOff>
      <xdr:row>28</xdr:row>
      <xdr:rowOff>89647</xdr:rowOff>
    </xdr:from>
    <xdr:to>
      <xdr:col>14</xdr:col>
      <xdr:colOff>194982</xdr:colOff>
      <xdr:row>48</xdr:row>
      <xdr:rowOff>3922</xdr:rowOff>
    </xdr:to>
    <xdr:graphicFrame macro="">
      <xdr:nvGraphicFramePr>
        <xdr:cNvPr id="4" name="Chart 3">
          <a:extLst>
            <a:ext uri="{FF2B5EF4-FFF2-40B4-BE49-F238E27FC236}">
              <a16:creationId xmlns:a16="http://schemas.microsoft.com/office/drawing/2014/main" id="{D55C3399-F587-45FD-8A34-BA7CEBF53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41139</xdr:colOff>
      <xdr:row>5</xdr:row>
      <xdr:rowOff>29041</xdr:rowOff>
    </xdr:to>
    <xdr:pic>
      <xdr:nvPicPr>
        <xdr:cNvPr id="5" name="Picture 4">
          <a:hlinkClick xmlns:r="http://schemas.openxmlformats.org/officeDocument/2006/relationships" r:id="rId3"/>
          <a:extLst>
            <a:ext uri="{FF2B5EF4-FFF2-40B4-BE49-F238E27FC236}">
              <a16:creationId xmlns:a16="http://schemas.microsoft.com/office/drawing/2014/main" id="{1B2E89A2-07D2-4397-9EF5-BCEFDEDCCD3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52.xml><?xml version="1.0" encoding="utf-8"?>
<xdr:wsDr xmlns:xdr="http://schemas.openxmlformats.org/drawingml/2006/spreadsheetDrawing" xmlns:a="http://schemas.openxmlformats.org/drawingml/2006/main">
  <xdr:twoCellAnchor>
    <xdr:from>
      <xdr:col>5</xdr:col>
      <xdr:colOff>0</xdr:colOff>
      <xdr:row>6</xdr:row>
      <xdr:rowOff>0</xdr:rowOff>
    </xdr:from>
    <xdr:to>
      <xdr:col>11</xdr:col>
      <xdr:colOff>3175</xdr:colOff>
      <xdr:row>28</xdr:row>
      <xdr:rowOff>149225</xdr:rowOff>
    </xdr:to>
    <xdr:graphicFrame macro="">
      <xdr:nvGraphicFramePr>
        <xdr:cNvPr id="3" name="Chart 2">
          <a:extLst>
            <a:ext uri="{FF2B5EF4-FFF2-40B4-BE49-F238E27FC236}">
              <a16:creationId xmlns:a16="http://schemas.microsoft.com/office/drawing/2014/main" id="{B6EE347B-1989-407A-AAA1-97B3E591F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29</xdr:row>
      <xdr:rowOff>190499</xdr:rowOff>
    </xdr:from>
    <xdr:to>
      <xdr:col>10</xdr:col>
      <xdr:colOff>76200</xdr:colOff>
      <xdr:row>39</xdr:row>
      <xdr:rowOff>104774</xdr:rowOff>
    </xdr:to>
    <xdr:sp macro="" textlink="">
      <xdr:nvSpPr>
        <xdr:cNvPr id="4" name="Text Box 1">
          <a:extLst>
            <a:ext uri="{FF2B5EF4-FFF2-40B4-BE49-F238E27FC236}">
              <a16:creationId xmlns:a16="http://schemas.microsoft.com/office/drawing/2014/main" id="{33139EA2-2115-4724-B9D1-EAE7959629EC}"/>
            </a:ext>
          </a:extLst>
        </xdr:cNvPr>
        <xdr:cNvSpPr txBox="1"/>
      </xdr:nvSpPr>
      <xdr:spPr>
        <a:xfrm>
          <a:off x="5448300" y="5486399"/>
          <a:ext cx="5219700" cy="1819275"/>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Exports of nickel are sometimes higher than the value of nickel sales in this state. This disparity is due, in part, to the use of Western Australian nickel refining and export capacity for nickel ores and concentrates produced overseas and the timing of sales for royalty purposes vs</a:t>
          </a:r>
          <a:r>
            <a:rPr lang="en-AU" sz="1100" baseline="0">
              <a:effectLst/>
              <a:latin typeface="+mn-lt"/>
              <a:ea typeface="Times New Roman"/>
            </a:rPr>
            <a:t> exports. It may also include cobalt and platinum and palladium by-products.</a:t>
          </a:r>
        </a:p>
        <a:p>
          <a:pPr>
            <a:spcAft>
              <a:spcPts val="0"/>
            </a:spcAft>
          </a:pPr>
          <a:endParaRPr lang="en-AU" sz="1100" baseline="0">
            <a:effectLst/>
            <a:latin typeface="+mn-lt"/>
            <a:ea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effectLst/>
              <a:latin typeface="+mn-lt"/>
              <a:ea typeface="Times New Roman"/>
            </a:rPr>
            <a:t>Between 2021 and 2023, </a:t>
          </a:r>
          <a:r>
            <a:rPr lang="en-AU" sz="1100" baseline="0">
              <a:solidFill>
                <a:schemeClr val="dk1"/>
              </a:solidFill>
              <a:effectLst/>
              <a:latin typeface="+mn-lt"/>
              <a:ea typeface="+mn-ea"/>
              <a:cs typeface="+mn-cs"/>
            </a:rPr>
            <a:t>only export destinations and the related share of exports are published due to data issues and confidentiality restrictions.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Data is unavailable from 2023-24.</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a:spcAft>
              <a:spcPts val="0"/>
            </a:spcAft>
          </a:pPr>
          <a:endParaRPr lang="en-AU" sz="1100">
            <a:effectLst/>
            <a:latin typeface="+mn-lt"/>
            <a:ea typeface="Times New Roman"/>
          </a:endParaRPr>
        </a:p>
      </xdr:txBody>
    </xdr:sp>
    <xdr:clientData/>
  </xdr:twoCellAnchor>
  <xdr:twoCellAnchor editAs="oneCell">
    <xdr:from>
      <xdr:col>0</xdr:col>
      <xdr:colOff>0</xdr:colOff>
      <xdr:row>0</xdr:row>
      <xdr:rowOff>0</xdr:rowOff>
    </xdr:from>
    <xdr:to>
      <xdr:col>2</xdr:col>
      <xdr:colOff>948816</xdr:colOff>
      <xdr:row>5</xdr:row>
      <xdr:rowOff>29041</xdr:rowOff>
    </xdr:to>
    <xdr:pic>
      <xdr:nvPicPr>
        <xdr:cNvPr id="5" name="Picture 4">
          <a:hlinkClick xmlns:r="http://schemas.openxmlformats.org/officeDocument/2006/relationships" r:id="rId2"/>
          <a:extLst>
            <a:ext uri="{FF2B5EF4-FFF2-40B4-BE49-F238E27FC236}">
              <a16:creationId xmlns:a16="http://schemas.microsoft.com/office/drawing/2014/main" id="{E920EFB1-0A35-4B37-A62F-E3E0854E2D9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53.xml><?xml version="1.0" encoding="utf-8"?>
<c:userShapes xmlns:c="http://schemas.openxmlformats.org/drawingml/2006/chart">
  <cdr:relSizeAnchor xmlns:cdr="http://schemas.openxmlformats.org/drawingml/2006/chartDrawing">
    <cdr:from>
      <cdr:x>0.01441</cdr:x>
      <cdr:y>0.95054</cdr:y>
    </cdr:from>
    <cdr:to>
      <cdr:x>0.13372</cdr:x>
      <cdr:y>0.99331</cdr:y>
    </cdr:to>
    <cdr:sp macro="" textlink="">
      <cdr:nvSpPr>
        <cdr:cNvPr id="2" name="Text Box 1025"/>
        <cdr:cNvSpPr txBox="1">
          <a:spLocks xmlns:a="http://schemas.openxmlformats.org/drawingml/2006/main" noChangeArrowheads="1"/>
        </cdr:cNvSpPr>
      </cdr:nvSpPr>
      <cdr:spPr bwMode="auto">
        <a:xfrm xmlns:a="http://schemas.openxmlformats.org/drawingml/2006/main">
          <a:off x="89204" y="4157527"/>
          <a:ext cx="738344"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DMPE</a:t>
          </a:r>
        </a:p>
      </cdr:txBody>
    </cdr:sp>
  </cdr:relSizeAnchor>
</c:userShapes>
</file>

<file path=xl/drawings/drawing54.xml><?xml version="1.0" encoding="utf-8"?>
<xdr:wsDr xmlns:xdr="http://schemas.openxmlformats.org/drawingml/2006/spreadsheetDrawing" xmlns:a="http://schemas.openxmlformats.org/drawingml/2006/main">
  <xdr:twoCellAnchor>
    <xdr:from>
      <xdr:col>5</xdr:col>
      <xdr:colOff>0</xdr:colOff>
      <xdr:row>8</xdr:row>
      <xdr:rowOff>145676</xdr:rowOff>
    </xdr:from>
    <xdr:to>
      <xdr:col>14</xdr:col>
      <xdr:colOff>431613</xdr:colOff>
      <xdr:row>32</xdr:row>
      <xdr:rowOff>96558</xdr:rowOff>
    </xdr:to>
    <xdr:graphicFrame macro="">
      <xdr:nvGraphicFramePr>
        <xdr:cNvPr id="3" name="Chart 4">
          <a:extLst>
            <a:ext uri="{FF2B5EF4-FFF2-40B4-BE49-F238E27FC236}">
              <a16:creationId xmlns:a16="http://schemas.microsoft.com/office/drawing/2014/main" id="{1EBBE13F-8BC4-4670-B1C9-E9ED8F42E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33</xdr:row>
      <xdr:rowOff>44824</xdr:rowOff>
    </xdr:from>
    <xdr:to>
      <xdr:col>14</xdr:col>
      <xdr:colOff>434089</xdr:colOff>
      <xdr:row>57</xdr:row>
      <xdr:rowOff>82130</xdr:rowOff>
    </xdr:to>
    <xdr:graphicFrame macro="">
      <xdr:nvGraphicFramePr>
        <xdr:cNvPr id="4" name="Chart 3">
          <a:extLst>
            <a:ext uri="{FF2B5EF4-FFF2-40B4-BE49-F238E27FC236}">
              <a16:creationId xmlns:a16="http://schemas.microsoft.com/office/drawing/2014/main" id="{44E513E9-EDB0-4725-A933-1F33786065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769521</xdr:colOff>
      <xdr:row>5</xdr:row>
      <xdr:rowOff>29041</xdr:rowOff>
    </xdr:to>
    <xdr:pic>
      <xdr:nvPicPr>
        <xdr:cNvPr id="5" name="Picture 4">
          <a:hlinkClick xmlns:r="http://schemas.openxmlformats.org/officeDocument/2006/relationships" r:id="rId3"/>
          <a:extLst>
            <a:ext uri="{FF2B5EF4-FFF2-40B4-BE49-F238E27FC236}">
              <a16:creationId xmlns:a16="http://schemas.microsoft.com/office/drawing/2014/main" id="{CD752CC3-22E9-444B-BBAB-990DB1F8F3D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twoCellAnchor editAs="oneCell">
    <xdr:from>
      <xdr:col>15</xdr:col>
      <xdr:colOff>0</xdr:colOff>
      <xdr:row>22</xdr:row>
      <xdr:rowOff>0</xdr:rowOff>
    </xdr:from>
    <xdr:to>
      <xdr:col>18</xdr:col>
      <xdr:colOff>56030</xdr:colOff>
      <xdr:row>27</xdr:row>
      <xdr:rowOff>78440</xdr:rowOff>
    </xdr:to>
    <xdr:sp macro="" textlink="">
      <xdr:nvSpPr>
        <xdr:cNvPr id="6" name="TextBox 5">
          <a:extLst>
            <a:ext uri="{FF2B5EF4-FFF2-40B4-BE49-F238E27FC236}">
              <a16:creationId xmlns:a16="http://schemas.microsoft.com/office/drawing/2014/main" id="{4994E38D-77FE-4621-8816-C678F40B5AAB}"/>
            </a:ext>
          </a:extLst>
        </xdr:cNvPr>
        <xdr:cNvSpPr txBox="1"/>
      </xdr:nvSpPr>
      <xdr:spPr>
        <a:xfrm>
          <a:off x="12225618" y="4224618"/>
          <a:ext cx="3664324" cy="103094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solidFill>
                <a:schemeClr val="dk1"/>
              </a:solidFill>
              <a:effectLst/>
              <a:latin typeface="+mn-lt"/>
              <a:ea typeface="+mn-ea"/>
              <a:cs typeface="+mn-cs"/>
            </a:rPr>
            <a:t>Data only to 2024 is reported as, unfortunately, complete 2025 data for the Rest of Australia is not currently available as at May 2025. It is expected to be available around the end of June and DMPE will issue an update including 2025 WA and Rest of Australia data at that time.</a:t>
          </a:r>
          <a:endParaRPr lang="en-AU">
            <a:effectLst/>
          </a:endParaRPr>
        </a:p>
      </xdr:txBody>
    </xdr:sp>
    <xdr:clientData/>
  </xdr:twoCellAnchor>
</xdr:wsDr>
</file>

<file path=xl/drawings/drawing55.xml><?xml version="1.0" encoding="utf-8"?>
<c:userShapes xmlns:c="http://schemas.openxmlformats.org/drawingml/2006/chart">
  <cdr:relSizeAnchor xmlns:cdr="http://schemas.openxmlformats.org/drawingml/2006/chartDrawing">
    <cdr:from>
      <cdr:x>0.04799</cdr:x>
      <cdr:y>0.95193</cdr:y>
    </cdr:from>
    <cdr:to>
      <cdr:x>0.21453</cdr:x>
      <cdr:y>0.99318</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54138" y="4316130"/>
          <a:ext cx="1228927"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DMPE and OoCE</a:t>
          </a:r>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17</xdr:col>
      <xdr:colOff>694765</xdr:colOff>
      <xdr:row>10</xdr:row>
      <xdr:rowOff>145677</xdr:rowOff>
    </xdr:from>
    <xdr:to>
      <xdr:col>28</xdr:col>
      <xdr:colOff>40556</xdr:colOff>
      <xdr:row>32</xdr:row>
      <xdr:rowOff>23700</xdr:rowOff>
    </xdr:to>
    <xdr:graphicFrame macro="">
      <xdr:nvGraphicFramePr>
        <xdr:cNvPr id="3" name="Chart 2">
          <a:extLst>
            <a:ext uri="{FF2B5EF4-FFF2-40B4-BE49-F238E27FC236}">
              <a16:creationId xmlns:a16="http://schemas.microsoft.com/office/drawing/2014/main" id="{78808B87-DAC9-4D47-9451-4248CEBC3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705970</xdr:colOff>
      <xdr:row>34</xdr:row>
      <xdr:rowOff>22411</xdr:rowOff>
    </xdr:from>
    <xdr:to>
      <xdr:col>28</xdr:col>
      <xdr:colOff>17505</xdr:colOff>
      <xdr:row>55</xdr:row>
      <xdr:rowOff>178894</xdr:rowOff>
    </xdr:to>
    <xdr:graphicFrame macro="">
      <xdr:nvGraphicFramePr>
        <xdr:cNvPr id="4" name="Chart 3">
          <a:extLst>
            <a:ext uri="{FF2B5EF4-FFF2-40B4-BE49-F238E27FC236}">
              <a16:creationId xmlns:a16="http://schemas.microsoft.com/office/drawing/2014/main" id="{D29E6CF5-086F-4003-9AC6-D2EFC0DD9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41139</xdr:colOff>
      <xdr:row>4</xdr:row>
      <xdr:rowOff>141100</xdr:rowOff>
    </xdr:to>
    <xdr:pic>
      <xdr:nvPicPr>
        <xdr:cNvPr id="5" name="Picture 4">
          <a:hlinkClick xmlns:r="http://schemas.openxmlformats.org/officeDocument/2006/relationships" r:id="rId3"/>
          <a:extLst>
            <a:ext uri="{FF2B5EF4-FFF2-40B4-BE49-F238E27FC236}">
              <a16:creationId xmlns:a16="http://schemas.microsoft.com/office/drawing/2014/main" id="{2F07349C-0553-48A1-85C1-3B2756FF8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7</xdr:col>
      <xdr:colOff>571500</xdr:colOff>
      <xdr:row>10</xdr:row>
      <xdr:rowOff>67235</xdr:rowOff>
    </xdr:from>
    <xdr:to>
      <xdr:col>19</xdr:col>
      <xdr:colOff>532500</xdr:colOff>
      <xdr:row>33</xdr:row>
      <xdr:rowOff>5735</xdr:rowOff>
    </xdr:to>
    <xdr:graphicFrame macro="">
      <xdr:nvGraphicFramePr>
        <xdr:cNvPr id="4" name="Chart 3">
          <a:extLst>
            <a:ext uri="{FF2B5EF4-FFF2-40B4-BE49-F238E27FC236}">
              <a16:creationId xmlns:a16="http://schemas.microsoft.com/office/drawing/2014/main" id="{BE401DEA-D0C3-4FEB-B5A2-F51918B967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571501</xdr:colOff>
      <xdr:row>33</xdr:row>
      <xdr:rowOff>112059</xdr:rowOff>
    </xdr:from>
    <xdr:to>
      <xdr:col>19</xdr:col>
      <xdr:colOff>532501</xdr:colOff>
      <xdr:row>56</xdr:row>
      <xdr:rowOff>16941</xdr:rowOff>
    </xdr:to>
    <xdr:graphicFrame macro="">
      <xdr:nvGraphicFramePr>
        <xdr:cNvPr id="6" name="Chart 5">
          <a:extLst>
            <a:ext uri="{FF2B5EF4-FFF2-40B4-BE49-F238E27FC236}">
              <a16:creationId xmlns:a16="http://schemas.microsoft.com/office/drawing/2014/main" id="{711C52E1-7296-444F-ABC3-805FDB9CC2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41139</xdr:colOff>
      <xdr:row>5</xdr:row>
      <xdr:rowOff>29041</xdr:rowOff>
    </xdr:to>
    <xdr:pic>
      <xdr:nvPicPr>
        <xdr:cNvPr id="7" name="Picture 6">
          <a:hlinkClick xmlns:r="http://schemas.openxmlformats.org/officeDocument/2006/relationships" r:id="rId3"/>
          <a:extLst>
            <a:ext uri="{FF2B5EF4-FFF2-40B4-BE49-F238E27FC236}">
              <a16:creationId xmlns:a16="http://schemas.microsoft.com/office/drawing/2014/main" id="{B03F1FB0-89C7-4BE3-8FAC-0497E1DED09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4</xdr:col>
      <xdr:colOff>0</xdr:colOff>
      <xdr:row>24</xdr:row>
      <xdr:rowOff>190499</xdr:rowOff>
    </xdr:from>
    <xdr:to>
      <xdr:col>7</xdr:col>
      <xdr:colOff>22411</xdr:colOff>
      <xdr:row>28</xdr:row>
      <xdr:rowOff>100853</xdr:rowOff>
    </xdr:to>
    <xdr:sp macro="" textlink="">
      <xdr:nvSpPr>
        <xdr:cNvPr id="3" name="TextBox 2">
          <a:extLst>
            <a:ext uri="{FF2B5EF4-FFF2-40B4-BE49-F238E27FC236}">
              <a16:creationId xmlns:a16="http://schemas.microsoft.com/office/drawing/2014/main" id="{DA40664A-57E1-42C9-A821-AB629D61DD1D}"/>
            </a:ext>
          </a:extLst>
        </xdr:cNvPr>
        <xdr:cNvSpPr txBox="1"/>
      </xdr:nvSpPr>
      <xdr:spPr>
        <a:xfrm>
          <a:off x="3653118" y="4874558"/>
          <a:ext cx="2980764" cy="672354"/>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LNG prices in million metric british thermal units (mmbtu) can be converted to gigajoules by dividing by</a:t>
          </a:r>
          <a:r>
            <a:rPr lang="en-AU" sz="1100" baseline="0"/>
            <a:t> 1.055064</a:t>
          </a:r>
          <a:endParaRPr lang="en-AU" sz="1100"/>
        </a:p>
      </xdr:txBody>
    </xdr:sp>
    <xdr:clientData/>
  </xdr:twoCellAnchor>
  <xdr:twoCellAnchor editAs="oneCell">
    <xdr:from>
      <xdr:col>7</xdr:col>
      <xdr:colOff>560294</xdr:colOff>
      <xdr:row>11</xdr:row>
      <xdr:rowOff>56029</xdr:rowOff>
    </xdr:from>
    <xdr:to>
      <xdr:col>19</xdr:col>
      <xdr:colOff>498883</xdr:colOff>
      <xdr:row>33</xdr:row>
      <xdr:rowOff>151412</xdr:rowOff>
    </xdr:to>
    <xdr:graphicFrame macro="">
      <xdr:nvGraphicFramePr>
        <xdr:cNvPr id="4" name="Chart 3">
          <a:extLst>
            <a:ext uri="{FF2B5EF4-FFF2-40B4-BE49-F238E27FC236}">
              <a16:creationId xmlns:a16="http://schemas.microsoft.com/office/drawing/2014/main" id="{D3C4898D-594A-4B70-A02C-78AF6DB74C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560294</xdr:colOff>
      <xdr:row>34</xdr:row>
      <xdr:rowOff>145676</xdr:rowOff>
    </xdr:from>
    <xdr:to>
      <xdr:col>19</xdr:col>
      <xdr:colOff>498883</xdr:colOff>
      <xdr:row>57</xdr:row>
      <xdr:rowOff>84176</xdr:rowOff>
    </xdr:to>
    <xdr:graphicFrame macro="">
      <xdr:nvGraphicFramePr>
        <xdr:cNvPr id="6" name="Chart 5">
          <a:extLst>
            <a:ext uri="{FF2B5EF4-FFF2-40B4-BE49-F238E27FC236}">
              <a16:creationId xmlns:a16="http://schemas.microsoft.com/office/drawing/2014/main" id="{6D14678A-AF62-4EAA-82E0-A3182273F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41139</xdr:colOff>
      <xdr:row>4</xdr:row>
      <xdr:rowOff>197129</xdr:rowOff>
    </xdr:to>
    <xdr:pic>
      <xdr:nvPicPr>
        <xdr:cNvPr id="5" name="Picture 4">
          <a:hlinkClick xmlns:r="http://schemas.openxmlformats.org/officeDocument/2006/relationships" r:id="rId3"/>
          <a:extLst>
            <a:ext uri="{FF2B5EF4-FFF2-40B4-BE49-F238E27FC236}">
              <a16:creationId xmlns:a16="http://schemas.microsoft.com/office/drawing/2014/main" id="{FA9D77A9-8A5B-4C72-968A-E4A6FDA990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8</xdr:col>
      <xdr:colOff>33617</xdr:colOff>
      <xdr:row>10</xdr:row>
      <xdr:rowOff>89647</xdr:rowOff>
    </xdr:from>
    <xdr:to>
      <xdr:col>18</xdr:col>
      <xdr:colOff>409235</xdr:colOff>
      <xdr:row>33</xdr:row>
      <xdr:rowOff>3353</xdr:rowOff>
    </xdr:to>
    <xdr:graphicFrame macro="">
      <xdr:nvGraphicFramePr>
        <xdr:cNvPr id="3" name="Chart 2">
          <a:extLst>
            <a:ext uri="{FF2B5EF4-FFF2-40B4-BE49-F238E27FC236}">
              <a16:creationId xmlns:a16="http://schemas.microsoft.com/office/drawing/2014/main" id="{29702BA5-0DB5-4E46-8896-BDF356881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11205</xdr:colOff>
      <xdr:row>33</xdr:row>
      <xdr:rowOff>89647</xdr:rowOff>
    </xdr:from>
    <xdr:to>
      <xdr:col>18</xdr:col>
      <xdr:colOff>386823</xdr:colOff>
      <xdr:row>55</xdr:row>
      <xdr:rowOff>173824</xdr:rowOff>
    </xdr:to>
    <xdr:graphicFrame macro="">
      <xdr:nvGraphicFramePr>
        <xdr:cNvPr id="6" name="Chart 5">
          <a:extLst>
            <a:ext uri="{FF2B5EF4-FFF2-40B4-BE49-F238E27FC236}">
              <a16:creationId xmlns:a16="http://schemas.microsoft.com/office/drawing/2014/main" id="{5230FE47-A9CF-4035-9246-F0C0248299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511786</xdr:colOff>
      <xdr:row>5</xdr:row>
      <xdr:rowOff>29041</xdr:rowOff>
    </xdr:to>
    <xdr:pic>
      <xdr:nvPicPr>
        <xdr:cNvPr id="4" name="Picture 3">
          <a:hlinkClick xmlns:r="http://schemas.openxmlformats.org/officeDocument/2006/relationships" r:id="rId3"/>
          <a:extLst>
            <a:ext uri="{FF2B5EF4-FFF2-40B4-BE49-F238E27FC236}">
              <a16:creationId xmlns:a16="http://schemas.microsoft.com/office/drawing/2014/main" id="{54810126-00D2-4859-BEF6-3CBC1CC4F7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twoCellAnchor>
    <xdr:from>
      <xdr:col>19</xdr:col>
      <xdr:colOff>11205</xdr:colOff>
      <xdr:row>10</xdr:row>
      <xdr:rowOff>89647</xdr:rowOff>
    </xdr:from>
    <xdr:to>
      <xdr:col>28</xdr:col>
      <xdr:colOff>670811</xdr:colOff>
      <xdr:row>47</xdr:row>
      <xdr:rowOff>0</xdr:rowOff>
    </xdr:to>
    <xdr:sp macro="" textlink="">
      <xdr:nvSpPr>
        <xdr:cNvPr id="2" name="TextBox 1">
          <a:extLst>
            <a:ext uri="{FF2B5EF4-FFF2-40B4-BE49-F238E27FC236}">
              <a16:creationId xmlns:a16="http://schemas.microsoft.com/office/drawing/2014/main" id="{926E76B0-BBB0-47F3-B9ED-C8F72EA5C791}"/>
            </a:ext>
          </a:extLst>
        </xdr:cNvPr>
        <xdr:cNvSpPr txBox="1"/>
      </xdr:nvSpPr>
      <xdr:spPr>
        <a:xfrm>
          <a:off x="13245352" y="2017059"/>
          <a:ext cx="5466930" cy="6970059"/>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a:effectLst/>
            </a:rPr>
            <a:t>Prior to 2016, the average domestic gas price was derived from all domestic gas sales into WA.</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However, beginning with the March quarter 2016, the average domestic gas price was estimated only from domestic gas sales reported to the State Government in relation to the administration of royalties </a:t>
          </a:r>
          <a:r>
            <a:rPr lang="en-AU" sz="1100">
              <a:solidFill>
                <a:schemeClr val="dk1"/>
              </a:solidFill>
              <a:effectLst/>
              <a:latin typeface="+mn-lt"/>
              <a:ea typeface="+mn-ea"/>
              <a:cs typeface="+mn-cs"/>
            </a:rPr>
            <a:t>from projects such as the North West Shelf, Waitsia and Beharra Springs.</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Over time, the share of domestic gas sales captured through</a:t>
          </a:r>
          <a:r>
            <a:rPr lang="en-AU" baseline="0">
              <a:effectLst/>
            </a:rPr>
            <a:t> this methodology had </a:t>
          </a:r>
          <a:r>
            <a:rPr lang="en-AU">
              <a:effectLst/>
            </a:rPr>
            <a:t>diminished</a:t>
          </a:r>
          <a:r>
            <a:rPr lang="en-AU" baseline="0">
              <a:effectLst/>
            </a:rPr>
            <a:t> considerably.</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ysClr val="windowText" lastClr="000000"/>
              </a:solidFill>
              <a:effectLst/>
              <a:latin typeface="+mn-lt"/>
              <a:ea typeface="+mn-ea"/>
              <a:cs typeface="+mn-cs"/>
            </a:rPr>
            <a:t>DMPE</a:t>
          </a:r>
          <a:r>
            <a:rPr lang="en-AU" sz="1100">
              <a:solidFill>
                <a:schemeClr val="dk1"/>
              </a:solidFill>
              <a:effectLst/>
              <a:latin typeface="+mn-lt"/>
              <a:ea typeface="+mn-ea"/>
              <a:cs typeface="+mn-cs"/>
            </a:rPr>
            <a:t>, therefore, undertook</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 review of its methodology for deriving a domestic gas price for WA in 2022.</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The outcome of review has been the development of a new domestic gas price and</a:t>
          </a:r>
          <a:r>
            <a:rPr lang="en-AU" baseline="0">
              <a:effectLst/>
            </a:rPr>
            <a:t> production value </a:t>
          </a:r>
          <a:r>
            <a:rPr lang="en-AU">
              <a:effectLst/>
            </a:rPr>
            <a:t>series backdated to 2016.</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This new data series is reflected in this</a:t>
          </a:r>
          <a:r>
            <a:rPr lang="en-AU" baseline="0">
              <a:effectLst/>
            </a:rPr>
            <a:t> data publication.</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It </a:t>
          </a:r>
          <a:r>
            <a:rPr lang="en-AU" baseline="0">
              <a:effectLst/>
            </a:rPr>
            <a:t>is </a:t>
          </a:r>
          <a:r>
            <a:rPr lang="en-AU">
              <a:effectLst/>
            </a:rPr>
            <a:t>based on a broader</a:t>
          </a:r>
          <a:r>
            <a:rPr lang="en-AU" baseline="0">
              <a:effectLst/>
            </a:rPr>
            <a:t> set of available </a:t>
          </a:r>
          <a:r>
            <a:rPr lang="en-AU">
              <a:effectLst/>
            </a:rPr>
            <a:t>pricing data including Woodside and Santos published prices, in combination with prices derivces from </a:t>
          </a:r>
          <a:r>
            <a:rPr lang="en-AU" sz="1100">
              <a:solidFill>
                <a:schemeClr val="dk1"/>
              </a:solidFill>
              <a:effectLst/>
              <a:latin typeface="+mn-lt"/>
              <a:ea typeface="+mn-ea"/>
              <a:cs typeface="+mn-cs"/>
            </a:rPr>
            <a:t>domestic gas sales data reported to the State Government</a:t>
          </a:r>
          <a:r>
            <a:rPr lang="en-AU">
              <a:effectLst/>
            </a:rPr>
            <a:t>.</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Under the new data series, a domestic gas price is applied to a project based on a determination of the best available price,</a:t>
          </a:r>
          <a:r>
            <a:rPr lang="en-AU" baseline="0">
              <a:effectLst/>
            </a:rPr>
            <a:t> </a:t>
          </a:r>
          <a:r>
            <a:rPr lang="en-AU">
              <a:effectLst/>
            </a:rPr>
            <a:t>combination of prices, or average prices at any one time.</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The result is a </a:t>
          </a:r>
          <a:r>
            <a:rPr lang="en-AU" sz="1100" baseline="0">
              <a:solidFill>
                <a:schemeClr val="dk1"/>
              </a:solidFill>
              <a:effectLst/>
              <a:latin typeface="+mn-lt"/>
              <a:ea typeface="+mn-ea"/>
              <a:cs typeface="+mn-cs"/>
            </a:rPr>
            <a:t>domestic gas price and production value </a:t>
          </a:r>
          <a:r>
            <a:rPr lang="en-AU">
              <a:effectLst/>
            </a:rPr>
            <a:t>data series</a:t>
          </a:r>
          <a:r>
            <a:rPr lang="en-AU" baseline="0">
              <a:effectLst/>
            </a:rPr>
            <a:t> that captures a larger subset of the value of domestic gas sales at any one time.</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Note that the prices quoted here represent average estimated producer prices, i.e.</a:t>
          </a:r>
          <a:r>
            <a:rPr lang="en-AU" baseline="0">
              <a:effectLst/>
            </a:rPr>
            <a:t> t</a:t>
          </a:r>
          <a:r>
            <a:rPr lang="en-AU"/>
            <a:t>he sales price at the point of entry of domestic gas into the Dampier To Bunbury Natural Gas Pipeline, or where applicable, the Goldfields Gas Transmission Pipeline and the Parmelia pipeline. </a:t>
          </a:r>
        </a:p>
        <a:p>
          <a:pPr marL="0" marR="0" lvl="0" indent="0" defTabSz="914400" eaLnBrk="1" fontAlgn="auto" latinLnBrk="0" hangingPunct="1">
            <a:lnSpc>
              <a:spcPct val="100000"/>
            </a:lnSpc>
            <a:spcBef>
              <a:spcPts val="0"/>
            </a:spcBef>
            <a:spcAft>
              <a:spcPts val="0"/>
            </a:spcAft>
            <a:buClrTx/>
            <a:buSzTx/>
            <a:buFontTx/>
            <a:buNone/>
            <a:tabLst/>
            <a:defRPr/>
          </a:pPr>
          <a:endParaRPr lang="en-AU"/>
        </a:p>
        <a:p>
          <a:pPr marL="0" marR="0" lvl="0" indent="0" defTabSz="914400" eaLnBrk="1" fontAlgn="auto" latinLnBrk="0" hangingPunct="1">
            <a:lnSpc>
              <a:spcPct val="100000"/>
            </a:lnSpc>
            <a:spcBef>
              <a:spcPts val="0"/>
            </a:spcBef>
            <a:spcAft>
              <a:spcPts val="0"/>
            </a:spcAft>
            <a:buClrTx/>
            <a:buSzTx/>
            <a:buFontTx/>
            <a:buNone/>
            <a:tabLst/>
            <a:defRPr/>
          </a:pPr>
          <a:r>
            <a:rPr lang="en-AU"/>
            <a:t>They </a:t>
          </a:r>
          <a:r>
            <a:rPr lang="en-AU">
              <a:effectLst/>
            </a:rPr>
            <a:t>do not include transport costs, other downstream costs, nor any mark-up paid by customers to wholesalers. They are distinct from other published prices achieved on the spot market or that represent the price paid by gas users.</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The data for the 2016</a:t>
          </a:r>
          <a:r>
            <a:rPr lang="en-AU" baseline="0">
              <a:effectLst/>
            </a:rPr>
            <a:t> and earlier</a:t>
          </a:r>
          <a:r>
            <a:rPr lang="en-AU">
              <a:effectLst/>
            </a:rPr>
            <a:t> period is not directly not comparable to the data for the post-2016 period. </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xdr:txBody>
    </xdr:sp>
    <xdr:clientData/>
  </xdr:twoCellAnchor>
  <xdr:twoCellAnchor>
    <xdr:from>
      <xdr:col>3</xdr:col>
      <xdr:colOff>0</xdr:colOff>
      <xdr:row>51</xdr:row>
      <xdr:rowOff>-1</xdr:rowOff>
    </xdr:from>
    <xdr:to>
      <xdr:col>7</xdr:col>
      <xdr:colOff>172513</xdr:colOff>
      <xdr:row>55</xdr:row>
      <xdr:rowOff>56029</xdr:rowOff>
    </xdr:to>
    <xdr:sp macro="" textlink="">
      <xdr:nvSpPr>
        <xdr:cNvPr id="8" name="TextBox 7">
          <a:extLst>
            <a:ext uri="{FF2B5EF4-FFF2-40B4-BE49-F238E27FC236}">
              <a16:creationId xmlns:a16="http://schemas.microsoft.com/office/drawing/2014/main" id="{39E383DC-3D3A-4129-B5D7-DE0EC4595196}"/>
            </a:ext>
          </a:extLst>
        </xdr:cNvPr>
        <xdr:cNvSpPr txBox="1"/>
      </xdr:nvSpPr>
      <xdr:spPr>
        <a:xfrm>
          <a:off x="2487706" y="9760323"/>
          <a:ext cx="2077513" cy="82923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Domestic gas prices in gigajoules can be converted to</a:t>
          </a:r>
          <a:r>
            <a:rPr lang="en-AU" sz="1100" baseline="0"/>
            <a:t> million metric british thermal units by multiplying by 1.055064.</a:t>
          </a:r>
          <a:endParaRPr lang="en-AU"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xdr:colOff>
      <xdr:row>26</xdr:row>
      <xdr:rowOff>190499</xdr:rowOff>
    </xdr:from>
    <xdr:to>
      <xdr:col>14</xdr:col>
      <xdr:colOff>196324</xdr:colOff>
      <xdr:row>49</xdr:row>
      <xdr:rowOff>128999</xdr:rowOff>
    </xdr:to>
    <xdr:graphicFrame macro="">
      <xdr:nvGraphicFramePr>
        <xdr:cNvPr id="4" name="Chart 3">
          <a:extLst>
            <a:ext uri="{FF2B5EF4-FFF2-40B4-BE49-F238E27FC236}">
              <a16:creationId xmlns:a16="http://schemas.microsoft.com/office/drawing/2014/main" id="{1B277844-0E2D-49C0-A3A4-E4054B5A9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2999492</xdr:colOff>
      <xdr:row>5</xdr:row>
      <xdr:rowOff>29041</xdr:rowOff>
    </xdr:to>
    <xdr:pic>
      <xdr:nvPicPr>
        <xdr:cNvPr id="3" name="Picture 2">
          <a:hlinkClick xmlns:r="http://schemas.openxmlformats.org/officeDocument/2006/relationships" r:id="rId2"/>
          <a:extLst>
            <a:ext uri="{FF2B5EF4-FFF2-40B4-BE49-F238E27FC236}">
              <a16:creationId xmlns:a16="http://schemas.microsoft.com/office/drawing/2014/main" id="{AD3C2282-D59E-41CB-99CE-8DF2070E6A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60.xml><?xml version="1.0" encoding="utf-8"?>
<xdr:wsDr xmlns:xdr="http://schemas.openxmlformats.org/drawingml/2006/spreadsheetDrawing" xmlns:a="http://schemas.openxmlformats.org/drawingml/2006/main">
  <xdr:twoCellAnchor>
    <xdr:from>
      <xdr:col>10</xdr:col>
      <xdr:colOff>100853</xdr:colOff>
      <xdr:row>10</xdr:row>
      <xdr:rowOff>56030</xdr:rowOff>
    </xdr:from>
    <xdr:to>
      <xdr:col>18</xdr:col>
      <xdr:colOff>448235</xdr:colOff>
      <xdr:row>19</xdr:row>
      <xdr:rowOff>176494</xdr:rowOff>
    </xdr:to>
    <xdr:sp macro="" textlink="">
      <xdr:nvSpPr>
        <xdr:cNvPr id="4" name="Text Box 1">
          <a:extLst>
            <a:ext uri="{FF2B5EF4-FFF2-40B4-BE49-F238E27FC236}">
              <a16:creationId xmlns:a16="http://schemas.microsoft.com/office/drawing/2014/main" id="{CFB3EFA0-3554-472D-BD93-D66A6C33A2DB}"/>
            </a:ext>
          </a:extLst>
        </xdr:cNvPr>
        <xdr:cNvSpPr txBox="1"/>
      </xdr:nvSpPr>
      <xdr:spPr>
        <a:xfrm>
          <a:off x="9087971" y="1972236"/>
          <a:ext cx="5188323" cy="184617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en-AU" sz="1100">
              <a:solidFill>
                <a:schemeClr val="dk1"/>
              </a:solidFill>
              <a:effectLst/>
              <a:latin typeface="+mn-lt"/>
              <a:ea typeface="+mn-ea"/>
              <a:cs typeface="+mn-cs"/>
            </a:rPr>
            <a:t>Prior to 2016, </a:t>
          </a:r>
          <a:r>
            <a:rPr lang="en-AU" sz="1100">
              <a:solidFill>
                <a:sysClr val="windowText" lastClr="000000"/>
              </a:solidFill>
              <a:effectLst/>
              <a:latin typeface="+mn-lt"/>
              <a:ea typeface="+mn-ea"/>
              <a:cs typeface="+mn-cs"/>
            </a:rPr>
            <a:t>DMPE</a:t>
          </a:r>
          <a:r>
            <a:rPr lang="en-AU" sz="1100">
              <a:solidFill>
                <a:schemeClr val="dk1"/>
              </a:solidFill>
              <a:effectLst/>
              <a:latin typeface="+mn-lt"/>
              <a:ea typeface="+mn-ea"/>
              <a:cs typeface="+mn-cs"/>
            </a:rPr>
            <a:t> received from the Commonwealth Government, for statistical purposes, sales quantity and value data related to offshore fields in Western Australia. This included data on oil and gas projects such as Pyrenees, Varanus Island, Van Gogh, Macedon, Reindeer, Enfield, and Cliff Head.</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Beginning with the March quarter 2016, </a:t>
          </a:r>
          <a:r>
            <a:rPr lang="en-AU" sz="1100">
              <a:solidFill>
                <a:sysClr val="windowText" lastClr="000000"/>
              </a:solidFill>
              <a:effectLst/>
              <a:latin typeface="+mn-lt"/>
              <a:ea typeface="+mn-ea"/>
              <a:cs typeface="+mn-cs"/>
            </a:rPr>
            <a:t>DMPE</a:t>
          </a:r>
          <a:r>
            <a:rPr lang="en-AU" sz="1100">
              <a:solidFill>
                <a:schemeClr val="dk1"/>
              </a:solidFill>
              <a:effectLst/>
              <a:latin typeface="+mn-lt"/>
              <a:ea typeface="+mn-ea"/>
              <a:cs typeface="+mn-cs"/>
            </a:rPr>
            <a:t> has used data from EnergyQuest and Woodside for petroleum quantities for WA, with estimates made of the value of production based on prevailing market prices. </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data for the different periods is not directly not comparable.</a:t>
          </a:r>
        </a:p>
      </xdr:txBody>
    </xdr:sp>
    <xdr:clientData/>
  </xdr:twoCellAnchor>
  <xdr:twoCellAnchor>
    <xdr:from>
      <xdr:col>9</xdr:col>
      <xdr:colOff>549088</xdr:colOff>
      <xdr:row>21</xdr:row>
      <xdr:rowOff>134470</xdr:rowOff>
    </xdr:from>
    <xdr:to>
      <xdr:col>18</xdr:col>
      <xdr:colOff>730357</xdr:colOff>
      <xdr:row>43</xdr:row>
      <xdr:rowOff>100292</xdr:rowOff>
    </xdr:to>
    <xdr:graphicFrame macro="">
      <xdr:nvGraphicFramePr>
        <xdr:cNvPr id="5" name="Chart 4">
          <a:extLst>
            <a:ext uri="{FF2B5EF4-FFF2-40B4-BE49-F238E27FC236}">
              <a16:creationId xmlns:a16="http://schemas.microsoft.com/office/drawing/2014/main" id="{74225D81-D972-4195-B7E1-565571B02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549090</xdr:colOff>
      <xdr:row>44</xdr:row>
      <xdr:rowOff>56028</xdr:rowOff>
    </xdr:from>
    <xdr:to>
      <xdr:col>18</xdr:col>
      <xdr:colOff>739589</xdr:colOff>
      <xdr:row>65</xdr:row>
      <xdr:rowOff>182413</xdr:rowOff>
    </xdr:to>
    <xdr:graphicFrame macro="">
      <xdr:nvGraphicFramePr>
        <xdr:cNvPr id="6" name="Chart 5">
          <a:extLst>
            <a:ext uri="{FF2B5EF4-FFF2-40B4-BE49-F238E27FC236}">
              <a16:creationId xmlns:a16="http://schemas.microsoft.com/office/drawing/2014/main" id="{7A1BD80A-B621-4848-903F-767976993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41139</xdr:colOff>
      <xdr:row>5</xdr:row>
      <xdr:rowOff>29041</xdr:rowOff>
    </xdr:to>
    <xdr:pic>
      <xdr:nvPicPr>
        <xdr:cNvPr id="3" name="Picture 2">
          <a:hlinkClick xmlns:r="http://schemas.openxmlformats.org/officeDocument/2006/relationships" r:id="rId3"/>
          <a:extLst>
            <a:ext uri="{FF2B5EF4-FFF2-40B4-BE49-F238E27FC236}">
              <a16:creationId xmlns:a16="http://schemas.microsoft.com/office/drawing/2014/main" id="{FE58CEC5-2C11-4A61-8613-1A1618A9E4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61.xml><?xml version="1.0" encoding="utf-8"?>
<xdr:wsDr xmlns:xdr="http://schemas.openxmlformats.org/drawingml/2006/spreadsheetDrawing" xmlns:a="http://schemas.openxmlformats.org/drawingml/2006/main">
  <xdr:twoCellAnchor>
    <xdr:from>
      <xdr:col>15</xdr:col>
      <xdr:colOff>33617</xdr:colOff>
      <xdr:row>10</xdr:row>
      <xdr:rowOff>134470</xdr:rowOff>
    </xdr:from>
    <xdr:to>
      <xdr:col>23</xdr:col>
      <xdr:colOff>586921</xdr:colOff>
      <xdr:row>32</xdr:row>
      <xdr:rowOff>117040</xdr:rowOff>
    </xdr:to>
    <xdr:graphicFrame macro="">
      <xdr:nvGraphicFramePr>
        <xdr:cNvPr id="4" name="Chart 3">
          <a:extLst>
            <a:ext uri="{FF2B5EF4-FFF2-40B4-BE49-F238E27FC236}">
              <a16:creationId xmlns:a16="http://schemas.microsoft.com/office/drawing/2014/main" id="{5B93ED77-1A2B-4CD7-961F-27E8B4925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22411</xdr:colOff>
      <xdr:row>33</xdr:row>
      <xdr:rowOff>112058</xdr:rowOff>
    </xdr:from>
    <xdr:to>
      <xdr:col>23</xdr:col>
      <xdr:colOff>575715</xdr:colOff>
      <xdr:row>55</xdr:row>
      <xdr:rowOff>102470</xdr:rowOff>
    </xdr:to>
    <xdr:graphicFrame macro="">
      <xdr:nvGraphicFramePr>
        <xdr:cNvPr id="5" name="Chart 4">
          <a:extLst>
            <a:ext uri="{FF2B5EF4-FFF2-40B4-BE49-F238E27FC236}">
              <a16:creationId xmlns:a16="http://schemas.microsoft.com/office/drawing/2014/main" id="{9E59A313-73E3-4E7D-8473-E33F10B49C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44824</xdr:colOff>
      <xdr:row>56</xdr:row>
      <xdr:rowOff>89647</xdr:rowOff>
    </xdr:from>
    <xdr:to>
      <xdr:col>24</xdr:col>
      <xdr:colOff>3051</xdr:colOff>
      <xdr:row>78</xdr:row>
      <xdr:rowOff>65243</xdr:rowOff>
    </xdr:to>
    <xdr:graphicFrame macro="">
      <xdr:nvGraphicFramePr>
        <xdr:cNvPr id="6" name="Chart 5">
          <a:extLst>
            <a:ext uri="{FF2B5EF4-FFF2-40B4-BE49-F238E27FC236}">
              <a16:creationId xmlns:a16="http://schemas.microsoft.com/office/drawing/2014/main" id="{534DEC43-E07B-49AD-B59C-E551104D11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22412</xdr:colOff>
      <xdr:row>10</xdr:row>
      <xdr:rowOff>78441</xdr:rowOff>
    </xdr:from>
    <xdr:to>
      <xdr:col>34</xdr:col>
      <xdr:colOff>761440</xdr:colOff>
      <xdr:row>18</xdr:row>
      <xdr:rowOff>78441</xdr:rowOff>
    </xdr:to>
    <xdr:sp macro="" textlink="">
      <xdr:nvSpPr>
        <xdr:cNvPr id="7" name="Text Box 1">
          <a:extLst>
            <a:ext uri="{FF2B5EF4-FFF2-40B4-BE49-F238E27FC236}">
              <a16:creationId xmlns:a16="http://schemas.microsoft.com/office/drawing/2014/main" id="{1F5787E7-E863-41E4-B23D-52A63B0631DB}"/>
            </a:ext>
          </a:extLst>
        </xdr:cNvPr>
        <xdr:cNvSpPr txBox="1"/>
      </xdr:nvSpPr>
      <xdr:spPr>
        <a:xfrm>
          <a:off x="26557941" y="2017059"/>
          <a:ext cx="8448675" cy="1535206"/>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en-AU" sz="1100">
              <a:solidFill>
                <a:schemeClr val="dk1"/>
              </a:solidFill>
              <a:effectLst/>
              <a:latin typeface="+mn-lt"/>
              <a:ea typeface="+mn-ea"/>
              <a:cs typeface="+mn-cs"/>
            </a:rPr>
            <a:t>Prior to 2016, </a:t>
          </a:r>
          <a:r>
            <a:rPr lang="en-AU" sz="1100">
              <a:solidFill>
                <a:sysClr val="windowText" lastClr="000000"/>
              </a:solidFill>
              <a:effectLst/>
              <a:latin typeface="+mn-lt"/>
              <a:ea typeface="+mn-ea"/>
              <a:cs typeface="+mn-cs"/>
            </a:rPr>
            <a:t>DMPE</a:t>
          </a:r>
          <a:r>
            <a:rPr lang="en-AU" sz="1100">
              <a:solidFill>
                <a:schemeClr val="dk1"/>
              </a:solidFill>
              <a:effectLst/>
              <a:latin typeface="+mn-lt"/>
              <a:ea typeface="+mn-ea"/>
              <a:cs typeface="+mn-cs"/>
            </a:rPr>
            <a:t> received from the Commonwealth Government, for statistical purposes, sales quantity and value data related to offshore fields in Western Australia. This included data on oil and gas projects such as Pyrenees, Varanus Island, Van Gogh, Macedon, Reindeer, Enfield, and Cliff Head.</a:t>
          </a:r>
        </a:p>
        <a:p>
          <a:endParaRPr lang="en-AU">
            <a:effectLst/>
          </a:endParaRPr>
        </a:p>
        <a:p>
          <a:r>
            <a:rPr lang="en-AU" sz="1100">
              <a:solidFill>
                <a:schemeClr val="dk1"/>
              </a:solidFill>
              <a:effectLst/>
              <a:latin typeface="+mn-lt"/>
              <a:ea typeface="+mn-ea"/>
              <a:cs typeface="+mn-cs"/>
            </a:rPr>
            <a:t>Beginning with the March quarter 2016, </a:t>
          </a:r>
          <a:r>
            <a:rPr lang="en-AU" sz="1100">
              <a:solidFill>
                <a:sysClr val="windowText" lastClr="000000"/>
              </a:solidFill>
              <a:effectLst/>
              <a:latin typeface="+mn-lt"/>
              <a:ea typeface="+mn-ea"/>
              <a:cs typeface="+mn-cs"/>
            </a:rPr>
            <a:t>DMPE</a:t>
          </a:r>
          <a:r>
            <a:rPr lang="en-AU" sz="1100">
              <a:solidFill>
                <a:schemeClr val="dk1"/>
              </a:solidFill>
              <a:effectLst/>
              <a:latin typeface="+mn-lt"/>
              <a:ea typeface="+mn-ea"/>
              <a:cs typeface="+mn-cs"/>
            </a:rPr>
            <a:t> has used data from EnergyQuest and Woodside for petroleum quantities for WA, with estimates made of the value of production based on prevailing market prices. </a:t>
          </a:r>
        </a:p>
        <a:p>
          <a:endParaRPr lang="en-AU">
            <a:effectLst/>
          </a:endParaRPr>
        </a:p>
        <a:p>
          <a:r>
            <a:rPr lang="en-AU" sz="1100">
              <a:solidFill>
                <a:schemeClr val="dk1"/>
              </a:solidFill>
              <a:effectLst/>
              <a:latin typeface="+mn-lt"/>
              <a:ea typeface="+mn-ea"/>
              <a:cs typeface="+mn-cs"/>
            </a:rPr>
            <a:t>The data for the different periods is not directly not comparable.</a:t>
          </a:r>
          <a:endParaRPr lang="en-AU">
            <a:effectLst/>
          </a:endParaRPr>
        </a:p>
      </xdr:txBody>
    </xdr:sp>
    <xdr:clientData/>
  </xdr:twoCellAnchor>
  <xdr:twoCellAnchor>
    <xdr:from>
      <xdr:col>40</xdr:col>
      <xdr:colOff>33617</xdr:colOff>
      <xdr:row>10</xdr:row>
      <xdr:rowOff>67235</xdr:rowOff>
    </xdr:from>
    <xdr:to>
      <xdr:col>49</xdr:col>
      <xdr:colOff>479906</xdr:colOff>
      <xdr:row>31</xdr:row>
      <xdr:rowOff>168088</xdr:rowOff>
    </xdr:to>
    <xdr:graphicFrame macro="">
      <xdr:nvGraphicFramePr>
        <xdr:cNvPr id="8" name="Chart 7">
          <a:extLst>
            <a:ext uri="{FF2B5EF4-FFF2-40B4-BE49-F238E27FC236}">
              <a16:creationId xmlns:a16="http://schemas.microsoft.com/office/drawing/2014/main" id="{0B33659E-FD08-4742-BCA4-45EAEB918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22412</xdr:colOff>
      <xdr:row>32</xdr:row>
      <xdr:rowOff>123264</xdr:rowOff>
    </xdr:from>
    <xdr:to>
      <xdr:col>49</xdr:col>
      <xdr:colOff>483829</xdr:colOff>
      <xdr:row>54</xdr:row>
      <xdr:rowOff>22410</xdr:rowOff>
    </xdr:to>
    <xdr:graphicFrame macro="">
      <xdr:nvGraphicFramePr>
        <xdr:cNvPr id="9" name="Chart 8">
          <a:extLst>
            <a:ext uri="{FF2B5EF4-FFF2-40B4-BE49-F238E27FC236}">
              <a16:creationId xmlns:a16="http://schemas.microsoft.com/office/drawing/2014/main" id="{BD729F44-C352-4E31-9683-D7609776FA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40</xdr:col>
      <xdr:colOff>0</xdr:colOff>
      <xdr:row>55</xdr:row>
      <xdr:rowOff>44824</xdr:rowOff>
    </xdr:from>
    <xdr:to>
      <xdr:col>49</xdr:col>
      <xdr:colOff>488871</xdr:colOff>
      <xdr:row>76</xdr:row>
      <xdr:rowOff>134470</xdr:rowOff>
    </xdr:to>
    <xdr:graphicFrame macro="">
      <xdr:nvGraphicFramePr>
        <xdr:cNvPr id="10" name="Chart 9">
          <a:extLst>
            <a:ext uri="{FF2B5EF4-FFF2-40B4-BE49-F238E27FC236}">
              <a16:creationId xmlns:a16="http://schemas.microsoft.com/office/drawing/2014/main" id="{CFA52593-5F59-4262-AFFF-3031771E7A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3</xdr:col>
      <xdr:colOff>433345</xdr:colOff>
      <xdr:row>5</xdr:row>
      <xdr:rowOff>29041</xdr:rowOff>
    </xdr:to>
    <xdr:pic>
      <xdr:nvPicPr>
        <xdr:cNvPr id="3" name="Picture 2">
          <a:hlinkClick xmlns:r="http://schemas.openxmlformats.org/officeDocument/2006/relationships" r:id="rId7"/>
          <a:extLst>
            <a:ext uri="{FF2B5EF4-FFF2-40B4-BE49-F238E27FC236}">
              <a16:creationId xmlns:a16="http://schemas.microsoft.com/office/drawing/2014/main" id="{15A3D93E-215B-4FBD-8C12-4C6A159A9E9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62.xml><?xml version="1.0" encoding="utf-8"?>
<xdr:wsDr xmlns:xdr="http://schemas.openxmlformats.org/drawingml/2006/spreadsheetDrawing" xmlns:a="http://schemas.openxmlformats.org/drawingml/2006/main">
  <xdr:twoCellAnchor>
    <xdr:from>
      <xdr:col>5</xdr:col>
      <xdr:colOff>0</xdr:colOff>
      <xdr:row>6</xdr:row>
      <xdr:rowOff>0</xdr:rowOff>
    </xdr:from>
    <xdr:to>
      <xdr:col>10</xdr:col>
      <xdr:colOff>847725</xdr:colOff>
      <xdr:row>25</xdr:row>
      <xdr:rowOff>13335</xdr:rowOff>
    </xdr:to>
    <xdr:graphicFrame macro="">
      <xdr:nvGraphicFramePr>
        <xdr:cNvPr id="3" name="Chart 2">
          <a:extLst>
            <a:ext uri="{FF2B5EF4-FFF2-40B4-BE49-F238E27FC236}">
              <a16:creationId xmlns:a16="http://schemas.microsoft.com/office/drawing/2014/main" id="{21ED53C3-7B54-4790-8172-AC7B42575E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26</xdr:row>
      <xdr:rowOff>1</xdr:rowOff>
    </xdr:from>
    <xdr:to>
      <xdr:col>7</xdr:col>
      <xdr:colOff>347382</xdr:colOff>
      <xdr:row>27</xdr:row>
      <xdr:rowOff>168089</xdr:rowOff>
    </xdr:to>
    <xdr:sp macro="" textlink="">
      <xdr:nvSpPr>
        <xdr:cNvPr id="4" name="Text Box 1">
          <a:extLst>
            <a:ext uri="{FF2B5EF4-FFF2-40B4-BE49-F238E27FC236}">
              <a16:creationId xmlns:a16="http://schemas.microsoft.com/office/drawing/2014/main" id="{C1C6FE7A-924E-41C2-88AF-6FEC62580C0D}"/>
            </a:ext>
          </a:extLst>
        </xdr:cNvPr>
        <xdr:cNvSpPr txBox="1"/>
      </xdr:nvSpPr>
      <xdr:spPr>
        <a:xfrm>
          <a:off x="5177118" y="4684060"/>
          <a:ext cx="2409264" cy="358588"/>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Data is unavailable from 2023-24.</a:t>
          </a:r>
          <a:endParaRPr lang="en-AU">
            <a:effectLst/>
          </a:endParaRPr>
        </a:p>
        <a:p>
          <a:pPr>
            <a:spcAft>
              <a:spcPts val="0"/>
            </a:spcAft>
          </a:pPr>
          <a:endParaRPr lang="en-AU" sz="1100">
            <a:effectLst/>
            <a:latin typeface="+mn-lt"/>
            <a:ea typeface="Times New Roman"/>
          </a:endParaRPr>
        </a:p>
      </xdr:txBody>
    </xdr:sp>
    <xdr:clientData/>
  </xdr:twoCellAnchor>
  <xdr:twoCellAnchor editAs="oneCell">
    <xdr:from>
      <xdr:col>0</xdr:col>
      <xdr:colOff>0</xdr:colOff>
      <xdr:row>0</xdr:row>
      <xdr:rowOff>0</xdr:rowOff>
    </xdr:from>
    <xdr:to>
      <xdr:col>2</xdr:col>
      <xdr:colOff>1016051</xdr:colOff>
      <xdr:row>5</xdr:row>
      <xdr:rowOff>29041</xdr:rowOff>
    </xdr:to>
    <xdr:pic>
      <xdr:nvPicPr>
        <xdr:cNvPr id="5" name="Picture 4">
          <a:hlinkClick xmlns:r="http://schemas.openxmlformats.org/officeDocument/2006/relationships" r:id="rId2"/>
          <a:extLst>
            <a:ext uri="{FF2B5EF4-FFF2-40B4-BE49-F238E27FC236}">
              <a16:creationId xmlns:a16="http://schemas.microsoft.com/office/drawing/2014/main" id="{385A69FA-15FC-4B69-A9DC-47DF753D5E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63.xml><?xml version="1.0" encoding="utf-8"?>
<c:userShapes xmlns:c="http://schemas.openxmlformats.org/drawingml/2006/chart">
  <cdr:relSizeAnchor xmlns:cdr="http://schemas.openxmlformats.org/drawingml/2006/chartDrawing">
    <cdr:from>
      <cdr:x>0</cdr:x>
      <cdr:y>0.94534</cdr:y>
    </cdr:from>
    <cdr:to>
      <cdr:x>0.14308</cdr:x>
      <cdr:y>0.99629</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470275"/>
          <a:ext cx="85725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DMPE</a:t>
          </a:r>
        </a:p>
      </cdr:txBody>
    </cdr:sp>
  </cdr:relSizeAnchor>
</c:userShapes>
</file>

<file path=xl/drawings/drawing64.xml><?xml version="1.0" encoding="utf-8"?>
<xdr:wsDr xmlns:xdr="http://schemas.openxmlformats.org/drawingml/2006/spreadsheetDrawing" xmlns:a="http://schemas.openxmlformats.org/drawingml/2006/main">
  <xdr:twoCellAnchor>
    <xdr:from>
      <xdr:col>4</xdr:col>
      <xdr:colOff>11205</xdr:colOff>
      <xdr:row>8</xdr:row>
      <xdr:rowOff>145677</xdr:rowOff>
    </xdr:from>
    <xdr:to>
      <xdr:col>13</xdr:col>
      <xdr:colOff>38880</xdr:colOff>
      <xdr:row>31</xdr:row>
      <xdr:rowOff>65127</xdr:rowOff>
    </xdr:to>
    <xdr:graphicFrame macro="">
      <xdr:nvGraphicFramePr>
        <xdr:cNvPr id="3" name="Chart 4">
          <a:extLst>
            <a:ext uri="{FF2B5EF4-FFF2-40B4-BE49-F238E27FC236}">
              <a16:creationId xmlns:a16="http://schemas.microsoft.com/office/drawing/2014/main" id="{4F668E39-3815-48F4-9233-38191B4CF9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582706</xdr:colOff>
      <xdr:row>32</xdr:row>
      <xdr:rowOff>56030</xdr:rowOff>
    </xdr:from>
    <xdr:to>
      <xdr:col>13</xdr:col>
      <xdr:colOff>5263</xdr:colOff>
      <xdr:row>54</xdr:row>
      <xdr:rowOff>185030</xdr:rowOff>
    </xdr:to>
    <xdr:graphicFrame macro="">
      <xdr:nvGraphicFramePr>
        <xdr:cNvPr id="5" name="Chart 4">
          <a:extLst>
            <a:ext uri="{FF2B5EF4-FFF2-40B4-BE49-F238E27FC236}">
              <a16:creationId xmlns:a16="http://schemas.microsoft.com/office/drawing/2014/main" id="{DE8C6597-A7B9-411F-8565-6D0D557F8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769521</xdr:colOff>
      <xdr:row>5</xdr:row>
      <xdr:rowOff>29041</xdr:rowOff>
    </xdr:to>
    <xdr:pic>
      <xdr:nvPicPr>
        <xdr:cNvPr id="4" name="Picture 3">
          <a:hlinkClick xmlns:r="http://schemas.openxmlformats.org/officeDocument/2006/relationships" r:id="rId3"/>
          <a:extLst>
            <a:ext uri="{FF2B5EF4-FFF2-40B4-BE49-F238E27FC236}">
              <a16:creationId xmlns:a16="http://schemas.microsoft.com/office/drawing/2014/main" id="{36A8AC95-2B57-41AD-8629-D66BC80888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twoCellAnchor editAs="oneCell">
    <xdr:from>
      <xdr:col>13</xdr:col>
      <xdr:colOff>537882</xdr:colOff>
      <xdr:row>21</xdr:row>
      <xdr:rowOff>190499</xdr:rowOff>
    </xdr:from>
    <xdr:to>
      <xdr:col>17</xdr:col>
      <xdr:colOff>22412</xdr:colOff>
      <xdr:row>27</xdr:row>
      <xdr:rowOff>78439</xdr:rowOff>
    </xdr:to>
    <xdr:sp macro="" textlink="">
      <xdr:nvSpPr>
        <xdr:cNvPr id="6" name="TextBox 5">
          <a:extLst>
            <a:ext uri="{FF2B5EF4-FFF2-40B4-BE49-F238E27FC236}">
              <a16:creationId xmlns:a16="http://schemas.microsoft.com/office/drawing/2014/main" id="{19B94934-C0E5-4CB4-B91E-7F67AE89362E}"/>
            </a:ext>
          </a:extLst>
        </xdr:cNvPr>
        <xdr:cNvSpPr txBox="1"/>
      </xdr:nvSpPr>
      <xdr:spPr>
        <a:xfrm>
          <a:off x="11867029" y="4224617"/>
          <a:ext cx="3675530" cy="103094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solidFill>
                <a:schemeClr val="dk1"/>
              </a:solidFill>
              <a:effectLst/>
              <a:latin typeface="+mn-lt"/>
              <a:ea typeface="+mn-ea"/>
              <a:cs typeface="+mn-cs"/>
            </a:rPr>
            <a:t>Data only to 2024 is reported as, unfortunately, complete 2025 data for the Rest of Australia is not currently available as at May 2025. It is expected to be available around the end of June and DMPE will issue an update including 2025 WA and Rest of Australia data at that time.</a:t>
          </a:r>
          <a:endParaRPr lang="en-AU">
            <a:effectLst/>
          </a:endParaRPr>
        </a:p>
      </xdr:txBody>
    </xdr:sp>
    <xdr:clientData/>
  </xdr:twoCellAnchor>
</xdr:wsDr>
</file>

<file path=xl/drawings/drawing65.xml><?xml version="1.0" encoding="utf-8"?>
<c:userShapes xmlns:c="http://schemas.openxmlformats.org/drawingml/2006/chart">
  <cdr:relSizeAnchor xmlns:cdr="http://schemas.openxmlformats.org/drawingml/2006/chartDrawing">
    <cdr:from>
      <cdr:x>0.0072</cdr:x>
      <cdr:y>0.95042</cdr:y>
    </cdr:from>
    <cdr:to>
      <cdr:x>0.26723</cdr:x>
      <cdr:y>0.99372</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51840" y="4105823"/>
          <a:ext cx="187221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a:t>
          </a:r>
          <a:r>
            <a:rPr lang="en-AU" sz="800" b="1" i="0" u="none" strike="noStrike" baseline="0">
              <a:solidFill>
                <a:srgbClr val="000000"/>
              </a:solidFill>
              <a:latin typeface="Arial"/>
              <a:cs typeface="Arial"/>
            </a:rPr>
            <a:t>:  DMPE and EnergyQuest</a:t>
          </a:r>
        </a:p>
      </cdr:txBody>
    </cdr:sp>
  </cdr:relSizeAnchor>
</c:userShapes>
</file>

<file path=xl/drawings/drawing66.xml><?xml version="1.0" encoding="utf-8"?>
<xdr:wsDr xmlns:xdr="http://schemas.openxmlformats.org/drawingml/2006/spreadsheetDrawing" xmlns:a="http://schemas.openxmlformats.org/drawingml/2006/main">
  <xdr:twoCellAnchor>
    <xdr:from>
      <xdr:col>3</xdr:col>
      <xdr:colOff>593912</xdr:colOff>
      <xdr:row>9</xdr:row>
      <xdr:rowOff>0</xdr:rowOff>
    </xdr:from>
    <xdr:to>
      <xdr:col>13</xdr:col>
      <xdr:colOff>378419</xdr:colOff>
      <xdr:row>31</xdr:row>
      <xdr:rowOff>126199</xdr:rowOff>
    </xdr:to>
    <xdr:graphicFrame macro="">
      <xdr:nvGraphicFramePr>
        <xdr:cNvPr id="3" name="Chart 2">
          <a:extLst>
            <a:ext uri="{FF2B5EF4-FFF2-40B4-BE49-F238E27FC236}">
              <a16:creationId xmlns:a16="http://schemas.microsoft.com/office/drawing/2014/main" id="{9A6ACEF3-3A85-4B43-BE98-D6F5344D6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560294</xdr:colOff>
      <xdr:row>32</xdr:row>
      <xdr:rowOff>145676</xdr:rowOff>
    </xdr:from>
    <xdr:to>
      <xdr:col>13</xdr:col>
      <xdr:colOff>344801</xdr:colOff>
      <xdr:row>56</xdr:row>
      <xdr:rowOff>74651</xdr:rowOff>
    </xdr:to>
    <xdr:graphicFrame macro="">
      <xdr:nvGraphicFramePr>
        <xdr:cNvPr id="4" name="Chart 3">
          <a:extLst>
            <a:ext uri="{FF2B5EF4-FFF2-40B4-BE49-F238E27FC236}">
              <a16:creationId xmlns:a16="http://schemas.microsoft.com/office/drawing/2014/main" id="{28988E6E-0152-4220-8F53-71FACFDDD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769521</xdr:colOff>
      <xdr:row>5</xdr:row>
      <xdr:rowOff>29041</xdr:rowOff>
    </xdr:to>
    <xdr:pic>
      <xdr:nvPicPr>
        <xdr:cNvPr id="5" name="Picture 4">
          <a:hlinkClick xmlns:r="http://schemas.openxmlformats.org/officeDocument/2006/relationships" r:id="rId3"/>
          <a:extLst>
            <a:ext uri="{FF2B5EF4-FFF2-40B4-BE49-F238E27FC236}">
              <a16:creationId xmlns:a16="http://schemas.microsoft.com/office/drawing/2014/main" id="{75E3AC45-4E73-4A30-84D5-EE125D6E4A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twoCellAnchor editAs="oneCell">
    <xdr:from>
      <xdr:col>14</xdr:col>
      <xdr:colOff>582705</xdr:colOff>
      <xdr:row>22</xdr:row>
      <xdr:rowOff>11206</xdr:rowOff>
    </xdr:from>
    <xdr:to>
      <xdr:col>18</xdr:col>
      <xdr:colOff>67235</xdr:colOff>
      <xdr:row>27</xdr:row>
      <xdr:rowOff>89646</xdr:rowOff>
    </xdr:to>
    <xdr:sp macro="" textlink="">
      <xdr:nvSpPr>
        <xdr:cNvPr id="6" name="TextBox 5">
          <a:extLst>
            <a:ext uri="{FF2B5EF4-FFF2-40B4-BE49-F238E27FC236}">
              <a16:creationId xmlns:a16="http://schemas.microsoft.com/office/drawing/2014/main" id="{3D80588F-31C4-42CD-BF08-0B529105CBBD}"/>
            </a:ext>
          </a:extLst>
        </xdr:cNvPr>
        <xdr:cNvSpPr txBox="1"/>
      </xdr:nvSpPr>
      <xdr:spPr>
        <a:xfrm>
          <a:off x="12292852" y="4269441"/>
          <a:ext cx="3675530" cy="103094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solidFill>
                <a:schemeClr val="dk1"/>
              </a:solidFill>
              <a:effectLst/>
              <a:latin typeface="+mn-lt"/>
              <a:ea typeface="+mn-ea"/>
              <a:cs typeface="+mn-cs"/>
            </a:rPr>
            <a:t>Data only to 2024 is reported as, unfortunately, complete 2025 data for the Rest of Australia is not currently available as at May 2025. It is expected to be available around the end of June and DMPE will issue an update including 2025 WA and Rest of Australia data at that time.</a:t>
          </a:r>
          <a:endParaRPr lang="en-AU">
            <a:effectLst/>
          </a:endParaRPr>
        </a:p>
      </xdr:txBody>
    </xdr:sp>
    <xdr:clientData/>
  </xdr:twoCellAnchor>
</xdr:wsDr>
</file>

<file path=xl/drawings/drawing67.xml><?xml version="1.0" encoding="utf-8"?>
<c:userShapes xmlns:c="http://schemas.openxmlformats.org/drawingml/2006/chart">
  <cdr:relSizeAnchor xmlns:cdr="http://schemas.openxmlformats.org/drawingml/2006/chartDrawing">
    <cdr:from>
      <cdr:x>0</cdr:x>
      <cdr:y>0.95034</cdr:y>
    </cdr:from>
    <cdr:to>
      <cdr:x>0.35057</cdr:x>
      <cdr:y>0.99363</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0" y="4105456"/>
          <a:ext cx="2524124"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a:t>
          </a:r>
          <a:r>
            <a:rPr lang="en-AU" sz="800" b="1" i="0" u="none" strike="noStrike" baseline="0">
              <a:solidFill>
                <a:srgbClr val="000000"/>
              </a:solidFill>
              <a:latin typeface="Arial"/>
              <a:cs typeface="Arial"/>
            </a:rPr>
            <a:t>:  DMPE, EnergyQuest, and Woodside</a:t>
          </a:r>
        </a:p>
      </cdr:txBody>
    </cdr:sp>
  </cdr:relSizeAnchor>
</c:userShapes>
</file>

<file path=xl/drawings/drawing7.xml><?xml version="1.0" encoding="utf-8"?>
<c:userShapes xmlns:c="http://schemas.openxmlformats.org/drawingml/2006/chart">
  <cdr:relSizeAnchor xmlns:cdr="http://schemas.openxmlformats.org/drawingml/2006/chartDrawing">
    <cdr:from>
      <cdr:x>0.03694</cdr:x>
      <cdr:y>0.94885</cdr:y>
    </cdr:from>
    <cdr:to>
      <cdr:x>0.35634</cdr:x>
      <cdr:y>0.99598</cdr:y>
    </cdr:to>
    <cdr:sp macro="" textlink="">
      <cdr:nvSpPr>
        <cdr:cNvPr id="4097" name="Text Box 1"/>
        <cdr:cNvSpPr txBox="1">
          <a:spLocks xmlns:a="http://schemas.openxmlformats.org/drawingml/2006/main" noChangeArrowheads="1"/>
        </cdr:cNvSpPr>
      </cdr:nvSpPr>
      <cdr:spPr bwMode="auto">
        <a:xfrm xmlns:a="http://schemas.openxmlformats.org/drawingml/2006/main">
          <a:off x="257175" y="3595687"/>
          <a:ext cx="2223910" cy="17860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no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a:t>
          </a:r>
          <a:r>
            <a:rPr lang="en-AU" sz="900" b="1" i="0" u="none" strike="noStrike" baseline="0">
              <a:solidFill>
                <a:sysClr val="windowText" lastClr="000000"/>
              </a:solidFill>
              <a:latin typeface="+mn-lt"/>
              <a:cs typeface="Arial"/>
            </a:rPr>
            <a:t>DMPE</a:t>
          </a:r>
          <a:r>
            <a:rPr lang="en-AU" sz="900" b="1" i="0" u="none" strike="noStrike" baseline="0">
              <a:solidFill>
                <a:srgbClr val="000000"/>
              </a:solidFill>
              <a:latin typeface="+mn-lt"/>
              <a:cs typeface="Arial"/>
            </a:rPr>
            <a:t>, DTF, EnergyQuest, Woodside, and Santos</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242845</xdr:colOff>
      <xdr:row>5</xdr:row>
      <xdr:rowOff>29041</xdr:rowOff>
    </xdr:to>
    <xdr:pic>
      <xdr:nvPicPr>
        <xdr:cNvPr id="3" name="Picture 2">
          <a:hlinkClick xmlns:r="http://schemas.openxmlformats.org/officeDocument/2006/relationships" r:id="rId1"/>
          <a:extLst>
            <a:ext uri="{FF2B5EF4-FFF2-40B4-BE49-F238E27FC236}">
              <a16:creationId xmlns:a16="http://schemas.microsoft.com/office/drawing/2014/main" id="{E1234057-BD62-4823-A394-970F1305EA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89647</xdr:colOff>
      <xdr:row>230</xdr:row>
      <xdr:rowOff>44822</xdr:rowOff>
    </xdr:from>
    <xdr:to>
      <xdr:col>1</xdr:col>
      <xdr:colOff>25773</xdr:colOff>
      <xdr:row>235</xdr:row>
      <xdr:rowOff>78439</xdr:rowOff>
    </xdr:to>
    <xdr:sp macro="" textlink="">
      <xdr:nvSpPr>
        <xdr:cNvPr id="3" name="TextBox 2">
          <a:extLst>
            <a:ext uri="{FF2B5EF4-FFF2-40B4-BE49-F238E27FC236}">
              <a16:creationId xmlns:a16="http://schemas.microsoft.com/office/drawing/2014/main" id="{19D8F989-B571-4CB1-AB57-692AE6DA540A}"/>
            </a:ext>
          </a:extLst>
        </xdr:cNvPr>
        <xdr:cNvSpPr txBox="1"/>
      </xdr:nvSpPr>
      <xdr:spPr>
        <a:xfrm>
          <a:off x="89647" y="43893440"/>
          <a:ext cx="2647950" cy="986117"/>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n/a is not available. </a:t>
          </a:r>
        </a:p>
        <a:p>
          <a:endParaRPr lang="en-AU" sz="1100" baseline="0"/>
        </a:p>
        <a:p>
          <a:r>
            <a:rPr lang="en-AU" sz="1100" baseline="0"/>
            <a:t>Grouping of historic quantities and values is in the format in which it was originally published.</a:t>
          </a:r>
        </a:p>
      </xdr:txBody>
    </xdr:sp>
    <xdr:clientData/>
  </xdr:twoCellAnchor>
  <xdr:twoCellAnchor editAs="oneCell">
    <xdr:from>
      <xdr:col>0</xdr:col>
      <xdr:colOff>0</xdr:colOff>
      <xdr:row>0</xdr:row>
      <xdr:rowOff>0</xdr:rowOff>
    </xdr:from>
    <xdr:to>
      <xdr:col>1</xdr:col>
      <xdr:colOff>287668</xdr:colOff>
      <xdr:row>5</xdr:row>
      <xdr:rowOff>29041</xdr:rowOff>
    </xdr:to>
    <xdr:pic>
      <xdr:nvPicPr>
        <xdr:cNvPr id="4" name="Picture 3">
          <a:hlinkClick xmlns:r="http://schemas.openxmlformats.org/officeDocument/2006/relationships" r:id="rId1"/>
          <a:extLst>
            <a:ext uri="{FF2B5EF4-FFF2-40B4-BE49-F238E27FC236}">
              <a16:creationId xmlns:a16="http://schemas.microsoft.com/office/drawing/2014/main" id="{C7412158-4CDB-4A98-88E3-A1D57A77A2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theme/theme1.xml><?xml version="1.0" encoding="utf-8"?>
<a:theme xmlns:a="http://schemas.openxmlformats.org/drawingml/2006/main" name="Office Theme">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asianmetal.com/" TargetMode="External"/><Relationship Id="rId18" Type="http://schemas.openxmlformats.org/officeDocument/2006/relationships/hyperlink" Target="https://www.usgs.gov/centers/nmic/mineral-commodity-summaries" TargetMode="External"/><Relationship Id="rId26" Type="http://schemas.openxmlformats.org/officeDocument/2006/relationships/hyperlink" Target="http://kitco.com/gold.londonfix.html" TargetMode="External"/><Relationship Id="rId3" Type="http://schemas.openxmlformats.org/officeDocument/2006/relationships/hyperlink" Target="https://metals.argusmedia.com/" TargetMode="External"/><Relationship Id="rId21" Type="http://schemas.openxmlformats.org/officeDocument/2006/relationships/hyperlink" Target="https://www.usgs.gov/centers/nmic/mineral-commodity-summaries" TargetMode="External"/><Relationship Id="rId7" Type="http://schemas.openxmlformats.org/officeDocument/2006/relationships/hyperlink" Target="https://www.industry.gov.au/data-and-publications/resources-and-energy-quarterly-all" TargetMode="External"/><Relationship Id="rId12" Type="http://schemas.openxmlformats.org/officeDocument/2006/relationships/hyperlink" Target="https://www.industry.gov.au/data-and-publications/resources-and-energy-quarterly-all" TargetMode="External"/><Relationship Id="rId17" Type="http://schemas.openxmlformats.org/officeDocument/2006/relationships/hyperlink" Target="https://www.usgs.gov/centers/nmic/mineral-commodity-summaries" TargetMode="External"/><Relationship Id="rId25" Type="http://schemas.openxmlformats.org/officeDocument/2006/relationships/hyperlink" Target="https://www.abs.gov.au/" TargetMode="External"/><Relationship Id="rId33" Type="http://schemas.openxmlformats.org/officeDocument/2006/relationships/drawing" Target="../drawings/drawing2.xml"/><Relationship Id="rId2" Type="http://schemas.openxmlformats.org/officeDocument/2006/relationships/hyperlink" Target="http://kitco.com/gold.londonfix.html" TargetMode="External"/><Relationship Id="rId16" Type="http://schemas.openxmlformats.org/officeDocument/2006/relationships/hyperlink" Target="https://www.usgs.gov/centers/nmic/mineral-commodity-summaries" TargetMode="External"/><Relationship Id="rId20" Type="http://schemas.openxmlformats.org/officeDocument/2006/relationships/hyperlink" Target="https://www.usgs.gov/centers/nmic/mineral-commodity-summaries" TargetMode="External"/><Relationship Id="rId29" Type="http://schemas.openxmlformats.org/officeDocument/2006/relationships/hyperlink" Target="https://www.perthmint.com/" TargetMode="External"/><Relationship Id="rId1" Type="http://schemas.openxmlformats.org/officeDocument/2006/relationships/hyperlink" Target="http://www.energyquest.com.au/" TargetMode="External"/><Relationship Id="rId6" Type="http://schemas.openxmlformats.org/officeDocument/2006/relationships/hyperlink" Target="https://www.abs.gov.au/" TargetMode="External"/><Relationship Id="rId11" Type="http://schemas.openxmlformats.org/officeDocument/2006/relationships/hyperlink" Target="https://www.industry.gov.au/data-and-publications/resources-and-energy-quarterly-all" TargetMode="External"/><Relationship Id="rId24" Type="http://schemas.openxmlformats.org/officeDocument/2006/relationships/hyperlink" Target="https://www.usgs.gov/centers/nmic/mineral-commodity-summaries" TargetMode="External"/><Relationship Id="rId32" Type="http://schemas.openxmlformats.org/officeDocument/2006/relationships/printerSettings" Target="../printerSettings/printerSettings2.bin"/><Relationship Id="rId5" Type="http://schemas.openxmlformats.org/officeDocument/2006/relationships/hyperlink" Target="https://www.abs.gov.au/" TargetMode="External"/><Relationship Id="rId15" Type="http://schemas.openxmlformats.org/officeDocument/2006/relationships/hyperlink" Target="https://www.energyinst.org/statistical-review" TargetMode="External"/><Relationship Id="rId23" Type="http://schemas.openxmlformats.org/officeDocument/2006/relationships/hyperlink" Target="https://www.usgs.gov/centers/nmic/mineral-commodity-summaries" TargetMode="External"/><Relationship Id="rId28" Type="http://schemas.openxmlformats.org/officeDocument/2006/relationships/hyperlink" Target="http://kitco.com/gold.londonfix.html" TargetMode="External"/><Relationship Id="rId10" Type="http://schemas.openxmlformats.org/officeDocument/2006/relationships/hyperlink" Target="https://www.industry.gov.au/data-and-publications/resources-and-energy-quarterly-all" TargetMode="External"/><Relationship Id="rId19" Type="http://schemas.openxmlformats.org/officeDocument/2006/relationships/hyperlink" Target="https://www.usgs.gov/centers/nmic/mineral-commodity-summaries" TargetMode="External"/><Relationship Id="rId31" Type="http://schemas.openxmlformats.org/officeDocument/2006/relationships/hyperlink" Target="http://kitco.com/gold.londonfix.html" TargetMode="External"/><Relationship Id="rId4" Type="http://schemas.openxmlformats.org/officeDocument/2006/relationships/hyperlink" Target="https://metals.argusmedia.com/" TargetMode="External"/><Relationship Id="rId9" Type="http://schemas.openxmlformats.org/officeDocument/2006/relationships/hyperlink" Target="https://www.industry.gov.au/data-and-publications/resources-and-energy-quarterly-all" TargetMode="External"/><Relationship Id="rId14" Type="http://schemas.openxmlformats.org/officeDocument/2006/relationships/hyperlink" Target="https://www.industry.gov.au/data-and-publications/resources-and-energy-quarterly-all" TargetMode="External"/><Relationship Id="rId22" Type="http://schemas.openxmlformats.org/officeDocument/2006/relationships/hyperlink" Target="https://www.usgs.gov/centers/nmic/mineral-commodity-summaries" TargetMode="External"/><Relationship Id="rId27" Type="http://schemas.openxmlformats.org/officeDocument/2006/relationships/hyperlink" Target="http://kitco.com/gold.londonfix.html" TargetMode="External"/><Relationship Id="rId30" Type="http://schemas.openxmlformats.org/officeDocument/2006/relationships/hyperlink" Target="http://www.asianmetal.com/" TargetMode="External"/><Relationship Id="rId8" Type="http://schemas.openxmlformats.org/officeDocument/2006/relationships/hyperlink" Target="https://www.industry.gov.au/data-and-publications/resources-and-energy-quarterly-al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CC73-18B2-454E-A10F-3400C4C25C6E}">
  <sheetPr>
    <pageSetUpPr fitToPage="1"/>
  </sheetPr>
  <dimension ref="A7:D52"/>
  <sheetViews>
    <sheetView showGridLines="0" tabSelected="1" zoomScale="85" zoomScaleNormal="85" workbookViewId="0"/>
  </sheetViews>
  <sheetFormatPr defaultRowHeight="15" x14ac:dyDescent="0.25"/>
  <cols>
    <col min="1" max="1" width="28.85546875" bestFit="1" customWidth="1"/>
    <col min="2" max="2" width="1.5703125" bestFit="1" customWidth="1"/>
    <col min="3" max="3" width="80" bestFit="1" customWidth="1"/>
    <col min="4" max="4" width="165" customWidth="1"/>
    <col min="5" max="5" width="2.140625" customWidth="1"/>
  </cols>
  <sheetData>
    <row r="7" spans="1:4" x14ac:dyDescent="0.25">
      <c r="A7" t="s">
        <v>0</v>
      </c>
      <c r="B7" t="s">
        <v>1</v>
      </c>
      <c r="C7" s="1193" t="s">
        <v>2</v>
      </c>
      <c r="D7" s="1" t="s">
        <v>3</v>
      </c>
    </row>
    <row r="8" spans="1:4" x14ac:dyDescent="0.25">
      <c r="B8" t="s">
        <v>1</v>
      </c>
      <c r="C8" s="1193" t="s">
        <v>4</v>
      </c>
      <c r="D8" t="s">
        <v>653</v>
      </c>
    </row>
    <row r="9" spans="1:4" x14ac:dyDescent="0.25">
      <c r="A9" t="s">
        <v>5</v>
      </c>
      <c r="B9" t="s">
        <v>1</v>
      </c>
      <c r="C9" s="1193" t="s">
        <v>6</v>
      </c>
      <c r="D9" s="1" t="s">
        <v>7</v>
      </c>
    </row>
    <row r="10" spans="1:4" x14ac:dyDescent="0.25">
      <c r="B10" t="s">
        <v>1</v>
      </c>
      <c r="C10" s="1193" t="s">
        <v>8</v>
      </c>
      <c r="D10" t="s">
        <v>9</v>
      </c>
    </row>
    <row r="11" spans="1:4" x14ac:dyDescent="0.25">
      <c r="B11" t="s">
        <v>1</v>
      </c>
      <c r="C11" s="1193" t="s">
        <v>10</v>
      </c>
      <c r="D11" t="s">
        <v>11</v>
      </c>
    </row>
    <row r="12" spans="1:4" x14ac:dyDescent="0.25">
      <c r="B12" t="s">
        <v>1</v>
      </c>
      <c r="C12" s="1193" t="s">
        <v>12</v>
      </c>
      <c r="D12" t="s">
        <v>13</v>
      </c>
    </row>
    <row r="13" spans="1:4" x14ac:dyDescent="0.25">
      <c r="B13" t="s">
        <v>1</v>
      </c>
      <c r="C13" s="1193" t="s">
        <v>14</v>
      </c>
      <c r="D13" t="s">
        <v>15</v>
      </c>
    </row>
    <row r="14" spans="1:4" x14ac:dyDescent="0.25">
      <c r="B14" t="s">
        <v>1</v>
      </c>
      <c r="C14" s="1193" t="s">
        <v>16</v>
      </c>
      <c r="D14" t="s">
        <v>644</v>
      </c>
    </row>
    <row r="15" spans="1:4" x14ac:dyDescent="0.25">
      <c r="A15" s="3" t="s">
        <v>17</v>
      </c>
      <c r="B15" s="3" t="s">
        <v>1</v>
      </c>
      <c r="C15" s="4" t="s">
        <v>18</v>
      </c>
      <c r="D15" s="3" t="s">
        <v>19</v>
      </c>
    </row>
    <row r="16" spans="1:4" x14ac:dyDescent="0.25">
      <c r="A16" s="3"/>
      <c r="B16" s="3" t="s">
        <v>1</v>
      </c>
      <c r="C16" s="4" t="s">
        <v>20</v>
      </c>
      <c r="D16" s="3" t="s">
        <v>21</v>
      </c>
    </row>
    <row r="17" spans="1:4" x14ac:dyDescent="0.25">
      <c r="A17" s="3"/>
      <c r="B17" s="3" t="s">
        <v>1</v>
      </c>
      <c r="C17" s="4" t="s">
        <v>22</v>
      </c>
      <c r="D17" s="3" t="s">
        <v>23</v>
      </c>
    </row>
    <row r="18" spans="1:4" x14ac:dyDescent="0.25">
      <c r="A18" s="3"/>
      <c r="B18" s="3" t="s">
        <v>1</v>
      </c>
      <c r="C18" s="4" t="s">
        <v>24</v>
      </c>
      <c r="D18" s="3" t="s">
        <v>645</v>
      </c>
    </row>
    <row r="19" spans="1:4" x14ac:dyDescent="0.25">
      <c r="A19" s="5" t="s">
        <v>25</v>
      </c>
      <c r="B19" s="5" t="s">
        <v>1</v>
      </c>
      <c r="C19" s="6" t="s">
        <v>26</v>
      </c>
      <c r="D19" s="5" t="s">
        <v>27</v>
      </c>
    </row>
    <row r="20" spans="1:4" x14ac:dyDescent="0.25">
      <c r="A20" s="5"/>
      <c r="B20" s="5" t="s">
        <v>1</v>
      </c>
      <c r="C20" s="6" t="s">
        <v>28</v>
      </c>
      <c r="D20" s="5" t="s">
        <v>29</v>
      </c>
    </row>
    <row r="21" spans="1:4" x14ac:dyDescent="0.25">
      <c r="A21" s="5"/>
      <c r="B21" s="5" t="s">
        <v>1</v>
      </c>
      <c r="C21" s="6" t="s">
        <v>30</v>
      </c>
      <c r="D21" s="5" t="s">
        <v>618</v>
      </c>
    </row>
    <row r="22" spans="1:4" x14ac:dyDescent="0.25">
      <c r="A22" s="5"/>
      <c r="B22" s="5" t="s">
        <v>1</v>
      </c>
      <c r="C22" s="6" t="s">
        <v>31</v>
      </c>
      <c r="D22" s="5" t="s">
        <v>646</v>
      </c>
    </row>
    <row r="23" spans="1:4" x14ac:dyDescent="0.25">
      <c r="A23" s="7" t="s">
        <v>32</v>
      </c>
      <c r="B23" s="7" t="s">
        <v>1</v>
      </c>
      <c r="C23" s="8" t="s">
        <v>33</v>
      </c>
      <c r="D23" s="7" t="s">
        <v>34</v>
      </c>
    </row>
    <row r="24" spans="1:4" x14ac:dyDescent="0.25">
      <c r="A24" s="7"/>
      <c r="B24" s="7" t="s">
        <v>1</v>
      </c>
      <c r="C24" s="8" t="s">
        <v>35</v>
      </c>
      <c r="D24" s="7" t="s">
        <v>36</v>
      </c>
    </row>
    <row r="25" spans="1:4" x14ac:dyDescent="0.25">
      <c r="A25" s="7"/>
      <c r="B25" s="7" t="s">
        <v>1</v>
      </c>
      <c r="C25" s="8" t="s">
        <v>37</v>
      </c>
      <c r="D25" s="7" t="s">
        <v>38</v>
      </c>
    </row>
    <row r="26" spans="1:4" x14ac:dyDescent="0.25">
      <c r="A26" s="7"/>
      <c r="B26" s="7" t="s">
        <v>1</v>
      </c>
      <c r="C26" s="8" t="s">
        <v>39</v>
      </c>
      <c r="D26" s="7" t="s">
        <v>647</v>
      </c>
    </row>
    <row r="27" spans="1:4" x14ac:dyDescent="0.25">
      <c r="A27" s="9" t="s">
        <v>40</v>
      </c>
      <c r="B27" s="9" t="s">
        <v>1</v>
      </c>
      <c r="C27" s="1319" t="s">
        <v>41</v>
      </c>
      <c r="D27" s="11" t="s">
        <v>42</v>
      </c>
    </row>
    <row r="28" spans="1:4" x14ac:dyDescent="0.25">
      <c r="A28" s="9"/>
      <c r="B28" s="9" t="s">
        <v>1</v>
      </c>
      <c r="C28" s="1319" t="s">
        <v>43</v>
      </c>
      <c r="D28" s="11" t="s">
        <v>44</v>
      </c>
    </row>
    <row r="29" spans="1:4" x14ac:dyDescent="0.25">
      <c r="A29" s="9"/>
      <c r="B29" s="9" t="s">
        <v>1</v>
      </c>
      <c r="C29" s="1319" t="s">
        <v>45</v>
      </c>
      <c r="D29" s="11" t="s">
        <v>46</v>
      </c>
    </row>
    <row r="30" spans="1:4" x14ac:dyDescent="0.25">
      <c r="A30" s="9"/>
      <c r="B30" s="9" t="s">
        <v>1</v>
      </c>
      <c r="C30" s="1319" t="s">
        <v>47</v>
      </c>
      <c r="D30" s="11" t="s">
        <v>648</v>
      </c>
    </row>
    <row r="31" spans="1:4" x14ac:dyDescent="0.25">
      <c r="A31" s="12" t="s">
        <v>48</v>
      </c>
      <c r="B31" s="12" t="s">
        <v>1</v>
      </c>
      <c r="C31" s="36" t="s">
        <v>49</v>
      </c>
      <c r="D31" s="14" t="s">
        <v>50</v>
      </c>
    </row>
    <row r="32" spans="1:4" x14ac:dyDescent="0.25">
      <c r="A32" s="12"/>
      <c r="B32" s="12" t="s">
        <v>1</v>
      </c>
      <c r="C32" s="36" t="s">
        <v>51</v>
      </c>
      <c r="D32" s="14" t="s">
        <v>52</v>
      </c>
    </row>
    <row r="33" spans="1:4" x14ac:dyDescent="0.25">
      <c r="A33" s="12"/>
      <c r="B33" s="12" t="s">
        <v>1</v>
      </c>
      <c r="C33" s="36" t="s">
        <v>53</v>
      </c>
      <c r="D33" s="14" t="s">
        <v>654</v>
      </c>
    </row>
    <row r="34" spans="1:4" x14ac:dyDescent="0.25">
      <c r="A34" s="15" t="s">
        <v>54</v>
      </c>
      <c r="B34" s="15" t="s">
        <v>1</v>
      </c>
      <c r="C34" s="1320" t="s">
        <v>55</v>
      </c>
      <c r="D34" s="17" t="s">
        <v>56</v>
      </c>
    </row>
    <row r="35" spans="1:4" x14ac:dyDescent="0.25">
      <c r="A35" s="15"/>
      <c r="B35" s="15" t="s">
        <v>1</v>
      </c>
      <c r="C35" s="1320" t="s">
        <v>57</v>
      </c>
      <c r="D35" s="17" t="s">
        <v>58</v>
      </c>
    </row>
    <row r="36" spans="1:4" x14ac:dyDescent="0.25">
      <c r="A36" s="15"/>
      <c r="B36" s="15" t="s">
        <v>1</v>
      </c>
      <c r="C36" s="1320" t="s">
        <v>59</v>
      </c>
      <c r="D36" s="17" t="s">
        <v>619</v>
      </c>
    </row>
    <row r="37" spans="1:4" x14ac:dyDescent="0.25">
      <c r="A37" s="15"/>
      <c r="B37" s="15" t="s">
        <v>1</v>
      </c>
      <c r="C37" s="1320" t="s">
        <v>60</v>
      </c>
      <c r="D37" s="17" t="s">
        <v>652</v>
      </c>
    </row>
    <row r="38" spans="1:4" x14ac:dyDescent="0.25">
      <c r="A38" s="18" t="s">
        <v>61</v>
      </c>
      <c r="B38" s="18" t="s">
        <v>1</v>
      </c>
      <c r="C38" s="1321" t="s">
        <v>62</v>
      </c>
      <c r="D38" s="19" t="s">
        <v>63</v>
      </c>
    </row>
    <row r="39" spans="1:4" x14ac:dyDescent="0.25">
      <c r="A39" s="18"/>
      <c r="B39" s="18" t="s">
        <v>1</v>
      </c>
      <c r="C39" s="1321" t="s">
        <v>64</v>
      </c>
      <c r="D39" s="19" t="s">
        <v>65</v>
      </c>
    </row>
    <row r="40" spans="1:4" x14ac:dyDescent="0.25">
      <c r="A40" s="1192"/>
      <c r="B40" s="18" t="s">
        <v>1</v>
      </c>
      <c r="C40" s="1321" t="s">
        <v>66</v>
      </c>
      <c r="D40" s="19" t="s">
        <v>620</v>
      </c>
    </row>
    <row r="41" spans="1:4" x14ac:dyDescent="0.25">
      <c r="A41" s="18"/>
      <c r="B41" s="18" t="s">
        <v>1</v>
      </c>
      <c r="C41" s="1321" t="s">
        <v>67</v>
      </c>
      <c r="D41" s="19" t="s">
        <v>649</v>
      </c>
    </row>
    <row r="42" spans="1:4" x14ac:dyDescent="0.25">
      <c r="A42" s="20" t="s">
        <v>68</v>
      </c>
      <c r="B42" s="20" t="s">
        <v>1</v>
      </c>
      <c r="C42" s="21" t="s">
        <v>69</v>
      </c>
      <c r="D42" s="22" t="s">
        <v>70</v>
      </c>
    </row>
    <row r="43" spans="1:4" x14ac:dyDescent="0.25">
      <c r="A43" s="23" t="s">
        <v>71</v>
      </c>
      <c r="B43" s="23" t="s">
        <v>1</v>
      </c>
      <c r="C43" s="1322" t="s">
        <v>72</v>
      </c>
      <c r="D43" s="25" t="s">
        <v>73</v>
      </c>
    </row>
    <row r="44" spans="1:4" x14ac:dyDescent="0.25">
      <c r="A44" s="23"/>
      <c r="B44" s="23" t="s">
        <v>1</v>
      </c>
      <c r="C44" s="1322" t="s">
        <v>74</v>
      </c>
      <c r="D44" s="25" t="s">
        <v>75</v>
      </c>
    </row>
    <row r="45" spans="1:4" x14ac:dyDescent="0.25">
      <c r="A45" s="23"/>
      <c r="B45" s="23" t="s">
        <v>1</v>
      </c>
      <c r="C45" s="1322" t="s">
        <v>76</v>
      </c>
      <c r="D45" s="25" t="s">
        <v>77</v>
      </c>
    </row>
    <row r="46" spans="1:4" x14ac:dyDescent="0.25">
      <c r="A46" s="23"/>
      <c r="B46" s="23" t="s">
        <v>1</v>
      </c>
      <c r="C46" s="1322" t="s">
        <v>78</v>
      </c>
      <c r="D46" s="25" t="s">
        <v>79</v>
      </c>
    </row>
    <row r="47" spans="1:4" x14ac:dyDescent="0.25">
      <c r="A47" s="23"/>
      <c r="B47" s="23" t="s">
        <v>1</v>
      </c>
      <c r="C47" s="1322" t="s">
        <v>80</v>
      </c>
      <c r="D47" s="25" t="s">
        <v>81</v>
      </c>
    </row>
    <row r="48" spans="1:4" x14ac:dyDescent="0.25">
      <c r="A48" s="1191"/>
      <c r="B48" s="23" t="s">
        <v>1</v>
      </c>
      <c r="C48" s="1322" t="s">
        <v>82</v>
      </c>
      <c r="D48" s="25" t="s">
        <v>621</v>
      </c>
    </row>
    <row r="49" spans="1:4" x14ac:dyDescent="0.25">
      <c r="A49" s="23"/>
      <c r="B49" s="23" t="s">
        <v>1</v>
      </c>
      <c r="C49" s="1322" t="s">
        <v>83</v>
      </c>
      <c r="D49" s="25" t="s">
        <v>650</v>
      </c>
    </row>
    <row r="50" spans="1:4" x14ac:dyDescent="0.25">
      <c r="A50" s="23"/>
      <c r="B50" s="23" t="s">
        <v>1</v>
      </c>
      <c r="C50" s="1322" t="s">
        <v>84</v>
      </c>
      <c r="D50" s="26" t="s">
        <v>651</v>
      </c>
    </row>
    <row r="51" spans="1:4" x14ac:dyDescent="0.25">
      <c r="A51" t="s">
        <v>85</v>
      </c>
      <c r="B51" t="s">
        <v>1</v>
      </c>
      <c r="C51" s="1193" t="s">
        <v>86</v>
      </c>
      <c r="D51" s="1" t="s">
        <v>87</v>
      </c>
    </row>
    <row r="52" spans="1:4" x14ac:dyDescent="0.25">
      <c r="A52" t="s">
        <v>88</v>
      </c>
      <c r="B52" t="s">
        <v>1</v>
      </c>
      <c r="C52" s="1193" t="s">
        <v>88</v>
      </c>
      <c r="D52" s="1" t="s">
        <v>89</v>
      </c>
    </row>
  </sheetData>
  <hyperlinks>
    <hyperlink ref="C16" location="'Alumina and Bauxite - Q&amp;V'!A1" display="Alumina and Bauxite - Quantity and Value" xr:uid="{750A1014-CDDA-4395-826C-70AF82C52BDB}"/>
    <hyperlink ref="C15" location="'Alumina and Bauxite - Prices'!A1" display="Alumina and Bauxite - Prices" xr:uid="{2F40995C-592B-4E7F-BC4C-5473E8D29BBB}"/>
    <hyperlink ref="C17" location="'Alumina and Bauxite - Exports'!A1" display="Alumina and Bauxite - Exports" xr:uid="{B95D7FD1-9D11-4AF2-9F58-B5EEE6A456B0}"/>
    <hyperlink ref="C18" location="'Alumina and Bauxite - WA vs Aus'!A1" display="Alumina and Bauxite - WA vs Australia" xr:uid="{80B73F82-8521-4301-884D-CAB23401A2BC}"/>
    <hyperlink ref="C39" location="'Nickel - Q&amp;V'!A1" display="Nickel - Quantity and Value" xr:uid="{B643612A-5A51-4513-91EF-959490D4C899}"/>
    <hyperlink ref="C38" location="'Nickel - Prices'!A1" display="Nickel - Prices" xr:uid="{F6DAD1C2-6727-4E0D-A513-5EE7976D2E6F}"/>
    <hyperlink ref="C40" location="'Nickel - Exports'!A1" display="Nickel - Exports" xr:uid="{3F08F937-97C9-4601-9B45-351C7E12F1C7}"/>
    <hyperlink ref="C41" location="'Nickel - WA vs Aus'!A1" display="Nickel - WA vs Aus" xr:uid="{EDF09099-0766-4D7B-B2EE-B6604912F839}"/>
    <hyperlink ref="C24" location="'Gold - Q&amp;V'!A1" display="Gold - Quantity and Value" xr:uid="{669CB67F-B141-48A2-AED5-7B4534B2965A}"/>
    <hyperlink ref="C23" location="'Gold - Prices'!A1" display="Gold - Prices" xr:uid="{10490DCE-FC24-4BD8-9DCB-2B8F436BD4E7}"/>
    <hyperlink ref="C25" location="'Gold - Exports'!A1" display="Gold - Exports" xr:uid="{AA068F19-6168-415F-B9FE-15CA589B72EA}"/>
    <hyperlink ref="C26" location="'Gold - WA vs Aus'!A1" display="Gold - WA vs Australia" xr:uid="{56C45097-051F-408D-9EB4-8BE433BCB3BE}"/>
    <hyperlink ref="C35" location="'Mineral Sands - Q&amp;V'!A1" display="Mineral Sands - Quantity and Value" xr:uid="{BD3DC9EB-DF16-479D-B1B7-204C31C136C0}"/>
    <hyperlink ref="C36" location="'Mineral Sands - Exports'!A1" display="Mineral Sands - Exports" xr:uid="{78B85FC8-C168-4FC6-B467-357AE154A54A}"/>
    <hyperlink ref="C37" location="'Mineral Sands - WA vs Aus'!A1" display="Mineral Sands - WA vs Australia" xr:uid="{9200BE4F-1F65-4C9C-A9C6-A454A8993D80}"/>
    <hyperlink ref="C28" location="'Iron Ore - Q&amp;V'!A1" display="Iron Ore - Quantity and Value" xr:uid="{FD971DD1-419F-4888-8C7C-96FA5B9168D5}"/>
    <hyperlink ref="C27" location="'Iron Ore - Prices'!A1" display="Iron Ore - Prices" xr:uid="{5E58A304-1258-4A03-BD0D-0BF92B9A1585}"/>
    <hyperlink ref="C29" location="'Iron Ore - Exports'!A1" display="Iron Ore - Exports" xr:uid="{7A471E19-30C9-4FE1-ABF8-3C581C0A90D6}"/>
    <hyperlink ref="C30" location="'Iron Ore - WA vs Aus'!A1" display="Iron Ore - WA vs Australia" xr:uid="{F9961137-CDF8-446A-867C-6B77A0CFC88F}"/>
    <hyperlink ref="C46" location="'Petroleum - Q&amp;V 1'!A1" display="Petroleum - Crude Oil and Condensate - Quantity and Value" xr:uid="{CEE18A8B-D411-47D0-9BB5-CAA8A234C6DA}"/>
    <hyperlink ref="C43" location="'Petroleum - Oil - Prices'!A1" display="Petroleum - Oil - Prices" xr:uid="{7C3DB99D-3C29-44C3-A32F-7DB0F77DE093}"/>
    <hyperlink ref="C48" location="'Petroleum - Exports'!A1" display="Petroleum - Exports" xr:uid="{ABE97B97-AFF3-45DA-887D-D9ADA25E8BDA}"/>
    <hyperlink ref="C49" location="'Petroleum - WA vs Aus 1'!A1" display="Petroleum - Crude Oil and Condensate - WA vs Australia" xr:uid="{88894F40-B593-4A46-B4B0-21669B38993E}"/>
    <hyperlink ref="C47" location="'Petroleum - Q&amp;V 2'!A1" display="Petroleum - LNG, LPG - Butane and Propane, and Natural Gas - Quantity and Value" xr:uid="{6CC5D902-8A8F-4764-88A0-845AE3BE4F9D}"/>
    <hyperlink ref="C9" location="'Commodity Prices'!A1" display="Commodity Prices" xr:uid="{50F0FCFD-F083-439C-A3AB-3C4A09344107}"/>
    <hyperlink ref="C8" location="'Q&amp;V 2-years'!A1" display="Q&amp;V 2-years" xr:uid="{DCE3CF8F-7829-4C01-853E-1D075966B8C4}"/>
    <hyperlink ref="C10" location="'Q&amp;V CY 1886 to 2003'!A1" display="Q&amp;V Calendar Year 1886 to 2003" xr:uid="{47FC5CF2-F5E0-4F0E-939E-C2BE31702765}"/>
    <hyperlink ref="C20" location="'Copper-Lead-Zinc - Q&amp;V'!A1" display="Copper-Lead-Zinc - Quantity and Value" xr:uid="{68080668-AFB9-4D80-A389-63AC999CB2A4}"/>
    <hyperlink ref="C19" location="'Copper-Lead-Zinc - Prices'!R1C1" display="Copper-Lead-Zinc - Prices" xr:uid="{0EF07902-BB88-4B7C-9346-2E2BA3FAD2AC}"/>
    <hyperlink ref="C21" location="'Copper-Lead-Zinc - Exports'!A1" display="Copper-Lead-Zinc - Exports" xr:uid="{E91A00E3-534B-4DD4-A96D-C587CCBB0413}"/>
    <hyperlink ref="C22" location="'Copper-Lead-Zinc - WA vs Aus'!A1" display="Copper-Lead-Zinc - WA vs Australia" xr:uid="{7590981C-1E81-4A66-B3E7-FB4B20FDC067}"/>
    <hyperlink ref="C34" location="'Mineral Sands - Prices'!A1" display="Mineral Sands - Prices" xr:uid="{5472F589-E945-4F39-AF18-4D326D195560}"/>
    <hyperlink ref="C42" location="'Other Minerals - Q&amp;V'!A1" display="Other Minerals - Quantity and Value" xr:uid="{327B0522-B1C2-451F-95A7-E0966C99557A}"/>
    <hyperlink ref="C12" location="'Q&amp;V FY 1984-85 to 2002-03'!A1" display="Q&amp;V Financial Year 1984-85 to 2002-03" xr:uid="{72FA0E9D-454B-483C-8624-F0B6FED48CEC}"/>
    <hyperlink ref="C11" location="'Q&amp;V CY 2004 to Now'!A1" display="Q&amp;V Calendar Year 2004 to Now" xr:uid="{A5ABF3A7-EB60-4384-A95A-40AFAC54F896}"/>
    <hyperlink ref="C13" location="'Q&amp;V FY 2003-04 to Now'!A1" display="Q&amp;V Financial Year 2003-04 to Now" xr:uid="{E27E6BA9-20D6-48A6-A51C-51BAD10F253F}"/>
    <hyperlink ref="C51" location="Sources!A1" display="Sources" xr:uid="{18853C91-08D5-4FA0-9CA1-783F2A894DAA}"/>
    <hyperlink ref="C52" location="'How To Use'!A1" display="How to Use" xr:uid="{A2F74857-D283-4F40-8986-2D30ADF55BEF}"/>
    <hyperlink ref="C45" location="'Petroleum - Dom. Gas - Prices'!A1" display="Petroleum - Domestic Gas - Prices" xr:uid="{DB0C4C0C-5AC2-4936-B905-1FB7E3AD15D4}"/>
    <hyperlink ref="C32" location="'Lithium - Q&amp;V'!A1" display="Battery Minerals - Quantity &amp; Value" xr:uid="{FBE0A317-DF0B-471F-92D3-26B8E1A35F61}"/>
    <hyperlink ref="C31" location="'Lithium - Prices'!A1" display="Battery Minerals - Prices" xr:uid="{0297B340-B586-473D-A87B-72F61CCF1147}"/>
    <hyperlink ref="C33" location="'Lithium - Exports'!A1" display="Lithium - Exports" xr:uid="{27810203-E0B4-41CC-924E-32CB3AB02435}"/>
    <hyperlink ref="C50" location="'Petroleum - WA vs Aus 2'!A1" display="Petroleum - LNG - WA vs Australia" xr:uid="{0DB3DFF3-85FA-4EDC-8464-548FBE4B3B4E}"/>
    <hyperlink ref="C7" location="'Commodity Prices Comparison'!A1" display="Commodity Price Comparison" xr:uid="{1D981238-D4CF-477C-8A94-EFAE15401BD9}"/>
    <hyperlink ref="C44" location="'Petroleum - LNG - Prices'!A1" display="Petroleum - LNG - Prices" xr:uid="{D0331E9C-CA36-49A1-A4BC-B523C249992A}"/>
    <hyperlink ref="C14" location="'WA vs Australia vs the World'!A1" display="WA vs Australia vs the World" xr:uid="{D19FB5EE-45D5-4022-AEB2-2F720520A6E0}"/>
  </hyperlinks>
  <pageMargins left="0.25" right="0.25" top="0.75" bottom="0.75" header="0.3" footer="0.3"/>
  <pageSetup paperSize="9" scale="78"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B1D47-29FF-485B-BBAD-FB6485952F1F}">
  <dimension ref="A7:AV107"/>
  <sheetViews>
    <sheetView showGridLines="0" zoomScale="85" zoomScaleNormal="85" workbookViewId="0">
      <pane xSplit="2" ySplit="11" topLeftCell="C12" activePane="bottomRight" state="frozen"/>
      <selection pane="topRight" activeCell="C1" sqref="C1"/>
      <selection pane="bottomLeft" activeCell="A12" sqref="A12"/>
      <selection pane="bottomRight"/>
    </sheetView>
  </sheetViews>
  <sheetFormatPr defaultRowHeight="15" x14ac:dyDescent="0.25"/>
  <cols>
    <col min="1" max="1" width="40.7109375" style="29" customWidth="1"/>
    <col min="2" max="2" width="7.140625" style="216" bestFit="1" customWidth="1"/>
    <col min="3" max="3" width="16" customWidth="1"/>
    <col min="4" max="4" width="14.85546875" customWidth="1"/>
    <col min="5" max="5" width="16" customWidth="1"/>
    <col min="6" max="6" width="14.85546875" customWidth="1"/>
    <col min="7" max="7" width="16" customWidth="1"/>
    <col min="8" max="8" width="14.85546875" customWidth="1"/>
    <col min="9" max="9" width="16" customWidth="1"/>
    <col min="10" max="10" width="14.85546875" customWidth="1"/>
    <col min="11" max="11" width="16" customWidth="1"/>
    <col min="12" max="12" width="14.85546875" customWidth="1"/>
    <col min="13" max="13" width="16" customWidth="1"/>
    <col min="14" max="14" width="14.85546875" customWidth="1"/>
    <col min="15" max="15" width="16" customWidth="1"/>
    <col min="16" max="16" width="14.85546875" customWidth="1"/>
    <col min="17" max="17" width="16" customWidth="1"/>
    <col min="18" max="18" width="15.85546875" customWidth="1"/>
    <col min="19" max="19" width="16" customWidth="1"/>
    <col min="20" max="20" width="15.85546875" customWidth="1"/>
    <col min="21" max="21" width="16" customWidth="1"/>
    <col min="22" max="22" width="22" customWidth="1"/>
    <col min="23" max="32" width="19.28515625" customWidth="1"/>
    <col min="33" max="33" width="19.28515625" style="29" customWidth="1"/>
    <col min="34" max="35" width="19.28515625" customWidth="1"/>
    <col min="36" max="36" width="20.28515625" customWidth="1"/>
    <col min="37" max="38" width="19.28515625" style="351" customWidth="1"/>
    <col min="39" max="39" width="19.28515625" customWidth="1"/>
    <col min="40" max="40" width="20.28515625" customWidth="1"/>
    <col min="41" max="41" width="19.28515625" customWidth="1"/>
    <col min="42" max="42" width="20.28515625" customWidth="1"/>
    <col min="43" max="43" width="19.28515625" customWidth="1"/>
    <col min="44" max="44" width="20.28515625" bestFit="1" customWidth="1"/>
    <col min="45" max="45" width="19.28515625" customWidth="1"/>
    <col min="46" max="46" width="20.28515625" bestFit="1" customWidth="1"/>
    <col min="47" max="47" width="18.42578125" style="29" bestFit="1" customWidth="1"/>
    <col min="48" max="48" width="23.7109375" style="29" bestFit="1" customWidth="1"/>
    <col min="50" max="53" width="18.85546875" customWidth="1"/>
    <col min="54" max="54" width="10.5703125" bestFit="1" customWidth="1"/>
    <col min="55" max="56" width="43.7109375" bestFit="1" customWidth="1"/>
  </cols>
  <sheetData>
    <row r="7" spans="1:48" x14ac:dyDescent="0.25">
      <c r="A7" s="27" t="s">
        <v>539</v>
      </c>
      <c r="AK7" s="29"/>
      <c r="AL7" s="29"/>
    </row>
    <row r="8" spans="1:48" x14ac:dyDescent="0.25">
      <c r="AK8" s="29"/>
      <c r="AL8" s="29"/>
    </row>
    <row r="9" spans="1:48" x14ac:dyDescent="0.25">
      <c r="A9" s="317"/>
      <c r="B9" s="318"/>
      <c r="C9" s="1391" t="s">
        <v>339</v>
      </c>
      <c r="D9" s="1391"/>
      <c r="E9" s="1391" t="s">
        <v>317</v>
      </c>
      <c r="F9" s="1391"/>
      <c r="G9" s="1391" t="s">
        <v>316</v>
      </c>
      <c r="H9" s="1391"/>
      <c r="I9" s="1391" t="s">
        <v>313</v>
      </c>
      <c r="J9" s="1391"/>
      <c r="K9" s="1391" t="s">
        <v>307</v>
      </c>
      <c r="L9" s="1391"/>
      <c r="M9" s="1391" t="s">
        <v>303</v>
      </c>
      <c r="N9" s="1391"/>
      <c r="O9" s="1391" t="s">
        <v>302</v>
      </c>
      <c r="P9" s="1391"/>
      <c r="Q9" s="1391" t="s">
        <v>301</v>
      </c>
      <c r="R9" s="1391"/>
      <c r="S9" s="1391" t="s">
        <v>297</v>
      </c>
      <c r="T9" s="1391"/>
      <c r="U9" s="1391" t="s">
        <v>295</v>
      </c>
      <c r="V9" s="1391"/>
      <c r="W9" s="1391" t="s">
        <v>294</v>
      </c>
      <c r="X9" s="1391"/>
      <c r="Y9" s="1391" t="s">
        <v>293</v>
      </c>
      <c r="Z9" s="1391"/>
      <c r="AA9" s="1391" t="s">
        <v>280</v>
      </c>
      <c r="AB9" s="1391"/>
      <c r="AC9" s="1391" t="s">
        <v>351</v>
      </c>
      <c r="AD9" s="1391"/>
      <c r="AE9" s="1391" t="s">
        <v>353</v>
      </c>
      <c r="AF9" s="1391"/>
      <c r="AG9" s="1391" t="s">
        <v>356</v>
      </c>
      <c r="AH9" s="1391"/>
      <c r="AI9" s="1392" t="s">
        <v>363</v>
      </c>
      <c r="AJ9" s="1392"/>
      <c r="AK9" s="1391" t="s">
        <v>365</v>
      </c>
      <c r="AL9" s="1391"/>
      <c r="AM9" s="1392" t="s">
        <v>366</v>
      </c>
      <c r="AN9" s="1370"/>
      <c r="AO9" s="1392" t="s">
        <v>369</v>
      </c>
      <c r="AP9" s="1370"/>
      <c r="AQ9" s="1392" t="s">
        <v>615</v>
      </c>
      <c r="AR9" s="1370"/>
      <c r="AS9" s="1392" t="s">
        <v>626</v>
      </c>
      <c r="AT9" s="1370"/>
      <c r="AU9" s="1391" t="s">
        <v>506</v>
      </c>
      <c r="AV9" s="1391"/>
    </row>
    <row r="10" spans="1:48" x14ac:dyDescent="0.25">
      <c r="A10" s="317" t="s">
        <v>181</v>
      </c>
      <c r="B10" s="318" t="s">
        <v>182</v>
      </c>
      <c r="C10" s="318" t="str">
        <f>CONCATENATE(C9, " Quantity")</f>
        <v>2003-04 Quantity</v>
      </c>
      <c r="D10" s="318" t="str">
        <f>CONCATENATE(C9, " Value $")</f>
        <v>2003-04 Value $</v>
      </c>
      <c r="E10" s="318" t="str">
        <f t="shared" ref="E10" si="0">CONCATENATE(E9, " Quantity")</f>
        <v>2004-05 Quantity</v>
      </c>
      <c r="F10" s="318" t="str">
        <f t="shared" ref="F10" si="1">CONCATENATE(E9, " Value $")</f>
        <v>2004-05 Value $</v>
      </c>
      <c r="G10" s="318" t="str">
        <f t="shared" ref="G10" si="2">CONCATENATE(G9, " Quantity")</f>
        <v>2005-06 Quantity</v>
      </c>
      <c r="H10" s="318" t="str">
        <f t="shared" ref="H10" si="3">CONCATENATE(G9, " Value $")</f>
        <v>2005-06 Value $</v>
      </c>
      <c r="I10" s="318" t="str">
        <f t="shared" ref="I10" si="4">CONCATENATE(I9, " Quantity")</f>
        <v>2006-07 Quantity</v>
      </c>
      <c r="J10" s="318" t="str">
        <f t="shared" ref="J10" si="5">CONCATENATE(I9, " Value $")</f>
        <v>2006-07 Value $</v>
      </c>
      <c r="K10" s="318" t="str">
        <f t="shared" ref="K10" si="6">CONCATENATE(K9, " Quantity")</f>
        <v>2007-08 Quantity</v>
      </c>
      <c r="L10" s="318" t="str">
        <f t="shared" ref="L10" si="7">CONCATENATE(K9, " Value $")</f>
        <v>2007-08 Value $</v>
      </c>
      <c r="M10" s="318" t="str">
        <f t="shared" ref="M10" si="8">CONCATENATE(M9, " Quantity")</f>
        <v>2008-09 Quantity</v>
      </c>
      <c r="N10" s="318" t="str">
        <f t="shared" ref="N10" si="9">CONCATENATE(M9, " Value $")</f>
        <v>2008-09 Value $</v>
      </c>
      <c r="O10" s="318" t="str">
        <f t="shared" ref="O10" si="10">CONCATENATE(O9, " Quantity")</f>
        <v>2009-10 Quantity</v>
      </c>
      <c r="P10" s="318" t="str">
        <f t="shared" ref="P10" si="11">CONCATENATE(O9, " Value $")</f>
        <v>2009-10 Value $</v>
      </c>
      <c r="Q10" s="318" t="str">
        <f t="shared" ref="Q10" si="12">CONCATENATE(Q9, " Quantity")</f>
        <v>2010-11 Quantity</v>
      </c>
      <c r="R10" s="318" t="str">
        <f t="shared" ref="R10" si="13">CONCATENATE(Q9, " Value $")</f>
        <v>2010-11 Value $</v>
      </c>
      <c r="S10" s="318" t="str">
        <f t="shared" ref="S10" si="14">CONCATENATE(S9, " Quantity")</f>
        <v>2011-12 Quantity</v>
      </c>
      <c r="T10" s="318" t="str">
        <f t="shared" ref="T10" si="15">CONCATENATE(S9, " Value $")</f>
        <v>2011-12 Value $</v>
      </c>
      <c r="U10" s="318" t="str">
        <f t="shared" ref="U10" si="16">CONCATENATE(U9, " Quantity")</f>
        <v>2012-13 Quantity</v>
      </c>
      <c r="V10" s="318" t="str">
        <f t="shared" ref="V10" si="17">CONCATENATE(U9, " Value $")</f>
        <v>2012-13 Value $</v>
      </c>
      <c r="W10" s="318" t="str">
        <f t="shared" ref="W10" si="18">CONCATENATE(W9, " Quantity")</f>
        <v>2013-14 Quantity</v>
      </c>
      <c r="X10" s="318" t="str">
        <f t="shared" ref="X10" si="19">CONCATENATE(W9, " Value $")</f>
        <v>2013-14 Value $</v>
      </c>
      <c r="Y10" s="318" t="str">
        <f t="shared" ref="Y10" si="20">CONCATENATE(Y9, " Quantity")</f>
        <v>2014-15 Quantity</v>
      </c>
      <c r="Z10" s="318" t="str">
        <f t="shared" ref="Z10" si="21">CONCATENATE(Y9, " Value $")</f>
        <v>2014-15 Value $</v>
      </c>
      <c r="AA10" s="318" t="str">
        <f t="shared" ref="AA10" si="22">CONCATENATE(AA9, " Quantity")</f>
        <v>2015-16 Quantity</v>
      </c>
      <c r="AB10" s="318" t="str">
        <f t="shared" ref="AB10" si="23">CONCATENATE(AA9, " Value $")</f>
        <v>2015-16 Value $</v>
      </c>
      <c r="AC10" s="318" t="str">
        <f t="shared" ref="AC10" si="24">CONCATENATE(AC9, " Quantity")</f>
        <v>2016-17 Quantity</v>
      </c>
      <c r="AD10" s="318" t="str">
        <f t="shared" ref="AD10" si="25">CONCATENATE(AC9, " Value $")</f>
        <v>2016-17 Value $</v>
      </c>
      <c r="AE10" s="318" t="str">
        <f t="shared" ref="AE10" si="26">CONCATENATE(AE9, " Quantity")</f>
        <v>2017-18 Quantity</v>
      </c>
      <c r="AF10" s="318" t="str">
        <f t="shared" ref="AF10" si="27">CONCATENATE(AE9, " Value $")</f>
        <v>2017-18 Value $</v>
      </c>
      <c r="AG10" s="318" t="str">
        <f t="shared" ref="AG10" si="28">CONCATENATE(AG9, " Quantity")</f>
        <v>2018-19 Quantity</v>
      </c>
      <c r="AH10" s="352" t="str">
        <f t="shared" ref="AH10" si="29">CONCATENATE(AG9, " Value $")</f>
        <v>2018-19 Value $</v>
      </c>
      <c r="AI10" s="352" t="str">
        <f t="shared" ref="AI10:AK10" si="30">CONCATENATE(AI9, " Quantity")</f>
        <v>2019-20 Quantity</v>
      </c>
      <c r="AJ10" s="352" t="str">
        <f t="shared" ref="AJ10" si="31">CONCATENATE(AI9, " Value $")</f>
        <v>2019-20 Value $</v>
      </c>
      <c r="AK10" s="318" t="str">
        <f t="shared" si="30"/>
        <v>2020-21 Quantity</v>
      </c>
      <c r="AL10" s="318" t="str">
        <f t="shared" ref="AL10:AN10" si="32">CONCATENATE(AK9, " Value $")</f>
        <v>2020-21 Value $</v>
      </c>
      <c r="AM10" s="352" t="str">
        <f>CONCATENATE(AM9, " Quantity")</f>
        <v>2021-22 Quantity</v>
      </c>
      <c r="AN10" s="352" t="str">
        <f t="shared" si="32"/>
        <v>2021-22 Value $</v>
      </c>
      <c r="AO10" s="352" t="str">
        <f>CONCATENATE(AO9, " Quantity")</f>
        <v>2022-23 Quantity</v>
      </c>
      <c r="AP10" s="352" t="str">
        <f t="shared" ref="AP10" si="33">CONCATENATE(AO9, " Value $")</f>
        <v>2022-23 Value $</v>
      </c>
      <c r="AQ10" s="352" t="str">
        <f>CONCATENATE(AQ9, " Quantity")</f>
        <v>2023-24 Quantity</v>
      </c>
      <c r="AR10" s="352" t="str">
        <f t="shared" ref="AR10" si="34">CONCATENATE(AQ9, " Value $")</f>
        <v>2023-24 Value $</v>
      </c>
      <c r="AS10" s="352" t="str">
        <f>CONCATENATE(AS9, " Quantity")</f>
        <v>2024-25 Quantity</v>
      </c>
      <c r="AT10" s="352" t="str">
        <f t="shared" ref="AT10" si="35">CONCATENATE(AS9, " Value $")</f>
        <v>2024-25 Value $</v>
      </c>
      <c r="AU10" s="318" t="s">
        <v>507</v>
      </c>
      <c r="AV10" s="318" t="s">
        <v>508</v>
      </c>
    </row>
    <row r="11" spans="1:48" hidden="1" x14ac:dyDescent="0.25">
      <c r="A11" s="317"/>
      <c r="B11" s="318"/>
      <c r="C11" s="353">
        <f>IF(RIGHT(C10,8)="Quantity",1,0)</f>
        <v>1</v>
      </c>
      <c r="D11" s="353">
        <f t="shared" ref="D11:AR11" si="36">IF(RIGHT(D10,8)="Quantity",1,0)</f>
        <v>0</v>
      </c>
      <c r="E11" s="353">
        <f t="shared" si="36"/>
        <v>1</v>
      </c>
      <c r="F11" s="353">
        <f t="shared" si="36"/>
        <v>0</v>
      </c>
      <c r="G11" s="353">
        <f t="shared" si="36"/>
        <v>1</v>
      </c>
      <c r="H11" s="353">
        <f t="shared" si="36"/>
        <v>0</v>
      </c>
      <c r="I11" s="353">
        <f t="shared" si="36"/>
        <v>1</v>
      </c>
      <c r="J11" s="353">
        <f t="shared" si="36"/>
        <v>0</v>
      </c>
      <c r="K11" s="353">
        <f t="shared" si="36"/>
        <v>1</v>
      </c>
      <c r="L11" s="353">
        <f t="shared" si="36"/>
        <v>0</v>
      </c>
      <c r="M11" s="353">
        <f t="shared" si="36"/>
        <v>1</v>
      </c>
      <c r="N11" s="353">
        <f t="shared" si="36"/>
        <v>0</v>
      </c>
      <c r="O11" s="353">
        <f t="shared" si="36"/>
        <v>1</v>
      </c>
      <c r="P11" s="353">
        <f t="shared" si="36"/>
        <v>0</v>
      </c>
      <c r="Q11" s="353">
        <f t="shared" si="36"/>
        <v>1</v>
      </c>
      <c r="R11" s="353">
        <f t="shared" si="36"/>
        <v>0</v>
      </c>
      <c r="S11" s="353">
        <f t="shared" si="36"/>
        <v>1</v>
      </c>
      <c r="T11" s="353">
        <f t="shared" si="36"/>
        <v>0</v>
      </c>
      <c r="U11" s="353">
        <f t="shared" si="36"/>
        <v>1</v>
      </c>
      <c r="V11" s="353">
        <f t="shared" si="36"/>
        <v>0</v>
      </c>
      <c r="W11" s="353">
        <f t="shared" si="36"/>
        <v>1</v>
      </c>
      <c r="X11" s="353">
        <f t="shared" si="36"/>
        <v>0</v>
      </c>
      <c r="Y11" s="353">
        <f t="shared" si="36"/>
        <v>1</v>
      </c>
      <c r="Z11" s="353">
        <f t="shared" si="36"/>
        <v>0</v>
      </c>
      <c r="AA11" s="353">
        <f t="shared" si="36"/>
        <v>1</v>
      </c>
      <c r="AB11" s="353">
        <f t="shared" si="36"/>
        <v>0</v>
      </c>
      <c r="AC11" s="353">
        <f t="shared" si="36"/>
        <v>1</v>
      </c>
      <c r="AD11" s="353">
        <f t="shared" si="36"/>
        <v>0</v>
      </c>
      <c r="AE11" s="353">
        <f t="shared" si="36"/>
        <v>1</v>
      </c>
      <c r="AF11" s="353">
        <f t="shared" si="36"/>
        <v>0</v>
      </c>
      <c r="AG11" s="353">
        <f t="shared" si="36"/>
        <v>1</v>
      </c>
      <c r="AH11" s="352">
        <f t="shared" si="36"/>
        <v>0</v>
      </c>
      <c r="AI11" s="353">
        <f t="shared" si="36"/>
        <v>1</v>
      </c>
      <c r="AJ11" s="353">
        <f t="shared" si="36"/>
        <v>0</v>
      </c>
      <c r="AK11" s="354">
        <f t="shared" si="36"/>
        <v>1</v>
      </c>
      <c r="AL11" s="354">
        <f t="shared" si="36"/>
        <v>0</v>
      </c>
      <c r="AM11" s="352">
        <f t="shared" si="36"/>
        <v>1</v>
      </c>
      <c r="AN11" s="352">
        <f t="shared" si="36"/>
        <v>0</v>
      </c>
      <c r="AO11" s="352">
        <f t="shared" ref="AO11:AP11" si="37">IF(RIGHT(AO10,8)="Quantity",1,0)</f>
        <v>1</v>
      </c>
      <c r="AP11" s="352">
        <f t="shared" si="37"/>
        <v>0</v>
      </c>
      <c r="AQ11" s="352">
        <f t="shared" si="36"/>
        <v>1</v>
      </c>
      <c r="AR11" s="352">
        <f t="shared" si="36"/>
        <v>0</v>
      </c>
      <c r="AS11" s="352">
        <f t="shared" ref="AS11:AT11" si="38">IF(RIGHT(AS10,8)="Quantity",1,0)</f>
        <v>1</v>
      </c>
      <c r="AT11" s="352">
        <f t="shared" si="38"/>
        <v>0</v>
      </c>
      <c r="AU11" s="318"/>
      <c r="AV11" s="318"/>
    </row>
    <row r="12" spans="1:48" x14ac:dyDescent="0.25">
      <c r="A12" s="317"/>
      <c r="B12" s="318"/>
      <c r="C12" s="355"/>
      <c r="D12" s="355"/>
      <c r="E12" s="355"/>
      <c r="F12" s="355"/>
      <c r="G12" s="355"/>
      <c r="H12" s="355"/>
      <c r="I12" s="355"/>
      <c r="J12" s="355"/>
      <c r="K12" s="355"/>
      <c r="L12" s="355"/>
      <c r="M12" s="355"/>
      <c r="N12" s="355"/>
      <c r="O12" s="355"/>
      <c r="P12" s="355"/>
      <c r="Q12" s="355"/>
      <c r="R12" s="355"/>
      <c r="S12" s="355"/>
      <c r="T12" s="355"/>
      <c r="U12" s="355"/>
      <c r="V12" s="355"/>
      <c r="W12" s="355"/>
      <c r="X12" s="355"/>
      <c r="Y12" s="355"/>
      <c r="Z12" s="355"/>
      <c r="AA12" s="355"/>
      <c r="AB12" s="355"/>
      <c r="AC12" s="355"/>
      <c r="AD12" s="355"/>
      <c r="AE12" s="355"/>
      <c r="AF12" s="355"/>
      <c r="AG12" s="320"/>
      <c r="AH12" s="356"/>
      <c r="AI12" s="356"/>
      <c r="AJ12" s="356"/>
      <c r="AK12" s="320"/>
      <c r="AL12" s="320"/>
      <c r="AM12" s="356"/>
      <c r="AN12" s="356"/>
      <c r="AO12" s="356"/>
      <c r="AP12" s="356"/>
      <c r="AQ12" s="356"/>
      <c r="AR12" s="356"/>
      <c r="AS12" s="356"/>
      <c r="AT12" s="356"/>
      <c r="AU12" s="320"/>
      <c r="AV12" s="320"/>
    </row>
    <row r="13" spans="1:48" x14ac:dyDescent="0.25">
      <c r="A13" s="323" t="s">
        <v>183</v>
      </c>
      <c r="B13" s="324"/>
      <c r="C13" s="326"/>
      <c r="D13" s="326"/>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57"/>
      <c r="AF13" s="326"/>
      <c r="AG13" s="325"/>
      <c r="AH13" s="326"/>
      <c r="AI13" s="325"/>
      <c r="AJ13" s="325"/>
      <c r="AK13" s="325"/>
      <c r="AL13" s="325"/>
      <c r="AM13" s="326"/>
      <c r="AN13" s="326"/>
      <c r="AO13" s="326"/>
      <c r="AP13" s="326"/>
      <c r="AQ13" s="326"/>
      <c r="AR13" s="326"/>
      <c r="AS13" s="326"/>
      <c r="AT13" s="326"/>
      <c r="AU13" s="325"/>
      <c r="AV13" s="325"/>
    </row>
    <row r="14" spans="1:48" x14ac:dyDescent="0.25">
      <c r="A14" s="327" t="s">
        <v>165</v>
      </c>
      <c r="B14" s="324" t="s">
        <v>166</v>
      </c>
      <c r="C14" s="325">
        <f>(SUMIFS('Alumina and Bauxite - Q&amp;V'!$B$10:$B$252,'Alumina and Bauxite - Q&amp;V'!$H$10:$H$252,LEFT('Q&amp;V FY 2003-04 to Now'!C$9:D$9,4),'Alumina and Bauxite - Q&amp;V'!$I$10:$I$252,3)+
SUMIFS('Alumina and Bauxite - Q&amp;V'!$B$10:$B$252,'Alumina and Bauxite - Q&amp;V'!$H$10:$H$252,LEFT('Q&amp;V FY 2003-04 to Now'!C$9:D$9,4),'Alumina and Bauxite - Q&amp;V'!$I$10:$I$252,4)+
SUMIFS('Alumina and Bauxite - Q&amp;V'!$B$10:$B$252,'Alumina and Bauxite - Q&amp;V'!$H$10:$H$252,CONCATENATE("20",RIGHT('Q&amp;V FY 2003-04 to Now'!C$9:D$9,2)),'Alumina and Bauxite - Q&amp;V'!$I$10:$I$252,1)+
SUMIFS('Alumina and Bauxite - Q&amp;V'!$B$10:$B$252,'Alumina and Bauxite - Q&amp;V'!$H$10:$H$252,CONCATENATE("20",RIGHT('Q&amp;V FY 2003-04 to Now'!C$9:D$9,2)),'Alumina and Bauxite - Q&amp;V'!$I$10:$I$252,2))*1000000</f>
        <v>11165835</v>
      </c>
      <c r="D14" s="325">
        <f>(SUMIFS('Alumina and Bauxite - Q&amp;V'!$C$10:$C$252,'Alumina and Bauxite - Q&amp;V'!$H$10:$H$252,LEFT('Q&amp;V FY 2003-04 to Now'!C$9,4),'Alumina and Bauxite - Q&amp;V'!$I$10:$I$252,3)+
SUMIFS('Alumina and Bauxite - Q&amp;V'!$C$10:$C$252,'Alumina and Bauxite - Q&amp;V'!$H$10:$H$252,LEFT('Q&amp;V FY 2003-04 to Now'!C$9,4),'Alumina and Bauxite - Q&amp;V'!$I$10:$I$252,4)+
SUMIFS('Alumina and Bauxite - Q&amp;V'!$C$10:$C$252,'Alumina and Bauxite - Q&amp;V'!$H$10:$H$252,CONCATENATE("20",RIGHT('Q&amp;V FY 2003-04 to Now'!C$9,2)),'Alumina and Bauxite - Q&amp;V'!$I$10:$I$252,1)+
SUMIFS('Alumina and Bauxite - Q&amp;V'!$C$10:$C$252,'Alumina and Bauxite - Q&amp;V'!$H$10:$H$252,CONCATENATE("20",RIGHT('Q&amp;V FY 2003-04 to Now'!C$9,2)),'Alumina and Bauxite - Q&amp;V'!$I$10:$I$252,2))*1000000</f>
        <v>3085110024.75</v>
      </c>
      <c r="E14" s="325">
        <f>(SUMIFS('Alumina and Bauxite - Q&amp;V'!$B$10:$B$252,'Alumina and Bauxite - Q&amp;V'!$H$10:$H$252,LEFT('Q&amp;V FY 2003-04 to Now'!E$9:F$9,4),'Alumina and Bauxite - Q&amp;V'!$I$10:$I$252,3)+
SUMIFS('Alumina and Bauxite - Q&amp;V'!$B$10:$B$252,'Alumina and Bauxite - Q&amp;V'!$H$10:$H$252,LEFT('Q&amp;V FY 2003-04 to Now'!E$9:F$9,4),'Alumina and Bauxite - Q&amp;V'!$I$10:$I$252,4)+
SUMIFS('Alumina and Bauxite - Q&amp;V'!$B$10:$B$252,'Alumina and Bauxite - Q&amp;V'!$H$10:$H$252,CONCATENATE("20",RIGHT('Q&amp;V FY 2003-04 to Now'!E$9:F$9,2)),'Alumina and Bauxite - Q&amp;V'!$I$10:$I$252,1)+
SUMIFS('Alumina and Bauxite - Q&amp;V'!$B$10:$B$252,'Alumina and Bauxite - Q&amp;V'!$H$10:$H$252,CONCATENATE("20",RIGHT('Q&amp;V FY 2003-04 to Now'!E$9:F$9,2)),'Alumina and Bauxite - Q&amp;V'!$I$10:$I$252,2))*1000000</f>
        <v>11140179</v>
      </c>
      <c r="F14" s="325">
        <f>(SUMIFS('Alumina and Bauxite - Q&amp;V'!$C$10:$C$252,'Alumina and Bauxite - Q&amp;V'!$H$10:$H$252,LEFT('Q&amp;V FY 2003-04 to Now'!E$9,4),'Alumina and Bauxite - Q&amp;V'!$I$10:$I$252,3)+
SUMIFS('Alumina and Bauxite - Q&amp;V'!$C$10:$C$252,'Alumina and Bauxite - Q&amp;V'!$H$10:$H$252,LEFT('Q&amp;V FY 2003-04 to Now'!E$9,4),'Alumina and Bauxite - Q&amp;V'!$I$10:$I$252,4)+
SUMIFS('Alumina and Bauxite - Q&amp;V'!$C$10:$C$252,'Alumina and Bauxite - Q&amp;V'!$H$10:$H$252,CONCATENATE("20",RIGHT('Q&amp;V FY 2003-04 to Now'!E$9,2)),'Alumina and Bauxite - Q&amp;V'!$I$10:$I$252,1)+
SUMIFS('Alumina and Bauxite - Q&amp;V'!$C$10:$C$252,'Alumina and Bauxite - Q&amp;V'!$H$10:$H$252,CONCATENATE("20",RIGHT('Q&amp;V FY 2003-04 to Now'!E$9,2)),'Alumina and Bauxite - Q&amp;V'!$I$10:$I$252,2))*1000000</f>
        <v>3430690094.5099998</v>
      </c>
      <c r="G14" s="325">
        <f>(SUMIFS('Alumina and Bauxite - Q&amp;V'!$B$10:$B$252,'Alumina and Bauxite - Q&amp;V'!$H$10:$H$252,LEFT('Q&amp;V FY 2003-04 to Now'!G$9:H$9,4),'Alumina and Bauxite - Q&amp;V'!$I$10:$I$252,3)+
SUMIFS('Alumina and Bauxite - Q&amp;V'!$B$10:$B$252,'Alumina and Bauxite - Q&amp;V'!$H$10:$H$252,LEFT('Q&amp;V FY 2003-04 to Now'!G$9:H$9,4),'Alumina and Bauxite - Q&amp;V'!$I$10:$I$252,4)+
SUMIFS('Alumina and Bauxite - Q&amp;V'!$B$10:$B$252,'Alumina and Bauxite - Q&amp;V'!$H$10:$H$252,CONCATENATE("20",RIGHT('Q&amp;V FY 2003-04 to Now'!G$9:H$9,2)),'Alumina and Bauxite - Q&amp;V'!$I$10:$I$252,1)+
SUMIFS('Alumina and Bauxite - Q&amp;V'!$B$10:$B$252,'Alumina and Bauxite - Q&amp;V'!$H$10:$H$252,CONCATENATE("20",RIGHT('Q&amp;V FY 2003-04 to Now'!G$9:H$9,2)),'Alumina and Bauxite - Q&amp;V'!$I$10:$I$252,2))*1000000</f>
        <v>11453193.75</v>
      </c>
      <c r="H14" s="325">
        <f>(SUMIFS('Alumina and Bauxite - Q&amp;V'!$C$10:$C$252,'Alumina and Bauxite - Q&amp;V'!$H$10:$H$252,LEFT('Q&amp;V FY 2003-04 to Now'!G$9,4),'Alumina and Bauxite - Q&amp;V'!$I$10:$I$252,3)+
SUMIFS('Alumina and Bauxite - Q&amp;V'!$C$10:$C$252,'Alumina and Bauxite - Q&amp;V'!$H$10:$H$252,LEFT('Q&amp;V FY 2003-04 to Now'!G$9,4),'Alumina and Bauxite - Q&amp;V'!$I$10:$I$252,4)+
SUMIFS('Alumina and Bauxite - Q&amp;V'!$C$10:$C$252,'Alumina and Bauxite - Q&amp;V'!$H$10:$H$252,CONCATENATE("20",RIGHT('Q&amp;V FY 2003-04 to Now'!G$9,2)),'Alumina and Bauxite - Q&amp;V'!$I$10:$I$252,1)+
SUMIFS('Alumina and Bauxite - Q&amp;V'!$C$10:$C$252,'Alumina and Bauxite - Q&amp;V'!$H$10:$H$252,CONCATENATE("20",RIGHT('Q&amp;V FY 2003-04 to Now'!G$9,2)),'Alumina and Bauxite - Q&amp;V'!$I$10:$I$252,2))*1000000</f>
        <v>4152943630.5500002</v>
      </c>
      <c r="I14" s="325">
        <f>(SUMIFS('Alumina and Bauxite - Q&amp;V'!$B$10:$B$252,'Alumina and Bauxite - Q&amp;V'!$H$10:$H$252,LEFT('Q&amp;V FY 2003-04 to Now'!I$9:J$9,4),'Alumina and Bauxite - Q&amp;V'!$I$10:$I$252,3)+
SUMIFS('Alumina and Bauxite - Q&amp;V'!$B$10:$B$252,'Alumina and Bauxite - Q&amp;V'!$H$10:$H$252,LEFT('Q&amp;V FY 2003-04 to Now'!I$9:J$9,4),'Alumina and Bauxite - Q&amp;V'!$I$10:$I$252,4)+
SUMIFS('Alumina and Bauxite - Q&amp;V'!$B$10:$B$252,'Alumina and Bauxite - Q&amp;V'!$H$10:$H$252,CONCATENATE("20",RIGHT('Q&amp;V FY 2003-04 to Now'!I$9:J$9,2)),'Alumina and Bauxite - Q&amp;V'!$I$10:$I$252,1)+
SUMIFS('Alumina and Bauxite - Q&amp;V'!$B$10:$B$252,'Alumina and Bauxite - Q&amp;V'!$H$10:$H$252,CONCATENATE("20",RIGHT('Q&amp;V FY 2003-04 to Now'!I$9:J$9,2)),'Alumina and Bauxite - Q&amp;V'!$I$10:$I$252,2))*1000000</f>
        <v>11991247.063000001</v>
      </c>
      <c r="J14" s="325">
        <f>(SUMIFS('Alumina and Bauxite - Q&amp;V'!$C$10:$C$252,'Alumina and Bauxite - Q&amp;V'!$H$10:$H$252,LEFT('Q&amp;V FY 2003-04 to Now'!I$9,4),'Alumina and Bauxite - Q&amp;V'!$I$10:$I$252,3)+
SUMIFS('Alumina and Bauxite - Q&amp;V'!$C$10:$C$252,'Alumina and Bauxite - Q&amp;V'!$H$10:$H$252,LEFT('Q&amp;V FY 2003-04 to Now'!I$9,4),'Alumina and Bauxite - Q&amp;V'!$I$10:$I$252,4)+
SUMIFS('Alumina and Bauxite - Q&amp;V'!$C$10:$C$252,'Alumina and Bauxite - Q&amp;V'!$H$10:$H$252,CONCATENATE("20",RIGHT('Q&amp;V FY 2003-04 to Now'!I$9,2)),'Alumina and Bauxite - Q&amp;V'!$I$10:$I$252,1)+
SUMIFS('Alumina and Bauxite - Q&amp;V'!$C$10:$C$252,'Alumina and Bauxite - Q&amp;V'!$H$10:$H$252,CONCATENATE("20",RIGHT('Q&amp;V FY 2003-04 to Now'!I$9,2)),'Alumina and Bauxite - Q&amp;V'!$I$10:$I$252,2))*1000000</f>
        <v>5151288982.46</v>
      </c>
      <c r="K14" s="325">
        <f>(SUMIFS('Alumina and Bauxite - Q&amp;V'!$B$10:$B$252,'Alumina and Bauxite - Q&amp;V'!$H$10:$H$252,LEFT('Q&amp;V FY 2003-04 to Now'!K$9:L$9,4),'Alumina and Bauxite - Q&amp;V'!$I$10:$I$252,3)+
SUMIFS('Alumina and Bauxite - Q&amp;V'!$B$10:$B$252,'Alumina and Bauxite - Q&amp;V'!$H$10:$H$252,LEFT('Q&amp;V FY 2003-04 to Now'!K$9:L$9,4),'Alumina and Bauxite - Q&amp;V'!$I$10:$I$252,4)+
SUMIFS('Alumina and Bauxite - Q&amp;V'!$B$10:$B$252,'Alumina and Bauxite - Q&amp;V'!$H$10:$H$252,CONCATENATE("20",RIGHT('Q&amp;V FY 2003-04 to Now'!K$9:L$9,2)),'Alumina and Bauxite - Q&amp;V'!$I$10:$I$252,1)+
SUMIFS('Alumina and Bauxite - Q&amp;V'!$B$10:$B$252,'Alumina and Bauxite - Q&amp;V'!$H$10:$H$252,CONCATENATE("20",RIGHT('Q&amp;V FY 2003-04 to Now'!K$9:L$9,2)),'Alumina and Bauxite - Q&amp;V'!$I$10:$I$252,2))*1000000</f>
        <v>12321277.791999999</v>
      </c>
      <c r="L14" s="325">
        <f>(SUMIFS('Alumina and Bauxite - Q&amp;V'!$C$10:$C$252,'Alumina and Bauxite - Q&amp;V'!$H$10:$H$252,LEFT('Q&amp;V FY 2003-04 to Now'!K$9,4),'Alumina and Bauxite - Q&amp;V'!$I$10:$I$252,3)+
SUMIFS('Alumina and Bauxite - Q&amp;V'!$C$10:$C$252,'Alumina and Bauxite - Q&amp;V'!$H$10:$H$252,LEFT('Q&amp;V FY 2003-04 to Now'!K$9,4),'Alumina and Bauxite - Q&amp;V'!$I$10:$I$252,4)+
SUMIFS('Alumina and Bauxite - Q&amp;V'!$C$10:$C$252,'Alumina and Bauxite - Q&amp;V'!$H$10:$H$252,CONCATENATE("20",RIGHT('Q&amp;V FY 2003-04 to Now'!K$9,2)),'Alumina and Bauxite - Q&amp;V'!$I$10:$I$252,1)+
SUMIFS('Alumina and Bauxite - Q&amp;V'!$C$10:$C$252,'Alumina and Bauxite - Q&amp;V'!$H$10:$H$252,CONCATENATE("20",RIGHT('Q&amp;V FY 2003-04 to Now'!K$9,2)),'Alumina and Bauxite - Q&amp;V'!$I$10:$I$252,2))*1000000</f>
        <v>4838417453.5100002</v>
      </c>
      <c r="M14" s="325">
        <f>(SUMIFS('Alumina and Bauxite - Q&amp;V'!$B$10:$B$252,'Alumina and Bauxite - Q&amp;V'!$H$10:$H$252,LEFT('Q&amp;V FY 2003-04 to Now'!M$9:N$9,4),'Alumina and Bauxite - Q&amp;V'!$I$10:$I$252,3)+
SUMIFS('Alumina and Bauxite - Q&amp;V'!$B$10:$B$252,'Alumina and Bauxite - Q&amp;V'!$H$10:$H$252,LEFT('Q&amp;V FY 2003-04 to Now'!M$9:N$9,4),'Alumina and Bauxite - Q&amp;V'!$I$10:$I$252,4)+
SUMIFS('Alumina and Bauxite - Q&amp;V'!$B$10:$B$252,'Alumina and Bauxite - Q&amp;V'!$H$10:$H$252,CONCATENATE("20",RIGHT('Q&amp;V FY 2003-04 to Now'!M$9:N$9,2)),'Alumina and Bauxite - Q&amp;V'!$I$10:$I$252,1)+
SUMIFS('Alumina and Bauxite - Q&amp;V'!$B$10:$B$252,'Alumina and Bauxite - Q&amp;V'!$H$10:$H$252,CONCATENATE("20",RIGHT('Q&amp;V FY 2003-04 to Now'!M$9:N$9,2)),'Alumina and Bauxite - Q&amp;V'!$I$10:$I$252,2))*1000000</f>
        <v>12271552.999999998</v>
      </c>
      <c r="N14" s="325">
        <f>(SUMIFS('Alumina and Bauxite - Q&amp;V'!$C$10:$C$252,'Alumina and Bauxite - Q&amp;V'!$H$10:$H$252,LEFT('Q&amp;V FY 2003-04 to Now'!M$9,4),'Alumina and Bauxite - Q&amp;V'!$I$10:$I$252,3)+
SUMIFS('Alumina and Bauxite - Q&amp;V'!$C$10:$C$252,'Alumina and Bauxite - Q&amp;V'!$H$10:$H$252,LEFT('Q&amp;V FY 2003-04 to Now'!M$9,4),'Alumina and Bauxite - Q&amp;V'!$I$10:$I$252,4)+
SUMIFS('Alumina and Bauxite - Q&amp;V'!$C$10:$C$252,'Alumina and Bauxite - Q&amp;V'!$H$10:$H$252,CONCATENATE("20",RIGHT('Q&amp;V FY 2003-04 to Now'!M$9,2)),'Alumina and Bauxite - Q&amp;V'!$I$10:$I$252,1)+
SUMIFS('Alumina and Bauxite - Q&amp;V'!$C$10:$C$252,'Alumina and Bauxite - Q&amp;V'!$H$10:$H$252,CONCATENATE("20",RIGHT('Q&amp;V FY 2003-04 to Now'!M$9,2)),'Alumina and Bauxite - Q&amp;V'!$I$10:$I$252,2))*1000000</f>
        <v>4352643950.3800001</v>
      </c>
      <c r="O14" s="325">
        <f>(SUMIFS('Alumina and Bauxite - Q&amp;V'!$B$10:$B$252,'Alumina and Bauxite - Q&amp;V'!$H$10:$H$252,LEFT('Q&amp;V FY 2003-04 to Now'!O$9:P$9,4),'Alumina and Bauxite - Q&amp;V'!$I$10:$I$252,3)+
SUMIFS('Alumina and Bauxite - Q&amp;V'!$B$10:$B$252,'Alumina and Bauxite - Q&amp;V'!$H$10:$H$252,LEFT('Q&amp;V FY 2003-04 to Now'!O$9:P$9,4),'Alumina and Bauxite - Q&amp;V'!$I$10:$I$252,4)+
SUMIFS('Alumina and Bauxite - Q&amp;V'!$B$10:$B$252,'Alumina and Bauxite - Q&amp;V'!$H$10:$H$252,CONCATENATE("20",RIGHT('Q&amp;V FY 2003-04 to Now'!O$9:P$9,2)),'Alumina and Bauxite - Q&amp;V'!$I$10:$I$252,1)+
SUMIFS('Alumina and Bauxite - Q&amp;V'!$B$10:$B$252,'Alumina and Bauxite - Q&amp;V'!$H$10:$H$252,CONCATENATE("20",RIGHT('Q&amp;V FY 2003-04 to Now'!O$9:P$9,2)),'Alumina and Bauxite - Q&amp;V'!$I$10:$I$252,2))*1000000</f>
        <v>12643178</v>
      </c>
      <c r="P14" s="325">
        <f>(SUMIFS('Alumina and Bauxite - Q&amp;V'!$C$10:$C$252,'Alumina and Bauxite - Q&amp;V'!$H$10:$H$252,LEFT('Q&amp;V FY 2003-04 to Now'!O$9,4),'Alumina and Bauxite - Q&amp;V'!$I$10:$I$252,3)+
SUMIFS('Alumina and Bauxite - Q&amp;V'!$C$10:$C$252,'Alumina and Bauxite - Q&amp;V'!$H$10:$H$252,LEFT('Q&amp;V FY 2003-04 to Now'!O$9,4),'Alumina and Bauxite - Q&amp;V'!$I$10:$I$252,4)+
SUMIFS('Alumina and Bauxite - Q&amp;V'!$C$10:$C$252,'Alumina and Bauxite - Q&amp;V'!$H$10:$H$252,CONCATENATE("20",RIGHT('Q&amp;V FY 2003-04 to Now'!O$9,2)),'Alumina and Bauxite - Q&amp;V'!$I$10:$I$252,1)+
SUMIFS('Alumina and Bauxite - Q&amp;V'!$C$10:$C$252,'Alumina and Bauxite - Q&amp;V'!$H$10:$H$252,CONCATENATE("20",RIGHT('Q&amp;V FY 2003-04 to Now'!O$9,2)),'Alumina and Bauxite - Q&amp;V'!$I$10:$I$252,2))*1000000</f>
        <v>3871191801.6600003</v>
      </c>
      <c r="Q14" s="325">
        <f>(SUMIFS('Alumina and Bauxite - Q&amp;V'!$B$10:$B$252,'Alumina and Bauxite - Q&amp;V'!$H$10:$H$252,LEFT('Q&amp;V FY 2003-04 to Now'!Q$9:R$9,4),'Alumina and Bauxite - Q&amp;V'!$I$10:$I$252,3)+
SUMIFS('Alumina and Bauxite - Q&amp;V'!$B$10:$B$252,'Alumina and Bauxite - Q&amp;V'!$H$10:$H$252,LEFT('Q&amp;V FY 2003-04 to Now'!Q$9:R$9,4),'Alumina and Bauxite - Q&amp;V'!$I$10:$I$252,4)+
SUMIFS('Alumina and Bauxite - Q&amp;V'!$B$10:$B$252,'Alumina and Bauxite - Q&amp;V'!$H$10:$H$252,CONCATENATE("20",RIGHT('Q&amp;V FY 2003-04 to Now'!Q$9:R$9,2)),'Alumina and Bauxite - Q&amp;V'!$I$10:$I$252,1)+
SUMIFS('Alumina and Bauxite - Q&amp;V'!$B$10:$B$252,'Alumina and Bauxite - Q&amp;V'!$H$10:$H$252,CONCATENATE("20",RIGHT('Q&amp;V FY 2003-04 to Now'!Q$9:R$9,2)),'Alumina and Bauxite - Q&amp;V'!$I$10:$I$252,2))*1000000</f>
        <v>12280629.000000002</v>
      </c>
      <c r="R14" s="325">
        <f>(SUMIFS('Alumina and Bauxite - Q&amp;V'!$C$10:$C$252,'Alumina and Bauxite - Q&amp;V'!$H$10:$H$252,LEFT('Q&amp;V FY 2003-04 to Now'!Q$9,4),'Alumina and Bauxite - Q&amp;V'!$I$10:$I$252,3)+
SUMIFS('Alumina and Bauxite - Q&amp;V'!$C$10:$C$252,'Alumina and Bauxite - Q&amp;V'!$H$10:$H$252,LEFT('Q&amp;V FY 2003-04 to Now'!Q$9,4),'Alumina and Bauxite - Q&amp;V'!$I$10:$I$252,4)+
SUMIFS('Alumina and Bauxite - Q&amp;V'!$C$10:$C$252,'Alumina and Bauxite - Q&amp;V'!$H$10:$H$252,CONCATENATE("20",RIGHT('Q&amp;V FY 2003-04 to Now'!Q$9,2)),'Alumina and Bauxite - Q&amp;V'!$I$10:$I$252,1)+
SUMIFS('Alumina and Bauxite - Q&amp;V'!$C$10:$C$252,'Alumina and Bauxite - Q&amp;V'!$H$10:$H$252,CONCATENATE("20",RIGHT('Q&amp;V FY 2003-04 to Now'!Q$9,2)),'Alumina and Bauxite - Q&amp;V'!$I$10:$I$252,2))*1000000</f>
        <v>3990376375.6199999</v>
      </c>
      <c r="S14" s="325">
        <f>(SUMIFS('Alumina and Bauxite - Q&amp;V'!$B$10:$B$252,'Alumina and Bauxite - Q&amp;V'!$H$10:$H$252,LEFT('Q&amp;V FY 2003-04 to Now'!S$9:T$9,4),'Alumina and Bauxite - Q&amp;V'!$I$10:$I$252,3)+
SUMIFS('Alumina and Bauxite - Q&amp;V'!$B$10:$B$252,'Alumina and Bauxite - Q&amp;V'!$H$10:$H$252,LEFT('Q&amp;V FY 2003-04 to Now'!S$9:T$9,4),'Alumina and Bauxite - Q&amp;V'!$I$10:$I$252,4)+
SUMIFS('Alumina and Bauxite - Q&amp;V'!$B$10:$B$252,'Alumina and Bauxite - Q&amp;V'!$H$10:$H$252,CONCATENATE("20",RIGHT('Q&amp;V FY 2003-04 to Now'!S$9:T$9,2)),'Alumina and Bauxite - Q&amp;V'!$I$10:$I$252,1)+
SUMIFS('Alumina and Bauxite - Q&amp;V'!$B$10:$B$252,'Alumina and Bauxite - Q&amp;V'!$H$10:$H$252,CONCATENATE("20",RIGHT('Q&amp;V FY 2003-04 to Now'!S$9:T$9,2)),'Alumina and Bauxite - Q&amp;V'!$I$10:$I$252,2))*1000000</f>
        <v>12424860.330000002</v>
      </c>
      <c r="T14" s="325">
        <f>(SUMIFS('Alumina and Bauxite - Q&amp;V'!$C$10:$C$252,'Alumina and Bauxite - Q&amp;V'!$H$10:$H$252,LEFT('Q&amp;V FY 2003-04 to Now'!S$9,4),'Alumina and Bauxite - Q&amp;V'!$I$10:$I$252,3)+
SUMIFS('Alumina and Bauxite - Q&amp;V'!$C$10:$C$252,'Alumina and Bauxite - Q&amp;V'!$H$10:$H$252,LEFT('Q&amp;V FY 2003-04 to Now'!S$9,4),'Alumina and Bauxite - Q&amp;V'!$I$10:$I$252,4)+
SUMIFS('Alumina and Bauxite - Q&amp;V'!$C$10:$C$252,'Alumina and Bauxite - Q&amp;V'!$H$10:$H$252,CONCATENATE("20",RIGHT('Q&amp;V FY 2003-04 to Now'!S$9,2)),'Alumina and Bauxite - Q&amp;V'!$I$10:$I$252,1)+
SUMIFS('Alumina and Bauxite - Q&amp;V'!$C$10:$C$252,'Alumina and Bauxite - Q&amp;V'!$H$10:$H$252,CONCATENATE("20",RIGHT('Q&amp;V FY 2003-04 to Now'!S$9,2)),'Alumina and Bauxite - Q&amp;V'!$I$10:$I$252,2))*1000000</f>
        <v>4010219382</v>
      </c>
      <c r="U14" s="325">
        <f>(SUMIFS('Alumina and Bauxite - Q&amp;V'!$B$10:$B$252,'Alumina and Bauxite - Q&amp;V'!$H$10:$H$252,LEFT('Q&amp;V FY 2003-04 to Now'!U$9:V$9,4),'Alumina and Bauxite - Q&amp;V'!$I$10:$I$252,3)+
SUMIFS('Alumina and Bauxite - Q&amp;V'!$B$10:$B$252,'Alumina and Bauxite - Q&amp;V'!$H$10:$H$252,LEFT('Q&amp;V FY 2003-04 to Now'!U$9:V$9,4),'Alumina and Bauxite - Q&amp;V'!$I$10:$I$252,4)+
SUMIFS('Alumina and Bauxite - Q&amp;V'!$B$10:$B$252,'Alumina and Bauxite - Q&amp;V'!$H$10:$H$252,CONCATENATE("20",RIGHT('Q&amp;V FY 2003-04 to Now'!U$9:V$9,2)),'Alumina and Bauxite - Q&amp;V'!$I$10:$I$252,1)+
SUMIFS('Alumina and Bauxite - Q&amp;V'!$B$10:$B$252,'Alumina and Bauxite - Q&amp;V'!$H$10:$H$252,CONCATENATE("20",RIGHT('Q&amp;V FY 2003-04 to Now'!U$9:V$9,2)),'Alumina and Bauxite - Q&amp;V'!$I$10:$I$252,2))*1000000</f>
        <v>13530752.17</v>
      </c>
      <c r="V14" s="325">
        <f>(SUMIFS('Alumina and Bauxite - Q&amp;V'!$C$10:$C$252,'Alumina and Bauxite - Q&amp;V'!$H$10:$H$252,LEFT('Q&amp;V FY 2003-04 to Now'!U$9,4),'Alumina and Bauxite - Q&amp;V'!$I$10:$I$252,3)+
SUMIFS('Alumina and Bauxite - Q&amp;V'!$C$10:$C$252,'Alumina and Bauxite - Q&amp;V'!$H$10:$H$252,LEFT('Q&amp;V FY 2003-04 to Now'!U$9,4),'Alumina and Bauxite - Q&amp;V'!$I$10:$I$252,4)+
SUMIFS('Alumina and Bauxite - Q&amp;V'!$C$10:$C$252,'Alumina and Bauxite - Q&amp;V'!$H$10:$H$252,CONCATENATE("20",RIGHT('Q&amp;V FY 2003-04 to Now'!U$9,2)),'Alumina and Bauxite - Q&amp;V'!$I$10:$I$252,1)+
SUMIFS('Alumina and Bauxite - Q&amp;V'!$C$10:$C$252,'Alumina and Bauxite - Q&amp;V'!$H$10:$H$252,CONCATENATE("20",RIGHT('Q&amp;V FY 2003-04 to Now'!U$9,2)),'Alumina and Bauxite - Q&amp;V'!$I$10:$I$252,2))*1000000</f>
        <v>4027810216</v>
      </c>
      <c r="W14" s="325">
        <f>(SUMIFS('Alumina and Bauxite - Q&amp;V'!$B$10:$B$252,'Alumina and Bauxite - Q&amp;V'!$H$10:$H$252,LEFT('Q&amp;V FY 2003-04 to Now'!W$9:X$9,4),'Alumina and Bauxite - Q&amp;V'!$I$10:$I$252,3)+
SUMIFS('Alumina and Bauxite - Q&amp;V'!$B$10:$B$252,'Alumina and Bauxite - Q&amp;V'!$H$10:$H$252,LEFT('Q&amp;V FY 2003-04 to Now'!W$9:X$9,4),'Alumina and Bauxite - Q&amp;V'!$I$10:$I$252,4)+
SUMIFS('Alumina and Bauxite - Q&amp;V'!$B$10:$B$252,'Alumina and Bauxite - Q&amp;V'!$H$10:$H$252,CONCATENATE("20",RIGHT('Q&amp;V FY 2003-04 to Now'!W$9:X$9,2)),'Alumina and Bauxite - Q&amp;V'!$I$10:$I$252,1)+
SUMIFS('Alumina and Bauxite - Q&amp;V'!$B$10:$B$252,'Alumina and Bauxite - Q&amp;V'!$H$10:$H$252,CONCATENATE("20",RIGHT('Q&amp;V FY 2003-04 to Now'!W$9:X$9,2)),'Alumina and Bauxite - Q&amp;V'!$I$10:$I$252,2))*1000000</f>
        <v>13717951.679999998</v>
      </c>
      <c r="X14" s="325">
        <f>(SUMIFS('Alumina and Bauxite - Q&amp;V'!$C$10:$C$252,'Alumina and Bauxite - Q&amp;V'!$H$10:$H$252,LEFT('Q&amp;V FY 2003-04 to Now'!W$9,4),'Alumina and Bauxite - Q&amp;V'!$I$10:$I$252,3)+
SUMIFS('Alumina and Bauxite - Q&amp;V'!$C$10:$C$252,'Alumina and Bauxite - Q&amp;V'!$H$10:$H$252,LEFT('Q&amp;V FY 2003-04 to Now'!W$9,4),'Alumina and Bauxite - Q&amp;V'!$I$10:$I$252,4)+
SUMIFS('Alumina and Bauxite - Q&amp;V'!$C$10:$C$252,'Alumina and Bauxite - Q&amp;V'!$H$10:$H$252,CONCATENATE("20",RIGHT('Q&amp;V FY 2003-04 to Now'!W$9,2)),'Alumina and Bauxite - Q&amp;V'!$I$10:$I$252,1)+
SUMIFS('Alumina and Bauxite - Q&amp;V'!$C$10:$C$252,'Alumina and Bauxite - Q&amp;V'!$H$10:$H$252,CONCATENATE("20",RIGHT('Q&amp;V FY 2003-04 to Now'!W$9,2)),'Alumina and Bauxite - Q&amp;V'!$I$10:$I$252,2))*1000000</f>
        <v>4295348699</v>
      </c>
      <c r="Y14" s="325">
        <f>(SUMIFS('Alumina and Bauxite - Q&amp;V'!$B$10:$B$252,'Alumina and Bauxite - Q&amp;V'!$H$10:$H$252,LEFT('Q&amp;V FY 2003-04 to Now'!Y$9:Z$9,4),'Alumina and Bauxite - Q&amp;V'!$I$10:$I$252,3)+
SUMIFS('Alumina and Bauxite - Q&amp;V'!$B$10:$B$252,'Alumina and Bauxite - Q&amp;V'!$H$10:$H$252,LEFT('Q&amp;V FY 2003-04 to Now'!Y$9:Z$9,4),'Alumina and Bauxite - Q&amp;V'!$I$10:$I$252,4)+
SUMIFS('Alumina and Bauxite - Q&amp;V'!$B$10:$B$252,'Alumina and Bauxite - Q&amp;V'!$H$10:$H$252,CONCATENATE("20",RIGHT('Q&amp;V FY 2003-04 to Now'!Y$9:Z$9,2)),'Alumina and Bauxite - Q&amp;V'!$I$10:$I$252,1)+
SUMIFS('Alumina and Bauxite - Q&amp;V'!$B$10:$B$252,'Alumina and Bauxite - Q&amp;V'!$H$10:$H$252,CONCATENATE("20",RIGHT('Q&amp;V FY 2003-04 to Now'!Y$9:Z$9,2)),'Alumina and Bauxite - Q&amp;V'!$I$10:$I$252,2))*1000000</f>
        <v>13771412.275999999</v>
      </c>
      <c r="Z14" s="325">
        <f>(SUMIFS('Alumina and Bauxite - Q&amp;V'!$C$10:$C$252,'Alumina and Bauxite - Q&amp;V'!$H$10:$H$252,LEFT('Q&amp;V FY 2003-04 to Now'!Y$9,4),'Alumina and Bauxite - Q&amp;V'!$I$10:$I$252,3)+
SUMIFS('Alumina and Bauxite - Q&amp;V'!$C$10:$C$252,'Alumina and Bauxite - Q&amp;V'!$H$10:$H$252,LEFT('Q&amp;V FY 2003-04 to Now'!Y$9,4),'Alumina and Bauxite - Q&amp;V'!$I$10:$I$252,4)+
SUMIFS('Alumina and Bauxite - Q&amp;V'!$C$10:$C$252,'Alumina and Bauxite - Q&amp;V'!$H$10:$H$252,CONCATENATE("20",RIGHT('Q&amp;V FY 2003-04 to Now'!Y$9,2)),'Alumina and Bauxite - Q&amp;V'!$I$10:$I$252,1)+
SUMIFS('Alumina and Bauxite - Q&amp;V'!$C$10:$C$252,'Alumina and Bauxite - Q&amp;V'!$H$10:$H$252,CONCATENATE("20",RIGHT('Q&amp;V FY 2003-04 to Now'!Y$9,2)),'Alumina and Bauxite - Q&amp;V'!$I$10:$I$252,2))*1000000</f>
        <v>5022721218</v>
      </c>
      <c r="AA14" s="325">
        <f>(SUMIFS('Alumina and Bauxite - Q&amp;V'!$B$10:$B$252,'Alumina and Bauxite - Q&amp;V'!$H$10:$H$252,LEFT('Q&amp;V FY 2003-04 to Now'!AA$9:AB$9,4),'Alumina and Bauxite - Q&amp;V'!$I$10:$I$252,3)+
SUMIFS('Alumina and Bauxite - Q&amp;V'!$B$10:$B$252,'Alumina and Bauxite - Q&amp;V'!$H$10:$H$252,LEFT('Q&amp;V FY 2003-04 to Now'!AA$9:AB$9,4),'Alumina and Bauxite - Q&amp;V'!$I$10:$I$252,4)+
SUMIFS('Alumina and Bauxite - Q&amp;V'!$B$10:$B$252,'Alumina and Bauxite - Q&amp;V'!$H$10:$H$252,CONCATENATE("20",RIGHT('Q&amp;V FY 2003-04 to Now'!AA$9:AB$9,2)),'Alumina and Bauxite - Q&amp;V'!$I$10:$I$252,1)+
SUMIFS('Alumina and Bauxite - Q&amp;V'!$B$10:$B$252,'Alumina and Bauxite - Q&amp;V'!$H$10:$H$252,CONCATENATE("20",RIGHT('Q&amp;V FY 2003-04 to Now'!AA$9:AB$9,2)),'Alumina and Bauxite - Q&amp;V'!$I$10:$I$252,2))*1000000</f>
        <v>13893539.520000001</v>
      </c>
      <c r="AB14" s="325">
        <f>(SUMIFS('Alumina and Bauxite - Q&amp;V'!$C$10:$C$252,'Alumina and Bauxite - Q&amp;V'!$H$10:$H$252,LEFT('Q&amp;V FY 2003-04 to Now'!AA$9,4),'Alumina and Bauxite - Q&amp;V'!$I$10:$I$252,3)+
SUMIFS('Alumina and Bauxite - Q&amp;V'!$C$10:$C$252,'Alumina and Bauxite - Q&amp;V'!$H$10:$H$252,LEFT('Q&amp;V FY 2003-04 to Now'!AA$9,4),'Alumina and Bauxite - Q&amp;V'!$I$10:$I$252,4)+
SUMIFS('Alumina and Bauxite - Q&amp;V'!$C$10:$C$252,'Alumina and Bauxite - Q&amp;V'!$H$10:$H$252,CONCATENATE("20",RIGHT('Q&amp;V FY 2003-04 to Now'!AA$9,2)),'Alumina and Bauxite - Q&amp;V'!$I$10:$I$252,1)+
SUMIFS('Alumina and Bauxite - Q&amp;V'!$C$10:$C$252,'Alumina and Bauxite - Q&amp;V'!$H$10:$H$252,CONCATENATE("20",RIGHT('Q&amp;V FY 2003-04 to Now'!AA$9,2)),'Alumina and Bauxite - Q&amp;V'!$I$10:$I$252,2))*1000000</f>
        <v>4930751163</v>
      </c>
      <c r="AC14" s="325">
        <f>(SUMIFS('Alumina and Bauxite - Q&amp;V'!$B$10:$B$252,'Alumina and Bauxite - Q&amp;V'!$H$10:$H$252,LEFT('Q&amp;V FY 2003-04 to Now'!AC$9:AD$9,4),'Alumina and Bauxite - Q&amp;V'!$I$10:$I$252,3)+
SUMIFS('Alumina and Bauxite - Q&amp;V'!$B$10:$B$252,'Alumina and Bauxite - Q&amp;V'!$H$10:$H$252,LEFT('Q&amp;V FY 2003-04 to Now'!AC$9:AD$9,4),'Alumina and Bauxite - Q&amp;V'!$I$10:$I$252,4)+
SUMIFS('Alumina and Bauxite - Q&amp;V'!$B$10:$B$252,'Alumina and Bauxite - Q&amp;V'!$H$10:$H$252,CONCATENATE("20",RIGHT('Q&amp;V FY 2003-04 to Now'!AC$9:AD$9,2)),'Alumina and Bauxite - Q&amp;V'!$I$10:$I$252,1)+
SUMIFS('Alumina and Bauxite - Q&amp;V'!$B$10:$B$252,'Alumina and Bauxite - Q&amp;V'!$H$10:$H$252,CONCATENATE("20",RIGHT('Q&amp;V FY 2003-04 to Now'!AC$9:AD$9,2)),'Alumina and Bauxite - Q&amp;V'!$I$10:$I$252,2))*1000000</f>
        <v>13855381.769999998</v>
      </c>
      <c r="AD14" s="325">
        <f>(SUMIFS('Alumina and Bauxite - Q&amp;V'!$C$10:$C$252,'Alumina and Bauxite - Q&amp;V'!$H$10:$H$252,LEFT('Q&amp;V FY 2003-04 to Now'!AC$9,4),'Alumina and Bauxite - Q&amp;V'!$I$10:$I$252,3)+
SUMIFS('Alumina and Bauxite - Q&amp;V'!$C$10:$C$252,'Alumina and Bauxite - Q&amp;V'!$H$10:$H$252,LEFT('Q&amp;V FY 2003-04 to Now'!AC$9,4),'Alumina and Bauxite - Q&amp;V'!$I$10:$I$252,4)+
SUMIFS('Alumina and Bauxite - Q&amp;V'!$C$10:$C$252,'Alumina and Bauxite - Q&amp;V'!$H$10:$H$252,CONCATENATE("20",RIGHT('Q&amp;V FY 2003-04 to Now'!AC$9,2)),'Alumina and Bauxite - Q&amp;V'!$I$10:$I$252,1)+
SUMIFS('Alumina and Bauxite - Q&amp;V'!$C$10:$C$252,'Alumina and Bauxite - Q&amp;V'!$H$10:$H$252,CONCATENATE("20",RIGHT('Q&amp;V FY 2003-04 to Now'!AC$9,2)),'Alumina and Bauxite - Q&amp;V'!$I$10:$I$252,2))*1000000</f>
        <v>5073777451</v>
      </c>
      <c r="AE14" s="358">
        <f>(SUMIFS('Alumina and Bauxite - Q&amp;V'!$B$10:$B$252,'Alumina and Bauxite - Q&amp;V'!$H$10:$H$252,LEFT('Q&amp;V FY 2003-04 to Now'!AE$9:AF$9,4),'Alumina and Bauxite - Q&amp;V'!$I$10:$I$252,3)+
SUMIFS('Alumina and Bauxite - Q&amp;V'!$B$10:$B$252,'Alumina and Bauxite - Q&amp;V'!$H$10:$H$252,LEFT('Q&amp;V FY 2003-04 to Now'!AE$9:AF$9,4),'Alumina and Bauxite - Q&amp;V'!$I$10:$I$252,4)+
SUMIFS('Alumina and Bauxite - Q&amp;V'!$B$10:$B$252,'Alumina and Bauxite - Q&amp;V'!$H$10:$H$252,CONCATENATE("20",RIGHT('Q&amp;V FY 2003-04 to Now'!AE$9:AF$9,2)),'Alumina and Bauxite - Q&amp;V'!$I$10:$I$252,1)+
SUMIFS('Alumina and Bauxite - Q&amp;V'!$B$10:$B$252,'Alumina and Bauxite - Q&amp;V'!$H$10:$H$252,CONCATENATE("20",RIGHT('Q&amp;V FY 2003-04 to Now'!AE$9:AF$9,2)),'Alumina and Bauxite - Q&amp;V'!$I$10:$I$252,2))*1000000</f>
        <v>13669466.949999999</v>
      </c>
      <c r="AF14" s="325">
        <f>(SUMIFS('Alumina and Bauxite - Q&amp;V'!$C$10:$C$252,'Alumina and Bauxite - Q&amp;V'!$H$10:$H$252,LEFT('Q&amp;V FY 2003-04 to Now'!AE$9,4),'Alumina and Bauxite - Q&amp;V'!$I$10:$I$252,3)+
SUMIFS('Alumina and Bauxite - Q&amp;V'!$C$10:$C$252,'Alumina and Bauxite - Q&amp;V'!$H$10:$H$252,LEFT('Q&amp;V FY 2003-04 to Now'!AE$9,4),'Alumina and Bauxite - Q&amp;V'!$I$10:$I$252,4)+
SUMIFS('Alumina and Bauxite - Q&amp;V'!$C$10:$C$252,'Alumina and Bauxite - Q&amp;V'!$H$10:$H$252,CONCATENATE("20",RIGHT('Q&amp;V FY 2003-04 to Now'!AE$9,2)),'Alumina and Bauxite - Q&amp;V'!$I$10:$I$252,1)+
SUMIFS('Alumina and Bauxite - Q&amp;V'!$C$10:$C$252,'Alumina and Bauxite - Q&amp;V'!$H$10:$H$252,CONCATENATE("20",RIGHT('Q&amp;V FY 2003-04 to Now'!AE$9,2)),'Alumina and Bauxite - Q&amp;V'!$I$10:$I$252,2))*1000000</f>
        <v>6596775697</v>
      </c>
      <c r="AG14" s="325">
        <f>(SUMIFS('Alumina and Bauxite - Q&amp;V'!$B$10:$B$252,'Alumina and Bauxite - Q&amp;V'!$H$10:$H$252,LEFT('Q&amp;V FY 2003-04 to Now'!AG$9:AH$9,4),'Alumina and Bauxite - Q&amp;V'!$I$10:$I$252,3)+
SUMIFS('Alumina and Bauxite - Q&amp;V'!$B$10:$B$252,'Alumina and Bauxite - Q&amp;V'!$H$10:$H$252,LEFT('Q&amp;V FY 2003-04 to Now'!AG$9:AH$9,4),'Alumina and Bauxite - Q&amp;V'!$I$10:$I$252,4)+
SUMIFS('Alumina and Bauxite - Q&amp;V'!$B$10:$B$252,'Alumina and Bauxite - Q&amp;V'!$H$10:$H$252,CONCATENATE("20",RIGHT('Q&amp;V FY 2003-04 to Now'!AG$9:AH$9,2)),'Alumina and Bauxite - Q&amp;V'!$I$10:$I$252,1)+
SUMIFS('Alumina and Bauxite - Q&amp;V'!$B$10:$B$252,'Alumina and Bauxite - Q&amp;V'!$H$10:$H$252,CONCATENATE("20",RIGHT('Q&amp;V FY 2003-04 to Now'!AG$9:AH$9,2)),'Alumina and Bauxite - Q&amp;V'!$I$10:$I$252,2))*1000000</f>
        <v>13643444.6</v>
      </c>
      <c r="AH14" s="326">
        <f>(SUMIFS('Alumina and Bauxite - Q&amp;V'!$C$10:$C$252,'Alumina and Bauxite - Q&amp;V'!$H$10:$H$252,LEFT('Q&amp;V FY 2003-04 to Now'!AG$9,4),'Alumina and Bauxite - Q&amp;V'!$I$10:$I$252,3)+
SUMIFS('Alumina and Bauxite - Q&amp;V'!$C$10:$C$252,'Alumina and Bauxite - Q&amp;V'!$H$10:$H$252,LEFT('Q&amp;V FY 2003-04 to Now'!AG$9,4),'Alumina and Bauxite - Q&amp;V'!$I$10:$I$252,4)+
SUMIFS('Alumina and Bauxite - Q&amp;V'!$C$10:$C$252,'Alumina and Bauxite - Q&amp;V'!$H$10:$H$252,CONCATENATE("20",RIGHT('Q&amp;V FY 2003-04 to Now'!AG$9,2)),'Alumina and Bauxite - Q&amp;V'!$I$10:$I$252,1)+
SUMIFS('Alumina and Bauxite - Q&amp;V'!$C$10:$C$252,'Alumina and Bauxite - Q&amp;V'!$H$10:$H$252,CONCATENATE("20",RIGHT('Q&amp;V FY 2003-04 to Now'!AG$9,2)),'Alumina and Bauxite - Q&amp;V'!$I$10:$I$252,2))*1000000</f>
        <v>8211863757.999999</v>
      </c>
      <c r="AI14" s="326">
        <f>(SUMIFS('Alumina and Bauxite - Q&amp;V'!$B$10:$B$252,'Alumina and Bauxite - Q&amp;V'!$H$10:$H$252,LEFT('Q&amp;V FY 2003-04 to Now'!AI$9:AJ$9,4),'Alumina and Bauxite - Q&amp;V'!$I$10:$I$252,3)+
SUMIFS('Alumina and Bauxite - Q&amp;V'!$B$10:$B$252,'Alumina and Bauxite - Q&amp;V'!$H$10:$H$252,LEFT('Q&amp;V FY 2003-04 to Now'!AI$9:AJ$9,4),'Alumina and Bauxite - Q&amp;V'!$I$10:$I$252,4)+
SUMIFS('Alumina and Bauxite - Q&amp;V'!$B$10:$B$252,'Alumina and Bauxite - Q&amp;V'!$H$10:$H$252,CONCATENATE("20",RIGHT('Q&amp;V FY 2003-04 to Now'!AI$9:AJ$9,2)),'Alumina and Bauxite - Q&amp;V'!$I$10:$I$252,1)+
SUMIFS('Alumina and Bauxite - Q&amp;V'!$B$10:$B$252,'Alumina and Bauxite - Q&amp;V'!$H$10:$H$252,CONCATENATE("20",RIGHT('Q&amp;V FY 2003-04 to Now'!AI$9:AJ$9,2)),'Alumina and Bauxite - Q&amp;V'!$I$10:$I$252,2))*1000000</f>
        <v>14020412.172999999</v>
      </c>
      <c r="AJ14" s="326">
        <f>(SUMIFS('Alumina and Bauxite - Q&amp;V'!$C$10:$C$252,'Alumina and Bauxite - Q&amp;V'!$H$10:$H$252,LEFT('Q&amp;V FY 2003-04 to Now'!AI$9,4),'Alumina and Bauxite - Q&amp;V'!$I$10:$I$252,3)+
SUMIFS('Alumina and Bauxite - Q&amp;V'!$C$10:$C$252,'Alumina and Bauxite - Q&amp;V'!$H$10:$H$252,LEFT('Q&amp;V FY 2003-04 to Now'!AI$9,4),'Alumina and Bauxite - Q&amp;V'!$I$10:$I$252,4)+
SUMIFS('Alumina and Bauxite - Q&amp;V'!$C$10:$C$252,'Alumina and Bauxite - Q&amp;V'!$H$10:$H$252,CONCATENATE("20",RIGHT('Q&amp;V FY 2003-04 to Now'!AI$9,2)),'Alumina and Bauxite - Q&amp;V'!$I$10:$I$252,1)+
SUMIFS('Alumina and Bauxite - Q&amp;V'!$C$10:$C$252,'Alumina and Bauxite - Q&amp;V'!$H$10:$H$252,CONCATENATE("20",RIGHT('Q&amp;V FY 2003-04 to Now'!AI$9,2)),'Alumina and Bauxite - Q&amp;V'!$I$10:$I$252,2))*1000000</f>
        <v>6351769942.999999</v>
      </c>
      <c r="AK14" s="326">
        <f>(SUMIFS('Alumina and Bauxite - Q&amp;V'!$B$10:$B$252,'Alumina and Bauxite - Q&amp;V'!$H$10:$H$252,LEFT('Q&amp;V FY 2003-04 to Now'!AK$9:AL$9,4),'Alumina and Bauxite - Q&amp;V'!$I$10:$I$252,3)+
SUMIFS('Alumina and Bauxite - Q&amp;V'!$B$10:$B$252,'Alumina and Bauxite - Q&amp;V'!$H$10:$H$252,LEFT('Q&amp;V FY 2003-04 to Now'!AK$9:AL$9,4),'Alumina and Bauxite - Q&amp;V'!$I$10:$I$252,4)+
SUMIFS('Alumina and Bauxite - Q&amp;V'!$B$10:$B$252,'Alumina and Bauxite - Q&amp;V'!$H$10:$H$252,CONCATENATE("20",RIGHT('Q&amp;V FY 2003-04 to Now'!AK$9:AL$9,2)),'Alumina and Bauxite - Q&amp;V'!$I$10:$I$252,1)+
SUMIFS('Alumina and Bauxite - Q&amp;V'!$B$10:$B$252,'Alumina and Bauxite - Q&amp;V'!$H$10:$H$252,CONCATENATE("20",RIGHT('Q&amp;V FY 2003-04 to Now'!AK$9:AL$9,2)),'Alumina and Bauxite - Q&amp;V'!$I$10:$I$252,2))*1000000</f>
        <v>14371922.680000002</v>
      </c>
      <c r="AL14" s="326">
        <f>(SUMIFS('Alumina and Bauxite - Q&amp;V'!$C$10:$C$252,'Alumina and Bauxite - Q&amp;V'!$H$10:$H$252,LEFT('Q&amp;V FY 2003-04 to Now'!AK$9,4),'Alumina and Bauxite - Q&amp;V'!$I$10:$I$252,3)+
SUMIFS('Alumina and Bauxite - Q&amp;V'!$C$10:$C$252,'Alumina and Bauxite - Q&amp;V'!$H$10:$H$252,LEFT('Q&amp;V FY 2003-04 to Now'!AK$9,4),'Alumina and Bauxite - Q&amp;V'!$I$10:$I$252,4)+
SUMIFS('Alumina and Bauxite - Q&amp;V'!$C$10:$C$252,'Alumina and Bauxite - Q&amp;V'!$H$10:$H$252,CONCATENATE("20",RIGHT('Q&amp;V FY 2003-04 to Now'!AK$9,2)),'Alumina and Bauxite - Q&amp;V'!$I$10:$I$252,1)+
SUMIFS('Alumina and Bauxite - Q&amp;V'!$C$10:$C$252,'Alumina and Bauxite - Q&amp;V'!$H$10:$H$252,CONCATENATE("20",RIGHT('Q&amp;V FY 2003-04 to Now'!AK$9,2)),'Alumina and Bauxite - Q&amp;V'!$I$10:$I$252,2))*1000000</f>
        <v>5509914223.999999</v>
      </c>
      <c r="AM14" s="326">
        <f>(SUMIFS('Alumina and Bauxite - Q&amp;V'!$B$10:$B$252,'Alumina and Bauxite - Q&amp;V'!$H$10:$H$252,LEFT('Q&amp;V FY 2003-04 to Now'!AM$9:AN$9,4),'Alumina and Bauxite - Q&amp;V'!$I$10:$I$252,3)+
SUMIFS('Alumina and Bauxite - Q&amp;V'!$B$10:$B$252,'Alumina and Bauxite - Q&amp;V'!$H$10:$H$252,LEFT('Q&amp;V FY 2003-04 to Now'!AM$9:AN$9,4),'Alumina and Bauxite - Q&amp;V'!$I$10:$I$252,4)+
SUMIFS('Alumina and Bauxite - Q&amp;V'!$B$10:$B$252,'Alumina and Bauxite - Q&amp;V'!$H$10:$H$252,CONCATENATE("20",RIGHT('Q&amp;V FY 2003-04 to Now'!AM$9:AN$9,2)),'Alumina and Bauxite - Q&amp;V'!$I$10:$I$252,1)+
SUMIFS('Alumina and Bauxite - Q&amp;V'!$B$10:$B$252,'Alumina and Bauxite - Q&amp;V'!$H$10:$H$252,CONCATENATE("20",RIGHT('Q&amp;V FY 2003-04 to Now'!AM$9:AN$9,2)),'Alumina and Bauxite - Q&amp;V'!$I$10:$I$252,2))*1000000</f>
        <v>13928030.289999999</v>
      </c>
      <c r="AN14" s="326">
        <f>(SUMIFS('Alumina and Bauxite - Q&amp;V'!$C$10:$C$252,'Alumina and Bauxite - Q&amp;V'!$H$10:$H$252,LEFT('Q&amp;V FY 2003-04 to Now'!AM$9,4),'Alumina and Bauxite - Q&amp;V'!$I$10:$I$252,3)+
SUMIFS('Alumina and Bauxite - Q&amp;V'!$C$10:$C$252,'Alumina and Bauxite - Q&amp;V'!$H$10:$H$252,LEFT('Q&amp;V FY 2003-04 to Now'!AM$9,4),'Alumina and Bauxite - Q&amp;V'!$I$10:$I$252,4)+
SUMIFS('Alumina and Bauxite - Q&amp;V'!$C$10:$C$252,'Alumina and Bauxite - Q&amp;V'!$H$10:$H$252,CONCATENATE("20",RIGHT('Q&amp;V FY 2003-04 to Now'!AM$9,2)),'Alumina and Bauxite - Q&amp;V'!$I$10:$I$252,1)+
SUMIFS('Alumina and Bauxite - Q&amp;V'!$C$10:$C$252,'Alumina and Bauxite - Q&amp;V'!$H$10:$H$252,CONCATENATE("20",RIGHT('Q&amp;V FY 2003-04 to Now'!AM$9,2)),'Alumina and Bauxite - Q&amp;V'!$I$10:$I$252,2))*1000000</f>
        <v>6696908793</v>
      </c>
      <c r="AO14" s="326">
        <f>(SUMIFS('Alumina and Bauxite - Q&amp;V'!$B$10:$B$252,'Alumina and Bauxite - Q&amp;V'!$H$10:$H$252,LEFT('Q&amp;V FY 2003-04 to Now'!AO$9:AP$9,4),'Alumina and Bauxite - Q&amp;V'!$I$10:$I$252,3)+
SUMIFS('Alumina and Bauxite - Q&amp;V'!$B$10:$B$252,'Alumina and Bauxite - Q&amp;V'!$H$10:$H$252,LEFT('Q&amp;V FY 2003-04 to Now'!AO$9:AP$9,4),'Alumina and Bauxite - Q&amp;V'!$I$10:$I$252,4)+
SUMIFS('Alumina and Bauxite - Q&amp;V'!$B$10:$B$252,'Alumina and Bauxite - Q&amp;V'!$H$10:$H$252,CONCATENATE("20",RIGHT('Q&amp;V FY 2003-04 to Now'!AO$9:AP$9,2)),'Alumina and Bauxite - Q&amp;V'!$I$10:$I$252,1)+
SUMIFS('Alumina and Bauxite - Q&amp;V'!$B$10:$B$252,'Alumina and Bauxite - Q&amp;V'!$H$10:$H$252,CONCATENATE("20",RIGHT('Q&amp;V FY 2003-04 to Now'!AO$9:AP$9,2)),'Alumina and Bauxite - Q&amp;V'!$I$10:$I$252,2))*1000000</f>
        <v>13040576.993999999</v>
      </c>
      <c r="AP14" s="326">
        <f>(SUMIFS('Alumina and Bauxite - Q&amp;V'!$C$10:$C$252,'Alumina and Bauxite - Q&amp;V'!$H$10:$H$252,LEFT('Q&amp;V FY 2003-04 to Now'!AO$9,4),'Alumina and Bauxite - Q&amp;V'!$I$10:$I$252,3)+
SUMIFS('Alumina and Bauxite - Q&amp;V'!$C$10:$C$252,'Alumina and Bauxite - Q&amp;V'!$H$10:$H$252,LEFT('Q&amp;V FY 2003-04 to Now'!AO$9,4),'Alumina and Bauxite - Q&amp;V'!$I$10:$I$252,4)+
SUMIFS('Alumina and Bauxite - Q&amp;V'!$C$10:$C$252,'Alumina and Bauxite - Q&amp;V'!$H$10:$H$252,CONCATENATE("20",RIGHT('Q&amp;V FY 2003-04 to Now'!AO$9,2)),'Alumina and Bauxite - Q&amp;V'!$I$10:$I$252,1)+
SUMIFS('Alumina and Bauxite - Q&amp;V'!$C$10:$C$252,'Alumina and Bauxite - Q&amp;V'!$H$10:$H$252,CONCATENATE("20",RIGHT('Q&amp;V FY 2003-04 to Now'!AO$9,2)),'Alumina and Bauxite - Q&amp;V'!$I$10:$I$252,2))*1000000</f>
        <v>6683755275</v>
      </c>
      <c r="AQ14" s="326">
        <f>(SUMIFS('Alumina and Bauxite - Q&amp;V'!$B$10:$B$252,'Alumina and Bauxite - Q&amp;V'!$H$10:$H$252,LEFT('Q&amp;V FY 2003-04 to Now'!AQ$9:AR$9,4),'Alumina and Bauxite - Q&amp;V'!$I$10:$I$252,3)+
SUMIFS('Alumina and Bauxite - Q&amp;V'!$B$10:$B$252,'Alumina and Bauxite - Q&amp;V'!$H$10:$H$252,LEFT('Q&amp;V FY 2003-04 to Now'!AQ$9:AR$9,4),'Alumina and Bauxite - Q&amp;V'!$I$10:$I$252,4)+
SUMIFS('Alumina and Bauxite - Q&amp;V'!$B$10:$B$252,'Alumina and Bauxite - Q&amp;V'!$H$10:$H$252,CONCATENATE("20",RIGHT('Q&amp;V FY 2003-04 to Now'!AQ$9:AR$9,2)),'Alumina and Bauxite - Q&amp;V'!$I$10:$I$252,1)+
SUMIFS('Alumina and Bauxite - Q&amp;V'!$B$10:$B$252,'Alumina and Bauxite - Q&amp;V'!$H$10:$H$252,CONCATENATE("20",RIGHT('Q&amp;V FY 2003-04 to Now'!AQ$9:AR$9,2)),'Alumina and Bauxite - Q&amp;V'!$I$10:$I$252,2))*1000000</f>
        <v>12408628.956999999</v>
      </c>
      <c r="AR14" s="326">
        <f>(SUMIFS('Alumina and Bauxite - Q&amp;V'!$C$10:$C$252,'Alumina and Bauxite - Q&amp;V'!$H$10:$H$252,LEFT('Q&amp;V FY 2003-04 to Now'!AQ$9,4),'Alumina and Bauxite - Q&amp;V'!$I$10:$I$252,3)+
SUMIFS('Alumina and Bauxite - Q&amp;V'!$C$10:$C$252,'Alumina and Bauxite - Q&amp;V'!$H$10:$H$252,LEFT('Q&amp;V FY 2003-04 to Now'!AQ$9,4),'Alumina and Bauxite - Q&amp;V'!$I$10:$I$252,4)+
SUMIFS('Alumina and Bauxite - Q&amp;V'!$C$10:$C$252,'Alumina and Bauxite - Q&amp;V'!$H$10:$H$252,CONCATENATE("20",RIGHT('Q&amp;V FY 2003-04 to Now'!AQ$9,2)),'Alumina and Bauxite - Q&amp;V'!$I$10:$I$252,1)+
SUMIFS('Alumina and Bauxite - Q&amp;V'!$C$10:$C$252,'Alumina and Bauxite - Q&amp;V'!$H$10:$H$252,CONCATENATE("20",RIGHT('Q&amp;V FY 2003-04 to Now'!AQ$9,2)),'Alumina and Bauxite - Q&amp;V'!$I$10:$I$252,2))*1000000</f>
        <v>6582478141</v>
      </c>
      <c r="AS14" s="326">
        <f>(SUMIFS('Alumina and Bauxite - Q&amp;V'!$B$10:$B$252,'Alumina and Bauxite - Q&amp;V'!$H$10:$H$252,LEFT('Q&amp;V FY 2003-04 to Now'!AS$9:AT$9,4),'Alumina and Bauxite - Q&amp;V'!$I$10:$I$252,3)+
SUMIFS('Alumina and Bauxite - Q&amp;V'!$B$10:$B$252,'Alumina and Bauxite - Q&amp;V'!$H$10:$H$252,LEFT('Q&amp;V FY 2003-04 to Now'!AS$9:AT$9,4),'Alumina and Bauxite - Q&amp;V'!$I$10:$I$252,4)+
SUMIFS('Alumina and Bauxite - Q&amp;V'!$B$10:$B$252,'Alumina and Bauxite - Q&amp;V'!$H$10:$H$252,CONCATENATE("20",RIGHT('Q&amp;V FY 2003-04 to Now'!AS$9:AT$9,2)),'Alumina and Bauxite - Q&amp;V'!$I$10:$I$252,1)+
SUMIFS('Alumina and Bauxite - Q&amp;V'!$B$10:$B$252,'Alumina and Bauxite - Q&amp;V'!$H$10:$H$252,CONCATENATE("20",RIGHT('Q&amp;V FY 2003-04 to Now'!AS$9:AT$9,2)),'Alumina and Bauxite - Q&amp;V'!$I$10:$I$252,2))*1000000</f>
        <v>10808322.794999998</v>
      </c>
      <c r="AT14" s="326">
        <f>(SUMIFS('Alumina and Bauxite - Q&amp;V'!$C$10:$C$252,'Alumina and Bauxite - Q&amp;V'!$H$10:$H$252,LEFT('Q&amp;V FY 2003-04 to Now'!AS$9,4),'Alumina and Bauxite - Q&amp;V'!$I$10:$I$252,3)+
SUMIFS('Alumina and Bauxite - Q&amp;V'!$C$10:$C$252,'Alumina and Bauxite - Q&amp;V'!$H$10:$H$252,LEFT('Q&amp;V FY 2003-04 to Now'!AS$9,4),'Alumina and Bauxite - Q&amp;V'!$I$10:$I$252,4)+
SUMIFS('Alumina and Bauxite - Q&amp;V'!$C$10:$C$252,'Alumina and Bauxite - Q&amp;V'!$H$10:$H$252,CONCATENATE("20",RIGHT('Q&amp;V FY 2003-04 to Now'!AS$9,2)),'Alumina and Bauxite - Q&amp;V'!$I$10:$I$252,1)+
SUMIFS('Alumina and Bauxite - Q&amp;V'!$C$10:$C$252,'Alumina and Bauxite - Q&amp;V'!$H$10:$H$252,CONCATENATE("20",RIGHT('Q&amp;V FY 2003-04 to Now'!AS$9,2)),'Alumina and Bauxite - Q&amp;V'!$I$10:$I$252,2))*1000000</f>
        <v>8211797471.9999981</v>
      </c>
      <c r="AU14" s="358">
        <f>SUMIF($C$11:AT$11,1,$C14:AT14)</f>
        <v>282351795.79000002</v>
      </c>
      <c r="AV14" s="325">
        <f>IF(COUNTIF($C14:AT14, "nfp")=0, SUMIF($C$11:AT$11,0,$C14:AT14), "nfp")</f>
        <v>115078553745.44</v>
      </c>
    </row>
    <row r="15" spans="1:48" x14ac:dyDescent="0.25">
      <c r="A15" s="327" t="s">
        <v>184</v>
      </c>
      <c r="B15" s="324" t="s">
        <v>166</v>
      </c>
      <c r="C15" s="325">
        <f>(SUMIFS('Alumina and Bauxite - Q&amp;V'!$D$10:$D$252,'Alumina and Bauxite - Q&amp;V'!$H$10:$H$252,LEFT('Q&amp;V FY 2003-04 to Now'!C$9:D$9,4),'Alumina and Bauxite - Q&amp;V'!$I$10:$I$252,3)+
SUMIFS('Alumina and Bauxite - Q&amp;V'!$D$10:$D$252,'Alumina and Bauxite - Q&amp;V'!$H$10:$H$252,LEFT('Q&amp;V FY 2003-04 to Now'!C$9:D$9,4),'Alumina and Bauxite - Q&amp;V'!$I$10:$I$252,4)+
SUMIFS('Alumina and Bauxite - Q&amp;V'!$D$10:$D$252,'Alumina and Bauxite - Q&amp;V'!$H$10:$H$252,CONCATENATE("20",RIGHT('Q&amp;V FY 2003-04 to Now'!C$9:D$9,2)),'Alumina and Bauxite - Q&amp;V'!$I$10:$I$252,1)+
SUMIFS('Alumina and Bauxite - Q&amp;V'!$D$10:$D$252,'Alumina and Bauxite - Q&amp;V'!$H$10:$H$252,CONCATENATE("20",RIGHT('Q&amp;V FY 2003-04 to Now'!C$9:D$9,2)),'Alumina and Bauxite - Q&amp;V'!$I$10:$I$252,2))*1000000</f>
        <v>0</v>
      </c>
      <c r="D15" s="325">
        <f>(SUMIFS('Alumina and Bauxite - Q&amp;V'!$E$10:$E$252,'Alumina and Bauxite - Q&amp;V'!$H$10:$H$252,LEFT('Q&amp;V FY 2003-04 to Now'!C$9,4),'Alumina and Bauxite - Q&amp;V'!$I$10:$I$252,3)+
SUMIFS('Alumina and Bauxite - Q&amp;V'!$E$10:$E$252,'Alumina and Bauxite - Q&amp;V'!$H$10:$H$252,LEFT('Q&amp;V FY 2003-04 to Now'!C$9,4),'Alumina and Bauxite - Q&amp;V'!$I$10:$I$252,4)+
SUMIFS('Alumina and Bauxite - Q&amp;V'!$E$10:$E$252,'Alumina and Bauxite - Q&amp;V'!$H$10:$H$252,CONCATENATE("20",RIGHT('Q&amp;V FY 2003-04 to Now'!C$9,2)),'Alumina and Bauxite - Q&amp;V'!$I$10:$I$252,1)+
SUMIFS('Alumina and Bauxite - Q&amp;V'!$E$10:$E$252,'Alumina and Bauxite - Q&amp;V'!$H$10:$H$252,CONCATENATE("20",RIGHT('Q&amp;V FY 2003-04 to Now'!C$9,2)),'Alumina and Bauxite - Q&amp;V'!$I$10:$I$252,2))*1000000</f>
        <v>0</v>
      </c>
      <c r="E15" s="325">
        <f>(SUMIFS('Alumina and Bauxite - Q&amp;V'!$D$10:$D$252,'Alumina and Bauxite - Q&amp;V'!$H$10:$H$252,LEFT('Q&amp;V FY 2003-04 to Now'!E$9:F$9,4),'Alumina and Bauxite - Q&amp;V'!$I$10:$I$252,3)+
SUMIFS('Alumina and Bauxite - Q&amp;V'!$D$10:$D$252,'Alumina and Bauxite - Q&amp;V'!$H$10:$H$252,LEFT('Q&amp;V FY 2003-04 to Now'!E$9:F$9,4),'Alumina and Bauxite - Q&amp;V'!$I$10:$I$252,4)+
SUMIFS('Alumina and Bauxite - Q&amp;V'!$D$10:$D$252,'Alumina and Bauxite - Q&amp;V'!$H$10:$H$252,CONCATENATE("20",RIGHT('Q&amp;V FY 2003-04 to Now'!E$9:F$9,2)),'Alumina and Bauxite - Q&amp;V'!$I$10:$I$252,1)+
SUMIFS('Alumina and Bauxite - Q&amp;V'!$D$10:$D$252,'Alumina and Bauxite - Q&amp;V'!$H$10:$H$252,CONCATENATE("20",RIGHT('Q&amp;V FY 2003-04 to Now'!E$9:F$9,2)),'Alumina and Bauxite - Q&amp;V'!$I$10:$I$252,2))*1000000</f>
        <v>0</v>
      </c>
      <c r="F15" s="325">
        <f>(SUMIFS('Alumina and Bauxite - Q&amp;V'!$E$10:$E$252,'Alumina and Bauxite - Q&amp;V'!$H$10:$H$252,LEFT('Q&amp;V FY 2003-04 to Now'!E$9,4),'Alumina and Bauxite - Q&amp;V'!$I$10:$I$252,3)+
SUMIFS('Alumina and Bauxite - Q&amp;V'!$E$10:$E$252,'Alumina and Bauxite - Q&amp;V'!$H$10:$H$252,LEFT('Q&amp;V FY 2003-04 to Now'!E$9,4),'Alumina and Bauxite - Q&amp;V'!$I$10:$I$252,4)+
SUMIFS('Alumina and Bauxite - Q&amp;V'!$E$10:$E$252,'Alumina and Bauxite - Q&amp;V'!$H$10:$H$252,CONCATENATE("20",RIGHT('Q&amp;V FY 2003-04 to Now'!E$9,2)),'Alumina and Bauxite - Q&amp;V'!$I$10:$I$252,1)+
SUMIFS('Alumina and Bauxite - Q&amp;V'!$E$10:$E$252,'Alumina and Bauxite - Q&amp;V'!$H$10:$H$252,CONCATENATE("20",RIGHT('Q&amp;V FY 2003-04 to Now'!E$9,2)),'Alumina and Bauxite - Q&amp;V'!$I$10:$I$252,2))*1000000</f>
        <v>0</v>
      </c>
      <c r="G15" s="325">
        <f>(SUMIFS('Alumina and Bauxite - Q&amp;V'!$D$10:$D$252,'Alumina and Bauxite - Q&amp;V'!$H$10:$H$252,LEFT('Q&amp;V FY 2003-04 to Now'!G$9:H$9,4),'Alumina and Bauxite - Q&amp;V'!$I$10:$I$252,3)+
SUMIFS('Alumina and Bauxite - Q&amp;V'!$D$10:$D$252,'Alumina and Bauxite - Q&amp;V'!$H$10:$H$252,LEFT('Q&amp;V FY 2003-04 to Now'!G$9:H$9,4),'Alumina and Bauxite - Q&amp;V'!$I$10:$I$252,4)+
SUMIFS('Alumina and Bauxite - Q&amp;V'!$D$10:$D$252,'Alumina and Bauxite - Q&amp;V'!$H$10:$H$252,CONCATENATE("20",RIGHT('Q&amp;V FY 2003-04 to Now'!G$9:H$9,2)),'Alumina and Bauxite - Q&amp;V'!$I$10:$I$252,1)+
SUMIFS('Alumina and Bauxite - Q&amp;V'!$D$10:$D$252,'Alumina and Bauxite - Q&amp;V'!$H$10:$H$252,CONCATENATE("20",RIGHT('Q&amp;V FY 2003-04 to Now'!G$9:H$9,2)),'Alumina and Bauxite - Q&amp;V'!$I$10:$I$252,2))*1000000</f>
        <v>0</v>
      </c>
      <c r="H15" s="325">
        <f>(SUMIFS('Alumina and Bauxite - Q&amp;V'!$E$10:$E$252,'Alumina and Bauxite - Q&amp;V'!$H$10:$H$252,LEFT('Q&amp;V FY 2003-04 to Now'!G$9,4),'Alumina and Bauxite - Q&amp;V'!$I$10:$I$252,3)+
SUMIFS('Alumina and Bauxite - Q&amp;V'!$E$10:$E$252,'Alumina and Bauxite - Q&amp;V'!$H$10:$H$252,LEFT('Q&amp;V FY 2003-04 to Now'!G$9,4),'Alumina and Bauxite - Q&amp;V'!$I$10:$I$252,4)+
SUMIFS('Alumina and Bauxite - Q&amp;V'!$E$10:$E$252,'Alumina and Bauxite - Q&amp;V'!$H$10:$H$252,CONCATENATE("20",RIGHT('Q&amp;V FY 2003-04 to Now'!G$9,2)),'Alumina and Bauxite - Q&amp;V'!$I$10:$I$252,1)+
SUMIFS('Alumina and Bauxite - Q&amp;V'!$E$10:$E$252,'Alumina and Bauxite - Q&amp;V'!$H$10:$H$252,CONCATENATE("20",RIGHT('Q&amp;V FY 2003-04 to Now'!G$9,2)),'Alumina and Bauxite - Q&amp;V'!$I$10:$I$252,2))*1000000</f>
        <v>0</v>
      </c>
      <c r="I15" s="325">
        <f>(SUMIFS('Alumina and Bauxite - Q&amp;V'!$D$10:$D$252,'Alumina and Bauxite - Q&amp;V'!$H$10:$H$252,LEFT('Q&amp;V FY 2003-04 to Now'!I$9:J$9,4),'Alumina and Bauxite - Q&amp;V'!$I$10:$I$252,3)+
SUMIFS('Alumina and Bauxite - Q&amp;V'!$D$10:$D$252,'Alumina and Bauxite - Q&amp;V'!$H$10:$H$252,LEFT('Q&amp;V FY 2003-04 to Now'!I$9:J$9,4),'Alumina and Bauxite - Q&amp;V'!$I$10:$I$252,4)+
SUMIFS('Alumina and Bauxite - Q&amp;V'!$D$10:$D$252,'Alumina and Bauxite - Q&amp;V'!$H$10:$H$252,CONCATENATE("20",RIGHT('Q&amp;V FY 2003-04 to Now'!I$9:J$9,2)),'Alumina and Bauxite - Q&amp;V'!$I$10:$I$252,1)+
SUMIFS('Alumina and Bauxite - Q&amp;V'!$D$10:$D$252,'Alumina and Bauxite - Q&amp;V'!$H$10:$H$252,CONCATENATE("20",RIGHT('Q&amp;V FY 2003-04 to Now'!I$9:J$9,2)),'Alumina and Bauxite - Q&amp;V'!$I$10:$I$252,2))*1000000</f>
        <v>0</v>
      </c>
      <c r="J15" s="325">
        <f>(SUMIFS('Alumina and Bauxite - Q&amp;V'!$E$10:$E$252,'Alumina and Bauxite - Q&amp;V'!$H$10:$H$252,LEFT('Q&amp;V FY 2003-04 to Now'!I$9,4),'Alumina and Bauxite - Q&amp;V'!$I$10:$I$252,3)+
SUMIFS('Alumina and Bauxite - Q&amp;V'!$E$10:$E$252,'Alumina and Bauxite - Q&amp;V'!$H$10:$H$252,LEFT('Q&amp;V FY 2003-04 to Now'!I$9,4),'Alumina and Bauxite - Q&amp;V'!$I$10:$I$252,4)+
SUMIFS('Alumina and Bauxite - Q&amp;V'!$E$10:$E$252,'Alumina and Bauxite - Q&amp;V'!$H$10:$H$252,CONCATENATE("20",RIGHT('Q&amp;V FY 2003-04 to Now'!I$9,2)),'Alumina and Bauxite - Q&amp;V'!$I$10:$I$252,1)+
SUMIFS('Alumina and Bauxite - Q&amp;V'!$E$10:$E$252,'Alumina and Bauxite - Q&amp;V'!$H$10:$H$252,CONCATENATE("20",RIGHT('Q&amp;V FY 2003-04 to Now'!I$9,2)),'Alumina and Bauxite - Q&amp;V'!$I$10:$I$252,2))*1000000</f>
        <v>0</v>
      </c>
      <c r="K15" s="325">
        <f>(SUMIFS('Alumina and Bauxite - Q&amp;V'!$D$10:$D$252,'Alumina and Bauxite - Q&amp;V'!$H$10:$H$252,LEFT('Q&amp;V FY 2003-04 to Now'!K$9:L$9,4),'Alumina and Bauxite - Q&amp;V'!$I$10:$I$252,3)+
SUMIFS('Alumina and Bauxite - Q&amp;V'!$D$10:$D$252,'Alumina and Bauxite - Q&amp;V'!$H$10:$H$252,LEFT('Q&amp;V FY 2003-04 to Now'!K$9:L$9,4),'Alumina and Bauxite - Q&amp;V'!$I$10:$I$252,4)+
SUMIFS('Alumina and Bauxite - Q&amp;V'!$D$10:$D$252,'Alumina and Bauxite - Q&amp;V'!$H$10:$H$252,CONCATENATE("20",RIGHT('Q&amp;V FY 2003-04 to Now'!K$9:L$9,2)),'Alumina and Bauxite - Q&amp;V'!$I$10:$I$252,1)+
SUMIFS('Alumina and Bauxite - Q&amp;V'!$D$10:$D$252,'Alumina and Bauxite - Q&amp;V'!$H$10:$H$252,CONCATENATE("20",RIGHT('Q&amp;V FY 2003-04 to Now'!K$9:L$9,2)),'Alumina and Bauxite - Q&amp;V'!$I$10:$I$252,2))*1000000</f>
        <v>0</v>
      </c>
      <c r="L15" s="325">
        <f>(SUMIFS('Alumina and Bauxite - Q&amp;V'!$E$10:$E$252,'Alumina and Bauxite - Q&amp;V'!$H$10:$H$252,LEFT('Q&amp;V FY 2003-04 to Now'!K$9,4),'Alumina and Bauxite - Q&amp;V'!$I$10:$I$252,3)+
SUMIFS('Alumina and Bauxite - Q&amp;V'!$E$10:$E$252,'Alumina and Bauxite - Q&amp;V'!$H$10:$H$252,LEFT('Q&amp;V FY 2003-04 to Now'!K$9,4),'Alumina and Bauxite - Q&amp;V'!$I$10:$I$252,4)+
SUMIFS('Alumina and Bauxite - Q&amp;V'!$E$10:$E$252,'Alumina and Bauxite - Q&amp;V'!$H$10:$H$252,CONCATENATE("20",RIGHT('Q&amp;V FY 2003-04 to Now'!K$9,2)),'Alumina and Bauxite - Q&amp;V'!$I$10:$I$252,1)+
SUMIFS('Alumina and Bauxite - Q&amp;V'!$E$10:$E$252,'Alumina and Bauxite - Q&amp;V'!$H$10:$H$252,CONCATENATE("20",RIGHT('Q&amp;V FY 2003-04 to Now'!K$9,2)),'Alumina and Bauxite - Q&amp;V'!$I$10:$I$252,2))*1000000</f>
        <v>0</v>
      </c>
      <c r="M15" s="325">
        <f>(SUMIFS('Alumina and Bauxite - Q&amp;V'!$D$10:$D$252,'Alumina and Bauxite - Q&amp;V'!$H$10:$H$252,LEFT('Q&amp;V FY 2003-04 to Now'!M$9:N$9,4),'Alumina and Bauxite - Q&amp;V'!$I$10:$I$252,3)+
SUMIFS('Alumina and Bauxite - Q&amp;V'!$D$10:$D$252,'Alumina and Bauxite - Q&amp;V'!$H$10:$H$252,LEFT('Q&amp;V FY 2003-04 to Now'!M$9:N$9,4),'Alumina and Bauxite - Q&amp;V'!$I$10:$I$252,4)+
SUMIFS('Alumina and Bauxite - Q&amp;V'!$D$10:$D$252,'Alumina and Bauxite - Q&amp;V'!$H$10:$H$252,CONCATENATE("20",RIGHT('Q&amp;V FY 2003-04 to Now'!M$9:N$9,2)),'Alumina and Bauxite - Q&amp;V'!$I$10:$I$252,1)+
SUMIFS('Alumina and Bauxite - Q&amp;V'!$D$10:$D$252,'Alumina and Bauxite - Q&amp;V'!$H$10:$H$252,CONCATENATE("20",RIGHT('Q&amp;V FY 2003-04 to Now'!M$9:N$9,2)),'Alumina and Bauxite - Q&amp;V'!$I$10:$I$252,2))*1000000</f>
        <v>0</v>
      </c>
      <c r="N15" s="325">
        <f>(SUMIFS('Alumina and Bauxite - Q&amp;V'!$E$10:$E$252,'Alumina and Bauxite - Q&amp;V'!$H$10:$H$252,LEFT('Q&amp;V FY 2003-04 to Now'!M$9,4),'Alumina and Bauxite - Q&amp;V'!$I$10:$I$252,3)+
SUMIFS('Alumina and Bauxite - Q&amp;V'!$E$10:$E$252,'Alumina and Bauxite - Q&amp;V'!$H$10:$H$252,LEFT('Q&amp;V FY 2003-04 to Now'!M$9,4),'Alumina and Bauxite - Q&amp;V'!$I$10:$I$252,4)+
SUMIFS('Alumina and Bauxite - Q&amp;V'!$E$10:$E$252,'Alumina and Bauxite - Q&amp;V'!$H$10:$H$252,CONCATENATE("20",RIGHT('Q&amp;V FY 2003-04 to Now'!M$9,2)),'Alumina and Bauxite - Q&amp;V'!$I$10:$I$252,1)+
SUMIFS('Alumina and Bauxite - Q&amp;V'!$E$10:$E$252,'Alumina and Bauxite - Q&amp;V'!$H$10:$H$252,CONCATENATE("20",RIGHT('Q&amp;V FY 2003-04 to Now'!M$9,2)),'Alumina and Bauxite - Q&amp;V'!$I$10:$I$252,2))*1000000</f>
        <v>0</v>
      </c>
      <c r="O15" s="325">
        <f>(SUMIFS('Alumina and Bauxite - Q&amp;V'!$D$10:$D$252,'Alumina and Bauxite - Q&amp;V'!$H$10:$H$252,LEFT('Q&amp;V FY 2003-04 to Now'!O$9:P$9,4),'Alumina and Bauxite - Q&amp;V'!$I$10:$I$252,3)+
SUMIFS('Alumina and Bauxite - Q&amp;V'!$D$10:$D$252,'Alumina and Bauxite - Q&amp;V'!$H$10:$H$252,LEFT('Q&amp;V FY 2003-04 to Now'!O$9:P$9,4),'Alumina and Bauxite - Q&amp;V'!$I$10:$I$252,4)+
SUMIFS('Alumina and Bauxite - Q&amp;V'!$D$10:$D$252,'Alumina and Bauxite - Q&amp;V'!$H$10:$H$252,CONCATENATE("20",RIGHT('Q&amp;V FY 2003-04 to Now'!O$9:P$9,2)),'Alumina and Bauxite - Q&amp;V'!$I$10:$I$252,1)+
SUMIFS('Alumina and Bauxite - Q&amp;V'!$D$10:$D$252,'Alumina and Bauxite - Q&amp;V'!$H$10:$H$252,CONCATENATE("20",RIGHT('Q&amp;V FY 2003-04 to Now'!O$9:P$9,2)),'Alumina and Bauxite - Q&amp;V'!$I$10:$I$252,2))*1000000</f>
        <v>0</v>
      </c>
      <c r="P15" s="325">
        <f>(SUMIFS('Alumina and Bauxite - Q&amp;V'!$E$10:$E$252,'Alumina and Bauxite - Q&amp;V'!$H$10:$H$252,LEFT('Q&amp;V FY 2003-04 to Now'!O$9,4),'Alumina and Bauxite - Q&amp;V'!$I$10:$I$252,3)+
SUMIFS('Alumina and Bauxite - Q&amp;V'!$E$10:$E$252,'Alumina and Bauxite - Q&amp;V'!$H$10:$H$252,LEFT('Q&amp;V FY 2003-04 to Now'!O$9,4),'Alumina and Bauxite - Q&amp;V'!$I$10:$I$252,4)+
SUMIFS('Alumina and Bauxite - Q&amp;V'!$E$10:$E$252,'Alumina and Bauxite - Q&amp;V'!$H$10:$H$252,CONCATENATE("20",RIGHT('Q&amp;V FY 2003-04 to Now'!O$9,2)),'Alumina and Bauxite - Q&amp;V'!$I$10:$I$252,1)+
SUMIFS('Alumina and Bauxite - Q&amp;V'!$E$10:$E$252,'Alumina and Bauxite - Q&amp;V'!$H$10:$H$252,CONCATENATE("20",RIGHT('Q&amp;V FY 2003-04 to Now'!O$9,2)),'Alumina and Bauxite - Q&amp;V'!$I$10:$I$252,2))*1000000</f>
        <v>0</v>
      </c>
      <c r="Q15" s="325">
        <f>(SUMIFS('Alumina and Bauxite - Q&amp;V'!$D$10:$D$252,'Alumina and Bauxite - Q&amp;V'!$H$10:$H$252,LEFT('Q&amp;V FY 2003-04 to Now'!Q$9:R$9,4),'Alumina and Bauxite - Q&amp;V'!$I$10:$I$252,3)+
SUMIFS('Alumina and Bauxite - Q&amp;V'!$D$10:$D$252,'Alumina and Bauxite - Q&amp;V'!$H$10:$H$252,LEFT('Q&amp;V FY 2003-04 to Now'!Q$9:R$9,4),'Alumina and Bauxite - Q&amp;V'!$I$10:$I$252,4)+
SUMIFS('Alumina and Bauxite - Q&amp;V'!$D$10:$D$252,'Alumina and Bauxite - Q&amp;V'!$H$10:$H$252,CONCATENATE("20",RIGHT('Q&amp;V FY 2003-04 to Now'!Q$9:R$9,2)),'Alumina and Bauxite - Q&amp;V'!$I$10:$I$252,1)+
SUMIFS('Alumina and Bauxite - Q&amp;V'!$D$10:$D$252,'Alumina and Bauxite - Q&amp;V'!$H$10:$H$252,CONCATENATE("20",RIGHT('Q&amp;V FY 2003-04 to Now'!Q$9:R$9,2)),'Alumina and Bauxite - Q&amp;V'!$I$10:$I$252,2))*1000000</f>
        <v>0</v>
      </c>
      <c r="R15" s="325">
        <f>(SUMIFS('Alumina and Bauxite - Q&amp;V'!$E$10:$E$252,'Alumina and Bauxite - Q&amp;V'!$H$10:$H$252,LEFT('Q&amp;V FY 2003-04 to Now'!Q$9,4),'Alumina and Bauxite - Q&amp;V'!$I$10:$I$252,3)+
SUMIFS('Alumina and Bauxite - Q&amp;V'!$E$10:$E$252,'Alumina and Bauxite - Q&amp;V'!$H$10:$H$252,LEFT('Q&amp;V FY 2003-04 to Now'!Q$9,4),'Alumina and Bauxite - Q&amp;V'!$I$10:$I$252,4)+
SUMIFS('Alumina and Bauxite - Q&amp;V'!$E$10:$E$252,'Alumina and Bauxite - Q&amp;V'!$H$10:$H$252,CONCATENATE("20",RIGHT('Q&amp;V FY 2003-04 to Now'!Q$9,2)),'Alumina and Bauxite - Q&amp;V'!$I$10:$I$252,1)+
SUMIFS('Alumina and Bauxite - Q&amp;V'!$E$10:$E$252,'Alumina and Bauxite - Q&amp;V'!$H$10:$H$252,CONCATENATE("20",RIGHT('Q&amp;V FY 2003-04 to Now'!Q$9,2)),'Alumina and Bauxite - Q&amp;V'!$I$10:$I$252,2))*1000000</f>
        <v>0</v>
      </c>
      <c r="S15" s="325">
        <f>(SUMIFS('Alumina and Bauxite - Q&amp;V'!$D$10:$D$252,'Alumina and Bauxite - Q&amp;V'!$H$10:$H$252,LEFT('Q&amp;V FY 2003-04 to Now'!S$9:T$9,4),'Alumina and Bauxite - Q&amp;V'!$I$10:$I$252,3)+
SUMIFS('Alumina and Bauxite - Q&amp;V'!$D$10:$D$252,'Alumina and Bauxite - Q&amp;V'!$H$10:$H$252,LEFT('Q&amp;V FY 2003-04 to Now'!S$9:T$9,4),'Alumina and Bauxite - Q&amp;V'!$I$10:$I$252,4)+
SUMIFS('Alumina and Bauxite - Q&amp;V'!$D$10:$D$252,'Alumina and Bauxite - Q&amp;V'!$H$10:$H$252,CONCATENATE("20",RIGHT('Q&amp;V FY 2003-04 to Now'!S$9:T$9,2)),'Alumina and Bauxite - Q&amp;V'!$I$10:$I$252,1)+
SUMIFS('Alumina and Bauxite - Q&amp;V'!$D$10:$D$252,'Alumina and Bauxite - Q&amp;V'!$H$10:$H$252,CONCATENATE("20",RIGHT('Q&amp;V FY 2003-04 to Now'!S$9:T$9,2)),'Alumina and Bauxite - Q&amp;V'!$I$10:$I$252,2))*1000000</f>
        <v>0</v>
      </c>
      <c r="T15" s="325">
        <f>(SUMIFS('Alumina and Bauxite - Q&amp;V'!$E$10:$E$252,'Alumina and Bauxite - Q&amp;V'!$H$10:$H$252,LEFT('Q&amp;V FY 2003-04 to Now'!S$9,4),'Alumina and Bauxite - Q&amp;V'!$I$10:$I$252,3)+
SUMIFS('Alumina and Bauxite - Q&amp;V'!$E$10:$E$252,'Alumina and Bauxite - Q&amp;V'!$H$10:$H$252,LEFT('Q&amp;V FY 2003-04 to Now'!S$9,4),'Alumina and Bauxite - Q&amp;V'!$I$10:$I$252,4)+
SUMIFS('Alumina and Bauxite - Q&amp;V'!$E$10:$E$252,'Alumina and Bauxite - Q&amp;V'!$H$10:$H$252,CONCATENATE("20",RIGHT('Q&amp;V FY 2003-04 to Now'!S$9,2)),'Alumina and Bauxite - Q&amp;V'!$I$10:$I$252,1)+
SUMIFS('Alumina and Bauxite - Q&amp;V'!$E$10:$E$252,'Alumina and Bauxite - Q&amp;V'!$H$10:$H$252,CONCATENATE("20",RIGHT('Q&amp;V FY 2003-04 to Now'!S$9,2)),'Alumina and Bauxite - Q&amp;V'!$I$10:$I$252,2))*1000000</f>
        <v>0</v>
      </c>
      <c r="U15" s="325">
        <f>(SUMIFS('Alumina and Bauxite - Q&amp;V'!$D$10:$D$252,'Alumina and Bauxite - Q&amp;V'!$H$10:$H$252,LEFT('Q&amp;V FY 2003-04 to Now'!U$9:V$9,4),'Alumina and Bauxite - Q&amp;V'!$I$10:$I$252,3)+
SUMIFS('Alumina and Bauxite - Q&amp;V'!$D$10:$D$252,'Alumina and Bauxite - Q&amp;V'!$H$10:$H$252,LEFT('Q&amp;V FY 2003-04 to Now'!U$9:V$9,4),'Alumina and Bauxite - Q&amp;V'!$I$10:$I$252,4)+
SUMIFS('Alumina and Bauxite - Q&amp;V'!$D$10:$D$252,'Alumina and Bauxite - Q&amp;V'!$H$10:$H$252,CONCATENATE("20",RIGHT('Q&amp;V FY 2003-04 to Now'!U$9:V$9,2)),'Alumina and Bauxite - Q&amp;V'!$I$10:$I$252,1)+
SUMIFS('Alumina and Bauxite - Q&amp;V'!$D$10:$D$252,'Alumina and Bauxite - Q&amp;V'!$H$10:$H$252,CONCATENATE("20",RIGHT('Q&amp;V FY 2003-04 to Now'!U$9:V$9,2)),'Alumina and Bauxite - Q&amp;V'!$I$10:$I$252,2))*1000000</f>
        <v>0</v>
      </c>
      <c r="V15" s="325">
        <f>(SUMIFS('Alumina and Bauxite - Q&amp;V'!$E$10:$E$252,'Alumina and Bauxite - Q&amp;V'!$H$10:$H$252,LEFT('Q&amp;V FY 2003-04 to Now'!U$9,4),'Alumina and Bauxite - Q&amp;V'!$I$10:$I$252,3)+
SUMIFS('Alumina and Bauxite - Q&amp;V'!$E$10:$E$252,'Alumina and Bauxite - Q&amp;V'!$H$10:$H$252,LEFT('Q&amp;V FY 2003-04 to Now'!U$9,4),'Alumina and Bauxite - Q&amp;V'!$I$10:$I$252,4)+
SUMIFS('Alumina and Bauxite - Q&amp;V'!$E$10:$E$252,'Alumina and Bauxite - Q&amp;V'!$H$10:$H$252,CONCATENATE("20",RIGHT('Q&amp;V FY 2003-04 to Now'!U$9,2)),'Alumina and Bauxite - Q&amp;V'!$I$10:$I$252,1)+
SUMIFS('Alumina and Bauxite - Q&amp;V'!$E$10:$E$252,'Alumina and Bauxite - Q&amp;V'!$H$10:$H$252,CONCATENATE("20",RIGHT('Q&amp;V FY 2003-04 to Now'!U$9,2)),'Alumina and Bauxite - Q&amp;V'!$I$10:$I$252,2))*1000000</f>
        <v>0</v>
      </c>
      <c r="W15" s="325">
        <f>(SUMIFS('Alumina and Bauxite - Q&amp;V'!$D$10:$D$252,'Alumina and Bauxite - Q&amp;V'!$H$10:$H$252,LEFT('Q&amp;V FY 2003-04 to Now'!W$9:X$9,4),'Alumina and Bauxite - Q&amp;V'!$I$10:$I$252,3)+
SUMIFS('Alumina and Bauxite - Q&amp;V'!$D$10:$D$252,'Alumina and Bauxite - Q&amp;V'!$H$10:$H$252,LEFT('Q&amp;V FY 2003-04 to Now'!W$9:X$9,4),'Alumina and Bauxite - Q&amp;V'!$I$10:$I$252,4)+
SUMIFS('Alumina and Bauxite - Q&amp;V'!$D$10:$D$252,'Alumina and Bauxite - Q&amp;V'!$H$10:$H$252,CONCATENATE("20",RIGHT('Q&amp;V FY 2003-04 to Now'!W$9:X$9,2)),'Alumina and Bauxite - Q&amp;V'!$I$10:$I$252,1)+
SUMIFS('Alumina and Bauxite - Q&amp;V'!$D$10:$D$252,'Alumina and Bauxite - Q&amp;V'!$H$10:$H$252,CONCATENATE("20",RIGHT('Q&amp;V FY 2003-04 to Now'!W$9:X$9,2)),'Alumina and Bauxite - Q&amp;V'!$I$10:$I$252,2))*1000000</f>
        <v>0</v>
      </c>
      <c r="X15" s="325">
        <f>(SUMIFS('Alumina and Bauxite - Q&amp;V'!$E$10:$E$252,'Alumina and Bauxite - Q&amp;V'!$H$10:$H$252,LEFT('Q&amp;V FY 2003-04 to Now'!W$9,4),'Alumina and Bauxite - Q&amp;V'!$I$10:$I$252,3)+
SUMIFS('Alumina and Bauxite - Q&amp;V'!$E$10:$E$252,'Alumina and Bauxite - Q&amp;V'!$H$10:$H$252,LEFT('Q&amp;V FY 2003-04 to Now'!W$9,4),'Alumina and Bauxite - Q&amp;V'!$I$10:$I$252,4)+
SUMIFS('Alumina and Bauxite - Q&amp;V'!$E$10:$E$252,'Alumina and Bauxite - Q&amp;V'!$H$10:$H$252,CONCATENATE("20",RIGHT('Q&amp;V FY 2003-04 to Now'!W$9,2)),'Alumina and Bauxite - Q&amp;V'!$I$10:$I$252,1)+
SUMIFS('Alumina and Bauxite - Q&amp;V'!$E$10:$E$252,'Alumina and Bauxite - Q&amp;V'!$H$10:$H$252,CONCATENATE("20",RIGHT('Q&amp;V FY 2003-04 to Now'!W$9,2)),'Alumina and Bauxite - Q&amp;V'!$I$10:$I$252,2))*1000000</f>
        <v>0</v>
      </c>
      <c r="Y15" s="325">
        <f>(SUMIFS('Alumina and Bauxite - Q&amp;V'!$D$10:$D$252,'Alumina and Bauxite - Q&amp;V'!$H$10:$H$252,LEFT('Q&amp;V FY 2003-04 to Now'!Y$9:Z$9,4),'Alumina and Bauxite - Q&amp;V'!$I$10:$I$252,3)+
SUMIFS('Alumina and Bauxite - Q&amp;V'!$D$10:$D$252,'Alumina and Bauxite - Q&amp;V'!$H$10:$H$252,LEFT('Q&amp;V FY 2003-04 to Now'!Y$9:Z$9,4),'Alumina and Bauxite - Q&amp;V'!$I$10:$I$252,4)+
SUMIFS('Alumina and Bauxite - Q&amp;V'!$D$10:$D$252,'Alumina and Bauxite - Q&amp;V'!$H$10:$H$252,CONCATENATE("20",RIGHT('Q&amp;V FY 2003-04 to Now'!Y$9:Z$9,2)),'Alumina and Bauxite - Q&amp;V'!$I$10:$I$252,1)+
SUMIFS('Alumina and Bauxite - Q&amp;V'!$D$10:$D$252,'Alumina and Bauxite - Q&amp;V'!$H$10:$H$252,CONCATENATE("20",RIGHT('Q&amp;V FY 2003-04 to Now'!Y$9:Z$9,2)),'Alumina and Bauxite - Q&amp;V'!$I$10:$I$252,2))*1000000</f>
        <v>0</v>
      </c>
      <c r="Z15" s="325">
        <f>(SUMIFS('Alumina and Bauxite - Q&amp;V'!$E$10:$E$252,'Alumina and Bauxite - Q&amp;V'!$H$10:$H$252,LEFT('Q&amp;V FY 2003-04 to Now'!Y$9,4),'Alumina and Bauxite - Q&amp;V'!$I$10:$I$252,3)+
SUMIFS('Alumina and Bauxite - Q&amp;V'!$E$10:$E$252,'Alumina and Bauxite - Q&amp;V'!$H$10:$H$252,LEFT('Q&amp;V FY 2003-04 to Now'!Y$9,4),'Alumina and Bauxite - Q&amp;V'!$I$10:$I$252,4)+
SUMIFS('Alumina and Bauxite - Q&amp;V'!$E$10:$E$252,'Alumina and Bauxite - Q&amp;V'!$H$10:$H$252,CONCATENATE("20",RIGHT('Q&amp;V FY 2003-04 to Now'!Y$9,2)),'Alumina and Bauxite - Q&amp;V'!$I$10:$I$252,1)+
SUMIFS('Alumina and Bauxite - Q&amp;V'!$E$10:$E$252,'Alumina and Bauxite - Q&amp;V'!$H$10:$H$252,CONCATENATE("20",RIGHT('Q&amp;V FY 2003-04 to Now'!Y$9,2)),'Alumina and Bauxite - Q&amp;V'!$I$10:$I$252,2))*1000000</f>
        <v>0</v>
      </c>
      <c r="AA15" s="325">
        <f>(SUMIFS('Alumina and Bauxite - Q&amp;V'!$D$10:$D$252,'Alumina and Bauxite - Q&amp;V'!$H$10:$H$252,LEFT('Q&amp;V FY 2003-04 to Now'!AA$9:AB$9,4),'Alumina and Bauxite - Q&amp;V'!$I$10:$I$252,3)+
SUMIFS('Alumina and Bauxite - Q&amp;V'!$D$10:$D$252,'Alumina and Bauxite - Q&amp;V'!$H$10:$H$252,LEFT('Q&amp;V FY 2003-04 to Now'!AA$9:AB$9,4),'Alumina and Bauxite - Q&amp;V'!$I$10:$I$252,4)+
SUMIFS('Alumina and Bauxite - Q&amp;V'!$D$10:$D$252,'Alumina and Bauxite - Q&amp;V'!$H$10:$H$252,CONCATENATE("20",RIGHT('Q&amp;V FY 2003-04 to Now'!AA$9:AB$9,2)),'Alumina and Bauxite - Q&amp;V'!$I$10:$I$252,1)+
SUMIFS('Alumina and Bauxite - Q&amp;V'!$D$10:$D$252,'Alumina and Bauxite - Q&amp;V'!$H$10:$H$252,CONCATENATE("20",RIGHT('Q&amp;V FY 2003-04 to Now'!AA$9:AB$9,2)),'Alumina and Bauxite - Q&amp;V'!$I$10:$I$252,2))*1000000</f>
        <v>47702.999999999993</v>
      </c>
      <c r="AB15" s="325">
        <f>(SUMIFS('Alumina and Bauxite - Q&amp;V'!$E$10:$E$252,'Alumina and Bauxite - Q&amp;V'!$H$10:$H$252,LEFT('Q&amp;V FY 2003-04 to Now'!AA$9,4),'Alumina and Bauxite - Q&amp;V'!$I$10:$I$252,3)+
SUMIFS('Alumina and Bauxite - Q&amp;V'!$E$10:$E$252,'Alumina and Bauxite - Q&amp;V'!$H$10:$H$252,LEFT('Q&amp;V FY 2003-04 to Now'!AA$9,4),'Alumina and Bauxite - Q&amp;V'!$I$10:$I$252,4)+
SUMIFS('Alumina and Bauxite - Q&amp;V'!$E$10:$E$252,'Alumina and Bauxite - Q&amp;V'!$H$10:$H$252,CONCATENATE("20",RIGHT('Q&amp;V FY 2003-04 to Now'!AA$9,2)),'Alumina and Bauxite - Q&amp;V'!$I$10:$I$252,1)+
SUMIFS('Alumina and Bauxite - Q&amp;V'!$E$10:$E$252,'Alumina and Bauxite - Q&amp;V'!$H$10:$H$252,CONCATENATE("20",RIGHT('Q&amp;V FY 2003-04 to Now'!AA$9,2)),'Alumina and Bauxite - Q&amp;V'!$I$10:$I$252,2))*1000000</f>
        <v>1952600</v>
      </c>
      <c r="AC15" s="325">
        <f>(SUMIFS('Alumina and Bauxite - Q&amp;V'!$D$10:$D$252,'Alumina and Bauxite - Q&amp;V'!$H$10:$H$252,LEFT('Q&amp;V FY 2003-04 to Now'!AC$9:AD$9,4),'Alumina and Bauxite - Q&amp;V'!$I$10:$I$252,3)+
SUMIFS('Alumina and Bauxite - Q&amp;V'!$D$10:$D$252,'Alumina and Bauxite - Q&amp;V'!$H$10:$H$252,LEFT('Q&amp;V FY 2003-04 to Now'!AC$9:AD$9,4),'Alumina and Bauxite - Q&amp;V'!$I$10:$I$252,4)+
SUMIFS('Alumina and Bauxite - Q&amp;V'!$D$10:$D$252,'Alumina and Bauxite - Q&amp;V'!$H$10:$H$252,CONCATENATE("20",RIGHT('Q&amp;V FY 2003-04 to Now'!AC$9:AD$9,2)),'Alumina and Bauxite - Q&amp;V'!$I$10:$I$252,1)+
SUMIFS('Alumina and Bauxite - Q&amp;V'!$D$10:$D$252,'Alumina and Bauxite - Q&amp;V'!$H$10:$H$252,CONCATENATE("20",RIGHT('Q&amp;V FY 2003-04 to Now'!AC$9:AD$9,2)),'Alumina and Bauxite - Q&amp;V'!$I$10:$I$252,2))*1000000</f>
        <v>310340.53000000003</v>
      </c>
      <c r="AD15" s="325">
        <f>(SUMIFS('Alumina and Bauxite - Q&amp;V'!$E$10:$E$252,'Alumina and Bauxite - Q&amp;V'!$H$10:$H$252,LEFT('Q&amp;V FY 2003-04 to Now'!AC$9,4),'Alumina and Bauxite - Q&amp;V'!$I$10:$I$252,3)+
SUMIFS('Alumina and Bauxite - Q&amp;V'!$E$10:$E$252,'Alumina and Bauxite - Q&amp;V'!$H$10:$H$252,LEFT('Q&amp;V FY 2003-04 to Now'!AC$9,4),'Alumina and Bauxite - Q&amp;V'!$I$10:$I$252,4)+
SUMIFS('Alumina and Bauxite - Q&amp;V'!$E$10:$E$252,'Alumina and Bauxite - Q&amp;V'!$H$10:$H$252,CONCATENATE("20",RIGHT('Q&amp;V FY 2003-04 to Now'!AC$9,2)),'Alumina and Bauxite - Q&amp;V'!$I$10:$I$252,1)+
SUMIFS('Alumina and Bauxite - Q&amp;V'!$E$10:$E$252,'Alumina and Bauxite - Q&amp;V'!$H$10:$H$252,CONCATENATE("20",RIGHT('Q&amp;V FY 2003-04 to Now'!AC$9,2)),'Alumina and Bauxite - Q&amp;V'!$I$10:$I$252,2))*1000000</f>
        <v>14563469</v>
      </c>
      <c r="AE15" s="358">
        <f>(SUMIFS('Alumina and Bauxite - Q&amp;V'!$D$10:$D$252,'Alumina and Bauxite - Q&amp;V'!$H$10:$H$252,LEFT('Q&amp;V FY 2003-04 to Now'!AE$9:AF$9,4),'Alumina and Bauxite - Q&amp;V'!$I$10:$I$252,3)+
SUMIFS('Alumina and Bauxite - Q&amp;V'!$D$10:$D$252,'Alumina and Bauxite - Q&amp;V'!$H$10:$H$252,LEFT('Q&amp;V FY 2003-04 to Now'!AE$9:AF$9,4),'Alumina and Bauxite - Q&amp;V'!$I$10:$I$252,4)+
SUMIFS('Alumina and Bauxite - Q&amp;V'!$D$10:$D$252,'Alumina and Bauxite - Q&amp;V'!$H$10:$H$252,CONCATENATE("20",RIGHT('Q&amp;V FY 2003-04 to Now'!AE$9:AF$9,2)),'Alumina and Bauxite - Q&amp;V'!$I$10:$I$252,1)+
SUMIFS('Alumina and Bauxite - Q&amp;V'!$D$10:$D$252,'Alumina and Bauxite - Q&amp;V'!$H$10:$H$252,CONCATENATE("20",RIGHT('Q&amp;V FY 2003-04 to Now'!AE$9:AF$9,2)),'Alumina and Bauxite - Q&amp;V'!$I$10:$I$252,2))*1000000</f>
        <v>1117322.69</v>
      </c>
      <c r="AF15" s="325">
        <f>(SUMIFS('Alumina and Bauxite - Q&amp;V'!$E$10:$E$252,'Alumina and Bauxite - Q&amp;V'!$H$10:$H$252,LEFT('Q&amp;V FY 2003-04 to Now'!AE$9,4),'Alumina and Bauxite - Q&amp;V'!$I$10:$I$252,3)+
SUMIFS('Alumina and Bauxite - Q&amp;V'!$E$10:$E$252,'Alumina and Bauxite - Q&amp;V'!$H$10:$H$252,LEFT('Q&amp;V FY 2003-04 to Now'!AE$9,4),'Alumina and Bauxite - Q&amp;V'!$I$10:$I$252,4)+
SUMIFS('Alumina and Bauxite - Q&amp;V'!$E$10:$E$252,'Alumina and Bauxite - Q&amp;V'!$H$10:$H$252,CONCATENATE("20",RIGHT('Q&amp;V FY 2003-04 to Now'!AE$9,2)),'Alumina and Bauxite - Q&amp;V'!$I$10:$I$252,1)+
SUMIFS('Alumina and Bauxite - Q&amp;V'!$E$10:$E$252,'Alumina and Bauxite - Q&amp;V'!$H$10:$H$252,CONCATENATE("20",RIGHT('Q&amp;V FY 2003-04 to Now'!AE$9,2)),'Alumina and Bauxite - Q&amp;V'!$I$10:$I$252,2))*1000000</f>
        <v>46704951</v>
      </c>
      <c r="AG15" s="325">
        <f>(SUMIFS('Alumina and Bauxite - Q&amp;V'!$D$10:$D$252,'Alumina and Bauxite - Q&amp;V'!$H$10:$H$252,LEFT('Q&amp;V FY 2003-04 to Now'!AG$9:AH$9,4),'Alumina and Bauxite - Q&amp;V'!$I$10:$I$252,3)+
SUMIFS('Alumina and Bauxite - Q&amp;V'!$D$10:$D$252,'Alumina and Bauxite - Q&amp;V'!$H$10:$H$252,LEFT('Q&amp;V FY 2003-04 to Now'!AG$9:AH$9,4),'Alumina and Bauxite - Q&amp;V'!$I$10:$I$252,4)+
SUMIFS('Alumina and Bauxite - Q&amp;V'!$D$10:$D$252,'Alumina and Bauxite - Q&amp;V'!$H$10:$H$252,CONCATENATE("20",RIGHT('Q&amp;V FY 2003-04 to Now'!AG$9:AH$9,2)),'Alumina and Bauxite - Q&amp;V'!$I$10:$I$252,1)+
SUMIFS('Alumina and Bauxite - Q&amp;V'!$D$10:$D$252,'Alumina and Bauxite - Q&amp;V'!$H$10:$H$252,CONCATENATE("20",RIGHT('Q&amp;V FY 2003-04 to Now'!AG$9:AH$9,2)),'Alumina and Bauxite - Q&amp;V'!$I$10:$I$252,2))*1000000</f>
        <v>1784088.4499999997</v>
      </c>
      <c r="AH15" s="326">
        <f>(SUMIFS('Alumina and Bauxite - Q&amp;V'!$E$10:$E$252,'Alumina and Bauxite - Q&amp;V'!$H$10:$H$252,LEFT('Q&amp;V FY 2003-04 to Now'!AG$9,4),'Alumina and Bauxite - Q&amp;V'!$I$10:$I$252,3)+
SUMIFS('Alumina and Bauxite - Q&amp;V'!$E$10:$E$252,'Alumina and Bauxite - Q&amp;V'!$H$10:$H$252,LEFT('Q&amp;V FY 2003-04 to Now'!AG$9,4),'Alumina and Bauxite - Q&amp;V'!$I$10:$I$252,4)+
SUMIFS('Alumina and Bauxite - Q&amp;V'!$E$10:$E$252,'Alumina and Bauxite - Q&amp;V'!$H$10:$H$252,CONCATENATE("20",RIGHT('Q&amp;V FY 2003-04 to Now'!AG$9,2)),'Alumina and Bauxite - Q&amp;V'!$I$10:$I$252,1)+
SUMIFS('Alumina and Bauxite - Q&amp;V'!$E$10:$E$252,'Alumina and Bauxite - Q&amp;V'!$H$10:$H$252,CONCATENATE("20",RIGHT('Q&amp;V FY 2003-04 to Now'!AG$9,2)),'Alumina and Bauxite - Q&amp;V'!$I$10:$I$252,2))*1000000</f>
        <v>67576671</v>
      </c>
      <c r="AI15" s="326">
        <f>(SUMIFS('Alumina and Bauxite - Q&amp;V'!$D$10:$D$252,'Alumina and Bauxite - Q&amp;V'!$H$10:$H$252,LEFT('Q&amp;V FY 2003-04 to Now'!AI$9:AJ$9,4),'Alumina and Bauxite - Q&amp;V'!$I$10:$I$252,3)+
SUMIFS('Alumina and Bauxite - Q&amp;V'!$D$10:$D$252,'Alumina and Bauxite - Q&amp;V'!$H$10:$H$252,LEFT('Q&amp;V FY 2003-04 to Now'!AI$9:AJ$9,4),'Alumina and Bauxite - Q&amp;V'!$I$10:$I$252,4)+
SUMIFS('Alumina and Bauxite - Q&amp;V'!$D$10:$D$252,'Alumina and Bauxite - Q&amp;V'!$H$10:$H$252,CONCATENATE("20",RIGHT('Q&amp;V FY 2003-04 to Now'!AI$9:AJ$9,2)),'Alumina and Bauxite - Q&amp;V'!$I$10:$I$252,1)+
SUMIFS('Alumina and Bauxite - Q&amp;V'!$D$10:$D$252,'Alumina and Bauxite - Q&amp;V'!$H$10:$H$252,CONCATENATE("20",RIGHT('Q&amp;V FY 2003-04 to Now'!AI$9:AJ$9,2)),'Alumina and Bauxite - Q&amp;V'!$I$10:$I$252,2))*1000000</f>
        <v>1788843.2100000002</v>
      </c>
      <c r="AJ15" s="326">
        <f>(SUMIFS('Alumina and Bauxite - Q&amp;V'!$E$10:$E$252,'Alumina and Bauxite - Q&amp;V'!$H$10:$H$252,LEFT('Q&amp;V FY 2003-04 to Now'!AI$9,4),'Alumina and Bauxite - Q&amp;V'!$I$10:$I$252,3)+
SUMIFS('Alumina and Bauxite - Q&amp;V'!$E$10:$E$252,'Alumina and Bauxite - Q&amp;V'!$H$10:$H$252,LEFT('Q&amp;V FY 2003-04 to Now'!AI$9,4),'Alumina and Bauxite - Q&amp;V'!$I$10:$I$252,4)+
SUMIFS('Alumina and Bauxite - Q&amp;V'!$E$10:$E$252,'Alumina and Bauxite - Q&amp;V'!$H$10:$H$252,CONCATENATE("20",RIGHT('Q&amp;V FY 2003-04 to Now'!AI$9,2)),'Alumina and Bauxite - Q&amp;V'!$I$10:$I$252,1)+
SUMIFS('Alumina and Bauxite - Q&amp;V'!$E$10:$E$252,'Alumina and Bauxite - Q&amp;V'!$H$10:$H$252,CONCATENATE("20",RIGHT('Q&amp;V FY 2003-04 to Now'!AI$9,2)),'Alumina and Bauxite - Q&amp;V'!$I$10:$I$252,2))*1000000</f>
        <v>66830259.999999993</v>
      </c>
      <c r="AK15" s="326">
        <f>(SUMIFS('Alumina and Bauxite - Q&amp;V'!$D$10:$D$252,'Alumina and Bauxite - Q&amp;V'!$H$10:$H$252,LEFT('Q&amp;V FY 2003-04 to Now'!AK$9:AL$9,4),'Alumina and Bauxite - Q&amp;V'!$I$10:$I$252,3)+
SUMIFS('Alumina and Bauxite - Q&amp;V'!$D$10:$D$252,'Alumina and Bauxite - Q&amp;V'!$H$10:$H$252,LEFT('Q&amp;V FY 2003-04 to Now'!AK$9:AL$9,4),'Alumina and Bauxite - Q&amp;V'!$I$10:$I$252,4)+
SUMIFS('Alumina and Bauxite - Q&amp;V'!$D$10:$D$252,'Alumina and Bauxite - Q&amp;V'!$H$10:$H$252,CONCATENATE("20",RIGHT('Q&amp;V FY 2003-04 to Now'!AK$9:AL$9,2)),'Alumina and Bauxite - Q&amp;V'!$I$10:$I$252,1)+
SUMIFS('Alumina and Bauxite - Q&amp;V'!$D$10:$D$252,'Alumina and Bauxite - Q&amp;V'!$H$10:$H$252,CONCATENATE("20",RIGHT('Q&amp;V FY 2003-04 to Now'!AK$9:AL$9,2)),'Alumina and Bauxite - Q&amp;V'!$I$10:$I$252,2))*1000000</f>
        <v>1844089.79</v>
      </c>
      <c r="AL15" s="326">
        <f>(SUMIFS('Alumina and Bauxite - Q&amp;V'!$E$10:$E$252,'Alumina and Bauxite - Q&amp;V'!$H$10:$H$252,LEFT('Q&amp;V FY 2003-04 to Now'!AK$9,4),'Alumina and Bauxite - Q&amp;V'!$I$10:$I$252,3)+
SUMIFS('Alumina and Bauxite - Q&amp;V'!$E$10:$E$252,'Alumina and Bauxite - Q&amp;V'!$H$10:$H$252,LEFT('Q&amp;V FY 2003-04 to Now'!AK$9,4),'Alumina and Bauxite - Q&amp;V'!$I$10:$I$252,4)+
SUMIFS('Alumina and Bauxite - Q&amp;V'!$E$10:$E$252,'Alumina and Bauxite - Q&amp;V'!$H$10:$H$252,CONCATENATE("20",RIGHT('Q&amp;V FY 2003-04 to Now'!AK$9,2)),'Alumina and Bauxite - Q&amp;V'!$I$10:$I$252,1)+
SUMIFS('Alumina and Bauxite - Q&amp;V'!$E$10:$E$252,'Alumina and Bauxite - Q&amp;V'!$H$10:$H$252,CONCATENATE("20",RIGHT('Q&amp;V FY 2003-04 to Now'!AK$9,2)),'Alumina and Bauxite - Q&amp;V'!$I$10:$I$252,2))*1000000</f>
        <v>58801820.999999993</v>
      </c>
      <c r="AM15" s="326">
        <f>(SUMIFS('Alumina and Bauxite - Q&amp;V'!$D$10:$D$252,'Alumina and Bauxite - Q&amp;V'!$H$10:$H$252,LEFT('Q&amp;V FY 2003-04 to Now'!AM$9:AN$9,4),'Alumina and Bauxite - Q&amp;V'!$I$10:$I$252,3)+
SUMIFS('Alumina and Bauxite - Q&amp;V'!$D$10:$D$252,'Alumina and Bauxite - Q&amp;V'!$H$10:$H$252,LEFT('Q&amp;V FY 2003-04 to Now'!AM$9:AN$9,4),'Alumina and Bauxite - Q&amp;V'!$I$10:$I$252,4)+
SUMIFS('Alumina and Bauxite - Q&amp;V'!$D$10:$D$252,'Alumina and Bauxite - Q&amp;V'!$H$10:$H$252,CONCATENATE("20",RIGHT('Q&amp;V FY 2003-04 to Now'!AM$9:AN$9,2)),'Alumina and Bauxite - Q&amp;V'!$I$10:$I$252,1)+
SUMIFS('Alumina and Bauxite - Q&amp;V'!$D$10:$D$252,'Alumina and Bauxite - Q&amp;V'!$H$10:$H$252,CONCATENATE("20",RIGHT('Q&amp;V FY 2003-04 to Now'!AM$9:AN$9,2)),'Alumina and Bauxite - Q&amp;V'!$I$10:$I$252,2))*1000000</f>
        <v>397970.22</v>
      </c>
      <c r="AN15" s="326">
        <f>(SUMIFS('Alumina and Bauxite - Q&amp;V'!$E$10:$E$252,'Alumina and Bauxite - Q&amp;V'!$H$10:$H$252,LEFT('Q&amp;V FY 2003-04 to Now'!AM$9,4),'Alumina and Bauxite - Q&amp;V'!$I$10:$I$252,3)+
SUMIFS('Alumina and Bauxite - Q&amp;V'!$E$10:$E$252,'Alumina and Bauxite - Q&amp;V'!$H$10:$H$252,LEFT('Q&amp;V FY 2003-04 to Now'!AM$9,4),'Alumina and Bauxite - Q&amp;V'!$I$10:$I$252,4)+
SUMIFS('Alumina and Bauxite - Q&amp;V'!$E$10:$E$252,'Alumina and Bauxite - Q&amp;V'!$H$10:$H$252,CONCATENATE("20",RIGHT('Q&amp;V FY 2003-04 to Now'!AM$9,2)),'Alumina and Bauxite - Q&amp;V'!$I$10:$I$252,1)+
SUMIFS('Alumina and Bauxite - Q&amp;V'!$E$10:$E$252,'Alumina and Bauxite - Q&amp;V'!$H$10:$H$252,CONCATENATE("20",RIGHT('Q&amp;V FY 2003-04 to Now'!AM$9,2)),'Alumina and Bauxite - Q&amp;V'!$I$10:$I$252,2))*1000000</f>
        <v>13530238.999999998</v>
      </c>
      <c r="AO15" s="326">
        <f>(SUMIFS('Alumina and Bauxite - Q&amp;V'!$D$10:$D$252,'Alumina and Bauxite - Q&amp;V'!$H$10:$H$252,LEFT('Q&amp;V FY 2003-04 to Now'!AO$9:AP$9,4),'Alumina and Bauxite - Q&amp;V'!$I$10:$I$252,3)+
SUMIFS('Alumina and Bauxite - Q&amp;V'!$D$10:$D$252,'Alumina and Bauxite - Q&amp;V'!$H$10:$H$252,LEFT('Q&amp;V FY 2003-04 to Now'!AO$9:AP$9,4),'Alumina and Bauxite - Q&amp;V'!$I$10:$I$252,4)+
SUMIFS('Alumina and Bauxite - Q&amp;V'!$D$10:$D$252,'Alumina and Bauxite - Q&amp;V'!$H$10:$H$252,CONCATENATE("20",RIGHT('Q&amp;V FY 2003-04 to Now'!AO$9:AP$9,2)),'Alumina and Bauxite - Q&amp;V'!$I$10:$I$252,1)+
SUMIFS('Alumina and Bauxite - Q&amp;V'!$D$10:$D$252,'Alumina and Bauxite - Q&amp;V'!$H$10:$H$252,CONCATENATE("20",RIGHT('Q&amp;V FY 2003-04 to Now'!AO$9:AP$9,2)),'Alumina and Bauxite - Q&amp;V'!$I$10:$I$252,2))*1000000</f>
        <v>0</v>
      </c>
      <c r="AP15" s="326">
        <f>(SUMIFS('Alumina and Bauxite - Q&amp;V'!$E$10:$E$252,'Alumina and Bauxite - Q&amp;V'!$H$10:$H$252,LEFT('Q&amp;V FY 2003-04 to Now'!AO$9,4),'Alumina and Bauxite - Q&amp;V'!$I$10:$I$252,3)+
SUMIFS('Alumina and Bauxite - Q&amp;V'!$E$10:$E$252,'Alumina and Bauxite - Q&amp;V'!$H$10:$H$252,LEFT('Q&amp;V FY 2003-04 to Now'!AO$9,4),'Alumina and Bauxite - Q&amp;V'!$I$10:$I$252,4)+
SUMIFS('Alumina and Bauxite - Q&amp;V'!$E$10:$E$252,'Alumina and Bauxite - Q&amp;V'!$H$10:$H$252,CONCATENATE("20",RIGHT('Q&amp;V FY 2003-04 to Now'!AO$9,2)),'Alumina and Bauxite - Q&amp;V'!$I$10:$I$252,1)+
SUMIFS('Alumina and Bauxite - Q&amp;V'!$E$10:$E$252,'Alumina and Bauxite - Q&amp;V'!$H$10:$H$252,CONCATENATE("20",RIGHT('Q&amp;V FY 2003-04 to Now'!AO$9,2)),'Alumina and Bauxite - Q&amp;V'!$I$10:$I$252,2))*1000000</f>
        <v>0</v>
      </c>
      <c r="AQ15" s="326">
        <f>(SUMIFS('Alumina and Bauxite - Q&amp;V'!$D$10:$D$252,'Alumina and Bauxite - Q&amp;V'!$H$10:$H$252,LEFT('Q&amp;V FY 2003-04 to Now'!AQ$9:AR$9,4),'Alumina and Bauxite - Q&amp;V'!$I$10:$I$252,3)+
SUMIFS('Alumina and Bauxite - Q&amp;V'!$D$10:$D$252,'Alumina and Bauxite - Q&amp;V'!$H$10:$H$252,LEFT('Q&amp;V FY 2003-04 to Now'!AQ$9:AR$9,4),'Alumina and Bauxite - Q&amp;V'!$I$10:$I$252,4)+
SUMIFS('Alumina and Bauxite - Q&amp;V'!$D$10:$D$252,'Alumina and Bauxite - Q&amp;V'!$H$10:$H$252,CONCATENATE("20",RIGHT('Q&amp;V FY 2003-04 to Now'!AQ$9:AR$9,2)),'Alumina and Bauxite - Q&amp;V'!$I$10:$I$252,1)+
SUMIFS('Alumina and Bauxite - Q&amp;V'!$D$10:$D$252,'Alumina and Bauxite - Q&amp;V'!$H$10:$H$252,CONCATENATE("20",RIGHT('Q&amp;V FY 2003-04 to Now'!AQ$9:AR$9,2)),'Alumina and Bauxite - Q&amp;V'!$I$10:$I$252,2))*1000000</f>
        <v>0</v>
      </c>
      <c r="AR15" s="326">
        <f>(SUMIFS('Alumina and Bauxite - Q&amp;V'!$E$10:$E$252,'Alumina and Bauxite - Q&amp;V'!$H$10:$H$252,LEFT('Q&amp;V FY 2003-04 to Now'!AQ$9,4),'Alumina and Bauxite - Q&amp;V'!$I$10:$I$252,3)+
SUMIFS('Alumina and Bauxite - Q&amp;V'!$E$10:$E$252,'Alumina and Bauxite - Q&amp;V'!$H$10:$H$252,LEFT('Q&amp;V FY 2003-04 to Now'!AQ$9,4),'Alumina and Bauxite - Q&amp;V'!$I$10:$I$252,4)+
SUMIFS('Alumina and Bauxite - Q&amp;V'!$E$10:$E$252,'Alumina and Bauxite - Q&amp;V'!$H$10:$H$252,CONCATENATE("20",RIGHT('Q&amp;V FY 2003-04 to Now'!AQ$9,2)),'Alumina and Bauxite - Q&amp;V'!$I$10:$I$252,1)+
SUMIFS('Alumina and Bauxite - Q&amp;V'!$E$10:$E$252,'Alumina and Bauxite - Q&amp;V'!$H$10:$H$252,CONCATENATE("20",RIGHT('Q&amp;V FY 2003-04 to Now'!AQ$9,2)),'Alumina and Bauxite - Q&amp;V'!$I$10:$I$252,2))*1000000</f>
        <v>0</v>
      </c>
      <c r="AS15" s="326">
        <f>(SUMIFS('Alumina and Bauxite - Q&amp;V'!$D$10:$D$252,'Alumina and Bauxite - Q&amp;V'!$H$10:$H$252,LEFT('Q&amp;V FY 2003-04 to Now'!AS$9:AT$9,4),'Alumina and Bauxite - Q&amp;V'!$I$10:$I$252,3)+
SUMIFS('Alumina and Bauxite - Q&amp;V'!$D$10:$D$252,'Alumina and Bauxite - Q&amp;V'!$H$10:$H$252,LEFT('Q&amp;V FY 2003-04 to Now'!AS$9:AT$9,4),'Alumina and Bauxite - Q&amp;V'!$I$10:$I$252,4)+
SUMIFS('Alumina and Bauxite - Q&amp;V'!$D$10:$D$252,'Alumina and Bauxite - Q&amp;V'!$H$10:$H$252,CONCATENATE("20",RIGHT('Q&amp;V FY 2003-04 to Now'!AS$9:AT$9,2)),'Alumina and Bauxite - Q&amp;V'!$I$10:$I$252,1)+
SUMIFS('Alumina and Bauxite - Q&amp;V'!$D$10:$D$252,'Alumina and Bauxite - Q&amp;V'!$H$10:$H$252,CONCATENATE("20",RIGHT('Q&amp;V FY 2003-04 to Now'!AS$9:AT$9,2)),'Alumina and Bauxite - Q&amp;V'!$I$10:$I$252,2))*1000000</f>
        <v>0</v>
      </c>
      <c r="AT15" s="326">
        <f>(SUMIFS('Alumina and Bauxite - Q&amp;V'!$E$10:$E$252,'Alumina and Bauxite - Q&amp;V'!$H$10:$H$252,LEFT('Q&amp;V FY 2003-04 to Now'!AS$9,4),'Alumina and Bauxite - Q&amp;V'!$I$10:$I$252,3)+
SUMIFS('Alumina and Bauxite - Q&amp;V'!$E$10:$E$252,'Alumina and Bauxite - Q&amp;V'!$H$10:$H$252,LEFT('Q&amp;V FY 2003-04 to Now'!AS$9,4),'Alumina and Bauxite - Q&amp;V'!$I$10:$I$252,4)+
SUMIFS('Alumina and Bauxite - Q&amp;V'!$E$10:$E$252,'Alumina and Bauxite - Q&amp;V'!$H$10:$H$252,CONCATENATE("20",RIGHT('Q&amp;V FY 2003-04 to Now'!AS$9,2)),'Alumina and Bauxite - Q&amp;V'!$I$10:$I$252,1)+
SUMIFS('Alumina and Bauxite - Q&amp;V'!$E$10:$E$252,'Alumina and Bauxite - Q&amp;V'!$H$10:$H$252,CONCATENATE("20",RIGHT('Q&amp;V FY 2003-04 to Now'!AS$9,2)),'Alumina and Bauxite - Q&amp;V'!$I$10:$I$252,2))*1000000</f>
        <v>0</v>
      </c>
      <c r="AU15" s="358">
        <f>SUMIF($C$11:AT$11,1,$C15:AT15)</f>
        <v>7290357.8899999997</v>
      </c>
      <c r="AV15" s="325">
        <f>IF(COUNTIF($C15:AT15, "nfp")=0, SUMIF($C$11:AT$11,0,$C15:AT15), "nfp")</f>
        <v>269960011</v>
      </c>
    </row>
    <row r="16" spans="1:48" x14ac:dyDescent="0.25">
      <c r="A16" s="328" t="s">
        <v>187</v>
      </c>
      <c r="B16" s="324"/>
      <c r="C16" s="359"/>
      <c r="D16" s="359">
        <f t="shared" ref="D16:AJ16" si="39">SUM(D14:D15)</f>
        <v>3085110024.75</v>
      </c>
      <c r="E16" s="359"/>
      <c r="F16" s="359">
        <f t="shared" si="39"/>
        <v>3430690094.5099998</v>
      </c>
      <c r="G16" s="359"/>
      <c r="H16" s="359">
        <f t="shared" si="39"/>
        <v>4152943630.5500002</v>
      </c>
      <c r="I16" s="359"/>
      <c r="J16" s="359">
        <f t="shared" si="39"/>
        <v>5151288982.46</v>
      </c>
      <c r="K16" s="359"/>
      <c r="L16" s="359">
        <f t="shared" si="39"/>
        <v>4838417453.5100002</v>
      </c>
      <c r="M16" s="359"/>
      <c r="N16" s="359">
        <f t="shared" si="39"/>
        <v>4352643950.3800001</v>
      </c>
      <c r="O16" s="359"/>
      <c r="P16" s="359">
        <f t="shared" si="39"/>
        <v>3871191801.6600003</v>
      </c>
      <c r="Q16" s="359"/>
      <c r="R16" s="359">
        <f t="shared" si="39"/>
        <v>3990376375.6199999</v>
      </c>
      <c r="S16" s="359"/>
      <c r="T16" s="359">
        <f t="shared" si="39"/>
        <v>4010219382</v>
      </c>
      <c r="U16" s="359"/>
      <c r="V16" s="359">
        <f t="shared" si="39"/>
        <v>4027810216</v>
      </c>
      <c r="W16" s="359"/>
      <c r="X16" s="359">
        <f t="shared" si="39"/>
        <v>4295348699</v>
      </c>
      <c r="Y16" s="359"/>
      <c r="Z16" s="359">
        <f t="shared" si="39"/>
        <v>5022721218</v>
      </c>
      <c r="AA16" s="359"/>
      <c r="AB16" s="359">
        <f t="shared" si="39"/>
        <v>4932703763</v>
      </c>
      <c r="AC16" s="359"/>
      <c r="AD16" s="359">
        <f t="shared" si="39"/>
        <v>5088340920</v>
      </c>
      <c r="AE16" s="359"/>
      <c r="AF16" s="359">
        <f t="shared" si="39"/>
        <v>6643480648</v>
      </c>
      <c r="AG16" s="325"/>
      <c r="AH16" s="326">
        <f t="shared" si="39"/>
        <v>8279440428.999999</v>
      </c>
      <c r="AI16" s="326"/>
      <c r="AJ16" s="326">
        <f t="shared" si="39"/>
        <v>6418600202.999999</v>
      </c>
      <c r="AK16" s="326"/>
      <c r="AL16" s="326">
        <f t="shared" ref="AL16" si="40">SUM(AL14:AL15)</f>
        <v>5568716044.999999</v>
      </c>
      <c r="AM16" s="326"/>
      <c r="AN16" s="326">
        <f t="shared" ref="AN16" si="41">SUM(AN14:AN15)</f>
        <v>6710439032</v>
      </c>
      <c r="AO16" s="326"/>
      <c r="AP16" s="326">
        <f t="shared" ref="AP16" si="42">SUM(AP14:AP15)</f>
        <v>6683755275</v>
      </c>
      <c r="AQ16" s="326"/>
      <c r="AR16" s="326">
        <f>SUM(AR14:AR15)</f>
        <v>6582478141</v>
      </c>
      <c r="AS16" s="326"/>
      <c r="AT16" s="326">
        <f>SUM(AT14:AT15)</f>
        <v>8211797471.9999981</v>
      </c>
      <c r="AU16" s="358"/>
      <c r="AV16" s="325">
        <f>IF(COUNTIF($C16:AT16, "nfp")=0, SUMIF($C$11:AT$11,0,$C16:AT16), "nfp")</f>
        <v>115348513756.44</v>
      </c>
    </row>
    <row r="17" spans="1:48" x14ac:dyDescent="0.25">
      <c r="A17" s="318"/>
      <c r="B17" s="318"/>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60"/>
      <c r="AF17" s="320"/>
      <c r="AG17" s="360"/>
      <c r="AH17" s="356"/>
      <c r="AI17" s="361"/>
      <c r="AJ17" s="356"/>
      <c r="AK17" s="356"/>
      <c r="AL17" s="356"/>
      <c r="AM17" s="356"/>
      <c r="AN17" s="356"/>
      <c r="AO17" s="356"/>
      <c r="AP17" s="356"/>
      <c r="AQ17" s="356"/>
      <c r="AR17" s="356"/>
      <c r="AS17" s="356"/>
      <c r="AT17" s="356"/>
      <c r="AU17" s="358"/>
      <c r="AV17" s="325"/>
    </row>
    <row r="18" spans="1:48" x14ac:dyDescent="0.25">
      <c r="A18" s="330" t="s">
        <v>190</v>
      </c>
      <c r="C18" s="232"/>
      <c r="D18" s="232"/>
      <c r="E18" s="232"/>
      <c r="F18" s="232"/>
      <c r="G18" s="23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362"/>
      <c r="AF18" s="232"/>
      <c r="AG18" s="363"/>
      <c r="AH18" s="232"/>
      <c r="AI18" s="362"/>
      <c r="AJ18" s="232"/>
      <c r="AK18" s="232"/>
      <c r="AL18" s="232"/>
      <c r="AM18" s="232"/>
      <c r="AN18" s="232"/>
      <c r="AO18" s="232"/>
      <c r="AP18" s="232"/>
      <c r="AQ18" s="232"/>
      <c r="AR18" s="232"/>
      <c r="AS18" s="232"/>
      <c r="AT18" s="232"/>
      <c r="AU18" s="364"/>
      <c r="AV18" s="201"/>
    </row>
    <row r="19" spans="1:48" x14ac:dyDescent="0.25">
      <c r="A19" s="339" t="s">
        <v>191</v>
      </c>
      <c r="B19" s="216" t="s">
        <v>166</v>
      </c>
      <c r="C19" s="201">
        <f>(SUMIFS('Copper-Lead-Zinc - Q&amp;V'!$B$9:$B$251,'Copper-Lead-Zinc - Q&amp;V'!$H$9:$H$251,LEFT('Q&amp;V FY 2003-04 to Now'!C$9,4),'Copper-Lead-Zinc - Q&amp;V'!$I$9:$I$251,3)+
SUMIFS('Copper-Lead-Zinc - Q&amp;V'!$B$9:$B$251,'Copper-Lead-Zinc - Q&amp;V'!$H$9:$H$251,LEFT('Q&amp;V FY 2003-04 to Now'!C$9:D$9,4),'Copper-Lead-Zinc - Q&amp;V'!$I$9:$I$251,4)+
SUMIFS('Copper-Lead-Zinc - Q&amp;V'!$B$9:$B$251,'Copper-Lead-Zinc - Q&amp;V'!$H$9:$H$251,CONCATENATE("20",RIGHT('Q&amp;V FY 2003-04 to Now'!C$9,2)),'Copper-Lead-Zinc - Q&amp;V'!$I$9:$I$251,1)+
SUMIFS('Copper-Lead-Zinc - Q&amp;V'!$B$9:$B$251,'Copper-Lead-Zinc - Q&amp;V'!$H$9:$H$251,CONCATENATE("20",RIGHT('Q&amp;V FY 2003-04 to Now'!C$9,2)),'Copper-Lead-Zinc - Q&amp;V'!$I$9:$I$251,2))*1000</f>
        <v>54944.894000000008</v>
      </c>
      <c r="D19" s="201">
        <f>(SUMIFS('Copper-Lead-Zinc - Q&amp;V'!$C$9:$C$251,'Copper-Lead-Zinc - Q&amp;V'!$H$9:$H$251,LEFT('Q&amp;V FY 2003-04 to Now'!C$9,4),'Copper-Lead-Zinc - Q&amp;V'!$I$9:$I$251,3)+
SUMIFS('Copper-Lead-Zinc - Q&amp;V'!$C$9:$C$251,'Copper-Lead-Zinc - Q&amp;V'!$H$9:$H$251,LEFT('Q&amp;V FY 2003-04 to Now'!C$9,4),'Copper-Lead-Zinc - Q&amp;V'!$I$9:$I$251,4)+
SUMIFS('Copper-Lead-Zinc - Q&amp;V'!$C$9:$C$251,'Copper-Lead-Zinc - Q&amp;V'!$H$9:$H$251,CONCATENATE("20",RIGHT('Q&amp;V FY 2003-04 to Now'!C$9,2)),'Copper-Lead-Zinc - Q&amp;V'!$I$9:$I$251,1)+
SUMIFS('Copper-Lead-Zinc - Q&amp;V'!$C$9:$C$251,'Copper-Lead-Zinc - Q&amp;V'!$H$9:$H$251,CONCATENATE("20",RIGHT('Q&amp;V FY 2003-04 to Now'!C$9,2)),'Copper-Lead-Zinc - Q&amp;V'!$I$9:$I$251,2))*1000000</f>
        <v>166922499.05000001</v>
      </c>
      <c r="E19" s="201">
        <f>(SUMIFS('Copper-Lead-Zinc - Q&amp;V'!$B$9:$B$251,'Copper-Lead-Zinc - Q&amp;V'!$H$9:$H$251,LEFT('Q&amp;V FY 2003-04 to Now'!E$9,4),'Copper-Lead-Zinc - Q&amp;V'!$I$9:$I$251,3)+
SUMIFS('Copper-Lead-Zinc - Q&amp;V'!$B$9:$B$251,'Copper-Lead-Zinc - Q&amp;V'!$H$9:$H$251,LEFT('Q&amp;V FY 2003-04 to Now'!E$9:F$9,4),'Copper-Lead-Zinc - Q&amp;V'!$I$9:$I$251,4)+
SUMIFS('Copper-Lead-Zinc - Q&amp;V'!$B$9:$B$251,'Copper-Lead-Zinc - Q&amp;V'!$H$9:$H$251,CONCATENATE("20",RIGHT('Q&amp;V FY 2003-04 to Now'!E$9,2)),'Copper-Lead-Zinc - Q&amp;V'!$I$9:$I$251,1)+
SUMIFS('Copper-Lead-Zinc - Q&amp;V'!$B$9:$B$251,'Copper-Lead-Zinc - Q&amp;V'!$H$9:$H$251,CONCATENATE("20",RIGHT('Q&amp;V FY 2003-04 to Now'!E$9,2)),'Copper-Lead-Zinc - Q&amp;V'!$I$9:$I$251,2))*1000</f>
        <v>60710.827000000005</v>
      </c>
      <c r="F19" s="201">
        <f>(SUMIFS('Copper-Lead-Zinc - Q&amp;V'!$C$9:$C$251,'Copper-Lead-Zinc - Q&amp;V'!$H$9:$H$251,LEFT('Q&amp;V FY 2003-04 to Now'!E$9,4),'Copper-Lead-Zinc - Q&amp;V'!$I$9:$I$251,3)+
SUMIFS('Copper-Lead-Zinc - Q&amp;V'!$C$9:$C$251,'Copper-Lead-Zinc - Q&amp;V'!$H$9:$H$251,LEFT('Q&amp;V FY 2003-04 to Now'!E$9,4),'Copper-Lead-Zinc - Q&amp;V'!$I$9:$I$251,4)+
SUMIFS('Copper-Lead-Zinc - Q&amp;V'!$C$9:$C$251,'Copper-Lead-Zinc - Q&amp;V'!$H$9:$H$251,CONCATENATE("20",RIGHT('Q&amp;V FY 2003-04 to Now'!E$9,2)),'Copper-Lead-Zinc - Q&amp;V'!$I$9:$I$251,1)+
SUMIFS('Copper-Lead-Zinc - Q&amp;V'!$C$9:$C$251,'Copper-Lead-Zinc - Q&amp;V'!$H$9:$H$251,CONCATENATE("20",RIGHT('Q&amp;V FY 2003-04 to Now'!E$9,2)),'Copper-Lead-Zinc - Q&amp;V'!$I$9:$I$251,2))*1000000</f>
        <v>267678966.38999999</v>
      </c>
      <c r="G19" s="201">
        <f>(SUMIFS('Copper-Lead-Zinc - Q&amp;V'!$B$9:$B$251,'Copper-Lead-Zinc - Q&amp;V'!$H$9:$H$251,LEFT('Q&amp;V FY 2003-04 to Now'!G$9,4),'Copper-Lead-Zinc - Q&amp;V'!$I$9:$I$251,3)+
SUMIFS('Copper-Lead-Zinc - Q&amp;V'!$B$9:$B$251,'Copper-Lead-Zinc - Q&amp;V'!$H$9:$H$251,LEFT('Q&amp;V FY 2003-04 to Now'!G$9:H$9,4),'Copper-Lead-Zinc - Q&amp;V'!$I$9:$I$251,4)+
SUMIFS('Copper-Lead-Zinc - Q&amp;V'!$B$9:$B$251,'Copper-Lead-Zinc - Q&amp;V'!$H$9:$H$251,CONCATENATE("20",RIGHT('Q&amp;V FY 2003-04 to Now'!G$9,2)),'Copper-Lead-Zinc - Q&amp;V'!$I$9:$I$251,1)+
SUMIFS('Copper-Lead-Zinc - Q&amp;V'!$B$9:$B$251,'Copper-Lead-Zinc - Q&amp;V'!$H$9:$H$251,CONCATENATE("20",RIGHT('Q&amp;V FY 2003-04 to Now'!G$9,2)),'Copper-Lead-Zinc - Q&amp;V'!$I$9:$I$251,2))*1000</f>
        <v>84673.21699999999</v>
      </c>
      <c r="H19" s="201">
        <f>(SUMIFS('Copper-Lead-Zinc - Q&amp;V'!$C$9:$C$251,'Copper-Lead-Zinc - Q&amp;V'!$H$9:$H$251,LEFT('Q&amp;V FY 2003-04 to Now'!G$9,4),'Copper-Lead-Zinc - Q&amp;V'!$I$9:$I$251,3)+
SUMIFS('Copper-Lead-Zinc - Q&amp;V'!$C$9:$C$251,'Copper-Lead-Zinc - Q&amp;V'!$H$9:$H$251,LEFT('Q&amp;V FY 2003-04 to Now'!G$9,4),'Copper-Lead-Zinc - Q&amp;V'!$I$9:$I$251,4)+
SUMIFS('Copper-Lead-Zinc - Q&amp;V'!$C$9:$C$251,'Copper-Lead-Zinc - Q&amp;V'!$H$9:$H$251,CONCATENATE("20",RIGHT('Q&amp;V FY 2003-04 to Now'!G$9,2)),'Copper-Lead-Zinc - Q&amp;V'!$I$9:$I$251,1)+
SUMIFS('Copper-Lead-Zinc - Q&amp;V'!$C$9:$C$251,'Copper-Lead-Zinc - Q&amp;V'!$H$9:$H$251,CONCATENATE("20",RIGHT('Q&amp;V FY 2003-04 to Now'!G$9,2)),'Copper-Lead-Zinc - Q&amp;V'!$I$9:$I$251,2))*1000000</f>
        <v>611113709.88999999</v>
      </c>
      <c r="I19" s="201">
        <f>(SUMIFS('Copper-Lead-Zinc - Q&amp;V'!$B$9:$B$251,'Copper-Lead-Zinc - Q&amp;V'!$H$9:$H$251,LEFT('Q&amp;V FY 2003-04 to Now'!I$9,4),'Copper-Lead-Zinc - Q&amp;V'!$I$9:$I$251,3)+
SUMIFS('Copper-Lead-Zinc - Q&amp;V'!$B$9:$B$251,'Copper-Lead-Zinc - Q&amp;V'!$H$9:$H$251,LEFT('Q&amp;V FY 2003-04 to Now'!I$9:J$9,4),'Copper-Lead-Zinc - Q&amp;V'!$I$9:$I$251,4)+
SUMIFS('Copper-Lead-Zinc - Q&amp;V'!$B$9:$B$251,'Copper-Lead-Zinc - Q&amp;V'!$H$9:$H$251,CONCATENATE("20",RIGHT('Q&amp;V FY 2003-04 to Now'!I$9,2)),'Copper-Lead-Zinc - Q&amp;V'!$I$9:$I$251,1)+
SUMIFS('Copper-Lead-Zinc - Q&amp;V'!$B$9:$B$251,'Copper-Lead-Zinc - Q&amp;V'!$H$9:$H$251,CONCATENATE("20",RIGHT('Q&amp;V FY 2003-04 to Now'!I$9,2)),'Copper-Lead-Zinc - Q&amp;V'!$I$9:$I$251,2))*1000</f>
        <v>108677.836</v>
      </c>
      <c r="J19" s="201">
        <f>(SUMIFS('Copper-Lead-Zinc - Q&amp;V'!$C$9:$C$251,'Copper-Lead-Zinc - Q&amp;V'!$H$9:$H$251,LEFT('Q&amp;V FY 2003-04 to Now'!I$9,4),'Copper-Lead-Zinc - Q&amp;V'!$I$9:$I$251,3)+
SUMIFS('Copper-Lead-Zinc - Q&amp;V'!$C$9:$C$251,'Copper-Lead-Zinc - Q&amp;V'!$H$9:$H$251,LEFT('Q&amp;V FY 2003-04 to Now'!I$9,4),'Copper-Lead-Zinc - Q&amp;V'!$I$9:$I$251,4)+
SUMIFS('Copper-Lead-Zinc - Q&amp;V'!$C$9:$C$251,'Copper-Lead-Zinc - Q&amp;V'!$H$9:$H$251,CONCATENATE("20",RIGHT('Q&amp;V FY 2003-04 to Now'!I$9,2)),'Copper-Lead-Zinc - Q&amp;V'!$I$9:$I$251,1)+
SUMIFS('Copper-Lead-Zinc - Q&amp;V'!$C$9:$C$251,'Copper-Lead-Zinc - Q&amp;V'!$H$9:$H$251,CONCATENATE("20",RIGHT('Q&amp;V FY 2003-04 to Now'!I$9,2)),'Copper-Lead-Zinc - Q&amp;V'!$I$9:$I$251,2))*1000000</f>
        <v>951656715.81999993</v>
      </c>
      <c r="K19" s="201">
        <f>(SUMIFS('Copper-Lead-Zinc - Q&amp;V'!$B$9:$B$251,'Copper-Lead-Zinc - Q&amp;V'!$H$9:$H$251,LEFT('Q&amp;V FY 2003-04 to Now'!K$9,4),'Copper-Lead-Zinc - Q&amp;V'!$I$9:$I$251,3)+
SUMIFS('Copper-Lead-Zinc - Q&amp;V'!$B$9:$B$251,'Copper-Lead-Zinc - Q&amp;V'!$H$9:$H$251,LEFT('Q&amp;V FY 2003-04 to Now'!K$9:L$9,4),'Copper-Lead-Zinc - Q&amp;V'!$I$9:$I$251,4)+
SUMIFS('Copper-Lead-Zinc - Q&amp;V'!$B$9:$B$251,'Copper-Lead-Zinc - Q&amp;V'!$H$9:$H$251,CONCATENATE("20",RIGHT('Q&amp;V FY 2003-04 to Now'!K$9,2)),'Copper-Lead-Zinc - Q&amp;V'!$I$9:$I$251,1)+
SUMIFS('Copper-Lead-Zinc - Q&amp;V'!$B$9:$B$251,'Copper-Lead-Zinc - Q&amp;V'!$H$9:$H$251,CONCATENATE("20",RIGHT('Q&amp;V FY 2003-04 to Now'!K$9,2)),'Copper-Lead-Zinc - Q&amp;V'!$I$9:$I$251,2))*1000</f>
        <v>123361.59</v>
      </c>
      <c r="L19" s="201">
        <f>(SUMIFS('Copper-Lead-Zinc - Q&amp;V'!$C$9:$C$251,'Copper-Lead-Zinc - Q&amp;V'!$H$9:$H$251,LEFT('Q&amp;V FY 2003-04 to Now'!K$9,4),'Copper-Lead-Zinc - Q&amp;V'!$I$9:$I$251,3)+
SUMIFS('Copper-Lead-Zinc - Q&amp;V'!$C$9:$C$251,'Copper-Lead-Zinc - Q&amp;V'!$H$9:$H$251,LEFT('Q&amp;V FY 2003-04 to Now'!K$9,4),'Copper-Lead-Zinc - Q&amp;V'!$I$9:$I$251,4)+
SUMIFS('Copper-Lead-Zinc - Q&amp;V'!$C$9:$C$251,'Copper-Lead-Zinc - Q&amp;V'!$H$9:$H$251,CONCATENATE("20",RIGHT('Q&amp;V FY 2003-04 to Now'!K$9,2)),'Copper-Lead-Zinc - Q&amp;V'!$I$9:$I$251,1)+
SUMIFS('Copper-Lead-Zinc - Q&amp;V'!$C$9:$C$251,'Copper-Lead-Zinc - Q&amp;V'!$H$9:$H$251,CONCATENATE("20",RIGHT('Q&amp;V FY 2003-04 to Now'!K$9,2)),'Copper-Lead-Zinc - Q&amp;V'!$I$9:$I$251,2))*1000000</f>
        <v>1031135089.14</v>
      </c>
      <c r="M19" s="201">
        <f>(SUMIFS('Copper-Lead-Zinc - Q&amp;V'!$B$9:$B$251,'Copper-Lead-Zinc - Q&amp;V'!$H$9:$H$251,LEFT('Q&amp;V FY 2003-04 to Now'!M$9,4),'Copper-Lead-Zinc - Q&amp;V'!$I$9:$I$251,3)+
SUMIFS('Copper-Lead-Zinc - Q&amp;V'!$B$9:$B$251,'Copper-Lead-Zinc - Q&amp;V'!$H$9:$H$251,LEFT('Q&amp;V FY 2003-04 to Now'!M$9:N$9,4),'Copper-Lead-Zinc - Q&amp;V'!$I$9:$I$251,4)+
SUMIFS('Copper-Lead-Zinc - Q&amp;V'!$B$9:$B$251,'Copper-Lead-Zinc - Q&amp;V'!$H$9:$H$251,CONCATENATE("20",RIGHT('Q&amp;V FY 2003-04 to Now'!M$9,2)),'Copper-Lead-Zinc - Q&amp;V'!$I$9:$I$251,1)+
SUMIFS('Copper-Lead-Zinc - Q&amp;V'!$B$9:$B$251,'Copper-Lead-Zinc - Q&amp;V'!$H$9:$H$251,CONCATENATE("20",RIGHT('Q&amp;V FY 2003-04 to Now'!M$9,2)),'Copper-Lead-Zinc - Q&amp;V'!$I$9:$I$251,2))*1000</f>
        <v>128232.43400000001</v>
      </c>
      <c r="N19" s="201">
        <f>(SUMIFS('Copper-Lead-Zinc - Q&amp;V'!$C$9:$C$251,'Copper-Lead-Zinc - Q&amp;V'!$H$9:$H$251,LEFT('Q&amp;V FY 2003-04 to Now'!M$9,4),'Copper-Lead-Zinc - Q&amp;V'!$I$9:$I$251,3)+
SUMIFS('Copper-Lead-Zinc - Q&amp;V'!$C$9:$C$251,'Copper-Lead-Zinc - Q&amp;V'!$H$9:$H$251,LEFT('Q&amp;V FY 2003-04 to Now'!M$9,4),'Copper-Lead-Zinc - Q&amp;V'!$I$9:$I$251,4)+
SUMIFS('Copper-Lead-Zinc - Q&amp;V'!$C$9:$C$251,'Copper-Lead-Zinc - Q&amp;V'!$H$9:$H$251,CONCATENATE("20",RIGHT('Q&amp;V FY 2003-04 to Now'!M$9,2)),'Copper-Lead-Zinc - Q&amp;V'!$I$9:$I$251,1)+
SUMIFS('Copper-Lead-Zinc - Q&amp;V'!$C$9:$C$251,'Copper-Lead-Zinc - Q&amp;V'!$H$9:$H$251,CONCATENATE("20",RIGHT('Q&amp;V FY 2003-04 to Now'!M$9,2)),'Copper-Lead-Zinc - Q&amp;V'!$I$9:$I$251,2))*1000000</f>
        <v>656718318.56000006</v>
      </c>
      <c r="O19" s="201">
        <f>(SUMIFS('Copper-Lead-Zinc - Q&amp;V'!$B$9:$B$251,'Copper-Lead-Zinc - Q&amp;V'!$H$9:$H$251,LEFT('Q&amp;V FY 2003-04 to Now'!O$9,4),'Copper-Lead-Zinc - Q&amp;V'!$I$9:$I$251,3)+
SUMIFS('Copper-Lead-Zinc - Q&amp;V'!$B$9:$B$251,'Copper-Lead-Zinc - Q&amp;V'!$H$9:$H$251,LEFT('Q&amp;V FY 2003-04 to Now'!O$9:P$9,4),'Copper-Lead-Zinc - Q&amp;V'!$I$9:$I$251,4)+
SUMIFS('Copper-Lead-Zinc - Q&amp;V'!$B$9:$B$251,'Copper-Lead-Zinc - Q&amp;V'!$H$9:$H$251,CONCATENATE("20",RIGHT('Q&amp;V FY 2003-04 to Now'!O$9,2)),'Copper-Lead-Zinc - Q&amp;V'!$I$9:$I$251,1)+
SUMIFS('Copper-Lead-Zinc - Q&amp;V'!$B$9:$B$251,'Copper-Lead-Zinc - Q&amp;V'!$H$9:$H$251,CONCATENATE("20",RIGHT('Q&amp;V FY 2003-04 to Now'!O$9,2)),'Copper-Lead-Zinc - Q&amp;V'!$I$9:$I$251,2))*1000</f>
        <v>151963.34899999999</v>
      </c>
      <c r="P19" s="201">
        <f>(SUMIFS('Copper-Lead-Zinc - Q&amp;V'!$C$9:$C$251,'Copper-Lead-Zinc - Q&amp;V'!$H$9:$H$251,LEFT('Q&amp;V FY 2003-04 to Now'!O$9,4),'Copper-Lead-Zinc - Q&amp;V'!$I$9:$I$251,3)+
SUMIFS('Copper-Lead-Zinc - Q&amp;V'!$C$9:$C$251,'Copper-Lead-Zinc - Q&amp;V'!$H$9:$H$251,LEFT('Q&amp;V FY 2003-04 to Now'!O$9,4),'Copper-Lead-Zinc - Q&amp;V'!$I$9:$I$251,4)+
SUMIFS('Copper-Lead-Zinc - Q&amp;V'!$C$9:$C$251,'Copper-Lead-Zinc - Q&amp;V'!$H$9:$H$251,CONCATENATE("20",RIGHT('Q&amp;V FY 2003-04 to Now'!O$9,2)),'Copper-Lead-Zinc - Q&amp;V'!$I$9:$I$251,1)+
SUMIFS('Copper-Lead-Zinc - Q&amp;V'!$C$9:$C$251,'Copper-Lead-Zinc - Q&amp;V'!$H$9:$H$251,CONCATENATE("20",RIGHT('Q&amp;V FY 2003-04 to Now'!O$9,2)),'Copper-Lead-Zinc - Q&amp;V'!$I$9:$I$251,2))*1000000</f>
        <v>1172476450.76</v>
      </c>
      <c r="Q19" s="201">
        <f>(SUMIFS('Copper-Lead-Zinc - Q&amp;V'!$B$9:$B$251,'Copper-Lead-Zinc - Q&amp;V'!$H$9:$H$251,LEFT('Q&amp;V FY 2003-04 to Now'!Q$9,4),'Copper-Lead-Zinc - Q&amp;V'!$I$9:$I$251,3)+
SUMIFS('Copper-Lead-Zinc - Q&amp;V'!$B$9:$B$251,'Copper-Lead-Zinc - Q&amp;V'!$H$9:$H$251,LEFT('Q&amp;V FY 2003-04 to Now'!Q$9:R$9,4),'Copper-Lead-Zinc - Q&amp;V'!$I$9:$I$251,4)+
SUMIFS('Copper-Lead-Zinc - Q&amp;V'!$B$9:$B$251,'Copper-Lead-Zinc - Q&amp;V'!$H$9:$H$251,CONCATENATE("20",RIGHT('Q&amp;V FY 2003-04 to Now'!Q$9,2)),'Copper-Lead-Zinc - Q&amp;V'!$I$9:$I$251,1)+
SUMIFS('Copper-Lead-Zinc - Q&amp;V'!$B$9:$B$251,'Copper-Lead-Zinc - Q&amp;V'!$H$9:$H$251,CONCATENATE("20",RIGHT('Q&amp;V FY 2003-04 to Now'!Q$9,2)),'Copper-Lead-Zinc - Q&amp;V'!$I$9:$I$251,2))*1000</f>
        <v>150030.321</v>
      </c>
      <c r="R19" s="201">
        <f>(SUMIFS('Copper-Lead-Zinc - Q&amp;V'!$C$9:$C$251,'Copper-Lead-Zinc - Q&amp;V'!$H$9:$H$251,LEFT('Q&amp;V FY 2003-04 to Now'!Q$9,4),'Copper-Lead-Zinc - Q&amp;V'!$I$9:$I$251,3)+
SUMIFS('Copper-Lead-Zinc - Q&amp;V'!$C$9:$C$251,'Copper-Lead-Zinc - Q&amp;V'!$H$9:$H$251,LEFT('Q&amp;V FY 2003-04 to Now'!Q$9,4),'Copper-Lead-Zinc - Q&amp;V'!$I$9:$I$251,4)+
SUMIFS('Copper-Lead-Zinc - Q&amp;V'!$C$9:$C$251,'Copper-Lead-Zinc - Q&amp;V'!$H$9:$H$251,CONCATENATE("20",RIGHT('Q&amp;V FY 2003-04 to Now'!Q$9,2)),'Copper-Lead-Zinc - Q&amp;V'!$I$9:$I$251,1)+
SUMIFS('Copper-Lead-Zinc - Q&amp;V'!$C$9:$C$251,'Copper-Lead-Zinc - Q&amp;V'!$H$9:$H$251,CONCATENATE("20",RIGHT('Q&amp;V FY 2003-04 to Now'!Q$9,2)),'Copper-Lead-Zinc - Q&amp;V'!$I$9:$I$251,2))*1000000</f>
        <v>1332356150.23</v>
      </c>
      <c r="S19" s="201">
        <f>(SUMIFS('Copper-Lead-Zinc - Q&amp;V'!$B$9:$B$251,'Copper-Lead-Zinc - Q&amp;V'!$H$9:$H$251,LEFT('Q&amp;V FY 2003-04 to Now'!S$9,4),'Copper-Lead-Zinc - Q&amp;V'!$I$9:$I$251,3)+
SUMIFS('Copper-Lead-Zinc - Q&amp;V'!$B$9:$B$251,'Copper-Lead-Zinc - Q&amp;V'!$H$9:$H$251,LEFT('Q&amp;V FY 2003-04 to Now'!S$9:T$9,4),'Copper-Lead-Zinc - Q&amp;V'!$I$9:$I$251,4)+
SUMIFS('Copper-Lead-Zinc - Q&amp;V'!$B$9:$B$251,'Copper-Lead-Zinc - Q&amp;V'!$H$9:$H$251,CONCATENATE("20",RIGHT('Q&amp;V FY 2003-04 to Now'!S$9,2)),'Copper-Lead-Zinc - Q&amp;V'!$I$9:$I$251,1)+
SUMIFS('Copper-Lead-Zinc - Q&amp;V'!$B$9:$B$251,'Copper-Lead-Zinc - Q&amp;V'!$H$9:$H$251,CONCATENATE("20",RIGHT('Q&amp;V FY 2003-04 to Now'!S$9,2)),'Copper-Lead-Zinc - Q&amp;V'!$I$9:$I$251,2))*1000</f>
        <v>159171.31195199999</v>
      </c>
      <c r="T19" s="201">
        <f>(SUMIFS('Copper-Lead-Zinc - Q&amp;V'!$C$9:$C$251,'Copper-Lead-Zinc - Q&amp;V'!$H$9:$H$251,LEFT('Q&amp;V FY 2003-04 to Now'!S$9,4),'Copper-Lead-Zinc - Q&amp;V'!$I$9:$I$251,3)+
SUMIFS('Copper-Lead-Zinc - Q&amp;V'!$C$9:$C$251,'Copper-Lead-Zinc - Q&amp;V'!$H$9:$H$251,LEFT('Q&amp;V FY 2003-04 to Now'!S$9,4),'Copper-Lead-Zinc - Q&amp;V'!$I$9:$I$251,4)+
SUMIFS('Copper-Lead-Zinc - Q&amp;V'!$C$9:$C$251,'Copper-Lead-Zinc - Q&amp;V'!$H$9:$H$251,CONCATENATE("20",RIGHT('Q&amp;V FY 2003-04 to Now'!S$9,2)),'Copper-Lead-Zinc - Q&amp;V'!$I$9:$I$251,1)+
SUMIFS('Copper-Lead-Zinc - Q&amp;V'!$C$9:$C$251,'Copper-Lead-Zinc - Q&amp;V'!$H$9:$H$251,CONCATENATE("20",RIGHT('Q&amp;V FY 2003-04 to Now'!S$9,2)),'Copper-Lead-Zinc - Q&amp;V'!$I$9:$I$251,2))*1000000</f>
        <v>1180779699.3599999</v>
      </c>
      <c r="U19" s="201">
        <f>(SUMIFS('Copper-Lead-Zinc - Q&amp;V'!$B$9:$B$251,'Copper-Lead-Zinc - Q&amp;V'!$H$9:$H$251,LEFT('Q&amp;V FY 2003-04 to Now'!U$9,4),'Copper-Lead-Zinc - Q&amp;V'!$I$9:$I$251,3)+
SUMIFS('Copper-Lead-Zinc - Q&amp;V'!$B$9:$B$251,'Copper-Lead-Zinc - Q&amp;V'!$H$9:$H$251,LEFT('Q&amp;V FY 2003-04 to Now'!U$9:V$9,4),'Copper-Lead-Zinc - Q&amp;V'!$I$9:$I$251,4)+
SUMIFS('Copper-Lead-Zinc - Q&amp;V'!$B$9:$B$251,'Copper-Lead-Zinc - Q&amp;V'!$H$9:$H$251,CONCATENATE("20",RIGHT('Q&amp;V FY 2003-04 to Now'!U$9,2)),'Copper-Lead-Zinc - Q&amp;V'!$I$9:$I$251,1)+
SUMIFS('Copper-Lead-Zinc - Q&amp;V'!$B$9:$B$251,'Copper-Lead-Zinc - Q&amp;V'!$H$9:$H$251,CONCATENATE("20",RIGHT('Q&amp;V FY 2003-04 to Now'!U$9,2)),'Copper-Lead-Zinc - Q&amp;V'!$I$9:$I$251,2))*1000</f>
        <v>209266.334817</v>
      </c>
      <c r="V19" s="201">
        <f>(SUMIFS('Copper-Lead-Zinc - Q&amp;V'!$C$9:$C$251,'Copper-Lead-Zinc - Q&amp;V'!$H$9:$H$251,LEFT('Q&amp;V FY 2003-04 to Now'!U$9,4),'Copper-Lead-Zinc - Q&amp;V'!$I$9:$I$251,3)+
SUMIFS('Copper-Lead-Zinc - Q&amp;V'!$C$9:$C$251,'Copper-Lead-Zinc - Q&amp;V'!$H$9:$H$251,LEFT('Q&amp;V FY 2003-04 to Now'!U$9,4),'Copper-Lead-Zinc - Q&amp;V'!$I$9:$I$251,4)+
SUMIFS('Copper-Lead-Zinc - Q&amp;V'!$C$9:$C$251,'Copper-Lead-Zinc - Q&amp;V'!$H$9:$H$251,CONCATENATE("20",RIGHT('Q&amp;V FY 2003-04 to Now'!U$9,2)),'Copper-Lead-Zinc - Q&amp;V'!$I$9:$I$251,1)+
SUMIFS('Copper-Lead-Zinc - Q&amp;V'!$C$9:$C$251,'Copper-Lead-Zinc - Q&amp;V'!$H$9:$H$251,CONCATENATE("20",RIGHT('Q&amp;V FY 2003-04 to Now'!U$9,2)),'Copper-Lead-Zinc - Q&amp;V'!$I$9:$I$251,2))*1000000</f>
        <v>1423043555.02</v>
      </c>
      <c r="W19" s="201">
        <f>(SUMIFS('Copper-Lead-Zinc - Q&amp;V'!$B$9:$B$251,'Copper-Lead-Zinc - Q&amp;V'!$H$9:$H$251,LEFT('Q&amp;V FY 2003-04 to Now'!W$9,4),'Copper-Lead-Zinc - Q&amp;V'!$I$9:$I$251,3)+
SUMIFS('Copper-Lead-Zinc - Q&amp;V'!$B$9:$B$251,'Copper-Lead-Zinc - Q&amp;V'!$H$9:$H$251,LEFT('Q&amp;V FY 2003-04 to Now'!W$9:X$9,4),'Copper-Lead-Zinc - Q&amp;V'!$I$9:$I$251,4)+
SUMIFS('Copper-Lead-Zinc - Q&amp;V'!$B$9:$B$251,'Copper-Lead-Zinc - Q&amp;V'!$H$9:$H$251,CONCATENATE("20",RIGHT('Q&amp;V FY 2003-04 to Now'!W$9,2)),'Copper-Lead-Zinc - Q&amp;V'!$I$9:$I$251,1)+
SUMIFS('Copper-Lead-Zinc - Q&amp;V'!$B$9:$B$251,'Copper-Lead-Zinc - Q&amp;V'!$H$9:$H$251,CONCATENATE("20",RIGHT('Q&amp;V FY 2003-04 to Now'!W$9,2)),'Copper-Lead-Zinc - Q&amp;V'!$I$9:$I$251,2))*1000</f>
        <v>211186.32200000001</v>
      </c>
      <c r="X19" s="201">
        <f>(SUMIFS('Copper-Lead-Zinc - Q&amp;V'!$C$9:$C$251,'Copper-Lead-Zinc - Q&amp;V'!$H$9:$H$251,LEFT('Q&amp;V FY 2003-04 to Now'!W$9,4),'Copper-Lead-Zinc - Q&amp;V'!$I$9:$I$251,3)+
SUMIFS('Copper-Lead-Zinc - Q&amp;V'!$C$9:$C$251,'Copper-Lead-Zinc - Q&amp;V'!$H$9:$H$251,LEFT('Q&amp;V FY 2003-04 to Now'!W$9,4),'Copper-Lead-Zinc - Q&amp;V'!$I$9:$I$251,4)+
SUMIFS('Copper-Lead-Zinc - Q&amp;V'!$C$9:$C$251,'Copper-Lead-Zinc - Q&amp;V'!$H$9:$H$251,CONCATENATE("20",RIGHT('Q&amp;V FY 2003-04 to Now'!W$9,2)),'Copper-Lead-Zinc - Q&amp;V'!$I$9:$I$251,1)+
SUMIFS('Copper-Lead-Zinc - Q&amp;V'!$C$9:$C$251,'Copper-Lead-Zinc - Q&amp;V'!$H$9:$H$251,CONCATENATE("20",RIGHT('Q&amp;V FY 2003-04 to Now'!W$9,2)),'Copper-Lead-Zinc - Q&amp;V'!$I$9:$I$251,2))*1000000</f>
        <v>1559565605.9999998</v>
      </c>
      <c r="Y19" s="201">
        <f>(SUMIFS('Copper-Lead-Zinc - Q&amp;V'!$B$9:$B$251,'Copper-Lead-Zinc - Q&amp;V'!$H$9:$H$251,LEFT('Q&amp;V FY 2003-04 to Now'!Y$9,4),'Copper-Lead-Zinc - Q&amp;V'!$I$9:$I$251,3)+
SUMIFS('Copper-Lead-Zinc - Q&amp;V'!$B$9:$B$251,'Copper-Lead-Zinc - Q&amp;V'!$H$9:$H$251,LEFT('Q&amp;V FY 2003-04 to Now'!Y$9:Z$9,4),'Copper-Lead-Zinc - Q&amp;V'!$I$9:$I$251,4)+
SUMIFS('Copper-Lead-Zinc - Q&amp;V'!$B$9:$B$251,'Copper-Lead-Zinc - Q&amp;V'!$H$9:$H$251,CONCATENATE("20",RIGHT('Q&amp;V FY 2003-04 to Now'!Y$9,2)),'Copper-Lead-Zinc - Q&amp;V'!$I$9:$I$251,1)+
SUMIFS('Copper-Lead-Zinc - Q&amp;V'!$B$9:$B$251,'Copper-Lead-Zinc - Q&amp;V'!$H$9:$H$251,CONCATENATE("20",RIGHT('Q&amp;V FY 2003-04 to Now'!Y$9,2)),'Copper-Lead-Zinc - Q&amp;V'!$I$9:$I$251,2))*1000</f>
        <v>184494.897</v>
      </c>
      <c r="Z19" s="201">
        <f>(SUMIFS('Copper-Lead-Zinc - Q&amp;V'!$C$9:$C$251,'Copper-Lead-Zinc - Q&amp;V'!$H$9:$H$251,LEFT('Q&amp;V FY 2003-04 to Now'!Y$9,4),'Copper-Lead-Zinc - Q&amp;V'!$I$9:$I$251,3)+
SUMIFS('Copper-Lead-Zinc - Q&amp;V'!$C$9:$C$251,'Copper-Lead-Zinc - Q&amp;V'!$H$9:$H$251,LEFT('Q&amp;V FY 2003-04 to Now'!Y$9,4),'Copper-Lead-Zinc - Q&amp;V'!$I$9:$I$251,4)+
SUMIFS('Copper-Lead-Zinc - Q&amp;V'!$C$9:$C$251,'Copper-Lead-Zinc - Q&amp;V'!$H$9:$H$251,CONCATENATE("20",RIGHT('Q&amp;V FY 2003-04 to Now'!Y$9,2)),'Copper-Lead-Zinc - Q&amp;V'!$I$9:$I$251,1)+
SUMIFS('Copper-Lead-Zinc - Q&amp;V'!$C$9:$C$251,'Copper-Lead-Zinc - Q&amp;V'!$H$9:$H$251,CONCATENATE("20",RIGHT('Q&amp;V FY 2003-04 to Now'!Y$9,2)),'Copper-Lead-Zinc - Q&amp;V'!$I$9:$I$251,2))*1000000</f>
        <v>1283046797</v>
      </c>
      <c r="AA19" s="201">
        <f>(SUMIFS('Copper-Lead-Zinc - Q&amp;V'!$B$9:$B$251,'Copper-Lead-Zinc - Q&amp;V'!$H$9:$H$251,LEFT('Q&amp;V FY 2003-04 to Now'!AA$9,4),'Copper-Lead-Zinc - Q&amp;V'!$I$9:$I$251,3)+
SUMIFS('Copper-Lead-Zinc - Q&amp;V'!$B$9:$B$251,'Copper-Lead-Zinc - Q&amp;V'!$H$9:$H$251,LEFT('Q&amp;V FY 2003-04 to Now'!AA$9:AB$9,4),'Copper-Lead-Zinc - Q&amp;V'!$I$9:$I$251,4)+
SUMIFS('Copper-Lead-Zinc - Q&amp;V'!$B$9:$B$251,'Copper-Lead-Zinc - Q&amp;V'!$H$9:$H$251,CONCATENATE("20",RIGHT('Q&amp;V FY 2003-04 to Now'!AA$9,2)),'Copper-Lead-Zinc - Q&amp;V'!$I$9:$I$251,1)+
SUMIFS('Copper-Lead-Zinc - Q&amp;V'!$B$9:$B$251,'Copper-Lead-Zinc - Q&amp;V'!$H$9:$H$251,CONCATENATE("20",RIGHT('Q&amp;V FY 2003-04 to Now'!AA$9,2)),'Copper-Lead-Zinc - Q&amp;V'!$I$9:$I$251,2))*1000</f>
        <v>190483.08599999998</v>
      </c>
      <c r="AB19" s="201">
        <f>(SUMIFS('Copper-Lead-Zinc - Q&amp;V'!$C$9:$C$251,'Copper-Lead-Zinc - Q&amp;V'!$H$9:$H$251,LEFT('Q&amp;V FY 2003-04 to Now'!AA$9,4),'Copper-Lead-Zinc - Q&amp;V'!$I$9:$I$251,3)+
SUMIFS('Copper-Lead-Zinc - Q&amp;V'!$C$9:$C$251,'Copper-Lead-Zinc - Q&amp;V'!$H$9:$H$251,LEFT('Q&amp;V FY 2003-04 to Now'!AA$9,4),'Copper-Lead-Zinc - Q&amp;V'!$I$9:$I$251,4)+
SUMIFS('Copper-Lead-Zinc - Q&amp;V'!$C$9:$C$251,'Copper-Lead-Zinc - Q&amp;V'!$H$9:$H$251,CONCATENATE("20",RIGHT('Q&amp;V FY 2003-04 to Now'!AA$9,2)),'Copper-Lead-Zinc - Q&amp;V'!$I$9:$I$251,1)+
SUMIFS('Copper-Lead-Zinc - Q&amp;V'!$C$9:$C$251,'Copper-Lead-Zinc - Q&amp;V'!$H$9:$H$251,CONCATENATE("20",RIGHT('Q&amp;V FY 2003-04 to Now'!AA$9,2)),'Copper-Lead-Zinc - Q&amp;V'!$I$9:$I$251,2))*1000000</f>
        <v>1181262087</v>
      </c>
      <c r="AC19" s="201">
        <f>(SUMIFS('Copper-Lead-Zinc - Q&amp;V'!$B$9:$B$251,'Copper-Lead-Zinc - Q&amp;V'!$H$9:$H$251,LEFT('Q&amp;V FY 2003-04 to Now'!AC$9,4),'Copper-Lead-Zinc - Q&amp;V'!$I$9:$I$251,3)+
SUMIFS('Copper-Lead-Zinc - Q&amp;V'!$B$9:$B$251,'Copper-Lead-Zinc - Q&amp;V'!$H$9:$H$251,LEFT('Q&amp;V FY 2003-04 to Now'!AC$9:AD$9,4),'Copper-Lead-Zinc - Q&amp;V'!$I$9:$I$251,4)+
SUMIFS('Copper-Lead-Zinc - Q&amp;V'!$B$9:$B$251,'Copper-Lead-Zinc - Q&amp;V'!$H$9:$H$251,CONCATENATE("20",RIGHT('Q&amp;V FY 2003-04 to Now'!AC$9,2)),'Copper-Lead-Zinc - Q&amp;V'!$I$9:$I$251,1)+
SUMIFS('Copper-Lead-Zinc - Q&amp;V'!$B$9:$B$251,'Copper-Lead-Zinc - Q&amp;V'!$H$9:$H$251,CONCATENATE("20",RIGHT('Q&amp;V FY 2003-04 to Now'!AC$9,2)),'Copper-Lead-Zinc - Q&amp;V'!$I$9:$I$251,2))*1000</f>
        <v>170730.215</v>
      </c>
      <c r="AD19" s="201">
        <f>(SUMIFS('Copper-Lead-Zinc - Q&amp;V'!$C$9:$C$251,'Copper-Lead-Zinc - Q&amp;V'!$H$9:$H$251,LEFT('Q&amp;V FY 2003-04 to Now'!AC$9,4),'Copper-Lead-Zinc - Q&amp;V'!$I$9:$I$251,3)+
SUMIFS('Copper-Lead-Zinc - Q&amp;V'!$C$9:$C$251,'Copper-Lead-Zinc - Q&amp;V'!$H$9:$H$251,LEFT('Q&amp;V FY 2003-04 to Now'!AC$9,4),'Copper-Lead-Zinc - Q&amp;V'!$I$9:$I$251,4)+
SUMIFS('Copper-Lead-Zinc - Q&amp;V'!$C$9:$C$251,'Copper-Lead-Zinc - Q&amp;V'!$H$9:$H$251,CONCATENATE("20",RIGHT('Q&amp;V FY 2003-04 to Now'!AC$9,2)),'Copper-Lead-Zinc - Q&amp;V'!$I$9:$I$251,1)+
SUMIFS('Copper-Lead-Zinc - Q&amp;V'!$C$9:$C$251,'Copper-Lead-Zinc - Q&amp;V'!$H$9:$H$251,CONCATENATE("20",RIGHT('Q&amp;V FY 2003-04 to Now'!AC$9,2)),'Copper-Lead-Zinc - Q&amp;V'!$I$9:$I$251,2))*1000000</f>
        <v>1240528049</v>
      </c>
      <c r="AE19" s="278">
        <f>(SUMIFS('Copper-Lead-Zinc - Q&amp;V'!$B$9:$B$251,'Copper-Lead-Zinc - Q&amp;V'!$H$9:$H$251,LEFT('Q&amp;V FY 2003-04 to Now'!AE$9,4),'Copper-Lead-Zinc - Q&amp;V'!$I$9:$I$251,3)+
SUMIFS('Copper-Lead-Zinc - Q&amp;V'!$B$9:$B$251,'Copper-Lead-Zinc - Q&amp;V'!$H$9:$H$251,LEFT('Q&amp;V FY 2003-04 to Now'!AE$9:AF$9,4),'Copper-Lead-Zinc - Q&amp;V'!$I$9:$I$251,4)+
SUMIFS('Copper-Lead-Zinc - Q&amp;V'!$B$9:$B$251,'Copper-Lead-Zinc - Q&amp;V'!$H$9:$H$251,CONCATENATE("20",RIGHT('Q&amp;V FY 2003-04 to Now'!AE$9,2)),'Copper-Lead-Zinc - Q&amp;V'!$I$9:$I$251,1)+
SUMIFS('Copper-Lead-Zinc - Q&amp;V'!$B$9:$B$251,'Copper-Lead-Zinc - Q&amp;V'!$H$9:$H$251,CONCATENATE("20",RIGHT('Q&amp;V FY 2003-04 to Now'!AE$9,2)),'Copper-Lead-Zinc - Q&amp;V'!$I$9:$I$251,2))*1000</f>
        <v>165983.75499999998</v>
      </c>
      <c r="AF19" s="201">
        <f>(SUMIFS('Copper-Lead-Zinc - Q&amp;V'!$C$9:$C$251,'Copper-Lead-Zinc - Q&amp;V'!$H$9:$H$251,LEFT('Q&amp;V FY 2003-04 to Now'!AE$9,4),'Copper-Lead-Zinc - Q&amp;V'!$I$9:$I$251,3)+
SUMIFS('Copper-Lead-Zinc - Q&amp;V'!$C$9:$C$251,'Copper-Lead-Zinc - Q&amp;V'!$H$9:$H$251,LEFT('Q&amp;V FY 2003-04 to Now'!AE$9,4),'Copper-Lead-Zinc - Q&amp;V'!$I$9:$I$251,4)+
SUMIFS('Copper-Lead-Zinc - Q&amp;V'!$C$9:$C$251,'Copper-Lead-Zinc - Q&amp;V'!$H$9:$H$251,CONCATENATE("20",RIGHT('Q&amp;V FY 2003-04 to Now'!AE$9,2)),'Copper-Lead-Zinc - Q&amp;V'!$I$9:$I$251,1)+
SUMIFS('Copper-Lead-Zinc - Q&amp;V'!$C$9:$C$251,'Copper-Lead-Zinc - Q&amp;V'!$H$9:$H$251,CONCATENATE("20",RIGHT('Q&amp;V FY 2003-04 to Now'!AE$9,2)),'Copper-Lead-Zinc - Q&amp;V'!$I$9:$I$251,2))*1000000</f>
        <v>1336587648.9999998</v>
      </c>
      <c r="AG19" s="278">
        <f>(SUMIFS('Copper-Lead-Zinc - Q&amp;V'!$B$9:$B$251,'Copper-Lead-Zinc - Q&amp;V'!$H$9:$H$251,LEFT('Q&amp;V FY 2003-04 to Now'!AG$9,4),'Copper-Lead-Zinc - Q&amp;V'!$I$9:$I$251,3)+
SUMIFS('Copper-Lead-Zinc - Q&amp;V'!$B$9:$B$251,'Copper-Lead-Zinc - Q&amp;V'!$H$9:$H$251,LEFT('Q&amp;V FY 2003-04 to Now'!AG$9:AH$9,4),'Copper-Lead-Zinc - Q&amp;V'!$I$9:$I$251,4)+
SUMIFS('Copper-Lead-Zinc - Q&amp;V'!$B$9:$B$251,'Copper-Lead-Zinc - Q&amp;V'!$H$9:$H$251,CONCATENATE("20",RIGHT('Q&amp;V FY 2003-04 to Now'!AG$9,2)),'Copper-Lead-Zinc - Q&amp;V'!$I$9:$I$251,1)+
SUMIFS('Copper-Lead-Zinc - Q&amp;V'!$B$9:$B$251,'Copper-Lead-Zinc - Q&amp;V'!$H$9:$H$251,CONCATENATE("20",RIGHT('Q&amp;V FY 2003-04 to Now'!AG$9,2)),'Copper-Lead-Zinc - Q&amp;V'!$I$9:$I$251,2))*1000</f>
        <v>162483.29399999999</v>
      </c>
      <c r="AH19" s="232">
        <f>(SUMIFS('Copper-Lead-Zinc - Q&amp;V'!$C$9:$C$251,'Copper-Lead-Zinc - Q&amp;V'!$H$9:$H$251,LEFT('Q&amp;V FY 2003-04 to Now'!AG$9,4),'Copper-Lead-Zinc - Q&amp;V'!$I$9:$I$251,3)+
SUMIFS('Copper-Lead-Zinc - Q&amp;V'!$C$9:$C$251,'Copper-Lead-Zinc - Q&amp;V'!$H$9:$H$251,LEFT('Q&amp;V FY 2003-04 to Now'!AG$9,4),'Copper-Lead-Zinc - Q&amp;V'!$I$9:$I$251,4)+
SUMIFS('Copper-Lead-Zinc - Q&amp;V'!$C$9:$C$251,'Copper-Lead-Zinc - Q&amp;V'!$H$9:$H$251,CONCATENATE("20",RIGHT('Q&amp;V FY 2003-04 to Now'!AG$9,2)),'Copper-Lead-Zinc - Q&amp;V'!$I$9:$I$251,1)+
SUMIFS('Copper-Lead-Zinc - Q&amp;V'!$C$9:$C$251,'Copper-Lead-Zinc - Q&amp;V'!$H$9:$H$251,CONCATENATE("20",RIGHT('Q&amp;V FY 2003-04 to Now'!AG$9,2)),'Copper-Lead-Zinc - Q&amp;V'!$I$9:$I$251,2))*1000000</f>
        <v>1321682098.9999998</v>
      </c>
      <c r="AI19" s="281">
        <f>(SUMIFS('Copper-Lead-Zinc - Q&amp;V'!$B$9:$B$251,'Copper-Lead-Zinc - Q&amp;V'!$H$9:$H$251,LEFT('Q&amp;V FY 2003-04 to Now'!AI$9,4),'Copper-Lead-Zinc - Q&amp;V'!$I$9:$I$251,3)+
SUMIFS('Copper-Lead-Zinc - Q&amp;V'!$B$9:$B$251,'Copper-Lead-Zinc - Q&amp;V'!$H$9:$H$251,LEFT('Q&amp;V FY 2003-04 to Now'!AI$9:AJ$9,4),'Copper-Lead-Zinc - Q&amp;V'!$I$9:$I$251,4)+
SUMIFS('Copper-Lead-Zinc - Q&amp;V'!$B$9:$B$251,'Copper-Lead-Zinc - Q&amp;V'!$H$9:$H$251,CONCATENATE("20",RIGHT('Q&amp;V FY 2003-04 to Now'!AI$9,2)),'Copper-Lead-Zinc - Q&amp;V'!$I$9:$I$251,1)+
SUMIFS('Copper-Lead-Zinc - Q&amp;V'!$B$9:$B$251,'Copper-Lead-Zinc - Q&amp;V'!$H$9:$H$251,CONCATENATE("20",RIGHT('Q&amp;V FY 2003-04 to Now'!AI$9,2)),'Copper-Lead-Zinc - Q&amp;V'!$I$9:$I$251,2))*1000</f>
        <v>171386.375</v>
      </c>
      <c r="AJ19" s="232">
        <f>(SUMIFS('Copper-Lead-Zinc - Q&amp;V'!$C$9:$C$251,'Copper-Lead-Zinc - Q&amp;V'!$H$9:$H$251,LEFT('Q&amp;V FY 2003-04 to Now'!AI$9,4),'Copper-Lead-Zinc - Q&amp;V'!$I$9:$I$251,3)+
SUMIFS('Copper-Lead-Zinc - Q&amp;V'!$C$9:$C$251,'Copper-Lead-Zinc - Q&amp;V'!$H$9:$H$251,LEFT('Q&amp;V FY 2003-04 to Now'!AI$9,4),'Copper-Lead-Zinc - Q&amp;V'!$I$9:$I$251,4)+
SUMIFS('Copper-Lead-Zinc - Q&amp;V'!$C$9:$C$251,'Copper-Lead-Zinc - Q&amp;V'!$H$9:$H$251,CONCATENATE("20",RIGHT('Q&amp;V FY 2003-04 to Now'!AI$9,2)),'Copper-Lead-Zinc - Q&amp;V'!$I$9:$I$251,1)+
SUMIFS('Copper-Lead-Zinc - Q&amp;V'!$C$9:$C$251,'Copper-Lead-Zinc - Q&amp;V'!$H$9:$H$251,CONCATENATE("20",RIGHT('Q&amp;V FY 2003-04 to Now'!AI$9,2)),'Copper-Lead-Zinc - Q&amp;V'!$I$9:$I$251,2))*1000000</f>
        <v>1382994015</v>
      </c>
      <c r="AK19" s="232">
        <f>(SUMIFS('Copper-Lead-Zinc - Q&amp;V'!$B$9:$B$251,'Copper-Lead-Zinc - Q&amp;V'!$H$9:$H$251,LEFT('Q&amp;V FY 2003-04 to Now'!AK$9,4),'Copper-Lead-Zinc - Q&amp;V'!$I$9:$I$251,3)+
SUMIFS('Copper-Lead-Zinc - Q&amp;V'!$B$9:$B$251,'Copper-Lead-Zinc - Q&amp;V'!$H$9:$H$251,LEFT('Q&amp;V FY 2003-04 to Now'!AK$9:AL$9,4),'Copper-Lead-Zinc - Q&amp;V'!$I$9:$I$251,4)+
SUMIFS('Copper-Lead-Zinc - Q&amp;V'!$B$9:$B$251,'Copper-Lead-Zinc - Q&amp;V'!$H$9:$H$251,CONCATENATE("20",RIGHT('Q&amp;V FY 2003-04 to Now'!AK$9,2)),'Copper-Lead-Zinc - Q&amp;V'!$I$9:$I$251,1)+
SUMIFS('Copper-Lead-Zinc - Q&amp;V'!$B$9:$B$251,'Copper-Lead-Zinc - Q&amp;V'!$H$9:$H$251,CONCATENATE("20",RIGHT('Q&amp;V FY 2003-04 to Now'!AK$9,2)),'Copper-Lead-Zinc - Q&amp;V'!$I$9:$I$251,2))*1000</f>
        <v>136776.117</v>
      </c>
      <c r="AL19" s="232">
        <f>(SUMIFS('Copper-Lead-Zinc - Q&amp;V'!$C$9:$C$251,'Copper-Lead-Zinc - Q&amp;V'!$H$9:$H$251,LEFT('Q&amp;V FY 2003-04 to Now'!AK$9,4),'Copper-Lead-Zinc - Q&amp;V'!$I$9:$I$251,3)+
SUMIFS('Copper-Lead-Zinc - Q&amp;V'!$C$9:$C$251,'Copper-Lead-Zinc - Q&amp;V'!$H$9:$H$251,LEFT('Q&amp;V FY 2003-04 to Now'!AK$9,4),'Copper-Lead-Zinc - Q&amp;V'!$I$9:$I$251,4)+
SUMIFS('Copper-Lead-Zinc - Q&amp;V'!$C$9:$C$251,'Copper-Lead-Zinc - Q&amp;V'!$H$9:$H$251,CONCATENATE("20",RIGHT('Q&amp;V FY 2003-04 to Now'!AK$9,2)),'Copper-Lead-Zinc - Q&amp;V'!$I$9:$I$251,1)+
SUMIFS('Copper-Lead-Zinc - Q&amp;V'!$C$9:$C$251,'Copper-Lead-Zinc - Q&amp;V'!$H$9:$H$251,CONCATENATE("20",RIGHT('Q&amp;V FY 2003-04 to Now'!AK$9,2)),'Copper-Lead-Zinc - Q&amp;V'!$I$9:$I$251,2))*1000000</f>
        <v>1498763460.0000002</v>
      </c>
      <c r="AM19" s="232">
        <f>(SUMIFS('Copper-Lead-Zinc - Q&amp;V'!$B$9:$B$251,'Copper-Lead-Zinc - Q&amp;V'!$H$9:$H$251,LEFT('Q&amp;V FY 2003-04 to Now'!AM$9,4),'Copper-Lead-Zinc - Q&amp;V'!$I$9:$I$251,3)+
SUMIFS('Copper-Lead-Zinc - Q&amp;V'!$B$9:$B$251,'Copper-Lead-Zinc - Q&amp;V'!$H$9:$H$251,LEFT('Q&amp;V FY 2003-04 to Now'!AM$9:AN$9,4),'Copper-Lead-Zinc - Q&amp;V'!$I$9:$I$251,4)+
SUMIFS('Copper-Lead-Zinc - Q&amp;V'!$B$9:$B$251,'Copper-Lead-Zinc - Q&amp;V'!$H$9:$H$251,CONCATENATE("20",RIGHT('Q&amp;V FY 2003-04 to Now'!AM$9,2)),'Copper-Lead-Zinc - Q&amp;V'!$I$9:$I$251,1)+
SUMIFS('Copper-Lead-Zinc - Q&amp;V'!$B$9:$B$251,'Copper-Lead-Zinc - Q&amp;V'!$H$9:$H$251,CONCATENATE("20",RIGHT('Q&amp;V FY 2003-04 to Now'!AM$9,2)),'Copper-Lead-Zinc - Q&amp;V'!$I$9:$I$251,2))*1000</f>
        <v>155715.41400000002</v>
      </c>
      <c r="AN19" s="232">
        <f>(SUMIFS('Copper-Lead-Zinc - Q&amp;V'!$C$9:$C$251,'Copper-Lead-Zinc - Q&amp;V'!$H$9:$H$251,LEFT('Q&amp;V FY 2003-04 to Now'!AM$9,4),'Copper-Lead-Zinc - Q&amp;V'!$I$9:$I$251,3)+
SUMIFS('Copper-Lead-Zinc - Q&amp;V'!$C$9:$C$251,'Copper-Lead-Zinc - Q&amp;V'!$H$9:$H$251,LEFT('Q&amp;V FY 2003-04 to Now'!AM$9,4),'Copper-Lead-Zinc - Q&amp;V'!$I$9:$I$251,4)+
SUMIFS('Copper-Lead-Zinc - Q&amp;V'!$C$9:$C$251,'Copper-Lead-Zinc - Q&amp;V'!$H$9:$H$251,CONCATENATE("20",RIGHT('Q&amp;V FY 2003-04 to Now'!AM$9,2)),'Copper-Lead-Zinc - Q&amp;V'!$I$9:$I$251,1)+
SUMIFS('Copper-Lead-Zinc - Q&amp;V'!$C$9:$C$251,'Copper-Lead-Zinc - Q&amp;V'!$H$9:$H$251,CONCATENATE("20",RIGHT('Q&amp;V FY 2003-04 to Now'!AM$9,2)),'Copper-Lead-Zinc - Q&amp;V'!$I$9:$I$251,2))*1000000</f>
        <v>1903757719.9999998</v>
      </c>
      <c r="AO19" s="232">
        <f>(SUMIFS('Copper-Lead-Zinc - Q&amp;V'!$B$9:$B$251,'Copper-Lead-Zinc - Q&amp;V'!$H$9:$H$251,LEFT('Q&amp;V FY 2003-04 to Now'!AO$9,4),'Copper-Lead-Zinc - Q&amp;V'!$I$9:$I$251,3)+
SUMIFS('Copper-Lead-Zinc - Q&amp;V'!$B$9:$B$251,'Copper-Lead-Zinc - Q&amp;V'!$H$9:$H$251,LEFT('Q&amp;V FY 2003-04 to Now'!AO$9:AP$9,4),'Copper-Lead-Zinc - Q&amp;V'!$I$9:$I$251,4)+
SUMIFS('Copper-Lead-Zinc - Q&amp;V'!$B$9:$B$251,'Copper-Lead-Zinc - Q&amp;V'!$H$9:$H$251,CONCATENATE("20",RIGHT('Q&amp;V FY 2003-04 to Now'!AO$9,2)),'Copper-Lead-Zinc - Q&amp;V'!$I$9:$I$251,1)+
SUMIFS('Copper-Lead-Zinc - Q&amp;V'!$B$9:$B$251,'Copper-Lead-Zinc - Q&amp;V'!$H$9:$H$251,CONCATENATE("20",RIGHT('Q&amp;V FY 2003-04 to Now'!AO$9,2)),'Copper-Lead-Zinc - Q&amp;V'!$I$9:$I$251,2))*1000</f>
        <v>119035.96700000003</v>
      </c>
      <c r="AP19" s="232">
        <f>(SUMIFS('Copper-Lead-Zinc - Q&amp;V'!$C$9:$C$251,'Copper-Lead-Zinc - Q&amp;V'!$H$9:$H$251,LEFT('Q&amp;V FY 2003-04 to Now'!AO$9,4),'Copper-Lead-Zinc - Q&amp;V'!$I$9:$I$251,3)+
SUMIFS('Copper-Lead-Zinc - Q&amp;V'!$C$9:$C$251,'Copper-Lead-Zinc - Q&amp;V'!$H$9:$H$251,LEFT('Q&amp;V FY 2003-04 to Now'!AO$9,4),'Copper-Lead-Zinc - Q&amp;V'!$I$9:$I$251,4)+
SUMIFS('Copper-Lead-Zinc - Q&amp;V'!$C$9:$C$251,'Copper-Lead-Zinc - Q&amp;V'!$H$9:$H$251,CONCATENATE("20",RIGHT('Q&amp;V FY 2003-04 to Now'!AO$9,2)),'Copper-Lead-Zinc - Q&amp;V'!$I$9:$I$251,1)+
SUMIFS('Copper-Lead-Zinc - Q&amp;V'!$C$9:$C$251,'Copper-Lead-Zinc - Q&amp;V'!$H$9:$H$251,CONCATENATE("20",RIGHT('Q&amp;V FY 2003-04 to Now'!AO$9,2)),'Copper-Lead-Zinc - Q&amp;V'!$I$9:$I$251,2))*1000000</f>
        <v>1418712120</v>
      </c>
      <c r="AQ19" s="232">
        <f>(SUMIFS('Copper-Lead-Zinc - Q&amp;V'!$B$9:$B$251,'Copper-Lead-Zinc - Q&amp;V'!$H$9:$H$251,LEFT('Q&amp;V FY 2003-04 to Now'!AQ$9,4),'Copper-Lead-Zinc - Q&amp;V'!$I$9:$I$251,3)+
SUMIFS('Copper-Lead-Zinc - Q&amp;V'!$B$9:$B$251,'Copper-Lead-Zinc - Q&amp;V'!$H$9:$H$251,LEFT('Q&amp;V FY 2003-04 to Now'!AQ$9:AR$9,4),'Copper-Lead-Zinc - Q&amp;V'!$I$9:$I$251,4)+
SUMIFS('Copper-Lead-Zinc - Q&amp;V'!$B$9:$B$251,'Copper-Lead-Zinc - Q&amp;V'!$H$9:$H$251,CONCATENATE("20",RIGHT('Q&amp;V FY 2003-04 to Now'!AQ$9,2)),'Copper-Lead-Zinc - Q&amp;V'!$I$9:$I$251,1)+
SUMIFS('Copper-Lead-Zinc - Q&amp;V'!$B$9:$B$251,'Copper-Lead-Zinc - Q&amp;V'!$H$9:$H$251,CONCATENATE("20",RIGHT('Q&amp;V FY 2003-04 to Now'!AQ$9,2)),'Copper-Lead-Zinc - Q&amp;V'!$I$9:$I$251,2))*1000</f>
        <v>87711.218422526406</v>
      </c>
      <c r="AR19" s="232">
        <f>(SUMIFS('Copper-Lead-Zinc - Q&amp;V'!$C$9:$C$251,'Copper-Lead-Zinc - Q&amp;V'!$H$9:$H$251,LEFT('Q&amp;V FY 2003-04 to Now'!AQ$9,4),'Copper-Lead-Zinc - Q&amp;V'!$I$9:$I$251,3)+
SUMIFS('Copper-Lead-Zinc - Q&amp;V'!$C$9:$C$251,'Copper-Lead-Zinc - Q&amp;V'!$H$9:$H$251,LEFT('Q&amp;V FY 2003-04 to Now'!AQ$9,4),'Copper-Lead-Zinc - Q&amp;V'!$I$9:$I$251,4)+
SUMIFS('Copper-Lead-Zinc - Q&amp;V'!$C$9:$C$251,'Copper-Lead-Zinc - Q&amp;V'!$H$9:$H$251,CONCATENATE("20",RIGHT('Q&amp;V FY 2003-04 to Now'!AQ$9,2)),'Copper-Lead-Zinc - Q&amp;V'!$I$9:$I$251,1)+
SUMIFS('Copper-Lead-Zinc - Q&amp;V'!$C$9:$C$251,'Copper-Lead-Zinc - Q&amp;V'!$H$9:$H$251,CONCATENATE("20",RIGHT('Q&amp;V FY 2003-04 to Now'!AQ$9,2)),'Copper-Lead-Zinc - Q&amp;V'!$I$9:$I$251,2))*1000000</f>
        <v>1123221679.5984769</v>
      </c>
      <c r="AS19" s="232">
        <f>(SUMIFS('Copper-Lead-Zinc - Q&amp;V'!$B$9:$B$251,'Copper-Lead-Zinc - Q&amp;V'!$H$9:$H$251,LEFT('Q&amp;V FY 2003-04 to Now'!AS$9,4),'Copper-Lead-Zinc - Q&amp;V'!$I$9:$I$251,3)+
SUMIFS('Copper-Lead-Zinc - Q&amp;V'!$B$9:$B$251,'Copper-Lead-Zinc - Q&amp;V'!$H$9:$H$251,LEFT('Q&amp;V FY 2003-04 to Now'!AS$9:AT$9,4),'Copper-Lead-Zinc - Q&amp;V'!$I$9:$I$251,4)+
SUMIFS('Copper-Lead-Zinc - Q&amp;V'!$B$9:$B$251,'Copper-Lead-Zinc - Q&amp;V'!$H$9:$H$251,CONCATENATE("20",RIGHT('Q&amp;V FY 2003-04 to Now'!AS$9,2)),'Copper-Lead-Zinc - Q&amp;V'!$I$9:$I$251,1)+
SUMIFS('Copper-Lead-Zinc - Q&amp;V'!$B$9:$B$251,'Copper-Lead-Zinc - Q&amp;V'!$H$9:$H$251,CONCATENATE("20",RIGHT('Q&amp;V FY 2003-04 to Now'!AS$9,2)),'Copper-Lead-Zinc - Q&amp;V'!$I$9:$I$251,2))*1000</f>
        <v>71686.182000000001</v>
      </c>
      <c r="AT19" s="232">
        <f>(SUMIFS('Copper-Lead-Zinc - Q&amp;V'!$C$9:$C$251,'Copper-Lead-Zinc - Q&amp;V'!$H$9:$H$251,LEFT('Q&amp;V FY 2003-04 to Now'!AS$9,4),'Copper-Lead-Zinc - Q&amp;V'!$I$9:$I$251,3)+
SUMIFS('Copper-Lead-Zinc - Q&amp;V'!$C$9:$C$251,'Copper-Lead-Zinc - Q&amp;V'!$H$9:$H$251,LEFT('Q&amp;V FY 2003-04 to Now'!AS$9,4),'Copper-Lead-Zinc - Q&amp;V'!$I$9:$I$251,4)+
SUMIFS('Copper-Lead-Zinc - Q&amp;V'!$C$9:$C$251,'Copper-Lead-Zinc - Q&amp;V'!$H$9:$H$251,CONCATENATE("20",RIGHT('Q&amp;V FY 2003-04 to Now'!AS$9,2)),'Copper-Lead-Zinc - Q&amp;V'!$I$9:$I$251,1)+
SUMIFS('Copper-Lead-Zinc - Q&amp;V'!$C$9:$C$251,'Copper-Lead-Zinc - Q&amp;V'!$H$9:$H$251,CONCATENATE("20",RIGHT('Q&amp;V FY 2003-04 to Now'!AS$9,2)),'Copper-Lead-Zinc - Q&amp;V'!$I$9:$I$251,2))*1000000</f>
        <v>1021064168</v>
      </c>
      <c r="AU19" s="364">
        <f>SUMIF($C$11:AT$11,1,$C19:AT19)</f>
        <v>3058704.9571915264</v>
      </c>
      <c r="AV19" s="201">
        <f>IF(COUNTIF($C19:AT19, "nfp")=0, SUMIF($C$11:AT$11,0,$C19:AT19), "nfp")</f>
        <v>25065066603.818478</v>
      </c>
    </row>
    <row r="20" spans="1:48" x14ac:dyDescent="0.25">
      <c r="A20" s="339" t="s">
        <v>192</v>
      </c>
      <c r="B20" s="216" t="s">
        <v>166</v>
      </c>
      <c r="C20" s="201">
        <f>(SUMIFS('Copper-Lead-Zinc - Q&amp;V'!$D$9:$D$251,'Copper-Lead-Zinc - Q&amp;V'!$H$9:$H$251,LEFT('Q&amp;V FY 2003-04 to Now'!C$9,4),'Copper-Lead-Zinc - Q&amp;V'!$I$9:$I$251,3)+
SUMIFS('Copper-Lead-Zinc - Q&amp;V'!$D$9:$D$251,'Copper-Lead-Zinc - Q&amp;V'!$H$9:$H$251,LEFT('Q&amp;V FY 2003-04 to Now'!C$9:D$9,4),'Copper-Lead-Zinc - Q&amp;V'!$I$9:$I$251,4)+
SUMIFS('Copper-Lead-Zinc - Q&amp;V'!$D$9:$D$251,'Copper-Lead-Zinc - Q&amp;V'!$H$9:$H$251,CONCATENATE("20",RIGHT('Q&amp;V FY 2003-04 to Now'!C$9,2)),'Copper-Lead-Zinc - Q&amp;V'!$I$9:$I$251,1)+
SUMIFS('Copper-Lead-Zinc - Q&amp;V'!$D$9:$D$251,'Copper-Lead-Zinc - Q&amp;V'!$H$9:$H$251,CONCATENATE("20",RIGHT('Q&amp;V FY 2003-04 to Now'!C$9,2)),'Copper-Lead-Zinc - Q&amp;V'!$I$9:$I$251,2))*1000</f>
        <v>23393</v>
      </c>
      <c r="D20" s="201">
        <f>(SUMIFS('Copper-Lead-Zinc - Q&amp;V'!$E$9:$E$251,'Copper-Lead-Zinc - Q&amp;V'!$H$9:$H$251,LEFT('Q&amp;V FY 2003-04 to Now'!C$9,4),'Copper-Lead-Zinc - Q&amp;V'!$I$9:$I$251,3)+
SUMIFS('Copper-Lead-Zinc - Q&amp;V'!$E$9:$E$251,'Copper-Lead-Zinc - Q&amp;V'!$H$9:$H$251,LEFT('Q&amp;V FY 2003-04 to Now'!C$9,4),'Copper-Lead-Zinc - Q&amp;V'!$I$9:$I$251,4)+
SUMIFS('Copper-Lead-Zinc - Q&amp;V'!$E$9:$E$251,'Copper-Lead-Zinc - Q&amp;V'!$H$9:$H$251,CONCATENATE("20",RIGHT('Q&amp;V FY 2003-04 to Now'!C$9,2)),'Copper-Lead-Zinc - Q&amp;V'!$I$9:$I$251,1)+
SUMIFS('Copper-Lead-Zinc - Q&amp;V'!$E$9:$E$251,'Copper-Lead-Zinc - Q&amp;V'!$H$9:$H$251,CONCATENATE("20",RIGHT('Q&amp;V FY 2003-04 to Now'!C$9,2)),'Copper-Lead-Zinc - Q&amp;V'!$I$9:$I$251,2))*1000000</f>
        <v>11971687.92</v>
      </c>
      <c r="E20" s="201">
        <f>(SUMIFS('Copper-Lead-Zinc - Q&amp;V'!$D$9:$D$251,'Copper-Lead-Zinc - Q&amp;V'!$H$9:$H$251,LEFT('Q&amp;V FY 2003-04 to Now'!E$9,4),'Copper-Lead-Zinc - Q&amp;V'!$I$9:$I$251,3)+
SUMIFS('Copper-Lead-Zinc - Q&amp;V'!$D$9:$D$251,'Copper-Lead-Zinc - Q&amp;V'!$H$9:$H$251,LEFT('Q&amp;V FY 2003-04 to Now'!E$9:F$9,4),'Copper-Lead-Zinc - Q&amp;V'!$I$9:$I$251,4)+
SUMIFS('Copper-Lead-Zinc - Q&amp;V'!$D$9:$D$251,'Copper-Lead-Zinc - Q&amp;V'!$H$9:$H$251,CONCATENATE("20",RIGHT('Q&amp;V FY 2003-04 to Now'!E$9,2)),'Copper-Lead-Zinc - Q&amp;V'!$I$9:$I$251,1)+
SUMIFS('Copper-Lead-Zinc - Q&amp;V'!$D$9:$D$251,'Copper-Lead-Zinc - Q&amp;V'!$H$9:$H$251,CONCATENATE("20",RIGHT('Q&amp;V FY 2003-04 to Now'!E$9,2)),'Copper-Lead-Zinc - Q&amp;V'!$I$9:$I$251,2))*1000</f>
        <v>2324.3399999999997</v>
      </c>
      <c r="F20" s="201">
        <f>(SUMIFS('Copper-Lead-Zinc - Q&amp;V'!$E$9:$E$251,'Copper-Lead-Zinc - Q&amp;V'!$H$9:$H$251,LEFT('Q&amp;V FY 2003-04 to Now'!E$9,4),'Copper-Lead-Zinc - Q&amp;V'!$I$9:$I$251,3)+
SUMIFS('Copper-Lead-Zinc - Q&amp;V'!$E$9:$E$251,'Copper-Lead-Zinc - Q&amp;V'!$H$9:$H$251,LEFT('Q&amp;V FY 2003-04 to Now'!E$9,4),'Copper-Lead-Zinc - Q&amp;V'!$I$9:$I$251,4)+
SUMIFS('Copper-Lead-Zinc - Q&amp;V'!$E$9:$E$251,'Copper-Lead-Zinc - Q&amp;V'!$H$9:$H$251,CONCATENATE("20",RIGHT('Q&amp;V FY 2003-04 to Now'!E$9,2)),'Copper-Lead-Zinc - Q&amp;V'!$I$9:$I$251,1)+
SUMIFS('Copper-Lead-Zinc - Q&amp;V'!$E$9:$E$251,'Copper-Lead-Zinc - Q&amp;V'!$H$9:$H$251,CONCATENATE("20",RIGHT('Q&amp;V FY 2003-04 to Now'!E$9,2)),'Copper-Lead-Zinc - Q&amp;V'!$I$9:$I$251,2))*1000000</f>
        <v>3006367.22</v>
      </c>
      <c r="G20" s="201">
        <f>(SUMIFS('Copper-Lead-Zinc - Q&amp;V'!$D$9:$D$251,'Copper-Lead-Zinc - Q&amp;V'!$H$9:$H$251,LEFT('Q&amp;V FY 2003-04 to Now'!G$9,4),'Copper-Lead-Zinc - Q&amp;V'!$I$9:$I$251,3)+
SUMIFS('Copper-Lead-Zinc - Q&amp;V'!$D$9:$D$251,'Copper-Lead-Zinc - Q&amp;V'!$H$9:$H$251,LEFT('Q&amp;V FY 2003-04 to Now'!G$9:H$9,4),'Copper-Lead-Zinc - Q&amp;V'!$I$9:$I$251,4)+
SUMIFS('Copper-Lead-Zinc - Q&amp;V'!$D$9:$D$251,'Copper-Lead-Zinc - Q&amp;V'!$H$9:$H$251,CONCATENATE("20",RIGHT('Q&amp;V FY 2003-04 to Now'!G$9,2)),'Copper-Lead-Zinc - Q&amp;V'!$I$9:$I$251,1)+
SUMIFS('Copper-Lead-Zinc - Q&amp;V'!$D$9:$D$251,'Copper-Lead-Zinc - Q&amp;V'!$H$9:$H$251,CONCATENATE("20",RIGHT('Q&amp;V FY 2003-04 to Now'!G$9,2)),'Copper-Lead-Zinc - Q&amp;V'!$I$9:$I$251,2))*1000</f>
        <v>57265.385999999999</v>
      </c>
      <c r="H20" s="201">
        <f>(SUMIFS('Copper-Lead-Zinc - Q&amp;V'!$E$9:$E$251,'Copper-Lead-Zinc - Q&amp;V'!$H$9:$H$251,LEFT('Q&amp;V FY 2003-04 to Now'!G$9,4),'Copper-Lead-Zinc - Q&amp;V'!$I$9:$I$251,3)+
SUMIFS('Copper-Lead-Zinc - Q&amp;V'!$E$9:$E$251,'Copper-Lead-Zinc - Q&amp;V'!$H$9:$H$251,LEFT('Q&amp;V FY 2003-04 to Now'!G$9,4),'Copper-Lead-Zinc - Q&amp;V'!$I$9:$I$251,4)+
SUMIFS('Copper-Lead-Zinc - Q&amp;V'!$E$9:$E$251,'Copper-Lead-Zinc - Q&amp;V'!$H$9:$H$251,CONCATENATE("20",RIGHT('Q&amp;V FY 2003-04 to Now'!G$9,2)),'Copper-Lead-Zinc - Q&amp;V'!$I$9:$I$251,1)+
SUMIFS('Copper-Lead-Zinc - Q&amp;V'!$E$9:$E$251,'Copper-Lead-Zinc - Q&amp;V'!$H$9:$H$251,CONCATENATE("20",RIGHT('Q&amp;V FY 2003-04 to Now'!G$9,2)),'Copper-Lead-Zinc - Q&amp;V'!$I$9:$I$251,2))*1000000</f>
        <v>84970520.390000001</v>
      </c>
      <c r="I20" s="201">
        <f>(SUMIFS('Copper-Lead-Zinc - Q&amp;V'!$D$9:$D$251,'Copper-Lead-Zinc - Q&amp;V'!$H$9:$H$251,LEFT('Q&amp;V FY 2003-04 to Now'!I$9,4),'Copper-Lead-Zinc - Q&amp;V'!$I$9:$I$251,3)+
SUMIFS('Copper-Lead-Zinc - Q&amp;V'!$D$9:$D$251,'Copper-Lead-Zinc - Q&amp;V'!$H$9:$H$251,LEFT('Q&amp;V FY 2003-04 to Now'!I$9:J$9,4),'Copper-Lead-Zinc - Q&amp;V'!$I$9:$I$251,4)+
SUMIFS('Copper-Lead-Zinc - Q&amp;V'!$D$9:$D$251,'Copper-Lead-Zinc - Q&amp;V'!$H$9:$H$251,CONCATENATE("20",RIGHT('Q&amp;V FY 2003-04 to Now'!I$9,2)),'Copper-Lead-Zinc - Q&amp;V'!$I$9:$I$251,1)+
SUMIFS('Copper-Lead-Zinc - Q&amp;V'!$D$9:$D$251,'Copper-Lead-Zinc - Q&amp;V'!$H$9:$H$251,CONCATENATE("20",RIGHT('Q&amp;V FY 2003-04 to Now'!I$9,2)),'Copper-Lead-Zinc - Q&amp;V'!$I$9:$I$251,2))*1000</f>
        <v>59563.004000000001</v>
      </c>
      <c r="J20" s="201">
        <f>(SUMIFS('Copper-Lead-Zinc - Q&amp;V'!$E$9:$E$251,'Copper-Lead-Zinc - Q&amp;V'!$H$9:$H$251,LEFT('Q&amp;V FY 2003-04 to Now'!I$9,4),'Copper-Lead-Zinc - Q&amp;V'!$I$9:$I$251,3)+
SUMIFS('Copper-Lead-Zinc - Q&amp;V'!$E$9:$E$251,'Copper-Lead-Zinc - Q&amp;V'!$H$9:$H$251,LEFT('Q&amp;V FY 2003-04 to Now'!I$9,4),'Copper-Lead-Zinc - Q&amp;V'!$I$9:$I$251,4)+
SUMIFS('Copper-Lead-Zinc - Q&amp;V'!$E$9:$E$251,'Copper-Lead-Zinc - Q&amp;V'!$H$9:$H$251,CONCATENATE("20",RIGHT('Q&amp;V FY 2003-04 to Now'!I$9,2)),'Copper-Lead-Zinc - Q&amp;V'!$I$9:$I$251,1)+
SUMIFS('Copper-Lead-Zinc - Q&amp;V'!$E$9:$E$251,'Copper-Lead-Zinc - Q&amp;V'!$H$9:$H$251,CONCATENATE("20",RIGHT('Q&amp;V FY 2003-04 to Now'!I$9,2)),'Copper-Lead-Zinc - Q&amp;V'!$I$9:$I$251,2))*1000000</f>
        <v>127759765.98</v>
      </c>
      <c r="K20" s="201">
        <f>(SUMIFS('Copper-Lead-Zinc - Q&amp;V'!$D$9:$D$251,'Copper-Lead-Zinc - Q&amp;V'!$H$9:$H$251,LEFT('Q&amp;V FY 2003-04 to Now'!K$9,4),'Copper-Lead-Zinc - Q&amp;V'!$I$9:$I$251,3)+
SUMIFS('Copper-Lead-Zinc - Q&amp;V'!$D$9:$D$251,'Copper-Lead-Zinc - Q&amp;V'!$H$9:$H$251,LEFT('Q&amp;V FY 2003-04 to Now'!K$9:L$9,4),'Copper-Lead-Zinc - Q&amp;V'!$I$9:$I$251,4)+
SUMIFS('Copper-Lead-Zinc - Q&amp;V'!$D$9:$D$251,'Copper-Lead-Zinc - Q&amp;V'!$H$9:$H$251,CONCATENATE("20",RIGHT('Q&amp;V FY 2003-04 to Now'!K$9,2)),'Copper-Lead-Zinc - Q&amp;V'!$I$9:$I$251,1)+
SUMIFS('Copper-Lead-Zinc - Q&amp;V'!$D$9:$D$251,'Copper-Lead-Zinc - Q&amp;V'!$H$9:$H$251,CONCATENATE("20",RIGHT('Q&amp;V FY 2003-04 to Now'!K$9,2)),'Copper-Lead-Zinc - Q&amp;V'!$I$9:$I$251,2))*1000</f>
        <v>25851.064999999999</v>
      </c>
      <c r="L20" s="201">
        <f>(SUMIFS('Copper-Lead-Zinc - Q&amp;V'!$E$9:$E$251,'Copper-Lead-Zinc - Q&amp;V'!$H$9:$H$251,LEFT('Q&amp;V FY 2003-04 to Now'!K$9,4),'Copper-Lead-Zinc - Q&amp;V'!$I$9:$I$251,3)+
SUMIFS('Copper-Lead-Zinc - Q&amp;V'!$E$9:$E$251,'Copper-Lead-Zinc - Q&amp;V'!$H$9:$H$251,LEFT('Q&amp;V FY 2003-04 to Now'!K$9,4),'Copper-Lead-Zinc - Q&amp;V'!$I$9:$I$251,4)+
SUMIFS('Copper-Lead-Zinc - Q&amp;V'!$E$9:$E$251,'Copper-Lead-Zinc - Q&amp;V'!$H$9:$H$251,CONCATENATE("20",RIGHT('Q&amp;V FY 2003-04 to Now'!K$9,2)),'Copper-Lead-Zinc - Q&amp;V'!$I$9:$I$251,1)+
SUMIFS('Copper-Lead-Zinc - Q&amp;V'!$E$9:$E$251,'Copper-Lead-Zinc - Q&amp;V'!$H$9:$H$251,CONCATENATE("20",RIGHT('Q&amp;V FY 2003-04 to Now'!K$9,2)),'Copper-Lead-Zinc - Q&amp;V'!$I$9:$I$251,2))*1000000</f>
        <v>63313165.580000006</v>
      </c>
      <c r="M20" s="201">
        <f>(SUMIFS('Copper-Lead-Zinc - Q&amp;V'!$D$9:$D$251,'Copper-Lead-Zinc - Q&amp;V'!$H$9:$H$251,LEFT('Q&amp;V FY 2003-04 to Now'!M$9,4),'Copper-Lead-Zinc - Q&amp;V'!$I$9:$I$251,3)+
SUMIFS('Copper-Lead-Zinc - Q&amp;V'!$D$9:$D$251,'Copper-Lead-Zinc - Q&amp;V'!$H$9:$H$251,LEFT('Q&amp;V FY 2003-04 to Now'!M$9:N$9,4),'Copper-Lead-Zinc - Q&amp;V'!$I$9:$I$251,4)+
SUMIFS('Copper-Lead-Zinc - Q&amp;V'!$D$9:$D$251,'Copper-Lead-Zinc - Q&amp;V'!$H$9:$H$251,CONCATENATE("20",RIGHT('Q&amp;V FY 2003-04 to Now'!M$9,2)),'Copper-Lead-Zinc - Q&amp;V'!$I$9:$I$251,1)+
SUMIFS('Copper-Lead-Zinc - Q&amp;V'!$D$9:$D$251,'Copper-Lead-Zinc - Q&amp;V'!$H$9:$H$251,CONCATENATE("20",RIGHT('Q&amp;V FY 2003-04 to Now'!M$9,2)),'Copper-Lead-Zinc - Q&amp;V'!$I$9:$I$251,2))*1000</f>
        <v>25203.105</v>
      </c>
      <c r="N20" s="201">
        <f>(SUMIFS('Copper-Lead-Zinc - Q&amp;V'!$E$9:$E$251,'Copper-Lead-Zinc - Q&amp;V'!$H$9:$H$251,LEFT('Q&amp;V FY 2003-04 to Now'!M$9,4),'Copper-Lead-Zinc - Q&amp;V'!$I$9:$I$251,3)+
SUMIFS('Copper-Lead-Zinc - Q&amp;V'!$E$9:$E$251,'Copper-Lead-Zinc - Q&amp;V'!$H$9:$H$251,LEFT('Q&amp;V FY 2003-04 to Now'!M$9,4),'Copper-Lead-Zinc - Q&amp;V'!$I$9:$I$251,4)+
SUMIFS('Copper-Lead-Zinc - Q&amp;V'!$E$9:$E$251,'Copper-Lead-Zinc - Q&amp;V'!$H$9:$H$251,CONCATENATE("20",RIGHT('Q&amp;V FY 2003-04 to Now'!M$9,2)),'Copper-Lead-Zinc - Q&amp;V'!$I$9:$I$251,1)+
SUMIFS('Copper-Lead-Zinc - Q&amp;V'!$E$9:$E$251,'Copper-Lead-Zinc - Q&amp;V'!$H$9:$H$251,CONCATENATE("20",RIGHT('Q&amp;V FY 2003-04 to Now'!M$9,2)),'Copper-Lead-Zinc - Q&amp;V'!$I$9:$I$251,2))*1000000</f>
        <v>42115327.649999999</v>
      </c>
      <c r="O20" s="201">
        <f>(SUMIFS('Copper-Lead-Zinc - Q&amp;V'!$D$9:$D$251,'Copper-Lead-Zinc - Q&amp;V'!$H$9:$H$251,LEFT('Q&amp;V FY 2003-04 to Now'!O$9,4),'Copper-Lead-Zinc - Q&amp;V'!$I$9:$I$251,3)+
SUMIFS('Copper-Lead-Zinc - Q&amp;V'!$D$9:$D$251,'Copper-Lead-Zinc - Q&amp;V'!$H$9:$H$251,LEFT('Q&amp;V FY 2003-04 to Now'!O$9:P$9,4),'Copper-Lead-Zinc - Q&amp;V'!$I$9:$I$251,4)+
SUMIFS('Copper-Lead-Zinc - Q&amp;V'!$D$9:$D$251,'Copper-Lead-Zinc - Q&amp;V'!$H$9:$H$251,CONCATENATE("20",RIGHT('Q&amp;V FY 2003-04 to Now'!O$9,2)),'Copper-Lead-Zinc - Q&amp;V'!$I$9:$I$251,1)+
SUMIFS('Copper-Lead-Zinc - Q&amp;V'!$D$9:$D$251,'Copper-Lead-Zinc - Q&amp;V'!$H$9:$H$251,CONCATENATE("20",RIGHT('Q&amp;V FY 2003-04 to Now'!O$9,2)),'Copper-Lead-Zinc - Q&amp;V'!$I$9:$I$251,2))*1000</f>
        <v>26011.457999999999</v>
      </c>
      <c r="P20" s="201">
        <f>(SUMIFS('Copper-Lead-Zinc - Q&amp;V'!$E$9:$E$251,'Copper-Lead-Zinc - Q&amp;V'!$H$9:$H$251,LEFT('Q&amp;V FY 2003-04 to Now'!O$9,4),'Copper-Lead-Zinc - Q&amp;V'!$I$9:$I$251,3)+
SUMIFS('Copper-Lead-Zinc - Q&amp;V'!$E$9:$E$251,'Copper-Lead-Zinc - Q&amp;V'!$H$9:$H$251,LEFT('Q&amp;V FY 2003-04 to Now'!O$9,4),'Copper-Lead-Zinc - Q&amp;V'!$I$9:$I$251,4)+
SUMIFS('Copper-Lead-Zinc - Q&amp;V'!$E$9:$E$251,'Copper-Lead-Zinc - Q&amp;V'!$H$9:$H$251,CONCATENATE("20",RIGHT('Q&amp;V FY 2003-04 to Now'!O$9,2)),'Copper-Lead-Zinc - Q&amp;V'!$I$9:$I$251,1)+
SUMIFS('Copper-Lead-Zinc - Q&amp;V'!$E$9:$E$251,'Copper-Lead-Zinc - Q&amp;V'!$H$9:$H$251,CONCATENATE("20",RIGHT('Q&amp;V FY 2003-04 to Now'!O$9,2)),'Copper-Lead-Zinc - Q&amp;V'!$I$9:$I$251,2))*1000000</f>
        <v>61554965.920000002</v>
      </c>
      <c r="Q20" s="201">
        <f>(SUMIFS('Copper-Lead-Zinc - Q&amp;V'!$D$9:$D$251,'Copper-Lead-Zinc - Q&amp;V'!$H$9:$H$251,LEFT('Q&amp;V FY 2003-04 to Now'!Q$9,4),'Copper-Lead-Zinc - Q&amp;V'!$I$9:$I$251,3)+
SUMIFS('Copper-Lead-Zinc - Q&amp;V'!$D$9:$D$251,'Copper-Lead-Zinc - Q&amp;V'!$H$9:$H$251,LEFT('Q&amp;V FY 2003-04 to Now'!Q$9:R$9,4),'Copper-Lead-Zinc - Q&amp;V'!$I$9:$I$251,4)+
SUMIFS('Copper-Lead-Zinc - Q&amp;V'!$D$9:$D$251,'Copper-Lead-Zinc - Q&amp;V'!$H$9:$H$251,CONCATENATE("20",RIGHT('Q&amp;V FY 2003-04 to Now'!Q$9,2)),'Copper-Lead-Zinc - Q&amp;V'!$I$9:$I$251,1)+
SUMIFS('Copper-Lead-Zinc - Q&amp;V'!$D$9:$D$251,'Copper-Lead-Zinc - Q&amp;V'!$H$9:$H$251,CONCATENATE("20",RIGHT('Q&amp;V FY 2003-04 to Now'!Q$9,2)),'Copper-Lead-Zinc - Q&amp;V'!$I$9:$I$251,2))*1000</f>
        <v>40763.701000000008</v>
      </c>
      <c r="R20" s="201">
        <f>(SUMIFS('Copper-Lead-Zinc - Q&amp;V'!$E$9:$E$251,'Copper-Lead-Zinc - Q&amp;V'!$H$9:$H$251,LEFT('Q&amp;V FY 2003-04 to Now'!Q$9,4),'Copper-Lead-Zinc - Q&amp;V'!$I$9:$I$251,3)+
SUMIFS('Copper-Lead-Zinc - Q&amp;V'!$E$9:$E$251,'Copper-Lead-Zinc - Q&amp;V'!$H$9:$H$251,LEFT('Q&amp;V FY 2003-04 to Now'!Q$9,4),'Copper-Lead-Zinc - Q&amp;V'!$I$9:$I$251,4)+
SUMIFS('Copper-Lead-Zinc - Q&amp;V'!$E$9:$E$251,'Copper-Lead-Zinc - Q&amp;V'!$H$9:$H$251,CONCATENATE("20",RIGHT('Q&amp;V FY 2003-04 to Now'!Q$9,2)),'Copper-Lead-Zinc - Q&amp;V'!$I$9:$I$251,1)+
SUMIFS('Copper-Lead-Zinc - Q&amp;V'!$E$9:$E$251,'Copper-Lead-Zinc - Q&amp;V'!$H$9:$H$251,CONCATENATE("20",RIGHT('Q&amp;V FY 2003-04 to Now'!Q$9,2)),'Copper-Lead-Zinc - Q&amp;V'!$I$9:$I$251,2))*1000000</f>
        <v>100068469.13</v>
      </c>
      <c r="S20" s="201">
        <f>(SUMIFS('Copper-Lead-Zinc - Q&amp;V'!$D$9:$D$251,'Copper-Lead-Zinc - Q&amp;V'!$H$9:$H$251,LEFT('Q&amp;V FY 2003-04 to Now'!S$9,4),'Copper-Lead-Zinc - Q&amp;V'!$I$9:$I$251,3)+
SUMIFS('Copper-Lead-Zinc - Q&amp;V'!$D$9:$D$251,'Copper-Lead-Zinc - Q&amp;V'!$H$9:$H$251,LEFT('Q&amp;V FY 2003-04 to Now'!S$9:T$9,4),'Copper-Lead-Zinc - Q&amp;V'!$I$9:$I$251,4)+
SUMIFS('Copper-Lead-Zinc - Q&amp;V'!$D$9:$D$251,'Copper-Lead-Zinc - Q&amp;V'!$H$9:$H$251,CONCATENATE("20",RIGHT('Q&amp;V FY 2003-04 to Now'!S$9,2)),'Copper-Lead-Zinc - Q&amp;V'!$I$9:$I$251,1)+
SUMIFS('Copper-Lead-Zinc - Q&amp;V'!$D$9:$D$251,'Copper-Lead-Zinc - Q&amp;V'!$H$9:$H$251,CONCATENATE("20",RIGHT('Q&amp;V FY 2003-04 to Now'!S$9,2)),'Copper-Lead-Zinc - Q&amp;V'!$I$9:$I$251,2))*1000</f>
        <v>6921.7059999999992</v>
      </c>
      <c r="T20" s="201">
        <f>(SUMIFS('Copper-Lead-Zinc - Q&amp;V'!$E$9:$E$251,'Copper-Lead-Zinc - Q&amp;V'!$H$9:$H$251,LEFT('Q&amp;V FY 2003-04 to Now'!S$9,4),'Copper-Lead-Zinc - Q&amp;V'!$I$9:$I$251,3)+
SUMIFS('Copper-Lead-Zinc - Q&amp;V'!$E$9:$E$251,'Copper-Lead-Zinc - Q&amp;V'!$H$9:$H$251,LEFT('Q&amp;V FY 2003-04 to Now'!S$9,4),'Copper-Lead-Zinc - Q&amp;V'!$I$9:$I$251,4)+
SUMIFS('Copper-Lead-Zinc - Q&amp;V'!$E$9:$E$251,'Copper-Lead-Zinc - Q&amp;V'!$H$9:$H$251,CONCATENATE("20",RIGHT('Q&amp;V FY 2003-04 to Now'!S$9,2)),'Copper-Lead-Zinc - Q&amp;V'!$I$9:$I$251,1)+
SUMIFS('Copper-Lead-Zinc - Q&amp;V'!$E$9:$E$251,'Copper-Lead-Zinc - Q&amp;V'!$H$9:$H$251,CONCATENATE("20",RIGHT('Q&amp;V FY 2003-04 to Now'!S$9,2)),'Copper-Lead-Zinc - Q&amp;V'!$I$9:$I$251,2))*1000000</f>
        <v>13839830.629999999</v>
      </c>
      <c r="U20" s="201">
        <f>(SUMIFS('Copper-Lead-Zinc - Q&amp;V'!$D$9:$D$251,'Copper-Lead-Zinc - Q&amp;V'!$H$9:$H$251,LEFT('Q&amp;V FY 2003-04 to Now'!U$9,4),'Copper-Lead-Zinc - Q&amp;V'!$I$9:$I$251,3)+
SUMIFS('Copper-Lead-Zinc - Q&amp;V'!$D$9:$D$251,'Copper-Lead-Zinc - Q&amp;V'!$H$9:$H$251,LEFT('Q&amp;V FY 2003-04 to Now'!U$9:V$9,4),'Copper-Lead-Zinc - Q&amp;V'!$I$9:$I$251,4)+
SUMIFS('Copper-Lead-Zinc - Q&amp;V'!$D$9:$D$251,'Copper-Lead-Zinc - Q&amp;V'!$H$9:$H$251,CONCATENATE("20",RIGHT('Q&amp;V FY 2003-04 to Now'!U$9,2)),'Copper-Lead-Zinc - Q&amp;V'!$I$9:$I$251,1)+
SUMIFS('Copper-Lead-Zinc - Q&amp;V'!$D$9:$D$251,'Copper-Lead-Zinc - Q&amp;V'!$H$9:$H$251,CONCATENATE("20",RIGHT('Q&amp;V FY 2003-04 to Now'!U$9,2)),'Copper-Lead-Zinc - Q&amp;V'!$I$9:$I$251,2))*1000</f>
        <v>16640.84</v>
      </c>
      <c r="V20" s="201">
        <f>(SUMIFS('Copper-Lead-Zinc - Q&amp;V'!$E$9:$E$251,'Copper-Lead-Zinc - Q&amp;V'!$H$9:$H$251,LEFT('Q&amp;V FY 2003-04 to Now'!U$9,4),'Copper-Lead-Zinc - Q&amp;V'!$I$9:$I$251,3)+
SUMIFS('Copper-Lead-Zinc - Q&amp;V'!$E$9:$E$251,'Copper-Lead-Zinc - Q&amp;V'!$H$9:$H$251,LEFT('Q&amp;V FY 2003-04 to Now'!U$9,4),'Copper-Lead-Zinc - Q&amp;V'!$I$9:$I$251,4)+
SUMIFS('Copper-Lead-Zinc - Q&amp;V'!$E$9:$E$251,'Copper-Lead-Zinc - Q&amp;V'!$H$9:$H$251,CONCATENATE("20",RIGHT('Q&amp;V FY 2003-04 to Now'!U$9,2)),'Copper-Lead-Zinc - Q&amp;V'!$I$9:$I$251,1)+
SUMIFS('Copper-Lead-Zinc - Q&amp;V'!$E$9:$E$251,'Copper-Lead-Zinc - Q&amp;V'!$H$9:$H$251,CONCATENATE("20",RIGHT('Q&amp;V FY 2003-04 to Now'!U$9,2)),'Copper-Lead-Zinc - Q&amp;V'!$I$9:$I$251,2))*1000000</f>
        <v>35049524.869999997</v>
      </c>
      <c r="W20" s="201">
        <f>(SUMIFS('Copper-Lead-Zinc - Q&amp;V'!$D$9:$D$251,'Copper-Lead-Zinc - Q&amp;V'!$H$9:$H$251,LEFT('Q&amp;V FY 2003-04 to Now'!W$9,4),'Copper-Lead-Zinc - Q&amp;V'!$I$9:$I$251,3)+
SUMIFS('Copper-Lead-Zinc - Q&amp;V'!$D$9:$D$251,'Copper-Lead-Zinc - Q&amp;V'!$H$9:$H$251,LEFT('Q&amp;V FY 2003-04 to Now'!W$9:X$9,4),'Copper-Lead-Zinc - Q&amp;V'!$I$9:$I$251,4)+
SUMIFS('Copper-Lead-Zinc - Q&amp;V'!$D$9:$D$251,'Copper-Lead-Zinc - Q&amp;V'!$H$9:$H$251,CONCATENATE("20",RIGHT('Q&amp;V FY 2003-04 to Now'!W$9,2)),'Copper-Lead-Zinc - Q&amp;V'!$I$9:$I$251,1)+
SUMIFS('Copper-Lead-Zinc - Q&amp;V'!$D$9:$D$251,'Copper-Lead-Zinc - Q&amp;V'!$H$9:$H$251,CONCATENATE("20",RIGHT('Q&amp;V FY 2003-04 to Now'!W$9,2)),'Copper-Lead-Zinc - Q&amp;V'!$I$9:$I$251,2))*1000</f>
        <v>78650.710000000006</v>
      </c>
      <c r="X20" s="201">
        <f>(SUMIFS('Copper-Lead-Zinc - Q&amp;V'!$E$9:$E$251,'Copper-Lead-Zinc - Q&amp;V'!$H$9:$H$251,LEFT('Q&amp;V FY 2003-04 to Now'!W$9,4),'Copper-Lead-Zinc - Q&amp;V'!$I$9:$I$251,3)+
SUMIFS('Copper-Lead-Zinc - Q&amp;V'!$E$9:$E$251,'Copper-Lead-Zinc - Q&amp;V'!$H$9:$H$251,LEFT('Q&amp;V FY 2003-04 to Now'!W$9,4),'Copper-Lead-Zinc - Q&amp;V'!$I$9:$I$251,4)+
SUMIFS('Copper-Lead-Zinc - Q&amp;V'!$E$9:$E$251,'Copper-Lead-Zinc - Q&amp;V'!$H$9:$H$251,CONCATENATE("20",RIGHT('Q&amp;V FY 2003-04 to Now'!W$9,2)),'Copper-Lead-Zinc - Q&amp;V'!$I$9:$I$251,1)+
SUMIFS('Copper-Lead-Zinc - Q&amp;V'!$E$9:$E$251,'Copper-Lead-Zinc - Q&amp;V'!$H$9:$H$251,CONCATENATE("20",RIGHT('Q&amp;V FY 2003-04 to Now'!W$9,2)),'Copper-Lead-Zinc - Q&amp;V'!$I$9:$I$251,2))*1000000</f>
        <v>178764058.99999997</v>
      </c>
      <c r="Y20" s="201">
        <f>(SUMIFS('Copper-Lead-Zinc - Q&amp;V'!$D$9:$D$251,'Copper-Lead-Zinc - Q&amp;V'!$H$9:$H$251,LEFT('Q&amp;V FY 2003-04 to Now'!Y$9,4),'Copper-Lead-Zinc - Q&amp;V'!$I$9:$I$251,3)+
SUMIFS('Copper-Lead-Zinc - Q&amp;V'!$D$9:$D$251,'Copper-Lead-Zinc - Q&amp;V'!$H$9:$H$251,LEFT('Q&amp;V FY 2003-04 to Now'!Y$9:Z$9,4),'Copper-Lead-Zinc - Q&amp;V'!$I$9:$I$251,4)+
SUMIFS('Copper-Lead-Zinc - Q&amp;V'!$D$9:$D$251,'Copper-Lead-Zinc - Q&amp;V'!$H$9:$H$251,CONCATENATE("20",RIGHT('Q&amp;V FY 2003-04 to Now'!Y$9,2)),'Copper-Lead-Zinc - Q&amp;V'!$I$9:$I$251,1)+
SUMIFS('Copper-Lead-Zinc - Q&amp;V'!$D$9:$D$251,'Copper-Lead-Zinc - Q&amp;V'!$H$9:$H$251,CONCATENATE("20",RIGHT('Q&amp;V FY 2003-04 to Now'!Y$9,2)),'Copper-Lead-Zinc - Q&amp;V'!$I$9:$I$251,2))*1000</f>
        <v>59248.420000000006</v>
      </c>
      <c r="Z20" s="201">
        <f>(SUMIFS('Copper-Lead-Zinc - Q&amp;V'!$E$9:$E$251,'Copper-Lead-Zinc - Q&amp;V'!$H$9:$H$251,LEFT('Q&amp;V FY 2003-04 to Now'!Y$9,4),'Copper-Lead-Zinc - Q&amp;V'!$I$9:$I$251,3)+
SUMIFS('Copper-Lead-Zinc - Q&amp;V'!$E$9:$E$251,'Copper-Lead-Zinc - Q&amp;V'!$H$9:$H$251,LEFT('Q&amp;V FY 2003-04 to Now'!Y$9,4),'Copper-Lead-Zinc - Q&amp;V'!$I$9:$I$251,4)+
SUMIFS('Copper-Lead-Zinc - Q&amp;V'!$E$9:$E$251,'Copper-Lead-Zinc - Q&amp;V'!$H$9:$H$251,CONCATENATE("20",RIGHT('Q&amp;V FY 2003-04 to Now'!Y$9,2)),'Copper-Lead-Zinc - Q&amp;V'!$I$9:$I$251,1)+
SUMIFS('Copper-Lead-Zinc - Q&amp;V'!$E$9:$E$251,'Copper-Lead-Zinc - Q&amp;V'!$H$9:$H$251,CONCATENATE("20",RIGHT('Q&amp;V FY 2003-04 to Now'!Y$9,2)),'Copper-Lead-Zinc - Q&amp;V'!$I$9:$I$251,2))*1000000</f>
        <v>137177304</v>
      </c>
      <c r="AA20" s="201">
        <f>(SUMIFS('Copper-Lead-Zinc - Q&amp;V'!$D$9:$D$251,'Copper-Lead-Zinc - Q&amp;V'!$H$9:$H$251,LEFT('Q&amp;V FY 2003-04 to Now'!AA$9,4),'Copper-Lead-Zinc - Q&amp;V'!$I$9:$I$251,3)+
SUMIFS('Copper-Lead-Zinc - Q&amp;V'!$D$9:$D$251,'Copper-Lead-Zinc - Q&amp;V'!$H$9:$H$251,LEFT('Q&amp;V FY 2003-04 to Now'!AA$9:AB$9,4),'Copper-Lead-Zinc - Q&amp;V'!$I$9:$I$251,4)+
SUMIFS('Copper-Lead-Zinc - Q&amp;V'!$D$9:$D$251,'Copper-Lead-Zinc - Q&amp;V'!$H$9:$H$251,CONCATENATE("20",RIGHT('Q&amp;V FY 2003-04 to Now'!AA$9,2)),'Copper-Lead-Zinc - Q&amp;V'!$I$9:$I$251,1)+
SUMIFS('Copper-Lead-Zinc - Q&amp;V'!$D$9:$D$251,'Copper-Lead-Zinc - Q&amp;V'!$H$9:$H$251,CONCATENATE("20",RIGHT('Q&amp;V FY 2003-04 to Now'!AA$9,2)),'Copper-Lead-Zinc - Q&amp;V'!$I$9:$I$251,2))*1000</f>
        <v>5988</v>
      </c>
      <c r="AB20" s="201">
        <f>(SUMIFS('Copper-Lead-Zinc - Q&amp;V'!$E$9:$E$251,'Copper-Lead-Zinc - Q&amp;V'!$H$9:$H$251,LEFT('Q&amp;V FY 2003-04 to Now'!AA$9,4),'Copper-Lead-Zinc - Q&amp;V'!$I$9:$I$251,3)+
SUMIFS('Copper-Lead-Zinc - Q&amp;V'!$E$9:$E$251,'Copper-Lead-Zinc - Q&amp;V'!$H$9:$H$251,LEFT('Q&amp;V FY 2003-04 to Now'!AA$9,4),'Copper-Lead-Zinc - Q&amp;V'!$I$9:$I$251,4)+
SUMIFS('Copper-Lead-Zinc - Q&amp;V'!$E$9:$E$251,'Copper-Lead-Zinc - Q&amp;V'!$H$9:$H$251,CONCATENATE("20",RIGHT('Q&amp;V FY 2003-04 to Now'!AA$9,2)),'Copper-Lead-Zinc - Q&amp;V'!$I$9:$I$251,1)+
SUMIFS('Copper-Lead-Zinc - Q&amp;V'!$E$9:$E$251,'Copper-Lead-Zinc - Q&amp;V'!$H$9:$H$251,CONCATENATE("20",RIGHT('Q&amp;V FY 2003-04 to Now'!AA$9,2)),'Copper-Lead-Zinc - Q&amp;V'!$I$9:$I$251,2))*1000000</f>
        <v>14810595</v>
      </c>
      <c r="AC20" s="201">
        <f>(SUMIFS('Copper-Lead-Zinc - Q&amp;V'!$D$9:$D$251,'Copper-Lead-Zinc - Q&amp;V'!$H$9:$H$251,LEFT('Q&amp;V FY 2003-04 to Now'!AC$9,4),'Copper-Lead-Zinc - Q&amp;V'!$I$9:$I$251,3)+
SUMIFS('Copper-Lead-Zinc - Q&amp;V'!$D$9:$D$251,'Copper-Lead-Zinc - Q&amp;V'!$H$9:$H$251,LEFT('Q&amp;V FY 2003-04 to Now'!AC$9:AD$9,4),'Copper-Lead-Zinc - Q&amp;V'!$I$9:$I$251,4)+
SUMIFS('Copper-Lead-Zinc - Q&amp;V'!$D$9:$D$251,'Copper-Lead-Zinc - Q&amp;V'!$H$9:$H$251,CONCATENATE("20",RIGHT('Q&amp;V FY 2003-04 to Now'!AC$9,2)),'Copper-Lead-Zinc - Q&amp;V'!$I$9:$I$251,1)+
SUMIFS('Copper-Lead-Zinc - Q&amp;V'!$D$9:$D$251,'Copper-Lead-Zinc - Q&amp;V'!$H$9:$H$251,CONCATENATE("20",RIGHT('Q&amp;V FY 2003-04 to Now'!AC$9,2)),'Copper-Lead-Zinc - Q&amp;V'!$I$9:$I$251,2))*1000</f>
        <v>3507.48</v>
      </c>
      <c r="AD20" s="201">
        <f>(SUMIFS('Copper-Lead-Zinc - Q&amp;V'!$E$9:$E$251,'Copper-Lead-Zinc - Q&amp;V'!$H$9:$H$251,LEFT('Q&amp;V FY 2003-04 to Now'!AC$9,4),'Copper-Lead-Zinc - Q&amp;V'!$I$9:$I$251,3)+
SUMIFS('Copper-Lead-Zinc - Q&amp;V'!$E$9:$E$251,'Copper-Lead-Zinc - Q&amp;V'!$H$9:$H$251,LEFT('Q&amp;V FY 2003-04 to Now'!AC$9,4),'Copper-Lead-Zinc - Q&amp;V'!$I$9:$I$251,4)+
SUMIFS('Copper-Lead-Zinc - Q&amp;V'!$E$9:$E$251,'Copper-Lead-Zinc - Q&amp;V'!$H$9:$H$251,CONCATENATE("20",RIGHT('Q&amp;V FY 2003-04 to Now'!AC$9,2)),'Copper-Lead-Zinc - Q&amp;V'!$I$9:$I$251,1)+
SUMIFS('Copper-Lead-Zinc - Q&amp;V'!$E$9:$E$251,'Copper-Lead-Zinc - Q&amp;V'!$H$9:$H$251,CONCATENATE("20",RIGHT('Q&amp;V FY 2003-04 to Now'!AC$9,2)),'Copper-Lead-Zinc - Q&amp;V'!$I$9:$I$251,2))*1000000</f>
        <v>10146717</v>
      </c>
      <c r="AE20" s="278">
        <f>(SUMIFS('Copper-Lead-Zinc - Q&amp;V'!$D$9:$D$251,'Copper-Lead-Zinc - Q&amp;V'!$H$9:$H$251,LEFT('Q&amp;V FY 2003-04 to Now'!AE$9,4),'Copper-Lead-Zinc - Q&amp;V'!$I$9:$I$251,3)+
SUMIFS('Copper-Lead-Zinc - Q&amp;V'!$D$9:$D$251,'Copper-Lead-Zinc - Q&amp;V'!$H$9:$H$251,LEFT('Q&amp;V FY 2003-04 to Now'!AE$9:AF$9,4),'Copper-Lead-Zinc - Q&amp;V'!$I$9:$I$251,4)+
SUMIFS('Copper-Lead-Zinc - Q&amp;V'!$D$9:$D$251,'Copper-Lead-Zinc - Q&amp;V'!$H$9:$H$251,CONCATENATE("20",RIGHT('Q&amp;V FY 2003-04 to Now'!AE$9,2)),'Copper-Lead-Zinc - Q&amp;V'!$I$9:$I$251,1)+
SUMIFS('Copper-Lead-Zinc - Q&amp;V'!$D$9:$D$251,'Copper-Lead-Zinc - Q&amp;V'!$H$9:$H$251,CONCATENATE("20",RIGHT('Q&amp;V FY 2003-04 to Now'!AE$9,2)),'Copper-Lead-Zinc - Q&amp;V'!$I$9:$I$251,2))*1000</f>
        <v>7397.2800000000007</v>
      </c>
      <c r="AF20" s="201">
        <f>(SUMIFS('Copper-Lead-Zinc - Q&amp;V'!$E$9:$E$251,'Copper-Lead-Zinc - Q&amp;V'!$H$9:$H$251,LEFT('Q&amp;V FY 2003-04 to Now'!AE$9,4),'Copper-Lead-Zinc - Q&amp;V'!$I$9:$I$251,3)+
SUMIFS('Copper-Lead-Zinc - Q&amp;V'!$E$9:$E$251,'Copper-Lead-Zinc - Q&amp;V'!$H$9:$H$251,LEFT('Q&amp;V FY 2003-04 to Now'!AE$9,4),'Copper-Lead-Zinc - Q&amp;V'!$I$9:$I$251,4)+
SUMIFS('Copper-Lead-Zinc - Q&amp;V'!$E$9:$E$251,'Copper-Lead-Zinc - Q&amp;V'!$H$9:$H$251,CONCATENATE("20",RIGHT('Q&amp;V FY 2003-04 to Now'!AE$9,2)),'Copper-Lead-Zinc - Q&amp;V'!$I$9:$I$251,1)+
SUMIFS('Copper-Lead-Zinc - Q&amp;V'!$E$9:$E$251,'Copper-Lead-Zinc - Q&amp;V'!$H$9:$H$251,CONCATENATE("20",RIGHT('Q&amp;V FY 2003-04 to Now'!AE$9,2)),'Copper-Lead-Zinc - Q&amp;V'!$I$9:$I$251,2))*1000000</f>
        <v>22799222.999999996</v>
      </c>
      <c r="AG20" s="278">
        <f>(SUMIFS('Copper-Lead-Zinc - Q&amp;V'!$D$9:$D$251,'Copper-Lead-Zinc - Q&amp;V'!$H$9:$H$251,LEFT('Q&amp;V FY 2003-04 to Now'!AG$9,4),'Copper-Lead-Zinc - Q&amp;V'!$I$9:$I$251,3)+
SUMIFS('Copper-Lead-Zinc - Q&amp;V'!$D$9:$D$251,'Copper-Lead-Zinc - Q&amp;V'!$H$9:$H$251,LEFT('Q&amp;V FY 2003-04 to Now'!AG$9:AH$9,4),'Copper-Lead-Zinc - Q&amp;V'!$I$9:$I$251,4)+
SUMIFS('Copper-Lead-Zinc - Q&amp;V'!$D$9:$D$251,'Copper-Lead-Zinc - Q&amp;V'!$H$9:$H$251,CONCATENATE("20",RIGHT('Q&amp;V FY 2003-04 to Now'!AG$9,2)),'Copper-Lead-Zinc - Q&amp;V'!$I$9:$I$251,1)+
SUMIFS('Copper-Lead-Zinc - Q&amp;V'!$D$9:$D$251,'Copper-Lead-Zinc - Q&amp;V'!$H$9:$H$251,CONCATENATE("20",RIGHT('Q&amp;V FY 2003-04 to Now'!AG$9,2)),'Copper-Lead-Zinc - Q&amp;V'!$I$9:$I$251,2))*1000</f>
        <v>4852.01</v>
      </c>
      <c r="AH20" s="232">
        <f>(SUMIFS('Copper-Lead-Zinc - Q&amp;V'!$E$9:$E$251,'Copper-Lead-Zinc - Q&amp;V'!$H$9:$H$251,LEFT('Q&amp;V FY 2003-04 to Now'!AG$9,4),'Copper-Lead-Zinc - Q&amp;V'!$I$9:$I$251,3)+
SUMIFS('Copper-Lead-Zinc - Q&amp;V'!$E$9:$E$251,'Copper-Lead-Zinc - Q&amp;V'!$H$9:$H$251,LEFT('Q&amp;V FY 2003-04 to Now'!AG$9,4),'Copper-Lead-Zinc - Q&amp;V'!$I$9:$I$251,4)+
SUMIFS('Copper-Lead-Zinc - Q&amp;V'!$E$9:$E$251,'Copper-Lead-Zinc - Q&amp;V'!$H$9:$H$251,CONCATENATE("20",RIGHT('Q&amp;V FY 2003-04 to Now'!AG$9,2)),'Copper-Lead-Zinc - Q&amp;V'!$I$9:$I$251,1)+
SUMIFS('Copper-Lead-Zinc - Q&amp;V'!$E$9:$E$251,'Copper-Lead-Zinc - Q&amp;V'!$H$9:$H$251,CONCATENATE("20",RIGHT('Q&amp;V FY 2003-04 to Now'!AG$9,2)),'Copper-Lead-Zinc - Q&amp;V'!$I$9:$I$251,2))*1000000</f>
        <v>13344177.000000002</v>
      </c>
      <c r="AI20" s="281">
        <f>(SUMIFS('Copper-Lead-Zinc - Q&amp;V'!$D$9:$D$251,'Copper-Lead-Zinc - Q&amp;V'!$H$9:$H$251,LEFT('Q&amp;V FY 2003-04 to Now'!AI$9,4),'Copper-Lead-Zinc - Q&amp;V'!$I$9:$I$251,3)+
SUMIFS('Copper-Lead-Zinc - Q&amp;V'!$D$9:$D$251,'Copper-Lead-Zinc - Q&amp;V'!$H$9:$H$251,LEFT('Q&amp;V FY 2003-04 to Now'!AI$9:AJ$9,4),'Copper-Lead-Zinc - Q&amp;V'!$I$9:$I$251,4)+
SUMIFS('Copper-Lead-Zinc - Q&amp;V'!$D$9:$D$251,'Copper-Lead-Zinc - Q&amp;V'!$H$9:$H$251,CONCATENATE("20",RIGHT('Q&amp;V FY 2003-04 to Now'!AI$9,2)),'Copper-Lead-Zinc - Q&amp;V'!$I$9:$I$251,1)+
SUMIFS('Copper-Lead-Zinc - Q&amp;V'!$D$9:$D$251,'Copper-Lead-Zinc - Q&amp;V'!$H$9:$H$251,CONCATENATE("20",RIGHT('Q&amp;V FY 2003-04 to Now'!AI$9,2)),'Copper-Lead-Zinc - Q&amp;V'!$I$9:$I$251,2))*1000</f>
        <v>2775.3150000000001</v>
      </c>
      <c r="AJ20" s="232">
        <f>(SUMIFS('Copper-Lead-Zinc - Q&amp;V'!$E$9:$E$251,'Copper-Lead-Zinc - Q&amp;V'!$H$9:$H$251,LEFT('Q&amp;V FY 2003-04 to Now'!AI$9,4),'Copper-Lead-Zinc - Q&amp;V'!$I$9:$I$251,3)+
SUMIFS('Copper-Lead-Zinc - Q&amp;V'!$E$9:$E$251,'Copper-Lead-Zinc - Q&amp;V'!$H$9:$H$251,LEFT('Q&amp;V FY 2003-04 to Now'!AI$9,4),'Copper-Lead-Zinc - Q&amp;V'!$I$9:$I$251,4)+
SUMIFS('Copper-Lead-Zinc - Q&amp;V'!$E$9:$E$251,'Copper-Lead-Zinc - Q&amp;V'!$H$9:$H$251,CONCATENATE("20",RIGHT('Q&amp;V FY 2003-04 to Now'!AI$9,2)),'Copper-Lead-Zinc - Q&amp;V'!$I$9:$I$251,1)+
SUMIFS('Copper-Lead-Zinc - Q&amp;V'!$E$9:$E$251,'Copper-Lead-Zinc - Q&amp;V'!$H$9:$H$251,CONCATENATE("20",RIGHT('Q&amp;V FY 2003-04 to Now'!AI$9,2)),'Copper-Lead-Zinc - Q&amp;V'!$I$9:$I$251,2))*1000000</f>
        <v>7470739.9999999991</v>
      </c>
      <c r="AK20" s="232">
        <f>(SUMIFS('Copper-Lead-Zinc - Q&amp;V'!$D$9:$D$251,'Copper-Lead-Zinc - Q&amp;V'!$H$9:$H$251,LEFT('Q&amp;V FY 2003-04 to Now'!AK$9,4),'Copper-Lead-Zinc - Q&amp;V'!$I$9:$I$251,3)+
SUMIFS('Copper-Lead-Zinc - Q&amp;V'!$D$9:$D$251,'Copper-Lead-Zinc - Q&amp;V'!$H$9:$H$251,LEFT('Q&amp;V FY 2003-04 to Now'!AK$9:AL$9,4),'Copper-Lead-Zinc - Q&amp;V'!$I$9:$I$251,4)+
SUMIFS('Copper-Lead-Zinc - Q&amp;V'!$D$9:$D$251,'Copper-Lead-Zinc - Q&amp;V'!$H$9:$H$251,CONCATENATE("20",RIGHT('Q&amp;V FY 2003-04 to Now'!AK$9,2)),'Copper-Lead-Zinc - Q&amp;V'!$I$9:$I$251,1)+
SUMIFS('Copper-Lead-Zinc - Q&amp;V'!$D$9:$D$251,'Copper-Lead-Zinc - Q&amp;V'!$H$9:$H$251,CONCATENATE("20",RIGHT('Q&amp;V FY 2003-04 to Now'!AK$9,2)),'Copper-Lead-Zinc - Q&amp;V'!$I$9:$I$251,2))*1000</f>
        <v>0</v>
      </c>
      <c r="AL20" s="232">
        <f>(SUMIFS('Copper-Lead-Zinc - Q&amp;V'!$E$9:$E$251,'Copper-Lead-Zinc - Q&amp;V'!$H$9:$H$251,LEFT('Q&amp;V FY 2003-04 to Now'!AK$9,4),'Copper-Lead-Zinc - Q&amp;V'!$I$9:$I$251,3)+
SUMIFS('Copper-Lead-Zinc - Q&amp;V'!$E$9:$E$251,'Copper-Lead-Zinc - Q&amp;V'!$H$9:$H$251,LEFT('Q&amp;V FY 2003-04 to Now'!AK$9,4),'Copper-Lead-Zinc - Q&amp;V'!$I$9:$I$251,4)+
SUMIFS('Copper-Lead-Zinc - Q&amp;V'!$E$9:$E$251,'Copper-Lead-Zinc - Q&amp;V'!$H$9:$H$251,CONCATENATE("20",RIGHT('Q&amp;V FY 2003-04 to Now'!AK$9,2)),'Copper-Lead-Zinc - Q&amp;V'!$I$9:$I$251,1)+
SUMIFS('Copper-Lead-Zinc - Q&amp;V'!$E$9:$E$251,'Copper-Lead-Zinc - Q&amp;V'!$H$9:$H$251,CONCATENATE("20",RIGHT('Q&amp;V FY 2003-04 to Now'!AK$9,2)),'Copper-Lead-Zinc - Q&amp;V'!$I$9:$I$251,2))*1000000</f>
        <v>0</v>
      </c>
      <c r="AM20" s="232">
        <f>(SUMIFS('Copper-Lead-Zinc - Q&amp;V'!$D$9:$D$251,'Copper-Lead-Zinc - Q&amp;V'!$H$9:$H$251,LEFT('Q&amp;V FY 2003-04 to Now'!AM$9,4),'Copper-Lead-Zinc - Q&amp;V'!$I$9:$I$251,3)+
SUMIFS('Copper-Lead-Zinc - Q&amp;V'!$D$9:$D$251,'Copper-Lead-Zinc - Q&amp;V'!$H$9:$H$251,LEFT('Q&amp;V FY 2003-04 to Now'!AM$9:AN$9,4),'Copper-Lead-Zinc - Q&amp;V'!$I$9:$I$251,4)+
SUMIFS('Copper-Lead-Zinc - Q&amp;V'!$D$9:$D$251,'Copper-Lead-Zinc - Q&amp;V'!$H$9:$H$251,CONCATENATE("20",RIGHT('Q&amp;V FY 2003-04 to Now'!AM$9,2)),'Copper-Lead-Zinc - Q&amp;V'!$I$9:$I$251,1)+
SUMIFS('Copper-Lead-Zinc - Q&amp;V'!$D$9:$D$251,'Copper-Lead-Zinc - Q&amp;V'!$H$9:$H$251,CONCATENATE("20",RIGHT('Q&amp;V FY 2003-04 to Now'!AM$9,2)),'Copper-Lead-Zinc - Q&amp;V'!$I$9:$I$251,2))*1000</f>
        <v>1265.635</v>
      </c>
      <c r="AN20" s="232">
        <f>(SUMIFS('Copper-Lead-Zinc - Q&amp;V'!$E$9:$E$251,'Copper-Lead-Zinc - Q&amp;V'!$H$9:$H$251,LEFT('Q&amp;V FY 2003-04 to Now'!AM$9,4),'Copper-Lead-Zinc - Q&amp;V'!$I$9:$I$251,3)+
SUMIFS('Copper-Lead-Zinc - Q&amp;V'!$E$9:$E$251,'Copper-Lead-Zinc - Q&amp;V'!$H$9:$H$251,LEFT('Q&amp;V FY 2003-04 to Now'!AM$9,4),'Copper-Lead-Zinc - Q&amp;V'!$I$9:$I$251,4)+
SUMIFS('Copper-Lead-Zinc - Q&amp;V'!$E$9:$E$251,'Copper-Lead-Zinc - Q&amp;V'!$H$9:$H$251,CONCATENATE("20",RIGHT('Q&amp;V FY 2003-04 to Now'!AM$9,2)),'Copper-Lead-Zinc - Q&amp;V'!$I$9:$I$251,1)+
SUMIFS('Copper-Lead-Zinc - Q&amp;V'!$E$9:$E$251,'Copper-Lead-Zinc - Q&amp;V'!$H$9:$H$251,CONCATENATE("20",RIGHT('Q&amp;V FY 2003-04 to Now'!AM$9,2)),'Copper-Lead-Zinc - Q&amp;V'!$I$9:$I$251,2))*1000000</f>
        <v>3968739</v>
      </c>
      <c r="AO20" s="232">
        <f>(SUMIFS('Copper-Lead-Zinc - Q&amp;V'!$D$9:$D$251,'Copper-Lead-Zinc - Q&amp;V'!$H$9:$H$251,LEFT('Q&amp;V FY 2003-04 to Now'!AO$9,4),'Copper-Lead-Zinc - Q&amp;V'!$I$9:$I$251,3)+
SUMIFS('Copper-Lead-Zinc - Q&amp;V'!$D$9:$D$251,'Copper-Lead-Zinc - Q&amp;V'!$H$9:$H$251,LEFT('Q&amp;V FY 2003-04 to Now'!AO$9:AP$9,4),'Copper-Lead-Zinc - Q&amp;V'!$I$9:$I$251,4)+
SUMIFS('Copper-Lead-Zinc - Q&amp;V'!$D$9:$D$251,'Copper-Lead-Zinc - Q&amp;V'!$H$9:$H$251,CONCATENATE("20",RIGHT('Q&amp;V FY 2003-04 to Now'!AO$9,2)),'Copper-Lead-Zinc - Q&amp;V'!$I$9:$I$251,1)+
SUMIFS('Copper-Lead-Zinc - Q&amp;V'!$D$9:$D$251,'Copper-Lead-Zinc - Q&amp;V'!$H$9:$H$251,CONCATENATE("20",RIGHT('Q&amp;V FY 2003-04 to Now'!AO$9,2)),'Copper-Lead-Zinc - Q&amp;V'!$I$9:$I$251,2))*1000</f>
        <v>12741.852000000001</v>
      </c>
      <c r="AP20" s="232">
        <f>(SUMIFS('Copper-Lead-Zinc - Q&amp;V'!$E$9:$E$251,'Copper-Lead-Zinc - Q&amp;V'!$H$9:$H$251,LEFT('Q&amp;V FY 2003-04 to Now'!AO$9,4),'Copper-Lead-Zinc - Q&amp;V'!$I$9:$I$251,3)+
SUMIFS('Copper-Lead-Zinc - Q&amp;V'!$E$9:$E$251,'Copper-Lead-Zinc - Q&amp;V'!$H$9:$H$251,LEFT('Q&amp;V FY 2003-04 to Now'!AO$9,4),'Copper-Lead-Zinc - Q&amp;V'!$I$9:$I$251,4)+
SUMIFS('Copper-Lead-Zinc - Q&amp;V'!$E$9:$E$251,'Copper-Lead-Zinc - Q&amp;V'!$H$9:$H$251,CONCATENATE("20",RIGHT('Q&amp;V FY 2003-04 to Now'!AO$9,2)),'Copper-Lead-Zinc - Q&amp;V'!$I$9:$I$251,1)+
SUMIFS('Copper-Lead-Zinc - Q&amp;V'!$E$9:$E$251,'Copper-Lead-Zinc - Q&amp;V'!$H$9:$H$251,CONCATENATE("20",RIGHT('Q&amp;V FY 2003-04 to Now'!AO$9,2)),'Copper-Lead-Zinc - Q&amp;V'!$I$9:$I$251,2))*1000000</f>
        <v>41052465.999999993</v>
      </c>
      <c r="AQ20" s="232">
        <f>(SUMIFS('Copper-Lead-Zinc - Q&amp;V'!$D$9:$D$251,'Copper-Lead-Zinc - Q&amp;V'!$H$9:$H$251,LEFT('Q&amp;V FY 2003-04 to Now'!AQ$9,4),'Copper-Lead-Zinc - Q&amp;V'!$I$9:$I$251,3)+
SUMIFS('Copper-Lead-Zinc - Q&amp;V'!$D$9:$D$251,'Copper-Lead-Zinc - Q&amp;V'!$H$9:$H$251,LEFT('Q&amp;V FY 2003-04 to Now'!AQ$9:AR$9,4),'Copper-Lead-Zinc - Q&amp;V'!$I$9:$I$251,4)+
SUMIFS('Copper-Lead-Zinc - Q&amp;V'!$D$9:$D$251,'Copper-Lead-Zinc - Q&amp;V'!$H$9:$H$251,CONCATENATE("20",RIGHT('Q&amp;V FY 2003-04 to Now'!AQ$9,2)),'Copper-Lead-Zinc - Q&amp;V'!$I$9:$I$251,1)+
SUMIFS('Copper-Lead-Zinc - Q&amp;V'!$D$9:$D$251,'Copper-Lead-Zinc - Q&amp;V'!$H$9:$H$251,CONCATENATE("20",RIGHT('Q&amp;V FY 2003-04 to Now'!AQ$9,2)),'Copper-Lead-Zinc - Q&amp;V'!$I$9:$I$251,2))*1000</f>
        <v>45310.254999999997</v>
      </c>
      <c r="AR20" s="232">
        <f>(SUMIFS('Copper-Lead-Zinc - Q&amp;V'!$E$9:$E$251,'Copper-Lead-Zinc - Q&amp;V'!$H$9:$H$251,LEFT('Q&amp;V FY 2003-04 to Now'!AQ$9,4),'Copper-Lead-Zinc - Q&amp;V'!$I$9:$I$251,3)+
SUMIFS('Copper-Lead-Zinc - Q&amp;V'!$E$9:$E$251,'Copper-Lead-Zinc - Q&amp;V'!$H$9:$H$251,LEFT('Q&amp;V FY 2003-04 to Now'!AQ$9,4),'Copper-Lead-Zinc - Q&amp;V'!$I$9:$I$251,4)+
SUMIFS('Copper-Lead-Zinc - Q&amp;V'!$E$9:$E$251,'Copper-Lead-Zinc - Q&amp;V'!$H$9:$H$251,CONCATENATE("20",RIGHT('Q&amp;V FY 2003-04 to Now'!AQ$9,2)),'Copper-Lead-Zinc - Q&amp;V'!$I$9:$I$251,1)+
SUMIFS('Copper-Lead-Zinc - Q&amp;V'!$E$9:$E$251,'Copper-Lead-Zinc - Q&amp;V'!$H$9:$H$251,CONCATENATE("20",RIGHT('Q&amp;V FY 2003-04 to Now'!AQ$9,2)),'Copper-Lead-Zinc - Q&amp;V'!$I$9:$I$251,2))*1000000</f>
        <v>146772326.00000003</v>
      </c>
      <c r="AS20" s="232">
        <f>(SUMIFS('Copper-Lead-Zinc - Q&amp;V'!$D$9:$D$251,'Copper-Lead-Zinc - Q&amp;V'!$H$9:$H$251,LEFT('Q&amp;V FY 2003-04 to Now'!AS$9,4),'Copper-Lead-Zinc - Q&amp;V'!$I$9:$I$251,3)+
SUMIFS('Copper-Lead-Zinc - Q&amp;V'!$D$9:$D$251,'Copper-Lead-Zinc - Q&amp;V'!$H$9:$H$251,LEFT('Q&amp;V FY 2003-04 to Now'!AS$9:AT$9,4),'Copper-Lead-Zinc - Q&amp;V'!$I$9:$I$251,4)+
SUMIFS('Copper-Lead-Zinc - Q&amp;V'!$D$9:$D$251,'Copper-Lead-Zinc - Q&amp;V'!$H$9:$H$251,CONCATENATE("20",RIGHT('Q&amp;V FY 2003-04 to Now'!AS$9,2)),'Copper-Lead-Zinc - Q&amp;V'!$I$9:$I$251,1)+
SUMIFS('Copper-Lead-Zinc - Q&amp;V'!$D$9:$D$251,'Copper-Lead-Zinc - Q&amp;V'!$H$9:$H$251,CONCATENATE("20",RIGHT('Q&amp;V FY 2003-04 to Now'!AS$9,2)),'Copper-Lead-Zinc - Q&amp;V'!$I$9:$I$251,2))*1000</f>
        <v>68797.843999999997</v>
      </c>
      <c r="AT20" s="232">
        <f>(SUMIFS('Copper-Lead-Zinc - Q&amp;V'!$E$9:$E$251,'Copper-Lead-Zinc - Q&amp;V'!$H$9:$H$251,LEFT('Q&amp;V FY 2003-04 to Now'!AS$9,4),'Copper-Lead-Zinc - Q&amp;V'!$I$9:$I$251,3)+
SUMIFS('Copper-Lead-Zinc - Q&amp;V'!$E$9:$E$251,'Copper-Lead-Zinc - Q&amp;V'!$H$9:$H$251,LEFT('Q&amp;V FY 2003-04 to Now'!AS$9,4),'Copper-Lead-Zinc - Q&amp;V'!$I$9:$I$251,4)+
SUMIFS('Copper-Lead-Zinc - Q&amp;V'!$E$9:$E$251,'Copper-Lead-Zinc - Q&amp;V'!$H$9:$H$251,CONCATENATE("20",RIGHT('Q&amp;V FY 2003-04 to Now'!AS$9,2)),'Copper-Lead-Zinc - Q&amp;V'!$I$9:$I$251,1)+
SUMIFS('Copper-Lead-Zinc - Q&amp;V'!$E$9:$E$251,'Copper-Lead-Zinc - Q&amp;V'!$H$9:$H$251,CONCATENATE("20",RIGHT('Q&amp;V FY 2003-04 to Now'!AS$9,2)),'Copper-Lead-Zinc - Q&amp;V'!$I$9:$I$251,2))*1000000</f>
        <v>210122302</v>
      </c>
      <c r="AU20" s="364">
        <f>SUMIF($C$11:AT$11,1,$C20:AT20)</f>
        <v>574472.40600000008</v>
      </c>
      <c r="AV20" s="201">
        <f>IF(COUNTIF($C20:AT20, "nfp")=0, SUMIF($C$11:AT$11,0,$C20:AT20), "nfp")</f>
        <v>1330078273.29</v>
      </c>
    </row>
    <row r="21" spans="1:48" x14ac:dyDescent="0.25">
      <c r="A21" s="339" t="s">
        <v>194</v>
      </c>
      <c r="B21" s="216" t="s">
        <v>166</v>
      </c>
      <c r="C21" s="201">
        <f>(SUMIFS('Copper-Lead-Zinc - Q&amp;V'!$F$9:$F$251,'Copper-Lead-Zinc - Q&amp;V'!$H$9:$H$251,LEFT('Q&amp;V FY 2003-04 to Now'!C$9,4),'Copper-Lead-Zinc - Q&amp;V'!$I$9:$I$251,3)+
SUMIFS('Copper-Lead-Zinc - Q&amp;V'!$F$9:$F$251,'Copper-Lead-Zinc - Q&amp;V'!$H$9:$H$251,LEFT('Q&amp;V FY 2003-04 to Now'!C$9:D$9,4),'Copper-Lead-Zinc - Q&amp;V'!$I$9:$I$251,4)+
SUMIFS('Copper-Lead-Zinc - Q&amp;V'!$F$9:$F$251,'Copper-Lead-Zinc - Q&amp;V'!$H$9:$H$251,CONCATENATE("20",RIGHT('Q&amp;V FY 2003-04 to Now'!C$9,2)),'Copper-Lead-Zinc - Q&amp;V'!$I$9:$I$251,1)+
SUMIFS('Copper-Lead-Zinc - Q&amp;V'!$F$9:$F$251,'Copper-Lead-Zinc - Q&amp;V'!$H$9:$H$251,CONCATENATE("20",RIGHT('Q&amp;V FY 2003-04 to Now'!C$9,2)),'Copper-Lead-Zinc - Q&amp;V'!$I$9:$I$251,2))*1000</f>
        <v>106476.63</v>
      </c>
      <c r="D21" s="201">
        <f>(SUMIFS('Copper-Lead-Zinc - Q&amp;V'!$G$9:$G$251,'Copper-Lead-Zinc - Q&amp;V'!$H$9:$H$251,LEFT('Q&amp;V FY 2003-04 to Now'!C$9,4),'Copper-Lead-Zinc - Q&amp;V'!$I$9:$I$251,3)+
SUMIFS('Copper-Lead-Zinc - Q&amp;V'!$G$9:$G$251,'Copper-Lead-Zinc - Q&amp;V'!$H$9:$H$251,LEFT('Q&amp;V FY 2003-04 to Now'!C$9,4),'Copper-Lead-Zinc - Q&amp;V'!$I$9:$I$251,4)+
SUMIFS('Copper-Lead-Zinc - Q&amp;V'!$G$9:$G$251,'Copper-Lead-Zinc - Q&amp;V'!$H$9:$H$251,CONCATENATE("20",RIGHT('Q&amp;V FY 2003-04 to Now'!C$9,2)),'Copper-Lead-Zinc - Q&amp;V'!$I$9:$I$251,1)+
SUMIFS('Copper-Lead-Zinc - Q&amp;V'!$G$9:$G$251,'Copper-Lead-Zinc - Q&amp;V'!$H$9:$H$251,CONCATENATE("20",RIGHT('Q&amp;V FY 2003-04 to Now'!C$9,2)),'Copper-Lead-Zinc - Q&amp;V'!$I$9:$I$251,2))*1000000</f>
        <v>102822632.67</v>
      </c>
      <c r="E21" s="201">
        <f>(SUMIFS('Copper-Lead-Zinc - Q&amp;V'!$F$9:$F$251,'Copper-Lead-Zinc - Q&amp;V'!$H$9:$H$251,LEFT('Q&amp;V FY 2003-04 to Now'!E$9,4),'Copper-Lead-Zinc - Q&amp;V'!$I$9:$I$251,3)+
SUMIFS('Copper-Lead-Zinc - Q&amp;V'!$F$9:$F$251,'Copper-Lead-Zinc - Q&amp;V'!$H$9:$H$251,LEFT('Q&amp;V FY 2003-04 to Now'!E$9:F$9,4),'Copper-Lead-Zinc - Q&amp;V'!$I$9:$I$251,4)+
SUMIFS('Copper-Lead-Zinc - Q&amp;V'!$F$9:$F$251,'Copper-Lead-Zinc - Q&amp;V'!$H$9:$H$251,CONCATENATE("20",RIGHT('Q&amp;V FY 2003-04 to Now'!E$9,2)),'Copper-Lead-Zinc - Q&amp;V'!$I$9:$I$251,1)+
SUMIFS('Copper-Lead-Zinc - Q&amp;V'!$F$9:$F$251,'Copper-Lead-Zinc - Q&amp;V'!$H$9:$H$251,CONCATENATE("20",RIGHT('Q&amp;V FY 2003-04 to Now'!E$9,2)),'Copper-Lead-Zinc - Q&amp;V'!$I$9:$I$251,2))*1000</f>
        <v>48400.89</v>
      </c>
      <c r="F21" s="201">
        <f>(SUMIFS('Copper-Lead-Zinc - Q&amp;V'!$G$9:$G$251,'Copper-Lead-Zinc - Q&amp;V'!$H$9:$H$251,LEFT('Q&amp;V FY 2003-04 to Now'!E$9,4),'Copper-Lead-Zinc - Q&amp;V'!$I$9:$I$251,3)+
SUMIFS('Copper-Lead-Zinc - Q&amp;V'!$G$9:$G$251,'Copper-Lead-Zinc - Q&amp;V'!$H$9:$H$251,LEFT('Q&amp;V FY 2003-04 to Now'!E$9,4),'Copper-Lead-Zinc - Q&amp;V'!$I$9:$I$251,4)+
SUMIFS('Copper-Lead-Zinc - Q&amp;V'!$G$9:$G$251,'Copper-Lead-Zinc - Q&amp;V'!$H$9:$H$251,CONCATENATE("20",RIGHT('Q&amp;V FY 2003-04 to Now'!E$9,2)),'Copper-Lead-Zinc - Q&amp;V'!$I$9:$I$251,1)+
SUMIFS('Copper-Lead-Zinc - Q&amp;V'!$G$9:$G$251,'Copper-Lead-Zinc - Q&amp;V'!$H$9:$H$251,CONCATENATE("20",RIGHT('Q&amp;V FY 2003-04 to Now'!E$9,2)),'Copper-Lead-Zinc - Q&amp;V'!$I$9:$I$251,2))*1000000</f>
        <v>72516304.789999992</v>
      </c>
      <c r="G21" s="201">
        <f>(SUMIFS('Copper-Lead-Zinc - Q&amp;V'!$F$9:$F$251,'Copper-Lead-Zinc - Q&amp;V'!$H$9:$H$251,LEFT('Q&amp;V FY 2003-04 to Now'!G$9,4),'Copper-Lead-Zinc - Q&amp;V'!$I$9:$I$251,3)+
SUMIFS('Copper-Lead-Zinc - Q&amp;V'!$F$9:$F$251,'Copper-Lead-Zinc - Q&amp;V'!$H$9:$H$251,LEFT('Q&amp;V FY 2003-04 to Now'!G$9:H$9,4),'Copper-Lead-Zinc - Q&amp;V'!$I$9:$I$251,4)+
SUMIFS('Copper-Lead-Zinc - Q&amp;V'!$F$9:$F$251,'Copper-Lead-Zinc - Q&amp;V'!$H$9:$H$251,CONCATENATE("20",RIGHT('Q&amp;V FY 2003-04 to Now'!G$9,2)),'Copper-Lead-Zinc - Q&amp;V'!$I$9:$I$251,1)+
SUMIFS('Copper-Lead-Zinc - Q&amp;V'!$F$9:$F$251,'Copper-Lead-Zinc - Q&amp;V'!$H$9:$H$251,CONCATENATE("20",RIGHT('Q&amp;V FY 2003-04 to Now'!G$9,2)),'Copper-Lead-Zinc - Q&amp;V'!$I$9:$I$251,2))*1000</f>
        <v>80007.273000000001</v>
      </c>
      <c r="H21" s="201">
        <f>(SUMIFS('Copper-Lead-Zinc - Q&amp;V'!$G$9:$G$251,'Copper-Lead-Zinc - Q&amp;V'!$H$9:$H$251,LEFT('Q&amp;V FY 2003-04 to Now'!G$9,4),'Copper-Lead-Zinc - Q&amp;V'!$I$9:$I$251,3)+
SUMIFS('Copper-Lead-Zinc - Q&amp;V'!$G$9:$G$251,'Copper-Lead-Zinc - Q&amp;V'!$H$9:$H$251,LEFT('Q&amp;V FY 2003-04 to Now'!G$9,4),'Copper-Lead-Zinc - Q&amp;V'!$I$9:$I$251,4)+
SUMIFS('Copper-Lead-Zinc - Q&amp;V'!$G$9:$G$251,'Copper-Lead-Zinc - Q&amp;V'!$H$9:$H$251,CONCATENATE("20",RIGHT('Q&amp;V FY 2003-04 to Now'!G$9,2)),'Copper-Lead-Zinc - Q&amp;V'!$I$9:$I$251,1)+
SUMIFS('Copper-Lead-Zinc - Q&amp;V'!$G$9:$G$251,'Copper-Lead-Zinc - Q&amp;V'!$H$9:$H$251,CONCATENATE("20",RIGHT('Q&amp;V FY 2003-04 to Now'!G$9,2)),'Copper-Lead-Zinc - Q&amp;V'!$I$9:$I$251,2))*1000000</f>
        <v>274244835.53000003</v>
      </c>
      <c r="I21" s="201">
        <f>(SUMIFS('Copper-Lead-Zinc - Q&amp;V'!$F$9:$F$251,'Copper-Lead-Zinc - Q&amp;V'!$H$9:$H$251,LEFT('Q&amp;V FY 2003-04 to Now'!I$9,4),'Copper-Lead-Zinc - Q&amp;V'!$I$9:$I$251,3)+
SUMIFS('Copper-Lead-Zinc - Q&amp;V'!$F$9:$F$251,'Copper-Lead-Zinc - Q&amp;V'!$H$9:$H$251,LEFT('Q&amp;V FY 2003-04 to Now'!I$9:J$9,4),'Copper-Lead-Zinc - Q&amp;V'!$I$9:$I$251,4)+
SUMIFS('Copper-Lead-Zinc - Q&amp;V'!$F$9:$F$251,'Copper-Lead-Zinc - Q&amp;V'!$H$9:$H$251,CONCATENATE("20",RIGHT('Q&amp;V FY 2003-04 to Now'!I$9,2)),'Copper-Lead-Zinc - Q&amp;V'!$I$9:$I$251,1)+
SUMIFS('Copper-Lead-Zinc - Q&amp;V'!$F$9:$F$251,'Copper-Lead-Zinc - Q&amp;V'!$H$9:$H$251,CONCATENATE("20",RIGHT('Q&amp;V FY 2003-04 to Now'!I$9,2)),'Copper-Lead-Zinc - Q&amp;V'!$I$9:$I$251,2))*1000</f>
        <v>122964.92499999999</v>
      </c>
      <c r="J21" s="201">
        <f>(SUMIFS('Copper-Lead-Zinc - Q&amp;V'!$G$9:$G$251,'Copper-Lead-Zinc - Q&amp;V'!$H$9:$H$251,LEFT('Q&amp;V FY 2003-04 to Now'!I$9,4),'Copper-Lead-Zinc - Q&amp;V'!$I$9:$I$251,3)+
SUMIFS('Copper-Lead-Zinc - Q&amp;V'!$G$9:$G$251,'Copper-Lead-Zinc - Q&amp;V'!$H$9:$H$251,LEFT('Q&amp;V FY 2003-04 to Now'!I$9,4),'Copper-Lead-Zinc - Q&amp;V'!$I$9:$I$251,4)+
SUMIFS('Copper-Lead-Zinc - Q&amp;V'!$G$9:$G$251,'Copper-Lead-Zinc - Q&amp;V'!$H$9:$H$251,CONCATENATE("20",RIGHT('Q&amp;V FY 2003-04 to Now'!I$9,2)),'Copper-Lead-Zinc - Q&amp;V'!$I$9:$I$251,1)+
SUMIFS('Copper-Lead-Zinc - Q&amp;V'!$G$9:$G$251,'Copper-Lead-Zinc - Q&amp;V'!$H$9:$H$251,CONCATENATE("20",RIGHT('Q&amp;V FY 2003-04 to Now'!I$9,2)),'Copper-Lead-Zinc - Q&amp;V'!$I$9:$I$251,2))*1000000</f>
        <v>539954783.70000005</v>
      </c>
      <c r="K21" s="201">
        <f>(SUMIFS('Copper-Lead-Zinc - Q&amp;V'!$F$9:$F$251,'Copper-Lead-Zinc - Q&amp;V'!$H$9:$H$251,LEFT('Q&amp;V FY 2003-04 to Now'!K$9,4),'Copper-Lead-Zinc - Q&amp;V'!$I$9:$I$251,3)+
SUMIFS('Copper-Lead-Zinc - Q&amp;V'!$F$9:$F$251,'Copper-Lead-Zinc - Q&amp;V'!$H$9:$H$251,LEFT('Q&amp;V FY 2003-04 to Now'!K$9:L$9,4),'Copper-Lead-Zinc - Q&amp;V'!$I$9:$I$251,4)+
SUMIFS('Copper-Lead-Zinc - Q&amp;V'!$F$9:$F$251,'Copper-Lead-Zinc - Q&amp;V'!$H$9:$H$251,CONCATENATE("20",RIGHT('Q&amp;V FY 2003-04 to Now'!K$9,2)),'Copper-Lead-Zinc - Q&amp;V'!$I$9:$I$251,1)+
SUMIFS('Copper-Lead-Zinc - Q&amp;V'!$F$9:$F$251,'Copper-Lead-Zinc - Q&amp;V'!$H$9:$H$251,CONCATENATE("20",RIGHT('Q&amp;V FY 2003-04 to Now'!K$9,2)),'Copper-Lead-Zinc - Q&amp;V'!$I$9:$I$251,2))*1000</f>
        <v>216018.26</v>
      </c>
      <c r="L21" s="201">
        <f>(SUMIFS('Copper-Lead-Zinc - Q&amp;V'!$G$9:$G$251,'Copper-Lead-Zinc - Q&amp;V'!$H$9:$H$251,LEFT('Q&amp;V FY 2003-04 to Now'!K$9,4),'Copper-Lead-Zinc - Q&amp;V'!$I$9:$I$251,3)+
SUMIFS('Copper-Lead-Zinc - Q&amp;V'!$G$9:$G$251,'Copper-Lead-Zinc - Q&amp;V'!$H$9:$H$251,LEFT('Q&amp;V FY 2003-04 to Now'!K$9,4),'Copper-Lead-Zinc - Q&amp;V'!$I$9:$I$251,4)+
SUMIFS('Copper-Lead-Zinc - Q&amp;V'!$G$9:$G$251,'Copper-Lead-Zinc - Q&amp;V'!$H$9:$H$251,CONCATENATE("20",RIGHT('Q&amp;V FY 2003-04 to Now'!K$9,2)),'Copper-Lead-Zinc - Q&amp;V'!$I$9:$I$251,1)+
SUMIFS('Copper-Lead-Zinc - Q&amp;V'!$G$9:$G$251,'Copper-Lead-Zinc - Q&amp;V'!$H$9:$H$251,CONCATENATE("20",RIGHT('Q&amp;V FY 2003-04 to Now'!K$9,2)),'Copper-Lead-Zinc - Q&amp;V'!$I$9:$I$251,2))*1000000</f>
        <v>415932401.48999995</v>
      </c>
      <c r="M21" s="201">
        <f>(SUMIFS('Copper-Lead-Zinc - Q&amp;V'!$F$9:$F$251,'Copper-Lead-Zinc - Q&amp;V'!$H$9:$H$251,LEFT('Q&amp;V FY 2003-04 to Now'!M$9,4),'Copper-Lead-Zinc - Q&amp;V'!$I$9:$I$251,3)+
SUMIFS('Copper-Lead-Zinc - Q&amp;V'!$F$9:$F$251,'Copper-Lead-Zinc - Q&amp;V'!$H$9:$H$251,LEFT('Q&amp;V FY 2003-04 to Now'!M$9:N$9,4),'Copper-Lead-Zinc - Q&amp;V'!$I$9:$I$251,4)+
SUMIFS('Copper-Lead-Zinc - Q&amp;V'!$F$9:$F$251,'Copper-Lead-Zinc - Q&amp;V'!$H$9:$H$251,CONCATENATE("20",RIGHT('Q&amp;V FY 2003-04 to Now'!M$9,2)),'Copper-Lead-Zinc - Q&amp;V'!$I$9:$I$251,1)+
SUMIFS('Copper-Lead-Zinc - Q&amp;V'!$F$9:$F$251,'Copper-Lead-Zinc - Q&amp;V'!$H$9:$H$251,CONCATENATE("20",RIGHT('Q&amp;V FY 2003-04 to Now'!M$9,2)),'Copper-Lead-Zinc - Q&amp;V'!$I$9:$I$251,2))*1000</f>
        <v>142610.24599999998</v>
      </c>
      <c r="N21" s="201">
        <f>(SUMIFS('Copper-Lead-Zinc - Q&amp;V'!$G$9:$G$251,'Copper-Lead-Zinc - Q&amp;V'!$H$9:$H$251,LEFT('Q&amp;V FY 2003-04 to Now'!M$9,4),'Copper-Lead-Zinc - Q&amp;V'!$I$9:$I$251,3)+
SUMIFS('Copper-Lead-Zinc - Q&amp;V'!$G$9:$G$251,'Copper-Lead-Zinc - Q&amp;V'!$H$9:$H$251,LEFT('Q&amp;V FY 2003-04 to Now'!M$9,4),'Copper-Lead-Zinc - Q&amp;V'!$I$9:$I$251,4)+
SUMIFS('Copper-Lead-Zinc - Q&amp;V'!$G$9:$G$251,'Copper-Lead-Zinc - Q&amp;V'!$H$9:$H$251,CONCATENATE("20",RIGHT('Q&amp;V FY 2003-04 to Now'!M$9,2)),'Copper-Lead-Zinc - Q&amp;V'!$I$9:$I$251,1)+
SUMIFS('Copper-Lead-Zinc - Q&amp;V'!$G$9:$G$251,'Copper-Lead-Zinc - Q&amp;V'!$H$9:$H$251,CONCATENATE("20",RIGHT('Q&amp;V FY 2003-04 to Now'!M$9,2)),'Copper-Lead-Zinc - Q&amp;V'!$I$9:$I$251,2))*1000000</f>
        <v>232603528.29000002</v>
      </c>
      <c r="O21" s="201">
        <f>(SUMIFS('Copper-Lead-Zinc - Q&amp;V'!$F$9:$F$251,'Copper-Lead-Zinc - Q&amp;V'!$H$9:$H$251,LEFT('Q&amp;V FY 2003-04 to Now'!O$9,4),'Copper-Lead-Zinc - Q&amp;V'!$I$9:$I$251,3)+
SUMIFS('Copper-Lead-Zinc - Q&amp;V'!$F$9:$F$251,'Copper-Lead-Zinc - Q&amp;V'!$H$9:$H$251,LEFT('Q&amp;V FY 2003-04 to Now'!O$9:P$9,4),'Copper-Lead-Zinc - Q&amp;V'!$I$9:$I$251,4)+
SUMIFS('Copper-Lead-Zinc - Q&amp;V'!$F$9:$F$251,'Copper-Lead-Zinc - Q&amp;V'!$H$9:$H$251,CONCATENATE("20",RIGHT('Q&amp;V FY 2003-04 to Now'!O$9,2)),'Copper-Lead-Zinc - Q&amp;V'!$I$9:$I$251,1)+
SUMIFS('Copper-Lead-Zinc - Q&amp;V'!$F$9:$F$251,'Copper-Lead-Zinc - Q&amp;V'!$H$9:$H$251,CONCATENATE("20",RIGHT('Q&amp;V FY 2003-04 to Now'!O$9,2)),'Copper-Lead-Zinc - Q&amp;V'!$I$9:$I$251,2))*1000</f>
        <v>87558.923999999999</v>
      </c>
      <c r="P21" s="201">
        <f>(SUMIFS('Copper-Lead-Zinc - Q&amp;V'!$G$9:$G$251,'Copper-Lead-Zinc - Q&amp;V'!$H$9:$H$251,LEFT('Q&amp;V FY 2003-04 to Now'!O$9,4),'Copper-Lead-Zinc - Q&amp;V'!$I$9:$I$251,3)+
SUMIFS('Copper-Lead-Zinc - Q&amp;V'!$G$9:$G$251,'Copper-Lead-Zinc - Q&amp;V'!$H$9:$H$251,LEFT('Q&amp;V FY 2003-04 to Now'!O$9,4),'Copper-Lead-Zinc - Q&amp;V'!$I$9:$I$251,4)+
SUMIFS('Copper-Lead-Zinc - Q&amp;V'!$G$9:$G$251,'Copper-Lead-Zinc - Q&amp;V'!$H$9:$H$251,CONCATENATE("20",RIGHT('Q&amp;V FY 2003-04 to Now'!O$9,2)),'Copper-Lead-Zinc - Q&amp;V'!$I$9:$I$251,1)+
SUMIFS('Copper-Lead-Zinc - Q&amp;V'!$G$9:$G$251,'Copper-Lead-Zinc - Q&amp;V'!$H$9:$H$251,CONCATENATE("20",RIGHT('Q&amp;V FY 2003-04 to Now'!O$9,2)),'Copper-Lead-Zinc - Q&amp;V'!$I$9:$I$251,2))*1000000</f>
        <v>210118736.43000001</v>
      </c>
      <c r="Q21" s="201">
        <f>(SUMIFS('Copper-Lead-Zinc - Q&amp;V'!$F$9:$F$251,'Copper-Lead-Zinc - Q&amp;V'!$H$9:$H$251,LEFT('Q&amp;V FY 2003-04 to Now'!Q$9,4),'Copper-Lead-Zinc - Q&amp;V'!$I$9:$I$251,3)+
SUMIFS('Copper-Lead-Zinc - Q&amp;V'!$F$9:$F$251,'Copper-Lead-Zinc - Q&amp;V'!$H$9:$H$251,LEFT('Q&amp;V FY 2003-04 to Now'!Q$9:R$9,4),'Copper-Lead-Zinc - Q&amp;V'!$I$9:$I$251,4)+
SUMIFS('Copper-Lead-Zinc - Q&amp;V'!$F$9:$F$251,'Copper-Lead-Zinc - Q&amp;V'!$H$9:$H$251,CONCATENATE("20",RIGHT('Q&amp;V FY 2003-04 to Now'!Q$9,2)),'Copper-Lead-Zinc - Q&amp;V'!$I$9:$I$251,1)+
SUMIFS('Copper-Lead-Zinc - Q&amp;V'!$F$9:$F$251,'Copper-Lead-Zinc - Q&amp;V'!$H$9:$H$251,CONCATENATE("20",RIGHT('Q&amp;V FY 2003-04 to Now'!Q$9,2)),'Copper-Lead-Zinc - Q&amp;V'!$I$9:$I$251,2))*1000</f>
        <v>70536.544999999984</v>
      </c>
      <c r="R21" s="201">
        <f>(SUMIFS('Copper-Lead-Zinc - Q&amp;V'!$G$9:$G$251,'Copper-Lead-Zinc - Q&amp;V'!$H$9:$H$251,LEFT('Q&amp;V FY 2003-04 to Now'!Q$9,4),'Copper-Lead-Zinc - Q&amp;V'!$I$9:$I$251,3)+
SUMIFS('Copper-Lead-Zinc - Q&amp;V'!$G$9:$G$251,'Copper-Lead-Zinc - Q&amp;V'!$H$9:$H$251,LEFT('Q&amp;V FY 2003-04 to Now'!Q$9,4),'Copper-Lead-Zinc - Q&amp;V'!$I$9:$I$251,4)+
SUMIFS('Copper-Lead-Zinc - Q&amp;V'!$G$9:$G$251,'Copper-Lead-Zinc - Q&amp;V'!$H$9:$H$251,CONCATENATE("20",RIGHT('Q&amp;V FY 2003-04 to Now'!Q$9,2)),'Copper-Lead-Zinc - Q&amp;V'!$I$9:$I$251,1)+
SUMIFS('Copper-Lead-Zinc - Q&amp;V'!$G$9:$G$251,'Copper-Lead-Zinc - Q&amp;V'!$H$9:$H$251,CONCATENATE("20",RIGHT('Q&amp;V FY 2003-04 to Now'!Q$9,2)),'Copper-Lead-Zinc - Q&amp;V'!$I$9:$I$251,2))*1000000</f>
        <v>162108264.53999999</v>
      </c>
      <c r="S21" s="201">
        <f>(SUMIFS('Copper-Lead-Zinc - Q&amp;V'!$F$9:$F$251,'Copper-Lead-Zinc - Q&amp;V'!$H$9:$H$251,LEFT('Q&amp;V FY 2003-04 to Now'!S$9,4),'Copper-Lead-Zinc - Q&amp;V'!$I$9:$I$251,3)+
SUMIFS('Copper-Lead-Zinc - Q&amp;V'!$F$9:$F$251,'Copper-Lead-Zinc - Q&amp;V'!$H$9:$H$251,LEFT('Q&amp;V FY 2003-04 to Now'!S$9:T$9,4),'Copper-Lead-Zinc - Q&amp;V'!$I$9:$I$251,4)+
SUMIFS('Copper-Lead-Zinc - Q&amp;V'!$F$9:$F$251,'Copper-Lead-Zinc - Q&amp;V'!$H$9:$H$251,CONCATENATE("20",RIGHT('Q&amp;V FY 2003-04 to Now'!S$9,2)),'Copper-Lead-Zinc - Q&amp;V'!$I$9:$I$251,1)+
SUMIFS('Copper-Lead-Zinc - Q&amp;V'!$F$9:$F$251,'Copper-Lead-Zinc - Q&amp;V'!$H$9:$H$251,CONCATENATE("20",RIGHT('Q&amp;V FY 2003-04 to Now'!S$9,2)),'Copper-Lead-Zinc - Q&amp;V'!$I$9:$I$251,2))*1000</f>
        <v>63503.200999999994</v>
      </c>
      <c r="T21" s="201">
        <f>(SUMIFS('Copper-Lead-Zinc - Q&amp;V'!$G$9:$G$251,'Copper-Lead-Zinc - Q&amp;V'!$H$9:$H$251,LEFT('Q&amp;V FY 2003-04 to Now'!S$9,4),'Copper-Lead-Zinc - Q&amp;V'!$I$9:$I$251,3)+
SUMIFS('Copper-Lead-Zinc - Q&amp;V'!$G$9:$G$251,'Copper-Lead-Zinc - Q&amp;V'!$H$9:$H$251,LEFT('Q&amp;V FY 2003-04 to Now'!S$9,4),'Copper-Lead-Zinc - Q&amp;V'!$I$9:$I$251,4)+
SUMIFS('Copper-Lead-Zinc - Q&amp;V'!$G$9:$G$251,'Copper-Lead-Zinc - Q&amp;V'!$H$9:$H$251,CONCATENATE("20",RIGHT('Q&amp;V FY 2003-04 to Now'!S$9,2)),'Copper-Lead-Zinc - Q&amp;V'!$I$9:$I$251,1)+
SUMIFS('Copper-Lead-Zinc - Q&amp;V'!$G$9:$G$251,'Copper-Lead-Zinc - Q&amp;V'!$H$9:$H$251,CONCATENATE("20",RIGHT('Q&amp;V FY 2003-04 to Now'!S$9,2)),'Copper-Lead-Zinc - Q&amp;V'!$I$9:$I$251,2))*1000000</f>
        <v>121984209.99999999</v>
      </c>
      <c r="U21" s="201">
        <f>(SUMIFS('Copper-Lead-Zinc - Q&amp;V'!$F$9:$F$251,'Copper-Lead-Zinc - Q&amp;V'!$H$9:$H$251,LEFT('Q&amp;V FY 2003-04 to Now'!U$9,4),'Copper-Lead-Zinc - Q&amp;V'!$I$9:$I$251,3)+
SUMIFS('Copper-Lead-Zinc - Q&amp;V'!$F$9:$F$251,'Copper-Lead-Zinc - Q&amp;V'!$H$9:$H$251,LEFT('Q&amp;V FY 2003-04 to Now'!U$9:V$9,4),'Copper-Lead-Zinc - Q&amp;V'!$I$9:$I$251,4)+
SUMIFS('Copper-Lead-Zinc - Q&amp;V'!$F$9:$F$251,'Copper-Lead-Zinc - Q&amp;V'!$H$9:$H$251,CONCATENATE("20",RIGHT('Q&amp;V FY 2003-04 to Now'!U$9,2)),'Copper-Lead-Zinc - Q&amp;V'!$I$9:$I$251,1)+
SUMIFS('Copper-Lead-Zinc - Q&amp;V'!$F$9:$F$251,'Copper-Lead-Zinc - Q&amp;V'!$H$9:$H$251,CONCATENATE("20",RIGHT('Q&amp;V FY 2003-04 to Now'!U$9,2)),'Copper-Lead-Zinc - Q&amp;V'!$I$9:$I$251,2))*1000</f>
        <v>55847.680000000008</v>
      </c>
      <c r="V21" s="201">
        <f>(SUMIFS('Copper-Lead-Zinc - Q&amp;V'!$G$9:$G$251,'Copper-Lead-Zinc - Q&amp;V'!$H$9:$H$251,LEFT('Q&amp;V FY 2003-04 to Now'!U$9,4),'Copper-Lead-Zinc - Q&amp;V'!$I$9:$I$251,3)+
SUMIFS('Copper-Lead-Zinc - Q&amp;V'!$G$9:$G$251,'Copper-Lead-Zinc - Q&amp;V'!$H$9:$H$251,LEFT('Q&amp;V FY 2003-04 to Now'!U$9,4),'Copper-Lead-Zinc - Q&amp;V'!$I$9:$I$251,4)+
SUMIFS('Copper-Lead-Zinc - Q&amp;V'!$G$9:$G$251,'Copper-Lead-Zinc - Q&amp;V'!$H$9:$H$251,CONCATENATE("20",RIGHT('Q&amp;V FY 2003-04 to Now'!U$9,2)),'Copper-Lead-Zinc - Q&amp;V'!$I$9:$I$251,1)+
SUMIFS('Copper-Lead-Zinc - Q&amp;V'!$G$9:$G$251,'Copper-Lead-Zinc - Q&amp;V'!$H$9:$H$251,CONCATENATE("20",RIGHT('Q&amp;V FY 2003-04 to Now'!U$9,2)),'Copper-Lead-Zinc - Q&amp;V'!$I$9:$I$251,2))*1000000</f>
        <v>103867912.58999999</v>
      </c>
      <c r="W21" s="201">
        <f>(SUMIFS('Copper-Lead-Zinc - Q&amp;V'!$F$9:$F$251,'Copper-Lead-Zinc - Q&amp;V'!$H$9:$H$251,LEFT('Q&amp;V FY 2003-04 to Now'!W$9,4),'Copper-Lead-Zinc - Q&amp;V'!$I$9:$I$251,3)+
SUMIFS('Copper-Lead-Zinc - Q&amp;V'!$F$9:$F$251,'Copper-Lead-Zinc - Q&amp;V'!$H$9:$H$251,LEFT('Q&amp;V FY 2003-04 to Now'!W$9:X$9,4),'Copper-Lead-Zinc - Q&amp;V'!$I$9:$I$251,4)+
SUMIFS('Copper-Lead-Zinc - Q&amp;V'!$F$9:$F$251,'Copper-Lead-Zinc - Q&amp;V'!$H$9:$H$251,CONCATENATE("20",RIGHT('Q&amp;V FY 2003-04 to Now'!W$9,2)),'Copper-Lead-Zinc - Q&amp;V'!$I$9:$I$251,1)+
SUMIFS('Copper-Lead-Zinc - Q&amp;V'!$F$9:$F$251,'Copper-Lead-Zinc - Q&amp;V'!$H$9:$H$251,CONCATENATE("20",RIGHT('Q&amp;V FY 2003-04 to Now'!W$9,2)),'Copper-Lead-Zinc - Q&amp;V'!$I$9:$I$251,2))*1000</f>
        <v>54060.29</v>
      </c>
      <c r="X21" s="201">
        <f>(SUMIFS('Copper-Lead-Zinc - Q&amp;V'!$G$9:$G$251,'Copper-Lead-Zinc - Q&amp;V'!$H$9:$H$251,LEFT('Q&amp;V FY 2003-04 to Now'!W$9,4),'Copper-Lead-Zinc - Q&amp;V'!$I$9:$I$251,3)+
SUMIFS('Copper-Lead-Zinc - Q&amp;V'!$G$9:$G$251,'Copper-Lead-Zinc - Q&amp;V'!$H$9:$H$251,LEFT('Q&amp;V FY 2003-04 to Now'!W$9,4),'Copper-Lead-Zinc - Q&amp;V'!$I$9:$I$251,4)+
SUMIFS('Copper-Lead-Zinc - Q&amp;V'!$G$9:$G$251,'Copper-Lead-Zinc - Q&amp;V'!$H$9:$H$251,CONCATENATE("20",RIGHT('Q&amp;V FY 2003-04 to Now'!W$9,2)),'Copper-Lead-Zinc - Q&amp;V'!$I$9:$I$251,1)+
SUMIFS('Copper-Lead-Zinc - Q&amp;V'!$G$9:$G$251,'Copper-Lead-Zinc - Q&amp;V'!$H$9:$H$251,CONCATENATE("20",RIGHT('Q&amp;V FY 2003-04 to Now'!W$9,2)),'Copper-Lead-Zinc - Q&amp;V'!$I$9:$I$251,2))*1000000</f>
        <v>118261575.99999999</v>
      </c>
      <c r="Y21" s="201">
        <f>(SUMIFS('Copper-Lead-Zinc - Q&amp;V'!$F$9:$F$251,'Copper-Lead-Zinc - Q&amp;V'!$H$9:$H$251,LEFT('Q&amp;V FY 2003-04 to Now'!Y$9,4),'Copper-Lead-Zinc - Q&amp;V'!$I$9:$I$251,3)+
SUMIFS('Copper-Lead-Zinc - Q&amp;V'!$F$9:$F$251,'Copper-Lead-Zinc - Q&amp;V'!$H$9:$H$251,LEFT('Q&amp;V FY 2003-04 to Now'!Y$9:Z$9,4),'Copper-Lead-Zinc - Q&amp;V'!$I$9:$I$251,4)+
SUMIFS('Copper-Lead-Zinc - Q&amp;V'!$F$9:$F$251,'Copper-Lead-Zinc - Q&amp;V'!$H$9:$H$251,CONCATENATE("20",RIGHT('Q&amp;V FY 2003-04 to Now'!Y$9,2)),'Copper-Lead-Zinc - Q&amp;V'!$I$9:$I$251,1)+
SUMIFS('Copper-Lead-Zinc - Q&amp;V'!$F$9:$F$251,'Copper-Lead-Zinc - Q&amp;V'!$H$9:$H$251,CONCATENATE("20",RIGHT('Q&amp;V FY 2003-04 to Now'!Y$9,2)),'Copper-Lead-Zinc - Q&amp;V'!$I$9:$I$251,2))*1000</f>
        <v>77830.909999999989</v>
      </c>
      <c r="Z21" s="201">
        <f>(SUMIFS('Copper-Lead-Zinc - Q&amp;V'!$G$9:$G$251,'Copper-Lead-Zinc - Q&amp;V'!$H$9:$H$251,LEFT('Q&amp;V FY 2003-04 to Now'!Y$9,4),'Copper-Lead-Zinc - Q&amp;V'!$I$9:$I$251,3)+
SUMIFS('Copper-Lead-Zinc - Q&amp;V'!$G$9:$G$251,'Copper-Lead-Zinc - Q&amp;V'!$H$9:$H$251,LEFT('Q&amp;V FY 2003-04 to Now'!Y$9,4),'Copper-Lead-Zinc - Q&amp;V'!$I$9:$I$251,4)+
SUMIFS('Copper-Lead-Zinc - Q&amp;V'!$G$9:$G$251,'Copper-Lead-Zinc - Q&amp;V'!$H$9:$H$251,CONCATENATE("20",RIGHT('Q&amp;V FY 2003-04 to Now'!Y$9,2)),'Copper-Lead-Zinc - Q&amp;V'!$I$9:$I$251,1)+
SUMIFS('Copper-Lead-Zinc - Q&amp;V'!$G$9:$G$251,'Copper-Lead-Zinc - Q&amp;V'!$H$9:$H$251,CONCATENATE("20",RIGHT('Q&amp;V FY 2003-04 to Now'!Y$9,2)),'Copper-Lead-Zinc - Q&amp;V'!$I$9:$I$251,2))*1000000</f>
        <v>197040406</v>
      </c>
      <c r="AA21" s="201">
        <f>(SUMIFS('Copper-Lead-Zinc - Q&amp;V'!$F$9:$F$251,'Copper-Lead-Zinc - Q&amp;V'!$H$9:$H$251,LEFT('Q&amp;V FY 2003-04 to Now'!AA$9,4),'Copper-Lead-Zinc - Q&amp;V'!$I$9:$I$251,3)+
SUMIFS('Copper-Lead-Zinc - Q&amp;V'!$F$9:$F$251,'Copper-Lead-Zinc - Q&amp;V'!$H$9:$H$251,LEFT('Q&amp;V FY 2003-04 to Now'!AA$9:AB$9,4),'Copper-Lead-Zinc - Q&amp;V'!$I$9:$I$251,4)+
SUMIFS('Copper-Lead-Zinc - Q&amp;V'!$F$9:$F$251,'Copper-Lead-Zinc - Q&amp;V'!$H$9:$H$251,CONCATENATE("20",RIGHT('Q&amp;V FY 2003-04 to Now'!AA$9,2)),'Copper-Lead-Zinc - Q&amp;V'!$I$9:$I$251,1)+
SUMIFS('Copper-Lead-Zinc - Q&amp;V'!$F$9:$F$251,'Copper-Lead-Zinc - Q&amp;V'!$H$9:$H$251,CONCATENATE("20",RIGHT('Q&amp;V FY 2003-04 to Now'!AA$9,2)),'Copper-Lead-Zinc - Q&amp;V'!$I$9:$I$251,2))*1000</f>
        <v>82675.94</v>
      </c>
      <c r="AB21" s="201">
        <f>(SUMIFS('Copper-Lead-Zinc - Q&amp;V'!$G$9:$G$251,'Copper-Lead-Zinc - Q&amp;V'!$H$9:$H$251,LEFT('Q&amp;V FY 2003-04 to Now'!AA$9,4),'Copper-Lead-Zinc - Q&amp;V'!$I$9:$I$251,3)+
SUMIFS('Copper-Lead-Zinc - Q&amp;V'!$G$9:$G$251,'Copper-Lead-Zinc - Q&amp;V'!$H$9:$H$251,LEFT('Q&amp;V FY 2003-04 to Now'!AA$9,4),'Copper-Lead-Zinc - Q&amp;V'!$I$9:$I$251,4)+
SUMIFS('Copper-Lead-Zinc - Q&amp;V'!$G$9:$G$251,'Copper-Lead-Zinc - Q&amp;V'!$H$9:$H$251,CONCATENATE("20",RIGHT('Q&amp;V FY 2003-04 to Now'!AA$9,2)),'Copper-Lead-Zinc - Q&amp;V'!$I$9:$I$251,1)+
SUMIFS('Copper-Lead-Zinc - Q&amp;V'!$G$9:$G$251,'Copper-Lead-Zinc - Q&amp;V'!$H$9:$H$251,CONCATENATE("20",RIGHT('Q&amp;V FY 2003-04 to Now'!AA$9,2)),'Copper-Lead-Zinc - Q&amp;V'!$I$9:$I$251,2))*1000000</f>
        <v>195494453</v>
      </c>
      <c r="AC21" s="201">
        <f>(SUMIFS('Copper-Lead-Zinc - Q&amp;V'!$F$9:$F$251,'Copper-Lead-Zinc - Q&amp;V'!$H$9:$H$251,LEFT('Q&amp;V FY 2003-04 to Now'!AC$9,4),'Copper-Lead-Zinc - Q&amp;V'!$I$9:$I$251,3)+
SUMIFS('Copper-Lead-Zinc - Q&amp;V'!$F$9:$F$251,'Copper-Lead-Zinc - Q&amp;V'!$H$9:$H$251,LEFT('Q&amp;V FY 2003-04 to Now'!AC$9:AD$9,4),'Copper-Lead-Zinc - Q&amp;V'!$I$9:$I$251,4)+
SUMIFS('Copper-Lead-Zinc - Q&amp;V'!$F$9:$F$251,'Copper-Lead-Zinc - Q&amp;V'!$H$9:$H$251,CONCATENATE("20",RIGHT('Q&amp;V FY 2003-04 to Now'!AC$9,2)),'Copper-Lead-Zinc - Q&amp;V'!$I$9:$I$251,1)+
SUMIFS('Copper-Lead-Zinc - Q&amp;V'!$F$9:$F$251,'Copper-Lead-Zinc - Q&amp;V'!$H$9:$H$251,CONCATENATE("20",RIGHT('Q&amp;V FY 2003-04 to Now'!AC$9,2)),'Copper-Lead-Zinc - Q&amp;V'!$I$9:$I$251,2))*1000</f>
        <v>82942.66</v>
      </c>
      <c r="AD21" s="201">
        <f>(SUMIFS('Copper-Lead-Zinc - Q&amp;V'!$G$9:$G$251,'Copper-Lead-Zinc - Q&amp;V'!$H$9:$H$251,LEFT('Q&amp;V FY 2003-04 to Now'!AC$9,4),'Copper-Lead-Zinc - Q&amp;V'!$I$9:$I$251,3)+
SUMIFS('Copper-Lead-Zinc - Q&amp;V'!$G$9:$G$251,'Copper-Lead-Zinc - Q&amp;V'!$H$9:$H$251,LEFT('Q&amp;V FY 2003-04 to Now'!AC$9,4),'Copper-Lead-Zinc - Q&amp;V'!$I$9:$I$251,4)+
SUMIFS('Copper-Lead-Zinc - Q&amp;V'!$G$9:$G$251,'Copper-Lead-Zinc - Q&amp;V'!$H$9:$H$251,CONCATENATE("20",RIGHT('Q&amp;V FY 2003-04 to Now'!AC$9,2)),'Copper-Lead-Zinc - Q&amp;V'!$I$9:$I$251,1)+
SUMIFS('Copper-Lead-Zinc - Q&amp;V'!$G$9:$G$251,'Copper-Lead-Zinc - Q&amp;V'!$H$9:$H$251,CONCATENATE("20",RIGHT('Q&amp;V FY 2003-04 to Now'!AC$9,2)),'Copper-Lead-Zinc - Q&amp;V'!$I$9:$I$251,2))*1000000</f>
        <v>204161259</v>
      </c>
      <c r="AE21" s="278">
        <f>(SUMIFS('Copper-Lead-Zinc - Q&amp;V'!$F$9:$F$251,'Copper-Lead-Zinc - Q&amp;V'!$H$9:$H$251,LEFT('Q&amp;V FY 2003-04 to Now'!AE$9,4),'Copper-Lead-Zinc - Q&amp;V'!$I$9:$I$251,3)+
SUMIFS('Copper-Lead-Zinc - Q&amp;V'!$F$9:$F$251,'Copper-Lead-Zinc - Q&amp;V'!$H$9:$H$251,LEFT('Q&amp;V FY 2003-04 to Now'!AE$9:AF$9,4),'Copper-Lead-Zinc - Q&amp;V'!$I$9:$I$251,4)+
SUMIFS('Copper-Lead-Zinc - Q&amp;V'!$F$9:$F$251,'Copper-Lead-Zinc - Q&amp;V'!$H$9:$H$251,CONCATENATE("20",RIGHT('Q&amp;V FY 2003-04 to Now'!AE$9,2)),'Copper-Lead-Zinc - Q&amp;V'!$I$9:$I$251,1)+
SUMIFS('Copper-Lead-Zinc - Q&amp;V'!$F$9:$F$251,'Copper-Lead-Zinc - Q&amp;V'!$H$9:$H$251,CONCATENATE("20",RIGHT('Q&amp;V FY 2003-04 to Now'!AE$9,2)),'Copper-Lead-Zinc - Q&amp;V'!$I$9:$I$251,2))*1000</f>
        <v>80507.706999999995</v>
      </c>
      <c r="AF21" s="201">
        <f>(SUMIFS('Copper-Lead-Zinc - Q&amp;V'!$G$9:$G$251,'Copper-Lead-Zinc - Q&amp;V'!$H$9:$H$251,LEFT('Q&amp;V FY 2003-04 to Now'!AE$9,4),'Copper-Lead-Zinc - Q&amp;V'!$I$9:$I$251,3)+
SUMIFS('Copper-Lead-Zinc - Q&amp;V'!$G$9:$G$251,'Copper-Lead-Zinc - Q&amp;V'!$H$9:$H$251,LEFT('Q&amp;V FY 2003-04 to Now'!AE$9,4),'Copper-Lead-Zinc - Q&amp;V'!$I$9:$I$251,4)+
SUMIFS('Copper-Lead-Zinc - Q&amp;V'!$G$9:$G$251,'Copper-Lead-Zinc - Q&amp;V'!$H$9:$H$251,CONCATENATE("20",RIGHT('Q&amp;V FY 2003-04 to Now'!AE$9,2)),'Copper-Lead-Zinc - Q&amp;V'!$I$9:$I$251,1)+
SUMIFS('Copper-Lead-Zinc - Q&amp;V'!$G$9:$G$251,'Copper-Lead-Zinc - Q&amp;V'!$H$9:$H$251,CONCATENATE("20",RIGHT('Q&amp;V FY 2003-04 to Now'!AE$9,2)),'Copper-Lead-Zinc - Q&amp;V'!$I$9:$I$251,2))*1000000</f>
        <v>323504398</v>
      </c>
      <c r="AG21" s="278">
        <f>(SUMIFS('Copper-Lead-Zinc - Q&amp;V'!$F$9:$F$251,'Copper-Lead-Zinc - Q&amp;V'!$H$9:$H$251,LEFT('Q&amp;V FY 2003-04 to Now'!AG$9,4),'Copper-Lead-Zinc - Q&amp;V'!$I$9:$I$251,3)+
SUMIFS('Copper-Lead-Zinc - Q&amp;V'!$F$9:$F$251,'Copper-Lead-Zinc - Q&amp;V'!$H$9:$H$251,LEFT('Q&amp;V FY 2003-04 to Now'!AG$9:AH$9,4),'Copper-Lead-Zinc - Q&amp;V'!$I$9:$I$251,4)+
SUMIFS('Copper-Lead-Zinc - Q&amp;V'!$F$9:$F$251,'Copper-Lead-Zinc - Q&amp;V'!$H$9:$H$251,CONCATENATE("20",RIGHT('Q&amp;V FY 2003-04 to Now'!AG$9,2)),'Copper-Lead-Zinc - Q&amp;V'!$I$9:$I$251,1)+
SUMIFS('Copper-Lead-Zinc - Q&amp;V'!$F$9:$F$251,'Copper-Lead-Zinc - Q&amp;V'!$H$9:$H$251,CONCATENATE("20",RIGHT('Q&amp;V FY 2003-04 to Now'!AG$9,2)),'Copper-Lead-Zinc - Q&amp;V'!$I$9:$I$251,2))*1000</f>
        <v>71404.652999999991</v>
      </c>
      <c r="AH21" s="232">
        <f>(SUMIFS('Copper-Lead-Zinc - Q&amp;V'!$G$9:$G$251,'Copper-Lead-Zinc - Q&amp;V'!$H$9:$H$251,LEFT('Q&amp;V FY 2003-04 to Now'!AG$9,4),'Copper-Lead-Zinc - Q&amp;V'!$I$9:$I$251,3)+
SUMIFS('Copper-Lead-Zinc - Q&amp;V'!$G$9:$G$251,'Copper-Lead-Zinc - Q&amp;V'!$H$9:$H$251,LEFT('Q&amp;V FY 2003-04 to Now'!AG$9,4),'Copper-Lead-Zinc - Q&amp;V'!$I$9:$I$251,4)+
SUMIFS('Copper-Lead-Zinc - Q&amp;V'!$G$9:$G$251,'Copper-Lead-Zinc - Q&amp;V'!$H$9:$H$251,CONCATENATE("20",RIGHT('Q&amp;V FY 2003-04 to Now'!AG$9,2)),'Copper-Lead-Zinc - Q&amp;V'!$I$9:$I$251,1)+
SUMIFS('Copper-Lead-Zinc - Q&amp;V'!$G$9:$G$251,'Copper-Lead-Zinc - Q&amp;V'!$H$9:$H$251,CONCATENATE("20",RIGHT('Q&amp;V FY 2003-04 to Now'!AG$9,2)),'Copper-Lead-Zinc - Q&amp;V'!$I$9:$I$251,2))*1000000</f>
        <v>263162702.99999997</v>
      </c>
      <c r="AI21" s="281">
        <f>(SUMIFS('Copper-Lead-Zinc - Q&amp;V'!$F$9:$F$251,'Copper-Lead-Zinc - Q&amp;V'!$H$9:$H$251,LEFT('Q&amp;V FY 2003-04 to Now'!AI$9,4),'Copper-Lead-Zinc - Q&amp;V'!$I$9:$I$251,3)+
SUMIFS('Copper-Lead-Zinc - Q&amp;V'!$F$9:$F$251,'Copper-Lead-Zinc - Q&amp;V'!$H$9:$H$251,LEFT('Q&amp;V FY 2003-04 to Now'!AI$9:AJ$9,4),'Copper-Lead-Zinc - Q&amp;V'!$I$9:$I$251,4)+
SUMIFS('Copper-Lead-Zinc - Q&amp;V'!$F$9:$F$251,'Copper-Lead-Zinc - Q&amp;V'!$H$9:$H$251,CONCATENATE("20",RIGHT('Q&amp;V FY 2003-04 to Now'!AI$9,2)),'Copper-Lead-Zinc - Q&amp;V'!$I$9:$I$251,1)+
SUMIFS('Copper-Lead-Zinc - Q&amp;V'!$F$9:$F$251,'Copper-Lead-Zinc - Q&amp;V'!$H$9:$H$251,CONCATENATE("20",RIGHT('Q&amp;V FY 2003-04 to Now'!AI$9,2)),'Copper-Lead-Zinc - Q&amp;V'!$I$9:$I$251,2))*1000</f>
        <v>71770.606</v>
      </c>
      <c r="AJ21" s="232">
        <f>(SUMIFS('Copper-Lead-Zinc - Q&amp;V'!$G$9:$G$251,'Copper-Lead-Zinc - Q&amp;V'!$H$9:$H$251,LEFT('Q&amp;V FY 2003-04 to Now'!AI$9,4),'Copper-Lead-Zinc - Q&amp;V'!$I$9:$I$251,3)+
SUMIFS('Copper-Lead-Zinc - Q&amp;V'!$G$9:$G$251,'Copper-Lead-Zinc - Q&amp;V'!$H$9:$H$251,LEFT('Q&amp;V FY 2003-04 to Now'!AI$9,4),'Copper-Lead-Zinc - Q&amp;V'!$I$9:$I$251,4)+
SUMIFS('Copper-Lead-Zinc - Q&amp;V'!$G$9:$G$251,'Copper-Lead-Zinc - Q&amp;V'!$H$9:$H$251,CONCATENATE("20",RIGHT('Q&amp;V FY 2003-04 to Now'!AI$9,2)),'Copper-Lead-Zinc - Q&amp;V'!$I$9:$I$251,1)+
SUMIFS('Copper-Lead-Zinc - Q&amp;V'!$G$9:$G$251,'Copper-Lead-Zinc - Q&amp;V'!$H$9:$H$251,CONCATENATE("20",RIGHT('Q&amp;V FY 2003-04 to Now'!AI$9,2)),'Copper-Lead-Zinc - Q&amp;V'!$I$9:$I$251,2))*1000000</f>
        <v>223321577</v>
      </c>
      <c r="AK21" s="232">
        <f>(SUMIFS('Copper-Lead-Zinc - Q&amp;V'!$F$9:$F$251,'Copper-Lead-Zinc - Q&amp;V'!$H$9:$H$251,LEFT('Q&amp;V FY 2003-04 to Now'!AK$9,4),'Copper-Lead-Zinc - Q&amp;V'!$I$9:$I$251,3)+
SUMIFS('Copper-Lead-Zinc - Q&amp;V'!$F$9:$F$251,'Copper-Lead-Zinc - Q&amp;V'!$H$9:$H$251,LEFT('Q&amp;V FY 2003-04 to Now'!AK$9:AL$9,4),'Copper-Lead-Zinc - Q&amp;V'!$I$9:$I$251,4)+
SUMIFS('Copper-Lead-Zinc - Q&amp;V'!$F$9:$F$251,'Copper-Lead-Zinc - Q&amp;V'!$H$9:$H$251,CONCATENATE("20",RIGHT('Q&amp;V FY 2003-04 to Now'!AK$9,2)),'Copper-Lead-Zinc - Q&amp;V'!$I$9:$I$251,1)+
SUMIFS('Copper-Lead-Zinc - Q&amp;V'!$F$9:$F$251,'Copper-Lead-Zinc - Q&amp;V'!$H$9:$H$251,CONCATENATE("20",RIGHT('Q&amp;V FY 2003-04 to Now'!AK$9,2)),'Copper-Lead-Zinc - Q&amp;V'!$I$9:$I$251,2))*1000</f>
        <v>63746.925000000003</v>
      </c>
      <c r="AL21" s="232">
        <f>(SUMIFS('Copper-Lead-Zinc - Q&amp;V'!$G$9:$G$251,'Copper-Lead-Zinc - Q&amp;V'!$H$9:$H$251,LEFT('Q&amp;V FY 2003-04 to Now'!AK$9,4),'Copper-Lead-Zinc - Q&amp;V'!$I$9:$I$251,3)+
SUMIFS('Copper-Lead-Zinc - Q&amp;V'!$G$9:$G$251,'Copper-Lead-Zinc - Q&amp;V'!$H$9:$H$251,LEFT('Q&amp;V FY 2003-04 to Now'!AK$9,4),'Copper-Lead-Zinc - Q&amp;V'!$I$9:$I$251,4)+
SUMIFS('Copper-Lead-Zinc - Q&amp;V'!$G$9:$G$251,'Copper-Lead-Zinc - Q&amp;V'!$H$9:$H$251,CONCATENATE("20",RIGHT('Q&amp;V FY 2003-04 to Now'!AK$9,2)),'Copper-Lead-Zinc - Q&amp;V'!$I$9:$I$251,1)+
SUMIFS('Copper-Lead-Zinc - Q&amp;V'!$G$9:$G$251,'Copper-Lead-Zinc - Q&amp;V'!$H$9:$H$251,CONCATENATE("20",RIGHT('Q&amp;V FY 2003-04 to Now'!AK$9,2)),'Copper-Lead-Zinc - Q&amp;V'!$I$9:$I$251,2))*1000000</f>
        <v>231430143.99999997</v>
      </c>
      <c r="AM21" s="232">
        <f>(SUMIFS('Copper-Lead-Zinc - Q&amp;V'!$F$9:$F$251,'Copper-Lead-Zinc - Q&amp;V'!$H$9:$H$251,LEFT('Q&amp;V FY 2003-04 to Now'!AM$9,4),'Copper-Lead-Zinc - Q&amp;V'!$I$9:$I$251,3)+
SUMIFS('Copper-Lead-Zinc - Q&amp;V'!$F$9:$F$251,'Copper-Lead-Zinc - Q&amp;V'!$H$9:$H$251,LEFT('Q&amp;V FY 2003-04 to Now'!AM$9:AN$9,4),'Copper-Lead-Zinc - Q&amp;V'!$I$9:$I$251,4)+
SUMIFS('Copper-Lead-Zinc - Q&amp;V'!$F$9:$F$251,'Copper-Lead-Zinc - Q&amp;V'!$H$9:$H$251,CONCATENATE("20",RIGHT('Q&amp;V FY 2003-04 to Now'!AM$9,2)),'Copper-Lead-Zinc - Q&amp;V'!$I$9:$I$251,1)+
SUMIFS('Copper-Lead-Zinc - Q&amp;V'!$F$9:$F$251,'Copper-Lead-Zinc - Q&amp;V'!$H$9:$H$251,CONCATENATE("20",RIGHT('Q&amp;V FY 2003-04 to Now'!AM$9,2)),'Copper-Lead-Zinc - Q&amp;V'!$I$9:$I$251,2))*1000</f>
        <v>73970.526000000013</v>
      </c>
      <c r="AN21" s="232">
        <f>(SUMIFS('Copper-Lead-Zinc - Q&amp;V'!$G$9:$G$251,'Copper-Lead-Zinc - Q&amp;V'!$H$9:$H$251,LEFT('Q&amp;V FY 2003-04 to Now'!AM$9,4),'Copper-Lead-Zinc - Q&amp;V'!$I$9:$I$251,3)+
SUMIFS('Copper-Lead-Zinc - Q&amp;V'!$G$9:$G$251,'Copper-Lead-Zinc - Q&amp;V'!$H$9:$H$251,LEFT('Q&amp;V FY 2003-04 to Now'!AM$9,4),'Copper-Lead-Zinc - Q&amp;V'!$I$9:$I$251,4)+
SUMIFS('Copper-Lead-Zinc - Q&amp;V'!$G$9:$G$251,'Copper-Lead-Zinc - Q&amp;V'!$H$9:$H$251,CONCATENATE("20",RIGHT('Q&amp;V FY 2003-04 to Now'!AM$9,2)),'Copper-Lead-Zinc - Q&amp;V'!$I$9:$I$251,1)+
SUMIFS('Copper-Lead-Zinc - Q&amp;V'!$G$9:$G$251,'Copper-Lead-Zinc - Q&amp;V'!$H$9:$H$251,CONCATENATE("20",RIGHT('Q&amp;V FY 2003-04 to Now'!AM$9,2)),'Copper-Lead-Zinc - Q&amp;V'!$I$9:$I$251,2))*1000000</f>
        <v>349507226</v>
      </c>
      <c r="AO21" s="232">
        <f>(SUMIFS('Copper-Lead-Zinc - Q&amp;V'!$F$9:$F$251,'Copper-Lead-Zinc - Q&amp;V'!$H$9:$H$251,LEFT('Q&amp;V FY 2003-04 to Now'!AO$9,4),'Copper-Lead-Zinc - Q&amp;V'!$I$9:$I$251,3)+
SUMIFS('Copper-Lead-Zinc - Q&amp;V'!$F$9:$F$251,'Copper-Lead-Zinc - Q&amp;V'!$H$9:$H$251,LEFT('Q&amp;V FY 2003-04 to Now'!AO$9:AP$9,4),'Copper-Lead-Zinc - Q&amp;V'!$I$9:$I$251,4)+
SUMIFS('Copper-Lead-Zinc - Q&amp;V'!$F$9:$F$251,'Copper-Lead-Zinc - Q&amp;V'!$H$9:$H$251,CONCATENATE("20",RIGHT('Q&amp;V FY 2003-04 to Now'!AO$9,2)),'Copper-Lead-Zinc - Q&amp;V'!$I$9:$I$251,1)+
SUMIFS('Copper-Lead-Zinc - Q&amp;V'!$F$9:$F$251,'Copper-Lead-Zinc - Q&amp;V'!$H$9:$H$251,CONCATENATE("20",RIGHT('Q&amp;V FY 2003-04 to Now'!AO$9,2)),'Copper-Lead-Zinc - Q&amp;V'!$I$9:$I$251,2))*1000</f>
        <v>62242.393000000004</v>
      </c>
      <c r="AP21" s="232">
        <f>(SUMIFS('Copper-Lead-Zinc - Q&amp;V'!$G$9:$G$251,'Copper-Lead-Zinc - Q&amp;V'!$H$9:$H$251,LEFT('Q&amp;V FY 2003-04 to Now'!AO$9,4),'Copper-Lead-Zinc - Q&amp;V'!$I$9:$I$251,3)+
SUMIFS('Copper-Lead-Zinc - Q&amp;V'!$G$9:$G$251,'Copper-Lead-Zinc - Q&amp;V'!$H$9:$H$251,LEFT('Q&amp;V FY 2003-04 to Now'!AO$9,4),'Copper-Lead-Zinc - Q&amp;V'!$I$9:$I$251,4)+
SUMIFS('Copper-Lead-Zinc - Q&amp;V'!$G$9:$G$251,'Copper-Lead-Zinc - Q&amp;V'!$H$9:$H$251,CONCATENATE("20",RIGHT('Q&amp;V FY 2003-04 to Now'!AO$9,2)),'Copper-Lead-Zinc - Q&amp;V'!$I$9:$I$251,1)+
SUMIFS('Copper-Lead-Zinc - Q&amp;V'!$G$9:$G$251,'Copper-Lead-Zinc - Q&amp;V'!$H$9:$H$251,CONCATENATE("20",RIGHT('Q&amp;V FY 2003-04 to Now'!AO$9,2)),'Copper-Lead-Zinc - Q&amp;V'!$I$9:$I$251,2))*1000000</f>
        <v>265341546</v>
      </c>
      <c r="AQ21" s="232">
        <f>(SUMIFS('Copper-Lead-Zinc - Q&amp;V'!$F$9:$F$251,'Copper-Lead-Zinc - Q&amp;V'!$H$9:$H$251,LEFT('Q&amp;V FY 2003-04 to Now'!AQ$9,4),'Copper-Lead-Zinc - Q&amp;V'!$I$9:$I$251,3)+
SUMIFS('Copper-Lead-Zinc - Q&amp;V'!$F$9:$F$251,'Copper-Lead-Zinc - Q&amp;V'!$H$9:$H$251,LEFT('Q&amp;V FY 2003-04 to Now'!AQ$9:AR$9,4),'Copper-Lead-Zinc - Q&amp;V'!$I$9:$I$251,4)+
SUMIFS('Copper-Lead-Zinc - Q&amp;V'!$F$9:$F$251,'Copper-Lead-Zinc - Q&amp;V'!$H$9:$H$251,CONCATENATE("20",RIGHT('Q&amp;V FY 2003-04 to Now'!AQ$9,2)),'Copper-Lead-Zinc - Q&amp;V'!$I$9:$I$251,1)+
SUMIFS('Copper-Lead-Zinc - Q&amp;V'!$F$9:$F$251,'Copper-Lead-Zinc - Q&amp;V'!$H$9:$H$251,CONCATENATE("20",RIGHT('Q&amp;V FY 2003-04 to Now'!AQ$9,2)),'Copper-Lead-Zinc - Q&amp;V'!$I$9:$I$251,2))*1000</f>
        <v>43929.294000000009</v>
      </c>
      <c r="AR21" s="232">
        <f>(SUMIFS('Copper-Lead-Zinc - Q&amp;V'!$G$9:$G$251,'Copper-Lead-Zinc - Q&amp;V'!$H$9:$H$251,LEFT('Q&amp;V FY 2003-04 to Now'!AQ$9,4),'Copper-Lead-Zinc - Q&amp;V'!$I$9:$I$251,3)+
SUMIFS('Copper-Lead-Zinc - Q&amp;V'!$G$9:$G$251,'Copper-Lead-Zinc - Q&amp;V'!$H$9:$H$251,LEFT('Q&amp;V FY 2003-04 to Now'!AQ$9,4),'Copper-Lead-Zinc - Q&amp;V'!$I$9:$I$251,4)+
SUMIFS('Copper-Lead-Zinc - Q&amp;V'!$G$9:$G$251,'Copper-Lead-Zinc - Q&amp;V'!$H$9:$H$251,CONCATENATE("20",RIGHT('Q&amp;V FY 2003-04 to Now'!AQ$9,2)),'Copper-Lead-Zinc - Q&amp;V'!$I$9:$I$251,1)+
SUMIFS('Copper-Lead-Zinc - Q&amp;V'!$G$9:$G$251,'Copper-Lead-Zinc - Q&amp;V'!$H$9:$H$251,CONCATENATE("20",RIGHT('Q&amp;V FY 2003-04 to Now'!AQ$9,2)),'Copper-Lead-Zinc - Q&amp;V'!$I$9:$I$251,2))*1000000</f>
        <v>178347970</v>
      </c>
      <c r="AS21" s="232">
        <f>(SUMIFS('Copper-Lead-Zinc - Q&amp;V'!$F$9:$F$251,'Copper-Lead-Zinc - Q&amp;V'!$H$9:$H$251,LEFT('Q&amp;V FY 2003-04 to Now'!AS$9,4),'Copper-Lead-Zinc - Q&amp;V'!$I$9:$I$251,3)+
SUMIFS('Copper-Lead-Zinc - Q&amp;V'!$F$9:$F$251,'Copper-Lead-Zinc - Q&amp;V'!$H$9:$H$251,LEFT('Q&amp;V FY 2003-04 to Now'!AS$9:AT$9,4),'Copper-Lead-Zinc - Q&amp;V'!$I$9:$I$251,4)+
SUMIFS('Copper-Lead-Zinc - Q&amp;V'!$F$9:$F$251,'Copper-Lead-Zinc - Q&amp;V'!$H$9:$H$251,CONCATENATE("20",RIGHT('Q&amp;V FY 2003-04 to Now'!AS$9,2)),'Copper-Lead-Zinc - Q&amp;V'!$I$9:$I$251,1)+
SUMIFS('Copper-Lead-Zinc - Q&amp;V'!$F$9:$F$251,'Copper-Lead-Zinc - Q&amp;V'!$H$9:$H$251,CONCATENATE("20",RIGHT('Q&amp;V FY 2003-04 to Now'!AS$9,2)),'Copper-Lead-Zinc - Q&amp;V'!$I$9:$I$251,2))*1000</f>
        <v>53817.87</v>
      </c>
      <c r="AT21" s="232">
        <f>(SUMIFS('Copper-Lead-Zinc - Q&amp;V'!$G$9:$G$251,'Copper-Lead-Zinc - Q&amp;V'!$H$9:$H$251,LEFT('Q&amp;V FY 2003-04 to Now'!AS$9,4),'Copper-Lead-Zinc - Q&amp;V'!$I$9:$I$251,3)+
SUMIFS('Copper-Lead-Zinc - Q&amp;V'!$G$9:$G$251,'Copper-Lead-Zinc - Q&amp;V'!$H$9:$H$251,LEFT('Q&amp;V FY 2003-04 to Now'!AS$9,4),'Copper-Lead-Zinc - Q&amp;V'!$I$9:$I$251,4)+
SUMIFS('Copper-Lead-Zinc - Q&amp;V'!$G$9:$G$251,'Copper-Lead-Zinc - Q&amp;V'!$H$9:$H$251,CONCATENATE("20",RIGHT('Q&amp;V FY 2003-04 to Now'!AS$9,2)),'Copper-Lead-Zinc - Q&amp;V'!$I$9:$I$251,1)+
SUMIFS('Copper-Lead-Zinc - Q&amp;V'!$G$9:$G$251,'Copper-Lead-Zinc - Q&amp;V'!$H$9:$H$251,CONCATENATE("20",RIGHT('Q&amp;V FY 2003-04 to Now'!AS$9,2)),'Copper-Lead-Zinc - Q&amp;V'!$I$9:$I$251,2))*1000000</f>
        <v>231509212</v>
      </c>
      <c r="AU21" s="364">
        <f>SUMIF($C$11:AT$11,1,$C21:AT21)</f>
        <v>1812824.3479999998</v>
      </c>
      <c r="AV21" s="201">
        <f>IF(COUNTIF($C21:AT21, "nfp")=0, SUMIF($C$11:AT$11,0,$C21:AT21), "nfp")</f>
        <v>5017236080.0300007</v>
      </c>
    </row>
    <row r="22" spans="1:48" x14ac:dyDescent="0.25">
      <c r="A22" s="340" t="s">
        <v>195</v>
      </c>
      <c r="C22" s="232"/>
      <c r="D22" s="232">
        <f>SUM(D19:D21)</f>
        <v>281716819.63999999</v>
      </c>
      <c r="E22" s="232"/>
      <c r="F22" s="232">
        <f>SUM(F19:F21)</f>
        <v>343201638.39999998</v>
      </c>
      <c r="G22" s="232"/>
      <c r="H22" s="232">
        <f>SUM(H19:H21)</f>
        <v>970329065.80999994</v>
      </c>
      <c r="I22" s="232"/>
      <c r="J22" s="232">
        <f>SUM(J19:J21)</f>
        <v>1619371265.5</v>
      </c>
      <c r="K22" s="232"/>
      <c r="L22" s="232">
        <f>SUM(L19:L21)</f>
        <v>1510380656.21</v>
      </c>
      <c r="M22" s="232"/>
      <c r="N22" s="232">
        <f>SUM(N19:N21)</f>
        <v>931437174.5</v>
      </c>
      <c r="O22" s="232"/>
      <c r="P22" s="232">
        <f>SUM(P19:P21)</f>
        <v>1444150153.1100001</v>
      </c>
      <c r="Q22" s="232"/>
      <c r="R22" s="232">
        <f>SUM(R19:R21)</f>
        <v>1594532883.9000001</v>
      </c>
      <c r="S22" s="232"/>
      <c r="T22" s="232">
        <f>SUM(T19:T21)</f>
        <v>1316603739.99</v>
      </c>
      <c r="U22" s="232"/>
      <c r="V22" s="232">
        <f>SUM(V19:V21)</f>
        <v>1561960992.4799998</v>
      </c>
      <c r="W22" s="232"/>
      <c r="X22" s="232">
        <f>SUM(X19:X21)</f>
        <v>1856591240.9999998</v>
      </c>
      <c r="Y22" s="232"/>
      <c r="Z22" s="232">
        <f>SUM(Z19:Z21)</f>
        <v>1617264507</v>
      </c>
      <c r="AA22" s="232"/>
      <c r="AB22" s="232">
        <f>SUM(AB19:AB21)</f>
        <v>1391567135</v>
      </c>
      <c r="AC22" s="232"/>
      <c r="AD22" s="232">
        <f>SUM(AD19:AD21)</f>
        <v>1454836025</v>
      </c>
      <c r="AE22" s="362"/>
      <c r="AF22" s="232">
        <f>SUM(AF19:AF21)</f>
        <v>1682891269.9999998</v>
      </c>
      <c r="AG22" s="365"/>
      <c r="AH22" s="232">
        <f>SUM(AH19:AH21)</f>
        <v>1598188978.9999998</v>
      </c>
      <c r="AI22" s="366"/>
      <c r="AJ22" s="232">
        <f>SUM(AJ19:AJ21)</f>
        <v>1613786332</v>
      </c>
      <c r="AK22" s="232"/>
      <c r="AL22" s="232">
        <f>SUM(AL19:AL21)</f>
        <v>1730193604.0000002</v>
      </c>
      <c r="AM22" s="232"/>
      <c r="AN22" s="232">
        <f>SUM(AN19:AN21)</f>
        <v>2257233685</v>
      </c>
      <c r="AO22" s="232"/>
      <c r="AP22" s="232">
        <f>SUM(AP19:AP21)</f>
        <v>1725106132</v>
      </c>
      <c r="AQ22" s="232"/>
      <c r="AR22" s="232">
        <f>SUM(AR19:AR21)</f>
        <v>1448341975.5984769</v>
      </c>
      <c r="AS22" s="232"/>
      <c r="AT22" s="232">
        <f>SUM(AT19:AT21)</f>
        <v>1462695682</v>
      </c>
      <c r="AU22" s="364"/>
      <c r="AV22" s="201">
        <f>IF(COUNTIF($C22:AT22, "nfp")=0, SUMIF($C$11:AT$11,0,$C22:AT22), "nfp")</f>
        <v>31412380957.138477</v>
      </c>
    </row>
    <row r="23" spans="1:48" x14ac:dyDescent="0.25">
      <c r="A23" s="215"/>
      <c r="C23" s="232"/>
      <c r="D23" s="232"/>
      <c r="E23" s="232"/>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362"/>
      <c r="AF23" s="232"/>
      <c r="AG23" s="363"/>
      <c r="AH23" s="232"/>
      <c r="AI23" s="362"/>
      <c r="AJ23" s="232"/>
      <c r="AK23" s="232"/>
      <c r="AL23" s="232"/>
      <c r="AM23" s="232"/>
      <c r="AN23" s="232"/>
      <c r="AO23" s="232"/>
      <c r="AP23" s="232"/>
      <c r="AQ23" s="232"/>
      <c r="AR23" s="232"/>
      <c r="AS23" s="232"/>
      <c r="AT23" s="232"/>
      <c r="AU23" s="364"/>
      <c r="AV23" s="201"/>
    </row>
    <row r="24" spans="1:48" x14ac:dyDescent="0.25">
      <c r="A24" s="323" t="s">
        <v>197</v>
      </c>
      <c r="B24" s="324" t="s">
        <v>166</v>
      </c>
      <c r="C24" s="325">
        <v>103207.6</v>
      </c>
      <c r="D24" s="325">
        <v>29334844.600000005</v>
      </c>
      <c r="E24" s="325">
        <v>107085.16999999998</v>
      </c>
      <c r="F24" s="325">
        <v>38249908.710000001</v>
      </c>
      <c r="G24" s="325">
        <v>107869.82999999999</v>
      </c>
      <c r="H24" s="325">
        <v>45532614.649999999</v>
      </c>
      <c r="I24" s="325">
        <v>91284</v>
      </c>
      <c r="J24" s="325" t="s">
        <v>509</v>
      </c>
      <c r="K24" s="325">
        <v>87635.331000000006</v>
      </c>
      <c r="L24" s="325" t="s">
        <v>509</v>
      </c>
      <c r="M24" s="325">
        <v>74898.459000000003</v>
      </c>
      <c r="N24" s="325" t="s">
        <v>509</v>
      </c>
      <c r="O24" s="325">
        <v>59033.538</v>
      </c>
      <c r="P24" s="325" t="s">
        <v>509</v>
      </c>
      <c r="Q24" s="325">
        <v>81925.062000000005</v>
      </c>
      <c r="R24" s="325" t="s">
        <v>509</v>
      </c>
      <c r="S24" s="325">
        <v>164219.49</v>
      </c>
      <c r="T24" s="325" t="s">
        <v>509</v>
      </c>
      <c r="U24" s="325">
        <v>195772.05</v>
      </c>
      <c r="V24" s="325" t="s">
        <v>509</v>
      </c>
      <c r="W24" s="325">
        <v>66540.209999999992</v>
      </c>
      <c r="X24" s="325" t="s">
        <v>509</v>
      </c>
      <c r="Y24" s="325">
        <v>0</v>
      </c>
      <c r="Z24" s="325">
        <v>0</v>
      </c>
      <c r="AA24" s="325">
        <v>0</v>
      </c>
      <c r="AB24" s="325">
        <v>0</v>
      </c>
      <c r="AC24" s="325">
        <v>0</v>
      </c>
      <c r="AD24" s="325">
        <v>0</v>
      </c>
      <c r="AE24" s="358">
        <v>0</v>
      </c>
      <c r="AF24" s="325">
        <v>0</v>
      </c>
      <c r="AG24" s="358">
        <v>0</v>
      </c>
      <c r="AH24" s="326">
        <v>0</v>
      </c>
      <c r="AI24" s="367">
        <v>0</v>
      </c>
      <c r="AJ24" s="326">
        <v>0</v>
      </c>
      <c r="AK24" s="326">
        <v>0</v>
      </c>
      <c r="AL24" s="326">
        <v>0</v>
      </c>
      <c r="AM24" s="326">
        <v>0</v>
      </c>
      <c r="AN24" s="326">
        <v>0</v>
      </c>
      <c r="AO24" s="326">
        <v>0</v>
      </c>
      <c r="AP24" s="326">
        <v>0</v>
      </c>
      <c r="AQ24" s="326">
        <v>0</v>
      </c>
      <c r="AR24" s="326">
        <v>0</v>
      </c>
      <c r="AS24" s="326">
        <v>0</v>
      </c>
      <c r="AT24" s="326">
        <v>0</v>
      </c>
      <c r="AU24" s="358">
        <f>SUMIF($C$11:AT$11,1,$C24:AT24)</f>
        <v>1139470.74</v>
      </c>
      <c r="AV24" s="325" t="str">
        <f>IF(COUNTIF($C24:AT24, "nfp")=0, SUMIF($C$11:AT$11,0,$C24:AT24), "nfp")</f>
        <v>nfp</v>
      </c>
    </row>
    <row r="25" spans="1:48" x14ac:dyDescent="0.25">
      <c r="A25" s="341"/>
      <c r="B25" s="324"/>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60"/>
      <c r="AF25" s="320"/>
      <c r="AG25" s="360"/>
      <c r="AH25" s="356"/>
      <c r="AI25" s="361"/>
      <c r="AJ25" s="356"/>
      <c r="AK25" s="356"/>
      <c r="AL25" s="356"/>
      <c r="AM25" s="356"/>
      <c r="AN25" s="356"/>
      <c r="AO25" s="356"/>
      <c r="AP25" s="356"/>
      <c r="AQ25" s="356"/>
      <c r="AR25" s="356"/>
      <c r="AS25" s="356"/>
      <c r="AT25" s="356"/>
      <c r="AU25" s="358"/>
      <c r="AV25" s="325"/>
    </row>
    <row r="26" spans="1:48" x14ac:dyDescent="0.25">
      <c r="A26" s="330" t="s">
        <v>198</v>
      </c>
      <c r="B26" s="216" t="s">
        <v>166</v>
      </c>
      <c r="C26" s="232" t="s">
        <v>172</v>
      </c>
      <c r="D26" s="232" t="s">
        <v>172</v>
      </c>
      <c r="E26" s="232" t="s">
        <v>172</v>
      </c>
      <c r="F26" s="232" t="s">
        <v>172</v>
      </c>
      <c r="G26" s="232" t="s">
        <v>172</v>
      </c>
      <c r="H26" s="232" t="s">
        <v>172</v>
      </c>
      <c r="I26" s="232" t="s">
        <v>172</v>
      </c>
      <c r="J26" s="232" t="s">
        <v>172</v>
      </c>
      <c r="K26" s="232" t="s">
        <v>172</v>
      </c>
      <c r="L26" s="232" t="s">
        <v>172</v>
      </c>
      <c r="M26" s="232" t="s">
        <v>172</v>
      </c>
      <c r="N26" s="232" t="s">
        <v>172</v>
      </c>
      <c r="O26" s="232" t="s">
        <v>172</v>
      </c>
      <c r="P26" s="232" t="s">
        <v>172</v>
      </c>
      <c r="Q26" s="232" t="s">
        <v>172</v>
      </c>
      <c r="R26" s="232" t="s">
        <v>172</v>
      </c>
      <c r="S26" s="232">
        <v>75091</v>
      </c>
      <c r="T26" s="232">
        <v>1663209</v>
      </c>
      <c r="U26" s="232" t="s">
        <v>172</v>
      </c>
      <c r="V26" s="232" t="s">
        <v>172</v>
      </c>
      <c r="W26" s="232">
        <v>11595.77</v>
      </c>
      <c r="X26" s="232">
        <v>612884</v>
      </c>
      <c r="Y26" s="232">
        <v>17891.09</v>
      </c>
      <c r="Z26" s="232">
        <v>1045604</v>
      </c>
      <c r="AA26" s="232">
        <v>22170.109999999997</v>
      </c>
      <c r="AB26" s="232">
        <v>1096619</v>
      </c>
      <c r="AC26" s="201">
        <v>20975.040000000001</v>
      </c>
      <c r="AD26" s="232">
        <v>1412197</v>
      </c>
      <c r="AE26" s="362">
        <v>18336.210000000003</v>
      </c>
      <c r="AF26" s="232">
        <v>1291201</v>
      </c>
      <c r="AG26" s="363">
        <v>19259.240000000002</v>
      </c>
      <c r="AH26" s="232">
        <v>1662231</v>
      </c>
      <c r="AI26" s="362">
        <v>18920.017</v>
      </c>
      <c r="AJ26" s="232">
        <v>1985156</v>
      </c>
      <c r="AK26" s="232">
        <v>23772.746000000003</v>
      </c>
      <c r="AL26" s="232">
        <v>2866699</v>
      </c>
      <c r="AM26" s="232">
        <v>29774.47</v>
      </c>
      <c r="AN26" s="232">
        <v>2508356</v>
      </c>
      <c r="AO26" s="232">
        <v>20218.472999999998</v>
      </c>
      <c r="AP26" s="232">
        <v>2675589</v>
      </c>
      <c r="AQ26" s="232">
        <v>26833.216999999997</v>
      </c>
      <c r="AR26" s="232">
        <v>2954217</v>
      </c>
      <c r="AS26" s="232">
        <v>38235.550000000003</v>
      </c>
      <c r="AT26" s="232">
        <v>5400449</v>
      </c>
      <c r="AU26" s="364">
        <f>SUMIF($C$11:AT$11,1,$C26:AT26)</f>
        <v>343072.93299999996</v>
      </c>
      <c r="AV26" s="201">
        <f>IF(COUNTIF($C26:AT26, "nfp")=0, SUMIF($C$11:AT$11,0,$C26:AT26), "nfp")</f>
        <v>27174411</v>
      </c>
    </row>
    <row r="27" spans="1:48" x14ac:dyDescent="0.25">
      <c r="A27" s="231"/>
      <c r="C27" s="232"/>
      <c r="D27" s="232"/>
      <c r="E27" s="232"/>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362"/>
      <c r="AF27" s="232"/>
      <c r="AG27" s="363"/>
      <c r="AH27" s="232"/>
      <c r="AI27" s="362"/>
      <c r="AJ27" s="232"/>
      <c r="AK27" s="232"/>
      <c r="AL27" s="232"/>
      <c r="AM27" s="232"/>
      <c r="AN27" s="232"/>
      <c r="AO27" s="232"/>
      <c r="AP27" s="232"/>
      <c r="AQ27" s="232"/>
      <c r="AR27" s="232"/>
      <c r="AS27" s="232"/>
      <c r="AT27" s="232"/>
      <c r="AU27" s="364"/>
      <c r="AV27" s="201"/>
    </row>
    <row r="28" spans="1:48" x14ac:dyDescent="0.25">
      <c r="A28" s="323" t="s">
        <v>201</v>
      </c>
      <c r="B28" s="324" t="s">
        <v>166</v>
      </c>
      <c r="C28" s="325">
        <f>SUMIFS('Other Minerals - Q&amp;V'!$D$11:$D$743, 'Other Minerals - Q&amp;V'!$A$11:$A$743, "&gt;=" &amp; DATE(LEFT(C$9, 4), 7, 1), 'Other Minerals - Q&amp;V'!$A$11:$A$743, "&lt;" &amp; DATE(LEFT(C$9, 4)+1, 7, 1))*10^6</f>
        <v>5973013</v>
      </c>
      <c r="D28" s="325">
        <f>SUMIFS('Other Minerals - Q&amp;V'!$E$11:$E$743, 'Other Minerals - Q&amp;V'!$A$11:$A$743, "&gt;=" &amp; DATE(LEFT(C$9, 4), 7, 1), 'Other Minerals - Q&amp;V'!$A$11:$A$743, "&lt;" &amp; DATE(LEFT(C$9, 4)+1, 7, 1))*10^6</f>
        <v>268842784.5</v>
      </c>
      <c r="E28" s="325">
        <f>SUMIFS('Other Minerals - Q&amp;V'!$D$11:$D$743, 'Other Minerals - Q&amp;V'!$A$11:$A$743, "&gt;=" &amp; DATE(LEFT(E$9, 4), 7, 1), 'Other Minerals - Q&amp;V'!$A$11:$A$743, "&lt;" &amp; DATE(LEFT(E$9, 4)+1, 7, 1))*10^6</f>
        <v>6204065.0000000009</v>
      </c>
      <c r="F28" s="325">
        <f>SUMIFS('Other Minerals - Q&amp;V'!$E$11:$E$743, 'Other Minerals - Q&amp;V'!$A$11:$A$743, "&gt;=" &amp; DATE(LEFT(E$9, 4), 7, 1), 'Other Minerals - Q&amp;V'!$A$11:$A$743, "&lt;" &amp; DATE(LEFT(E$9, 4)+1, 7, 1))*10^6</f>
        <v>268638250.99999994</v>
      </c>
      <c r="G28" s="325">
        <f>SUMIFS('Other Minerals - Q&amp;V'!$D$11:$D$743, 'Other Minerals - Q&amp;V'!$A$11:$A$743, "&gt;=" &amp; DATE(LEFT(G$9, 4), 7, 1), 'Other Minerals - Q&amp;V'!$A$11:$A$743, "&lt;" &amp; DATE(LEFT(G$9, 4)+1, 7, 1))*10^6</f>
        <v>6700698.0000000009</v>
      </c>
      <c r="H28" s="325">
        <f>SUMIFS('Other Minerals - Q&amp;V'!$E$11:$E$743, 'Other Minerals - Q&amp;V'!$A$11:$A$743, "&gt;=" &amp; DATE(LEFT(G$9, 4), 7, 1), 'Other Minerals - Q&amp;V'!$A$11:$A$743, "&lt;" &amp; DATE(LEFT(G$9, 4)+1, 7, 1))*10^6</f>
        <v>296917683</v>
      </c>
      <c r="I28" s="325">
        <f>SUMIFS('Other Minerals - Q&amp;V'!$D$11:$D$743, 'Other Minerals - Q&amp;V'!$A$11:$A$743, "&gt;=" &amp; DATE(LEFT(I$9, 4), 7, 1), 'Other Minerals - Q&amp;V'!$A$11:$A$743, "&lt;" &amp; DATE(LEFT(I$9, 4)+1, 7, 1))*10^6</f>
        <v>6017627</v>
      </c>
      <c r="J28" s="325">
        <f>SUMIFS('Other Minerals - Q&amp;V'!$E$11:$E$743, 'Other Minerals - Q&amp;V'!$A$11:$A$743, "&gt;=" &amp; DATE(LEFT(I$9, 4), 7, 1), 'Other Minerals - Q&amp;V'!$A$11:$A$743, "&lt;" &amp; DATE(LEFT(I$9, 4)+1, 7, 1))*10^6</f>
        <v>271523196</v>
      </c>
      <c r="K28" s="325">
        <f>SUMIFS('Other Minerals - Q&amp;V'!$D$11:$D$743, 'Other Minerals - Q&amp;V'!$A$11:$A$743, "&gt;=" &amp; DATE(LEFT(K$9, 4), 7, 1), 'Other Minerals - Q&amp;V'!$A$11:$A$743, "&lt;" &amp; DATE(LEFT(K$9, 4)+1, 7, 1))*10^6</f>
        <v>6231426</v>
      </c>
      <c r="L28" s="325">
        <f>SUMIFS('Other Minerals - Q&amp;V'!$E$11:$E$743, 'Other Minerals - Q&amp;V'!$A$11:$A$743, "&gt;=" &amp; DATE(LEFT(K$9, 4), 7, 1), 'Other Minerals - Q&amp;V'!$A$11:$A$743, "&lt;" &amp; DATE(LEFT(K$9, 4)+1, 7, 1))*10^6</f>
        <v>270424457.99999994</v>
      </c>
      <c r="M28" s="325">
        <f>SUMIFS('Other Minerals - Q&amp;V'!$D$11:$D$743, 'Other Minerals - Q&amp;V'!$A$11:$A$743, "&gt;=" &amp; DATE(LEFT(M$9, 4), 7, 1), 'Other Minerals - Q&amp;V'!$A$11:$A$743, "&lt;" &amp; DATE(LEFT(M$9, 4)+1, 7, 1))*10^6</f>
        <v>6979209.0000000009</v>
      </c>
      <c r="N28" s="325">
        <f>SUMIFS('Other Minerals - Q&amp;V'!$E$11:$E$743, 'Other Minerals - Q&amp;V'!$A$11:$A$743, "&gt;=" &amp; DATE(LEFT(M$9, 4), 7, 1), 'Other Minerals - Q&amp;V'!$A$11:$A$743, "&lt;" &amp; DATE(LEFT(M$9, 4)+1, 7, 1))*10^6</f>
        <v>332572499</v>
      </c>
      <c r="O28" s="325">
        <f>SUMIFS('Other Minerals - Q&amp;V'!$D$11:$D$743, 'Other Minerals - Q&amp;V'!$A$11:$A$743, "&gt;=" &amp; DATE(LEFT(O$9, 4), 7, 1), 'Other Minerals - Q&amp;V'!$A$11:$A$743, "&lt;" &amp; DATE(LEFT(O$9, 4)+1, 7, 1))*10^6</f>
        <v>6712019</v>
      </c>
      <c r="P28" s="325">
        <f>SUMIFS('Other Minerals - Q&amp;V'!$E$11:$E$743, 'Other Minerals - Q&amp;V'!$A$11:$A$743, "&gt;=" &amp; DATE(LEFT(O$9, 4), 7, 1), 'Other Minerals - Q&amp;V'!$A$11:$A$743, "&lt;" &amp; DATE(LEFT(O$9, 4)+1, 7, 1))*10^6</f>
        <v>325855375</v>
      </c>
      <c r="Q28" s="325">
        <f>SUMIFS('Other Minerals - Q&amp;V'!$D$11:$D$743, 'Other Minerals - Q&amp;V'!$A$11:$A$743, "&gt;=" &amp; DATE(LEFT(Q$9, 4), 7, 1), 'Other Minerals - Q&amp;V'!$A$11:$A$743, "&lt;" &amp; DATE(LEFT(Q$9, 4)+1, 7, 1))*10^6</f>
        <v>7234455</v>
      </c>
      <c r="R28" s="325">
        <f>SUMIFS('Other Minerals - Q&amp;V'!$E$11:$E$743, 'Other Minerals - Q&amp;V'!$A$11:$A$743, "&gt;=" &amp; DATE(LEFT(Q$9, 4), 7, 1), 'Other Minerals - Q&amp;V'!$A$11:$A$743, "&lt;" &amp; DATE(LEFT(Q$9, 4)+1, 7, 1))*10^6</f>
        <v>296259551.00000006</v>
      </c>
      <c r="S28" s="325">
        <f>SUMIFS('Other Minerals - Q&amp;V'!$D$11:$D$743, 'Other Minerals - Q&amp;V'!$A$11:$A$743, "&gt;=" &amp; DATE(LEFT(S$9, 4), 7, 1), 'Other Minerals - Q&amp;V'!$A$11:$A$743, "&lt;" &amp; DATE(LEFT(S$9, 4)+1, 7, 1))*10^6</f>
        <v>6986433</v>
      </c>
      <c r="T28" s="325">
        <f>SUMIFS('Other Minerals - Q&amp;V'!$E$11:$E$743, 'Other Minerals - Q&amp;V'!$A$11:$A$743, "&gt;=" &amp; DATE(LEFT(S$9, 4), 7, 1), 'Other Minerals - Q&amp;V'!$A$11:$A$743, "&lt;" &amp; DATE(LEFT(S$9, 4)+1, 7, 1))*10^6</f>
        <v>289629252</v>
      </c>
      <c r="U28" s="325">
        <f>SUMIFS('Other Minerals - Q&amp;V'!$D$11:$D$743, 'Other Minerals - Q&amp;V'!$A$11:$A$743, "&gt;=" &amp; DATE(LEFT(U$9, 4), 7, 1), 'Other Minerals - Q&amp;V'!$A$11:$A$743, "&lt;" &amp; DATE(LEFT(U$9, 4)+1, 7, 1))*10^6</f>
        <v>7506250.54</v>
      </c>
      <c r="V28" s="325">
        <f>SUMIFS('Other Minerals - Q&amp;V'!$E$11:$E$743, 'Other Minerals - Q&amp;V'!$A$11:$A$743, "&gt;=" &amp; DATE(LEFT(U$9, 4), 7, 1), 'Other Minerals - Q&amp;V'!$A$11:$A$743, "&lt;" &amp; DATE(LEFT(U$9, 4)+1, 7, 1))*10^6</f>
        <v>311081635</v>
      </c>
      <c r="W28" s="325">
        <f>SUMIFS('Other Minerals - Q&amp;V'!$D$11:$D$743, 'Other Minerals - Q&amp;V'!$A$11:$A$743, "&gt;=" &amp; DATE(LEFT(W$9, 4), 7, 1), 'Other Minerals - Q&amp;V'!$A$11:$A$743, "&lt;" &amp; DATE(LEFT(W$9, 4)+1, 7, 1))*10^6</f>
        <v>6299484.4399999985</v>
      </c>
      <c r="X28" s="325">
        <f>SUMIFS('Other Minerals - Q&amp;V'!$E$11:$E$743, 'Other Minerals - Q&amp;V'!$A$11:$A$743, "&gt;=" &amp; DATE(LEFT(W$9, 4), 7, 1), 'Other Minerals - Q&amp;V'!$A$11:$A$743, "&lt;" &amp; DATE(LEFT(W$9, 4)+1, 7, 1))*10^6</f>
        <v>264259084.00000003</v>
      </c>
      <c r="Y28" s="325">
        <f>SUMIFS('Other Minerals - Q&amp;V'!$D$11:$D$743, 'Other Minerals - Q&amp;V'!$A$11:$A$743, "&gt;=" &amp; DATE(LEFT(Y$9, 4), 7, 1), 'Other Minerals - Q&amp;V'!$A$11:$A$743, "&lt;" &amp; DATE(LEFT(Y$9, 4)+1, 7, 1))*10^6</f>
        <v>6553063.75</v>
      </c>
      <c r="Z28" s="325">
        <f>SUMIFS('Other Minerals - Q&amp;V'!$E$11:$E$743, 'Other Minerals - Q&amp;V'!$A$11:$A$743, "&gt;=" &amp; DATE(LEFT(Y$9, 4), 7, 1), 'Other Minerals - Q&amp;V'!$A$11:$A$743, "&lt;" &amp; DATE(LEFT(Y$9, 4)+1, 7, 1))*10^6</f>
        <v>306733911</v>
      </c>
      <c r="AA28" s="325">
        <f>SUMIFS('Other Minerals - Q&amp;V'!$D$11:$D$743, 'Other Minerals - Q&amp;V'!$A$11:$A$743, "&gt;=" &amp; DATE(LEFT(AA$9, 4), 7, 1), 'Other Minerals - Q&amp;V'!$A$11:$A$743, "&lt;" &amp; DATE(LEFT(AA$9, 4)+1, 7, 1))*10^6</f>
        <v>6890950.7599999998</v>
      </c>
      <c r="AB28" s="325">
        <f>SUMIFS('Other Minerals - Q&amp;V'!$E$11:$E$743, 'Other Minerals - Q&amp;V'!$A$11:$A$743, "&gt;=" &amp; DATE(LEFT(AA$9, 4), 7, 1), 'Other Minerals - Q&amp;V'!$A$11:$A$743, "&lt;" &amp; DATE(LEFT(AA$9, 4)+1, 7, 1))*10^6</f>
        <v>336466825</v>
      </c>
      <c r="AC28" s="358">
        <f>SUMIFS('Other Minerals - Q&amp;V'!$D$11:$D$743, 'Other Minerals - Q&amp;V'!$A$11:$A$743, "&gt;=" &amp; DATE(LEFT(AC$9, 4), 7, 1), 'Other Minerals - Q&amp;V'!$A$11:$A$743, "&lt;" &amp; DATE(LEFT(AC$9, 4)+1, 7, 1))*10^6</f>
        <v>6806389.2209999999</v>
      </c>
      <c r="AD28" s="325">
        <f>SUMIFS('Other Minerals - Q&amp;V'!$E$11:$E$743, 'Other Minerals - Q&amp;V'!$A$11:$A$743, "&gt;=" &amp; DATE(LEFT(AC$9, 4), 7, 1), 'Other Minerals - Q&amp;V'!$A$11:$A$743, "&lt;" &amp; DATE(LEFT(AC$9, 4)+1, 7, 1))*10^6</f>
        <v>338435045</v>
      </c>
      <c r="AE28" s="358">
        <f>SUMIFS('Other Minerals - Q&amp;V'!$D$11:$D$743, 'Other Minerals - Q&amp;V'!$A$11:$A$743, "&gt;=" &amp; DATE(LEFT(AE$9, 4), 7, 1), 'Other Minerals - Q&amp;V'!$A$11:$A$743, "&lt;" &amp; DATE(LEFT(AE$9, 4)+1, 7, 1))*10^6</f>
        <v>6679934.8399999999</v>
      </c>
      <c r="AF28" s="325">
        <f>SUMIFS('Other Minerals - Q&amp;V'!$E$11:$E$743, 'Other Minerals - Q&amp;V'!$A$11:$A$743, "&gt;=" &amp; DATE(LEFT(AE$9, 4), 7, 1), 'Other Minerals - Q&amp;V'!$A$11:$A$743, "&lt;" &amp; DATE(LEFT(AE$9, 4)+1, 7, 1))*10^6</f>
        <v>331959621.99999994</v>
      </c>
      <c r="AG28" s="358">
        <f>SUMIFS('Other Minerals - Q&amp;V'!$D$11:$D$743, 'Other Minerals - Q&amp;V'!$A$11:$A$743, "&gt;=" &amp; DATE(LEFT(AG$9, 4), 7, 1), 'Other Minerals - Q&amp;V'!$A$11:$A$743, "&lt;" &amp; DATE(LEFT(AG$9, 4)+1, 7, 1))*10^6</f>
        <v>6275190.46</v>
      </c>
      <c r="AH28" s="367">
        <f>SUMIFS('Other Minerals - Q&amp;V'!$E$11:$E$743, 'Other Minerals - Q&amp;V'!$A$11:$A$743, "&gt;=" &amp; DATE(LEFT(AG$9, 4), 7, 1), 'Other Minerals - Q&amp;V'!$A$11:$A$743, "&lt;" &amp; DATE(LEFT(AG$9, 4)+1, 7, 1))*10^6</f>
        <v>319370156</v>
      </c>
      <c r="AI28" s="367">
        <f>SUMIFS('Other Minerals - Q&amp;V'!$D$11:$D$743, 'Other Minerals - Q&amp;V'!$A$11:$A$743, "&gt;=" &amp; DATE(LEFT(AI$9, 4), 7, 1), 'Other Minerals - Q&amp;V'!$A$11:$A$743, "&lt;" &amp; DATE(LEFT(AI$9, 4)+1, 7, 1))*10^6</f>
        <v>6195613.7570000002</v>
      </c>
      <c r="AJ28" s="367">
        <f>SUMIFS('Other Minerals - Q&amp;V'!$E$11:$E$743, 'Other Minerals - Q&amp;V'!$A$11:$A$743, "&gt;=" &amp; DATE(LEFT(AI$9, 4), 7, 1), 'Other Minerals - Q&amp;V'!$A$11:$A$743, "&lt;" &amp; DATE(LEFT(AI$9, 4)+1, 7, 1))*10^6</f>
        <v>326981226</v>
      </c>
      <c r="AK28" s="367">
        <f>SUMIFS('Other Minerals - Q&amp;V'!$D$11:$D$743, 'Other Minerals - Q&amp;V'!$A$11:$A$743, "&gt;=" &amp; DATE(LEFT(AK$9, 4), 7, 1), 'Other Minerals - Q&amp;V'!$A$11:$A$743, "&lt;" &amp; DATE(LEFT(AK$9, 4)+1, 7, 1))*10^6</f>
        <v>5272434.04</v>
      </c>
      <c r="AL28" s="367">
        <f>SUMIFS('Other Minerals - Q&amp;V'!$E$11:$E$743, 'Other Minerals - Q&amp;V'!$A$11:$A$743, "&gt;=" &amp; DATE(LEFT(AK$9, 4), 7, 1), 'Other Minerals - Q&amp;V'!$A$11:$A$743, "&lt;" &amp; DATE(LEFT(AK$9, 4)+1, 7, 1))*10^6</f>
        <v>306063405</v>
      </c>
      <c r="AM28" s="367">
        <f>SUMIFS('Other Minerals - Q&amp;V'!$D$11:$D$743, 'Other Minerals - Q&amp;V'!$A$11:$A$743, "&gt;=" &amp; DATE(LEFT(AM$9, 4), 7, 1), 'Other Minerals - Q&amp;V'!$A$11:$A$743, "&lt;" &amp; DATE(LEFT(AM$9, 4)+1, 7, 1))*10^6</f>
        <v>5194392.72</v>
      </c>
      <c r="AN28" s="367">
        <f>SUMIFS('Other Minerals - Q&amp;V'!$E$11:$E$743, 'Other Minerals - Q&amp;V'!$A$11:$A$743, "&gt;=" &amp; DATE(LEFT(AM$9, 4), 7, 1), 'Other Minerals - Q&amp;V'!$A$11:$A$743, "&lt;" &amp; DATE(LEFT(AM$9, 4)+1, 7, 1))*10^6</f>
        <v>324648262</v>
      </c>
      <c r="AO28" s="367">
        <f>SUMIFS('Other Minerals - Q&amp;V'!$D$11:$D$743, 'Other Minerals - Q&amp;V'!$A$11:$A$743, "&gt;=" &amp; DATE(LEFT(AO$9, 4), 7, 1), 'Other Minerals - Q&amp;V'!$A$11:$A$743, "&lt;" &amp; DATE(LEFT(AO$9, 4)+1, 7, 1))*10^6</f>
        <v>4772893.5599999996</v>
      </c>
      <c r="AP28" s="367">
        <f>SUMIFS('Other Minerals - Q&amp;V'!$E$11:$E$743, 'Other Minerals - Q&amp;V'!$A$11:$A$743, "&gt;=" &amp; DATE(LEFT(AO$9, 4), 7, 1), 'Other Minerals - Q&amp;V'!$A$11:$A$743, "&lt;" &amp; DATE(LEFT(AO$9, 4)+1, 7, 1))*10^6</f>
        <v>375827701.00000006</v>
      </c>
      <c r="AQ28" s="367">
        <f>SUMIFS('Other Minerals - Q&amp;V'!$D$11:$D$743, 'Other Minerals - Q&amp;V'!$A$11:$A$743, "&gt;=" &amp; DATE(LEFT(AQ$9, 4), 7, 1), 'Other Minerals - Q&amp;V'!$A$11:$A$743, "&lt;" &amp; DATE(LEFT(AQ$9, 4)+1, 7, 1))*10^6</f>
        <v>5341132.62</v>
      </c>
      <c r="AR28" s="367">
        <f>SUMIFS('Other Minerals - Q&amp;V'!$E$11:$E$743, 'Other Minerals - Q&amp;V'!$A$11:$A$743, "&gt;=" &amp; DATE(LEFT(AQ$9, 4), 7, 1), 'Other Minerals - Q&amp;V'!$A$11:$A$743, "&lt;" &amp; DATE(LEFT(AQ$9, 4)+1, 7, 1))*10^6</f>
        <v>462992460</v>
      </c>
      <c r="AS28" s="367">
        <f>SUMIFS('Other Minerals - Q&amp;V'!$D$11:$D$743, 'Other Minerals - Q&amp;V'!$A$11:$A$743, "&gt;=" &amp; DATE(LEFT(AS$9, 4), 7, 1), 'Other Minerals - Q&amp;V'!$A$11:$A$743, "&lt;" &amp; DATE(LEFT(AS$9, 4)+1, 7, 1))*10^6</f>
        <v>5295429.7399999993</v>
      </c>
      <c r="AT28" s="367">
        <f>SUMIFS('Other Minerals - Q&amp;V'!$E$11:$E$743, 'Other Minerals - Q&amp;V'!$A$11:$A$743, "&gt;=" &amp; DATE(LEFT(AS$9, 4), 7, 1), 'Other Minerals - Q&amp;V'!$A$11:$A$743, "&lt;" &amp; DATE(LEFT(AS$9, 4)+1, 7, 1))*10^6</f>
        <v>503621309</v>
      </c>
      <c r="AU28" s="358">
        <f>SUMIF($C$11:AT$11,1,$C28:AT28)</f>
        <v>138122105.44800001</v>
      </c>
      <c r="AV28" s="325">
        <f>IF(COUNTIF($C28:AT28, "nfp")=0, SUMIF($C$11:AT$11,0,$C28:AT28), "nfp")</f>
        <v>7129103690.5</v>
      </c>
    </row>
    <row r="29" spans="1:48" x14ac:dyDescent="0.25">
      <c r="A29" s="341"/>
      <c r="B29" s="324"/>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320"/>
      <c r="AE29" s="360"/>
      <c r="AF29" s="320"/>
      <c r="AG29" s="360"/>
      <c r="AH29" s="356"/>
      <c r="AI29" s="361"/>
      <c r="AJ29" s="356"/>
      <c r="AK29" s="356"/>
      <c r="AL29" s="356"/>
      <c r="AM29" s="356"/>
      <c r="AN29" s="356"/>
      <c r="AO29" s="356"/>
      <c r="AP29" s="356"/>
      <c r="AQ29" s="356"/>
      <c r="AR29" s="356"/>
      <c r="AS29" s="356"/>
      <c r="AT29" s="356"/>
      <c r="AU29" s="358"/>
      <c r="AV29" s="325"/>
    </row>
    <row r="30" spans="1:48" x14ac:dyDescent="0.25">
      <c r="A30" s="330" t="s">
        <v>203</v>
      </c>
      <c r="B30" s="216" t="s">
        <v>166</v>
      </c>
      <c r="C30" s="232">
        <f>SUMIFS('Other Minerals - Q&amp;V'!$J$11:$J$743, 'Other Minerals - Q&amp;V'!$A$11:$A$743, "&gt;=" &amp; DATE(LEFT(C$9, 4), 7, 1), 'Other Minerals - Q&amp;V'!$A$11:$A$743, "&lt;" &amp; DATE(LEFT(C$9, 4)+1, 7, 1))*10^3</f>
        <v>4673.7269999999999</v>
      </c>
      <c r="D30" s="232">
        <f>SUMIFS('Other Minerals - Q&amp;V'!$K$11:$K$743, 'Other Minerals - Q&amp;V'!$A$11:$A$743, "&gt;=" &amp; DATE(LEFT(C$9, 4), 7, 1), 'Other Minerals - Q&amp;V'!$A$11:$A$743, "&lt;" &amp; DATE(LEFT(C$9, 4)+1, 7, 1))*10^6</f>
        <v>214514960.00000003</v>
      </c>
      <c r="E30" s="232">
        <f>SUMIFS('Other Minerals - Q&amp;V'!$J$11:$J$743, 'Other Minerals - Q&amp;V'!$A$11:$A$743, "&gt;=" &amp; DATE(LEFT(E$9, 4), 7, 1), 'Other Minerals - Q&amp;V'!$A$11:$A$743, "&lt;" &amp; DATE(LEFT(E$9, 4)+1, 7, 1))*10^3</f>
        <v>4338.49</v>
      </c>
      <c r="F30" s="232">
        <f>SUMIFS('Other Minerals - Q&amp;V'!$K$11:$K$743, 'Other Minerals - Q&amp;V'!$A$11:$A$743, "&gt;=" &amp; DATE(LEFT(E$9, 4), 7, 1), 'Other Minerals - Q&amp;V'!$A$11:$A$743, "&lt;" &amp; DATE(LEFT(E$9, 4)+1, 7, 1))*10^6</f>
        <v>203263544.00000003</v>
      </c>
      <c r="G30" s="232">
        <f>SUMIFS('Other Minerals - Q&amp;V'!$J$11:$J$743, 'Other Minerals - Q&amp;V'!$A$11:$A$743, "&gt;=" &amp; DATE(LEFT(G$9, 4), 7, 1), 'Other Minerals - Q&amp;V'!$A$11:$A$743, "&lt;" &amp; DATE(LEFT(G$9, 4)+1, 7, 1))*10^3</f>
        <v>5029.3550000000005</v>
      </c>
      <c r="H30" s="232">
        <f>SUMIFS('Other Minerals - Q&amp;V'!$K$11:$K$743, 'Other Minerals - Q&amp;V'!$A$11:$A$743, "&gt;=" &amp; DATE(LEFT(G$9, 4), 7, 1), 'Other Minerals - Q&amp;V'!$A$11:$A$743, "&lt;" &amp; DATE(LEFT(G$9, 4)+1, 7, 1))*10^6</f>
        <v>184907807</v>
      </c>
      <c r="I30" s="232">
        <f>SUMIFS('Other Minerals - Q&amp;V'!$J$11:$J$743, 'Other Minerals - Q&amp;V'!$A$11:$A$743, "&gt;=" &amp; DATE(LEFT(I$9, 4), 7, 1), 'Other Minerals - Q&amp;V'!$A$11:$A$743, "&lt;" &amp; DATE(LEFT(I$9, 4)+1, 7, 1))*10^3</f>
        <v>4656.7780000000002</v>
      </c>
      <c r="J30" s="232">
        <f>SUMIFS('Other Minerals - Q&amp;V'!$K$11:$K$743, 'Other Minerals - Q&amp;V'!$A$11:$A$743, "&gt;=" &amp; DATE(LEFT(I$9, 4), 7, 1), 'Other Minerals - Q&amp;V'!$A$11:$A$743, "&lt;" &amp; DATE(LEFT(I$9, 4)+1, 7, 1))*10^6</f>
        <v>277492827.00000006</v>
      </c>
      <c r="K30" s="232">
        <f>SUMIFS('Other Minerals - Q&amp;V'!$J$11:$J$743, 'Other Minerals - Q&amp;V'!$A$11:$A$743, "&gt;=" &amp; DATE(LEFT(K$9, 4), 7, 1), 'Other Minerals - Q&amp;V'!$A$11:$A$743, "&lt;" &amp; DATE(LEFT(K$9, 4)+1, 7, 1))*10^3</f>
        <v>5072.831000000001</v>
      </c>
      <c r="L30" s="232">
        <f>SUMIFS('Other Minerals - Q&amp;V'!$K$11:$K$743, 'Other Minerals - Q&amp;V'!$A$11:$A$743, "&gt;=" &amp; DATE(LEFT(K$9, 4), 7, 1), 'Other Minerals - Q&amp;V'!$A$11:$A$743, "&lt;" &amp; DATE(LEFT(K$9, 4)+1, 7, 1))*10^6</f>
        <v>443055397</v>
      </c>
      <c r="M30" s="232">
        <f>SUMIFS('Other Minerals - Q&amp;V'!$J$11:$J$743, 'Other Minerals - Q&amp;V'!$A$11:$A$743, "&gt;=" &amp; DATE(LEFT(M$9, 4), 7, 1), 'Other Minerals - Q&amp;V'!$A$11:$A$743, "&lt;" &amp; DATE(LEFT(M$9, 4)+1, 7, 1))*10^3</f>
        <v>4674.9679999999998</v>
      </c>
      <c r="N30" s="232">
        <f>SUMIFS('Other Minerals - Q&amp;V'!$K$11:$K$743, 'Other Minerals - Q&amp;V'!$A$11:$A$743, "&gt;=" &amp; DATE(LEFT(M$9, 4), 7, 1), 'Other Minerals - Q&amp;V'!$A$11:$A$743, "&lt;" &amp; DATE(LEFT(M$9, 4)+1, 7, 1))*10^6</f>
        <v>219071343.99999997</v>
      </c>
      <c r="O30" s="232">
        <f>SUMIFS('Other Minerals - Q&amp;V'!$J$11:$J$743, 'Other Minerals - Q&amp;V'!$A$11:$A$743, "&gt;=" &amp; DATE(LEFT(O$9, 4), 7, 1), 'Other Minerals - Q&amp;V'!$A$11:$A$743, "&lt;" &amp; DATE(LEFT(O$9, 4)+1, 7, 1))*10^3</f>
        <v>4398.4319999999998</v>
      </c>
      <c r="P30" s="232">
        <f>SUMIFS('Other Minerals - Q&amp;V'!$K$11:$K$743, 'Other Minerals - Q&amp;V'!$A$11:$A$743, "&gt;=" &amp; DATE(LEFT(O$9, 4), 7, 1), 'Other Minerals - Q&amp;V'!$A$11:$A$743, "&lt;" &amp; DATE(LEFT(O$9, 4)+1, 7, 1))*10^6</f>
        <v>193325946</v>
      </c>
      <c r="Q30" s="232">
        <f>SUMIFS('Other Minerals - Q&amp;V'!$J$11:$J$743, 'Other Minerals - Q&amp;V'!$A$11:$A$743, "&gt;=" &amp; DATE(LEFT(Q$9, 4), 7, 1), 'Other Minerals - Q&amp;V'!$A$11:$A$743, "&lt;" &amp; DATE(LEFT(Q$9, 4)+1, 7, 1))*10^3</f>
        <v>3767.152</v>
      </c>
      <c r="R30" s="232">
        <f>SUMIFS('Other Minerals - Q&amp;V'!$K$11:$K$743, 'Other Minerals - Q&amp;V'!$A$11:$A$743, "&gt;=" &amp; DATE(LEFT(Q$9, 4), 7, 1), 'Other Minerals - Q&amp;V'!$A$11:$A$743, "&lt;" &amp; DATE(LEFT(Q$9, 4)+1, 7, 1))*10^6</f>
        <v>146480315</v>
      </c>
      <c r="S30" s="232">
        <f>SUMIFS('Other Minerals - Q&amp;V'!$J$11:$J$743, 'Other Minerals - Q&amp;V'!$A$11:$A$743, "&gt;=" &amp; DATE(LEFT(S$9, 4), 7, 1), 'Other Minerals - Q&amp;V'!$A$11:$A$743, "&lt;" &amp; DATE(LEFT(S$9, 4)+1, 7, 1))*10^3</f>
        <v>4950</v>
      </c>
      <c r="T30" s="232">
        <f>SUMIFS('Other Minerals - Q&amp;V'!$K$11:$K$743, 'Other Minerals - Q&amp;V'!$A$11:$A$743, "&gt;=" &amp; DATE(LEFT(S$9, 4), 7, 1), 'Other Minerals - Q&amp;V'!$A$11:$A$743, "&lt;" &amp; DATE(LEFT(S$9, 4)+1, 7, 1))*10^6</f>
        <v>143627595.99999997</v>
      </c>
      <c r="U30" s="232">
        <f>SUMIFS('Other Minerals - Q&amp;V'!$J$11:$J$743, 'Other Minerals - Q&amp;V'!$A$11:$A$743, "&gt;=" &amp; DATE(LEFT(U$9, 4), 7, 1), 'Other Minerals - Q&amp;V'!$A$11:$A$743, "&lt;" &amp; DATE(LEFT(U$9, 4)+1, 7, 1))*10^3</f>
        <v>6203.2290000000003</v>
      </c>
      <c r="V30" s="232">
        <f>SUMIFS('Other Minerals - Q&amp;V'!$K$11:$K$743, 'Other Minerals - Q&amp;V'!$A$11:$A$743, "&gt;=" &amp; DATE(LEFT(U$9, 4), 7, 1), 'Other Minerals - Q&amp;V'!$A$11:$A$743, "&lt;" &amp; DATE(LEFT(U$9, 4)+1, 7, 1))*10^6</f>
        <v>159147804.99999997</v>
      </c>
      <c r="W30" s="232">
        <f>SUMIFS('Other Minerals - Q&amp;V'!$J$11:$J$743, 'Other Minerals - Q&amp;V'!$A$11:$A$743, "&gt;=" &amp; DATE(LEFT(W$9, 4), 7, 1), 'Other Minerals - Q&amp;V'!$A$11:$A$743, "&lt;" &amp; DATE(LEFT(W$9, 4)+1, 7, 1))*10^3</f>
        <v>6237.5340000000006</v>
      </c>
      <c r="X30" s="232">
        <f>SUMIFS('Other Minerals - Q&amp;V'!$K$11:$K$743, 'Other Minerals - Q&amp;V'!$A$11:$A$743, "&gt;=" &amp; DATE(LEFT(W$9, 4), 7, 1), 'Other Minerals - Q&amp;V'!$A$11:$A$743, "&lt;" &amp; DATE(LEFT(W$9, 4)+1, 7, 1))*10^6</f>
        <v>175117785.99999997</v>
      </c>
      <c r="Y30" s="232">
        <f>SUMIFS('Other Minerals - Q&amp;V'!$J$11:$J$743, 'Other Minerals - Q&amp;V'!$A$11:$A$743, "&gt;=" &amp; DATE(LEFT(Y$9, 4), 7, 1), 'Other Minerals - Q&amp;V'!$A$11:$A$743, "&lt;" &amp; DATE(LEFT(Y$9, 4)+1, 7, 1))*10^3</f>
        <v>6036.3410000000003</v>
      </c>
      <c r="Z30" s="232">
        <f>SUMIFS('Other Minerals - Q&amp;V'!$K$11:$K$743, 'Other Minerals - Q&amp;V'!$A$11:$A$743, "&gt;=" &amp; DATE(LEFT(Y$9, 4), 7, 1), 'Other Minerals - Q&amp;V'!$A$11:$A$743, "&lt;" &amp; DATE(LEFT(Y$9, 4)+1, 7, 1))*10^6</f>
        <v>210567511.99999997</v>
      </c>
      <c r="AA30" s="232">
        <f>SUMIFS('Other Minerals - Q&amp;V'!$J$11:$J$743, 'Other Minerals - Q&amp;V'!$A$11:$A$743, "&gt;=" &amp; DATE(LEFT(AA$9, 4), 7, 1), 'Other Minerals - Q&amp;V'!$A$11:$A$743, "&lt;" &amp; DATE(LEFT(AA$9, 4)+1, 7, 1))*10^3</f>
        <v>5478.8660000000009</v>
      </c>
      <c r="AB30" s="232">
        <f>SUMIFS('Other Minerals - Q&amp;V'!$K$11:$K$743, 'Other Minerals - Q&amp;V'!$A$11:$A$743, "&gt;=" &amp; DATE(LEFT(AA$9, 4), 7, 1), 'Other Minerals - Q&amp;V'!$A$11:$A$743, "&lt;" &amp; DATE(LEFT(AA$9, 4)+1, 7, 1))*10^6</f>
        <v>174846826</v>
      </c>
      <c r="AC30" s="232">
        <f>SUMIFS('Other Minerals - Q&amp;V'!$J$11:$J$743, 'Other Minerals - Q&amp;V'!$A$11:$A$743, "&gt;=" &amp; DATE(LEFT(AC$9, 4), 7, 1), 'Other Minerals - Q&amp;V'!$A$11:$A$743, "&lt;" &amp; DATE(LEFT(AC$9, 4)+1, 7, 1))*10^3</f>
        <v>4758.8490000000002</v>
      </c>
      <c r="AD30" s="232">
        <f>SUMIFS('Other Minerals - Q&amp;V'!$K$11:$K$743, 'Other Minerals - Q&amp;V'!$A$11:$A$743, "&gt;=" &amp; DATE(LEFT(AC$9, 4), 7, 1), 'Other Minerals - Q&amp;V'!$A$11:$A$743, "&lt;" &amp; DATE(LEFT(AC$9, 4)+1, 7, 1))*10^6</f>
        <v>239639935</v>
      </c>
      <c r="AE30" s="366">
        <f>SUMIFS('Other Minerals - Q&amp;V'!$J$11:$J$743, 'Other Minerals - Q&amp;V'!$A$11:$A$743, "&gt;=" &amp; DATE(LEFT(AE$9, 4), 7, 1), 'Other Minerals - Q&amp;V'!$A$11:$A$743, "&lt;" &amp; DATE(LEFT(AE$9, 4)+1, 7, 1))*10^3</f>
        <v>5200.4850000000006</v>
      </c>
      <c r="AF30" s="232">
        <f>SUMIFS('Other Minerals - Q&amp;V'!$K$11:$K$743, 'Other Minerals - Q&amp;V'!$A$11:$A$743, "&gt;=" &amp; DATE(LEFT(AE$9, 4), 7, 1), 'Other Minerals - Q&amp;V'!$A$11:$A$743, "&lt;" &amp; DATE(LEFT(AE$9, 4)+1, 7, 1))*10^6</f>
        <v>511716505</v>
      </c>
      <c r="AG30" s="201">
        <f>SUMIFS('Other Minerals - Q&amp;V'!$J$11:$J$743, 'Other Minerals - Q&amp;V'!$A$11:$A$743, "&gt;=" &amp; DATE(LEFT(AG$9, 4), 7, 1), 'Other Minerals - Q&amp;V'!$A$11:$A$743, "&lt;" &amp; DATE(LEFT(AG$9, 4)+1, 7, 1))*10^3</f>
        <v>5226.9079999999994</v>
      </c>
      <c r="AH30" s="232">
        <f>SUMIFS('Other Minerals - Q&amp;V'!$K$11:$K$743, 'Other Minerals - Q&amp;V'!$A$11:$A$743, "&gt;=" &amp; DATE(LEFT(AG$9, 4), 7, 1), 'Other Minerals - Q&amp;V'!$A$11:$A$743, "&lt;" &amp; DATE(LEFT(AG$9, 4)+1, 7, 1))*10^6</f>
        <v>332652426</v>
      </c>
      <c r="AI30" s="232">
        <f>SUMIFS('Other Minerals - Q&amp;V'!$J$11:$J$743, 'Other Minerals - Q&amp;V'!$A$11:$A$743, "&gt;=" &amp; DATE(LEFT(AI$9, 4), 7, 1), 'Other Minerals - Q&amp;V'!$A$11:$A$743, "&lt;" &amp; DATE(LEFT(AI$9, 4)+1, 7, 1))*10^3</f>
        <v>5796.1149999999998</v>
      </c>
      <c r="AJ30" s="232">
        <f>SUMIFS('Other Minerals - Q&amp;V'!$K$11:$K$743, 'Other Minerals - Q&amp;V'!$A$11:$A$743, "&gt;=" &amp; DATE(LEFT(AI$9, 4), 7, 1), 'Other Minerals - Q&amp;V'!$A$11:$A$743, "&lt;" &amp; DATE(LEFT(AI$9, 4)+1, 7, 1))*10^6</f>
        <v>295164291.99999994</v>
      </c>
      <c r="AK30" s="232">
        <f>SUMIFS('Other Minerals - Q&amp;V'!$J$11:$J$743, 'Other Minerals - Q&amp;V'!$A$11:$A$743, "&gt;=" &amp; DATE(LEFT(AK$9, 4), 7, 1), 'Other Minerals - Q&amp;V'!$A$11:$A$743, "&lt;" &amp; DATE(LEFT(AK$9, 4)+1, 7, 1))*10^3</f>
        <v>5372.4490000000005</v>
      </c>
      <c r="AL30" s="232">
        <f>SUMIFS('Other Minerals - Q&amp;V'!$K$11:$K$743, 'Other Minerals - Q&amp;V'!$A$11:$A$743, "&gt;=" &amp; DATE(LEFT(AK$9, 4), 7, 1), 'Other Minerals - Q&amp;V'!$A$11:$A$743, "&lt;" &amp; DATE(LEFT(AK$9, 4)+1, 7, 1))*10^6</f>
        <v>299627927</v>
      </c>
      <c r="AM30" s="232">
        <f>SUMIFS('Other Minerals - Q&amp;V'!$J$11:$J$743, 'Other Minerals - Q&amp;V'!$A$11:$A$743, "&gt;=" &amp; DATE(LEFT(AM$9, 4), 7, 1), 'Other Minerals - Q&amp;V'!$A$11:$A$743, "&lt;" &amp; DATE(LEFT(AM$9, 4)+1, 7, 1))*10^3</f>
        <v>5339.2350000000006</v>
      </c>
      <c r="AN30" s="232">
        <f>SUMIFS('Other Minerals - Q&amp;V'!$K$11:$K$743, 'Other Minerals - Q&amp;V'!$A$11:$A$743, "&gt;=" &amp; DATE(LEFT(AM$9, 4), 7, 1), 'Other Minerals - Q&amp;V'!$A$11:$A$743, "&lt;" &amp; DATE(LEFT(AM$9, 4)+1, 7, 1))*10^6</f>
        <v>516822167.00000006</v>
      </c>
      <c r="AO30" s="232">
        <f>SUMIFS('Other Minerals - Q&amp;V'!$J$11:$J$743, 'Other Minerals - Q&amp;V'!$A$11:$A$743, "&gt;=" &amp; DATE(LEFT(AO$9, 4), 7, 1), 'Other Minerals - Q&amp;V'!$A$11:$A$743, "&lt;" &amp; DATE(LEFT(AO$9, 4)+1, 7, 1))*10^3</f>
        <v>5878.0140000000001</v>
      </c>
      <c r="AP30" s="232">
        <f>SUMIFS('Other Minerals - Q&amp;V'!$K$11:$K$743, 'Other Minerals - Q&amp;V'!$A$11:$A$743, "&gt;=" &amp; DATE(LEFT(AO$9, 4), 7, 1), 'Other Minerals - Q&amp;V'!$A$11:$A$743, "&lt;" &amp; DATE(LEFT(AO$9, 4)+1, 7, 1))*10^6</f>
        <v>369898508.99999994</v>
      </c>
      <c r="AQ30" s="232">
        <f>SUMIFS('Other Minerals - Q&amp;V'!$J$11:$J$743, 'Other Minerals - Q&amp;V'!$A$11:$A$743, "&gt;=" &amp; DATE(LEFT(AQ$9, 4), 7, 1), 'Other Minerals - Q&amp;V'!$A$11:$A$743, "&lt;" &amp; DATE(LEFT(AQ$9, 4)+1, 7, 1))*10^3</f>
        <v>4887.2289999999994</v>
      </c>
      <c r="AR30" s="232">
        <f>SUMIFS('Other Minerals - Q&amp;V'!$K$11:$K$743, 'Other Minerals - Q&amp;V'!$A$11:$A$743, "&gt;=" &amp; DATE(LEFT(AQ$9, 4), 7, 1), 'Other Minerals - Q&amp;V'!$A$11:$A$743, "&lt;" &amp; DATE(LEFT(AQ$9, 4)+1, 7, 1))*10^6</f>
        <v>219125178.52552658</v>
      </c>
      <c r="AS30" s="232">
        <f>SUMIFS('Other Minerals - Q&amp;V'!$J$11:$J$743, 'Other Minerals - Q&amp;V'!$A$11:$A$743, "&gt;=" &amp; DATE(LEFT(AS$9, 4), 7, 1), 'Other Minerals - Q&amp;V'!$A$11:$A$743, "&lt;" &amp; DATE(LEFT(AS$9, 4)+1, 7, 1))*10^3</f>
        <v>3876.5739999999996</v>
      </c>
      <c r="AT30" s="232">
        <f>SUMIFS('Other Minerals - Q&amp;V'!$K$11:$K$743, 'Other Minerals - Q&amp;V'!$A$11:$A$743, "&gt;=" &amp; DATE(LEFT(AS$9, 4), 7, 1), 'Other Minerals - Q&amp;V'!$A$11:$A$743, "&lt;" &amp; DATE(LEFT(AS$9, 4)+1, 7, 1))*10^6</f>
        <v>154491315.99999997</v>
      </c>
      <c r="AU30" s="201">
        <f>SUMIF($C$11:AT$11,1,$C30:AT30)</f>
        <v>111853.56099999999</v>
      </c>
      <c r="AV30" s="201">
        <f>IF(COUNTIF($C30:AT30, "nfp")=0, SUMIF($C$11:AT$11,0,$C30:AT30), "nfp")</f>
        <v>5684557920.525527</v>
      </c>
    </row>
    <row r="31" spans="1:48" x14ac:dyDescent="0.25">
      <c r="A31" s="339"/>
      <c r="C31" s="232"/>
      <c r="D31" s="232"/>
      <c r="E31" s="232"/>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366"/>
      <c r="AF31" s="232"/>
      <c r="AG31" s="201"/>
      <c r="AH31" s="232"/>
      <c r="AI31" s="232"/>
      <c r="AJ31" s="232"/>
      <c r="AK31" s="232"/>
      <c r="AL31" s="232"/>
      <c r="AM31" s="232"/>
      <c r="AN31" s="232"/>
      <c r="AO31" s="232"/>
      <c r="AP31" s="232"/>
      <c r="AQ31" s="232"/>
      <c r="AR31" s="232"/>
      <c r="AS31" s="232"/>
      <c r="AT31" s="232"/>
      <c r="AU31" s="201"/>
      <c r="AV31" s="201"/>
    </row>
    <row r="32" spans="1:48" x14ac:dyDescent="0.25">
      <c r="A32" s="323" t="s">
        <v>204</v>
      </c>
      <c r="B32" s="324"/>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326"/>
      <c r="AC32" s="326"/>
      <c r="AD32" s="326"/>
      <c r="AE32" s="357"/>
      <c r="AF32" s="326"/>
      <c r="AG32" s="368"/>
      <c r="AH32" s="326"/>
      <c r="AI32" s="369"/>
      <c r="AJ32" s="326"/>
      <c r="AK32" s="326"/>
      <c r="AL32" s="326"/>
      <c r="AM32" s="326"/>
      <c r="AN32" s="326"/>
      <c r="AO32" s="326"/>
      <c r="AP32" s="326"/>
      <c r="AQ32" s="326"/>
      <c r="AR32" s="326"/>
      <c r="AS32" s="326"/>
      <c r="AT32" s="326"/>
      <c r="AU32" s="370"/>
      <c r="AV32" s="325"/>
    </row>
    <row r="33" spans="1:48" x14ac:dyDescent="0.25">
      <c r="A33" s="327" t="s">
        <v>205</v>
      </c>
      <c r="B33" s="324" t="s">
        <v>166</v>
      </c>
      <c r="C33" s="325">
        <v>461384.4</v>
      </c>
      <c r="D33" s="325">
        <v>3576081.85</v>
      </c>
      <c r="E33" s="325">
        <v>430979.08</v>
      </c>
      <c r="F33" s="325">
        <v>4069958.05</v>
      </c>
      <c r="G33" s="325">
        <v>948468</v>
      </c>
      <c r="H33" s="325">
        <v>22553670</v>
      </c>
      <c r="I33" s="325">
        <v>1102664.5</v>
      </c>
      <c r="J33" s="325">
        <v>28307131</v>
      </c>
      <c r="K33" s="325">
        <v>1814234.37</v>
      </c>
      <c r="L33" s="325">
        <v>45320296</v>
      </c>
      <c r="M33" s="325">
        <v>3941262.0600000005</v>
      </c>
      <c r="N33" s="325">
        <v>91104572</v>
      </c>
      <c r="O33" s="325">
        <v>3167933.6899999995</v>
      </c>
      <c r="P33" s="325">
        <v>79231292</v>
      </c>
      <c r="Q33" s="325">
        <v>1934859.53</v>
      </c>
      <c r="R33" s="325">
        <v>43801513.850000001</v>
      </c>
      <c r="S33" s="325">
        <v>3722254.2</v>
      </c>
      <c r="T33" s="325">
        <v>97854120.720189855</v>
      </c>
      <c r="U33" s="325">
        <v>4391375.63</v>
      </c>
      <c r="V33" s="325">
        <v>148775763.64999998</v>
      </c>
      <c r="W33" s="325">
        <v>6097416.1250000009</v>
      </c>
      <c r="X33" s="325">
        <v>211242761.96716475</v>
      </c>
      <c r="Y33" s="325">
        <v>2547087.4799999995</v>
      </c>
      <c r="Z33" s="325">
        <v>93985047.244051784</v>
      </c>
      <c r="AA33" s="325">
        <v>1371278.84</v>
      </c>
      <c r="AB33" s="325">
        <v>46291440.908891879</v>
      </c>
      <c r="AC33" s="325">
        <v>1219743.8990000002</v>
      </c>
      <c r="AD33" s="325">
        <v>39471626.844948195</v>
      </c>
      <c r="AE33" s="358">
        <v>1521032.2610000002</v>
      </c>
      <c r="AF33" s="325">
        <v>47002533.245769888</v>
      </c>
      <c r="AG33" s="358">
        <v>1620980.7939999995</v>
      </c>
      <c r="AH33" s="326">
        <v>55398327.361397013</v>
      </c>
      <c r="AI33" s="371">
        <v>3348439.7329999981</v>
      </c>
      <c r="AJ33" s="371">
        <v>90267596.940508574</v>
      </c>
      <c r="AK33" s="371">
        <v>2747030.4310000013</v>
      </c>
      <c r="AL33" s="371">
        <v>72887151.344485819</v>
      </c>
      <c r="AM33" s="371">
        <v>2556411.6999999997</v>
      </c>
      <c r="AN33" s="371">
        <v>73838414.755136043</v>
      </c>
      <c r="AO33" s="371">
        <v>3178301.3899999992</v>
      </c>
      <c r="AP33" s="371">
        <v>103898633.67200488</v>
      </c>
      <c r="AQ33" s="371">
        <v>4006729.8049999983</v>
      </c>
      <c r="AR33" s="371">
        <v>164413289.46241641</v>
      </c>
      <c r="AS33" s="371">
        <v>3022375.2600000007</v>
      </c>
      <c r="AT33" s="371">
        <v>123587545.95449463</v>
      </c>
      <c r="AU33" s="370">
        <f>SUMIF($C$11:AT$11,1,$C33:AT33)</f>
        <v>55152243.177999996</v>
      </c>
      <c r="AV33" s="325">
        <f>IF(COUNTIF($C33:AT33, "nfp")=0, SUMIF($C$11:AT$11,0,$C33:AT33), "nfp")</f>
        <v>1686878768.8214598</v>
      </c>
    </row>
    <row r="34" spans="1:48" x14ac:dyDescent="0.25">
      <c r="A34" s="327" t="s">
        <v>206</v>
      </c>
      <c r="B34" s="324" t="s">
        <v>166</v>
      </c>
      <c r="C34" s="325">
        <v>136627.37</v>
      </c>
      <c r="D34" s="325">
        <v>933421</v>
      </c>
      <c r="E34" s="325">
        <v>303085.81</v>
      </c>
      <c r="F34" s="325">
        <v>1044043.2</v>
      </c>
      <c r="G34" s="325">
        <v>131119</v>
      </c>
      <c r="H34" s="325">
        <v>848142</v>
      </c>
      <c r="I34" s="325">
        <v>176724.28</v>
      </c>
      <c r="J34" s="325">
        <v>1303316.05</v>
      </c>
      <c r="K34" s="325">
        <v>160704.35</v>
      </c>
      <c r="L34" s="325">
        <v>1159687.5</v>
      </c>
      <c r="M34" s="325">
        <v>165262.66</v>
      </c>
      <c r="N34" s="325">
        <v>1694272.35</v>
      </c>
      <c r="O34" s="325">
        <v>184992.63000000003</v>
      </c>
      <c r="P34" s="325">
        <v>1521930.25</v>
      </c>
      <c r="Q34" s="325">
        <v>230784.54</v>
      </c>
      <c r="R34" s="325">
        <v>1760531.2</v>
      </c>
      <c r="S34" s="325">
        <v>283898.75</v>
      </c>
      <c r="T34" s="325">
        <v>2454937.8499999996</v>
      </c>
      <c r="U34" s="325">
        <v>561134.68500000006</v>
      </c>
      <c r="V34" s="325">
        <v>3947124.8200000008</v>
      </c>
      <c r="W34" s="325">
        <v>193998.69500000007</v>
      </c>
      <c r="X34" s="325">
        <v>1385018.778065948</v>
      </c>
      <c r="Y34" s="325">
        <v>214980.3899999999</v>
      </c>
      <c r="Z34" s="325">
        <v>1353158.0449346697</v>
      </c>
      <c r="AA34" s="325">
        <v>208741.14000000004</v>
      </c>
      <c r="AB34" s="325">
        <v>1382882.73370935</v>
      </c>
      <c r="AC34" s="325">
        <v>316993.43999999989</v>
      </c>
      <c r="AD34" s="325">
        <v>2293946.1518742461</v>
      </c>
      <c r="AE34" s="358">
        <v>204077.37999999995</v>
      </c>
      <c r="AF34" s="325">
        <v>1440290.9919675849</v>
      </c>
      <c r="AG34" s="358">
        <v>213970.71</v>
      </c>
      <c r="AH34" s="326">
        <v>3002459.7385358512</v>
      </c>
      <c r="AI34" s="371">
        <v>204473.75999999998</v>
      </c>
      <c r="AJ34" s="371">
        <v>2775659.386591706</v>
      </c>
      <c r="AK34" s="371">
        <v>288304.016</v>
      </c>
      <c r="AL34" s="371">
        <v>2659406.1858129897</v>
      </c>
      <c r="AM34" s="371">
        <v>280614.93800000008</v>
      </c>
      <c r="AN34" s="371">
        <v>3697120.2468133681</v>
      </c>
      <c r="AO34" s="371">
        <v>431101.0400000001</v>
      </c>
      <c r="AP34" s="371">
        <v>4022190.0828867261</v>
      </c>
      <c r="AQ34" s="371">
        <v>89601.790000000037</v>
      </c>
      <c r="AR34" s="371">
        <v>993384.04689179768</v>
      </c>
      <c r="AS34" s="371">
        <v>393892.24999999994</v>
      </c>
      <c r="AT34" s="371">
        <v>4769514.4329204531</v>
      </c>
      <c r="AU34" s="370">
        <f>SUMIF($C$11:AT$11,1,$C34:AT34)</f>
        <v>5375083.6239999998</v>
      </c>
      <c r="AV34" s="325">
        <f>IF(COUNTIF($C34:AT34, "nfp")=0, SUMIF($C$11:AT$11,0,$C34:AT34), "nfp")</f>
        <v>46442437.041004702</v>
      </c>
    </row>
    <row r="35" spans="1:48" x14ac:dyDescent="0.25">
      <c r="A35" s="327" t="s">
        <v>207</v>
      </c>
      <c r="B35" s="324" t="s">
        <v>166</v>
      </c>
      <c r="C35" s="325">
        <v>364612.16</v>
      </c>
      <c r="D35" s="325">
        <v>3129657.5</v>
      </c>
      <c r="E35" s="325">
        <v>329688.84000000003</v>
      </c>
      <c r="F35" s="325">
        <v>1917061.3</v>
      </c>
      <c r="G35" s="325">
        <v>531801.06999999995</v>
      </c>
      <c r="H35" s="325">
        <v>6115996</v>
      </c>
      <c r="I35" s="325">
        <v>389747.96</v>
      </c>
      <c r="J35" s="325">
        <v>2084403</v>
      </c>
      <c r="K35" s="325">
        <v>1324957.28</v>
      </c>
      <c r="L35" s="325">
        <v>22108330</v>
      </c>
      <c r="M35" s="325">
        <v>194471.1</v>
      </c>
      <c r="N35" s="325">
        <v>1703510</v>
      </c>
      <c r="O35" s="325">
        <v>531077.84</v>
      </c>
      <c r="P35" s="325">
        <v>9160687</v>
      </c>
      <c r="Q35" s="325">
        <v>298261.63999999996</v>
      </c>
      <c r="R35" s="325">
        <v>3251623.9</v>
      </c>
      <c r="S35" s="325">
        <v>509982.87</v>
      </c>
      <c r="T35" s="325">
        <v>6262935.21</v>
      </c>
      <c r="U35" s="325">
        <v>1109760.8900000001</v>
      </c>
      <c r="V35" s="325">
        <v>27142817.800000001</v>
      </c>
      <c r="W35" s="325">
        <v>1273310.01</v>
      </c>
      <c r="X35" s="325">
        <v>20823551.789169312</v>
      </c>
      <c r="Y35" s="325">
        <v>1762913.75</v>
      </c>
      <c r="Z35" s="325">
        <v>46890220.183014371</v>
      </c>
      <c r="AA35" s="325">
        <v>312324.77999999997</v>
      </c>
      <c r="AB35" s="325">
        <v>3952310.7565291375</v>
      </c>
      <c r="AC35" s="325">
        <v>556471.57999999996</v>
      </c>
      <c r="AD35" s="325">
        <v>7356979.9565816987</v>
      </c>
      <c r="AE35" s="358">
        <v>447624.13</v>
      </c>
      <c r="AF35" s="325">
        <v>6633184.5096977176</v>
      </c>
      <c r="AG35" s="358">
        <v>475785.16000000003</v>
      </c>
      <c r="AH35" s="326">
        <v>6648283.6764627192</v>
      </c>
      <c r="AI35" s="371">
        <v>384287.67</v>
      </c>
      <c r="AJ35" s="371">
        <v>7429617.2611957416</v>
      </c>
      <c r="AK35" s="371">
        <v>732879.36500000011</v>
      </c>
      <c r="AL35" s="371">
        <v>14401890.23011006</v>
      </c>
      <c r="AM35" s="371">
        <v>981072.53999999992</v>
      </c>
      <c r="AN35" s="371">
        <v>18798903.541877992</v>
      </c>
      <c r="AO35" s="371">
        <v>1309281.8909999998</v>
      </c>
      <c r="AP35" s="371">
        <v>28440473.265711218</v>
      </c>
      <c r="AQ35" s="371">
        <v>1675654.41</v>
      </c>
      <c r="AR35" s="371">
        <v>32401666.641433183</v>
      </c>
      <c r="AS35" s="371">
        <v>1386009.4999999998</v>
      </c>
      <c r="AT35" s="371">
        <v>30395011.762168437</v>
      </c>
      <c r="AU35" s="370">
        <f>SUMIF($C$11:AT$11,1,$C35:AT35)</f>
        <v>16881976.436000001</v>
      </c>
      <c r="AV35" s="325">
        <f>IF(COUNTIF($C35:AT35, "nfp")=0, SUMIF($C$11:AT$11,0,$C35:AT35), "nfp")</f>
        <v>307049115.28395164</v>
      </c>
    </row>
    <row r="36" spans="1:48" x14ac:dyDescent="0.25">
      <c r="A36" s="327" t="s">
        <v>208</v>
      </c>
      <c r="B36" s="324" t="s">
        <v>166</v>
      </c>
      <c r="C36" s="325">
        <v>2239610.81</v>
      </c>
      <c r="D36" s="325">
        <v>11095273.689999999</v>
      </c>
      <c r="E36" s="325">
        <v>2730454.24</v>
      </c>
      <c r="F36" s="325">
        <v>13547686.399999999</v>
      </c>
      <c r="G36" s="325">
        <v>3659544</v>
      </c>
      <c r="H36" s="325">
        <v>22118522</v>
      </c>
      <c r="I36" s="325">
        <v>4220897.3499999996</v>
      </c>
      <c r="J36" s="325">
        <v>22705249.399999999</v>
      </c>
      <c r="K36" s="325">
        <v>3360103</v>
      </c>
      <c r="L36" s="325">
        <v>20772902.75</v>
      </c>
      <c r="M36" s="325">
        <v>3836059.16</v>
      </c>
      <c r="N36" s="325">
        <v>29591018.649999999</v>
      </c>
      <c r="O36" s="325">
        <v>3226617.9000000008</v>
      </c>
      <c r="P36" s="325">
        <v>27573977.661281966</v>
      </c>
      <c r="Q36" s="325">
        <v>4818062.1500000022</v>
      </c>
      <c r="R36" s="325">
        <v>34712548.649999999</v>
      </c>
      <c r="S36" s="325">
        <v>6286702.410000002</v>
      </c>
      <c r="T36" s="325">
        <v>54502064.729999997</v>
      </c>
      <c r="U36" s="325">
        <v>5415504</v>
      </c>
      <c r="V36" s="325">
        <v>62093159.759999998</v>
      </c>
      <c r="W36" s="325">
        <v>7416734.2570000011</v>
      </c>
      <c r="X36" s="325">
        <v>69661155.634127736</v>
      </c>
      <c r="Y36" s="325">
        <v>6151337.8589999955</v>
      </c>
      <c r="Z36" s="325">
        <v>53812397.836161762</v>
      </c>
      <c r="AA36" s="325">
        <v>3522141.3490000004</v>
      </c>
      <c r="AB36" s="325">
        <v>37269996.20183301</v>
      </c>
      <c r="AC36" s="325">
        <v>2623157.3189999997</v>
      </c>
      <c r="AD36" s="325">
        <v>26025344.759042565</v>
      </c>
      <c r="AE36" s="358">
        <v>4151944.9159999988</v>
      </c>
      <c r="AF36" s="325">
        <v>28793912.894860845</v>
      </c>
      <c r="AG36" s="358">
        <v>2076013.4859999993</v>
      </c>
      <c r="AH36" s="326">
        <v>27664812.096767999</v>
      </c>
      <c r="AI36" s="371">
        <v>2521195.372</v>
      </c>
      <c r="AJ36" s="371">
        <v>30681554.859266218</v>
      </c>
      <c r="AK36" s="371">
        <v>3015296.5179999997</v>
      </c>
      <c r="AL36" s="371">
        <v>33829285.427114569</v>
      </c>
      <c r="AM36" s="371">
        <v>4092521.847000001</v>
      </c>
      <c r="AN36" s="371">
        <v>41751526.584480397</v>
      </c>
      <c r="AO36" s="371">
        <v>3870285.9750000001</v>
      </c>
      <c r="AP36" s="371">
        <v>41527523.42590487</v>
      </c>
      <c r="AQ36" s="371">
        <v>4310957.82</v>
      </c>
      <c r="AR36" s="371">
        <v>49146440.942276813</v>
      </c>
      <c r="AS36" s="371">
        <v>6230290.2769999988</v>
      </c>
      <c r="AT36" s="371">
        <v>67724069.083981559</v>
      </c>
      <c r="AU36" s="370">
        <f>SUMIF($C$11:AT$11,1,$C36:AT36)</f>
        <v>89775432.015000001</v>
      </c>
      <c r="AV36" s="325">
        <f>IF(COUNTIF($C36:AT36, "nfp")=0, SUMIF($C$11:AT$11,0,$C36:AT36), "nfp")</f>
        <v>806600423.43710029</v>
      </c>
    </row>
    <row r="37" spans="1:48" x14ac:dyDescent="0.25">
      <c r="A37" s="327" t="s">
        <v>623</v>
      </c>
      <c r="B37" s="324"/>
      <c r="C37" s="326"/>
      <c r="D37" s="326">
        <v>0</v>
      </c>
      <c r="E37" s="326"/>
      <c r="F37" s="326">
        <v>0</v>
      </c>
      <c r="G37" s="326"/>
      <c r="H37" s="326">
        <v>0</v>
      </c>
      <c r="I37" s="326"/>
      <c r="J37" s="326">
        <v>0</v>
      </c>
      <c r="K37" s="326"/>
      <c r="L37" s="326">
        <v>0</v>
      </c>
      <c r="M37" s="326"/>
      <c r="N37" s="326">
        <v>0</v>
      </c>
      <c r="O37" s="326"/>
      <c r="P37" s="326">
        <v>0</v>
      </c>
      <c r="Q37" s="326"/>
      <c r="R37" s="326">
        <v>0</v>
      </c>
      <c r="S37" s="326"/>
      <c r="T37" s="326">
        <v>0</v>
      </c>
      <c r="U37" s="326"/>
      <c r="V37" s="326">
        <v>0</v>
      </c>
      <c r="W37" s="326"/>
      <c r="X37" s="326">
        <v>0</v>
      </c>
      <c r="Y37" s="326"/>
      <c r="Z37" s="326">
        <v>0</v>
      </c>
      <c r="AA37" s="326"/>
      <c r="AB37" s="326">
        <v>0</v>
      </c>
      <c r="AC37" s="326"/>
      <c r="AD37" s="326">
        <v>0</v>
      </c>
      <c r="AE37" s="326"/>
      <c r="AF37" s="326">
        <v>0</v>
      </c>
      <c r="AG37" s="325"/>
      <c r="AH37" s="326">
        <v>0</v>
      </c>
      <c r="AI37" s="326"/>
      <c r="AJ37" s="326">
        <v>0</v>
      </c>
      <c r="AK37" s="326"/>
      <c r="AL37" s="326">
        <v>0</v>
      </c>
      <c r="AM37" s="326"/>
      <c r="AN37" s="326">
        <v>0</v>
      </c>
      <c r="AO37" s="326"/>
      <c r="AP37" s="326">
        <v>0</v>
      </c>
      <c r="AQ37" s="326"/>
      <c r="AR37" s="326">
        <v>0</v>
      </c>
      <c r="AS37" s="326"/>
      <c r="AT37" s="326">
        <v>0</v>
      </c>
      <c r="AU37" s="372"/>
      <c r="AV37" s="359">
        <f>IF(COUNTIF($C37:AT37, "nfp")=0, SUMIF($C$11:AT$11,0,$C37:AT37), "nfp")</f>
        <v>0</v>
      </c>
    </row>
    <row r="38" spans="1:48" x14ac:dyDescent="0.25">
      <c r="A38" s="328" t="s">
        <v>209</v>
      </c>
      <c r="B38" s="324"/>
      <c r="C38" s="325"/>
      <c r="D38" s="325">
        <f t="shared" ref="D38:AR38" si="43">SUM(D33:D37)</f>
        <v>18734434.039999999</v>
      </c>
      <c r="E38" s="325"/>
      <c r="F38" s="325">
        <f t="shared" si="43"/>
        <v>20578748.949999999</v>
      </c>
      <c r="G38" s="325"/>
      <c r="H38" s="325">
        <f t="shared" si="43"/>
        <v>51636330</v>
      </c>
      <c r="I38" s="325"/>
      <c r="J38" s="325">
        <f t="shared" si="43"/>
        <v>54400099.450000003</v>
      </c>
      <c r="K38" s="325"/>
      <c r="L38" s="325">
        <f t="shared" si="43"/>
        <v>89361216.25</v>
      </c>
      <c r="M38" s="325"/>
      <c r="N38" s="325">
        <f t="shared" si="43"/>
        <v>124093373</v>
      </c>
      <c r="O38" s="325"/>
      <c r="P38" s="325">
        <f t="shared" si="43"/>
        <v>117487886.91128197</v>
      </c>
      <c r="Q38" s="325"/>
      <c r="R38" s="325">
        <f t="shared" si="43"/>
        <v>83526217.599999994</v>
      </c>
      <c r="S38" s="325"/>
      <c r="T38" s="325">
        <f t="shared" si="43"/>
        <v>161074058.51018983</v>
      </c>
      <c r="U38" s="325"/>
      <c r="V38" s="325">
        <f t="shared" si="43"/>
        <v>241958866.02999997</v>
      </c>
      <c r="W38" s="325"/>
      <c r="X38" s="325">
        <f t="shared" si="43"/>
        <v>303112488.16852772</v>
      </c>
      <c r="Y38" s="325"/>
      <c r="Z38" s="325">
        <f t="shared" si="43"/>
        <v>196040823.3081626</v>
      </c>
      <c r="AA38" s="325"/>
      <c r="AB38" s="325">
        <f t="shared" si="43"/>
        <v>88896630.600963384</v>
      </c>
      <c r="AC38" s="325"/>
      <c r="AD38" s="325">
        <f t="shared" si="43"/>
        <v>75147897.712446705</v>
      </c>
      <c r="AE38" s="326"/>
      <c r="AF38" s="325">
        <f t="shared" si="43"/>
        <v>83869921.642296046</v>
      </c>
      <c r="AG38" s="358"/>
      <c r="AH38" s="325">
        <f t="shared" si="43"/>
        <v>92713882.873163581</v>
      </c>
      <c r="AI38" s="367"/>
      <c r="AJ38" s="325">
        <f t="shared" si="43"/>
        <v>131154428.44756225</v>
      </c>
      <c r="AK38" s="326"/>
      <c r="AL38" s="325">
        <f t="shared" si="43"/>
        <v>123777733.18752345</v>
      </c>
      <c r="AM38" s="326"/>
      <c r="AN38" s="325">
        <f t="shared" si="43"/>
        <v>138085965.12830782</v>
      </c>
      <c r="AO38" s="326"/>
      <c r="AP38" s="325">
        <f t="shared" ref="AP38" si="44">SUM(AP33:AP37)</f>
        <v>177888820.44650769</v>
      </c>
      <c r="AQ38" s="326"/>
      <c r="AR38" s="325">
        <f t="shared" si="43"/>
        <v>246954781.0930182</v>
      </c>
      <c r="AS38" s="326"/>
      <c r="AT38" s="325">
        <f t="shared" ref="AT38" si="45">SUM(AT33:AT37)</f>
        <v>226476141.23356509</v>
      </c>
      <c r="AU38" s="370"/>
      <c r="AV38" s="325">
        <f>IF(COUNTIF($C38:AT38, "nfp")=0, SUMIF($C$11:AT$11,0,$C38:AT38), "nfp")</f>
        <v>2846970744.5835161</v>
      </c>
    </row>
    <row r="39" spans="1:48" x14ac:dyDescent="0.25">
      <c r="A39" s="329"/>
      <c r="B39" s="324"/>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57"/>
      <c r="AF39" s="326"/>
      <c r="AG39" s="368"/>
      <c r="AH39" s="326"/>
      <c r="AI39" s="357"/>
      <c r="AJ39" s="326"/>
      <c r="AK39" s="326"/>
      <c r="AL39" s="326"/>
      <c r="AM39" s="326"/>
      <c r="AN39" s="326"/>
      <c r="AO39" s="326"/>
      <c r="AP39" s="326"/>
      <c r="AQ39" s="326"/>
      <c r="AR39" s="326"/>
      <c r="AS39" s="326"/>
      <c r="AT39" s="326"/>
      <c r="AU39" s="370"/>
      <c r="AV39" s="325"/>
    </row>
    <row r="40" spans="1:48" x14ac:dyDescent="0.25">
      <c r="A40" s="330" t="s">
        <v>210</v>
      </c>
      <c r="B40" s="216" t="s">
        <v>211</v>
      </c>
      <c r="C40" s="201">
        <f>SUMIFS('Other Minerals - Q&amp;V'!$H$11:$H$743, 'Other Minerals - Q&amp;V'!$A$11:$A$743, "&gt;=" &amp; DATE(LEFT(C$9, 4), 7, 1), 'Other Minerals - Q&amp;V'!$A$11:$A$743, "&lt;" &amp; DATE(LEFT(C$9, 4)+1, 7, 1))*10^6</f>
        <v>32499111.999999996</v>
      </c>
      <c r="D40" s="201">
        <f>SUMIFS('Other Minerals - Q&amp;V'!$I$11:$I$743, 'Other Minerals - Q&amp;V'!$A$11:$A$743, "&gt;=" &amp; DATE(LEFT(C$9, 4), 7, 1), 'Other Minerals - Q&amp;V'!$A$11:$A$743, "&lt;" &amp; DATE(LEFT(C$9, 4)+1, 7, 1))*10^6</f>
        <v>519865332.99999994</v>
      </c>
      <c r="E40" s="201">
        <f>SUMIFS('Other Minerals - Q&amp;V'!$H$11:$H$743, 'Other Minerals - Q&amp;V'!$A$11:$A$743, "&gt;=" &amp; DATE(LEFT(E$9, 4), 7, 1), 'Other Minerals - Q&amp;V'!$A$11:$A$743, "&lt;" &amp; DATE(LEFT(E$9, 4)+1, 7, 1))*10^6</f>
        <v>22799773</v>
      </c>
      <c r="F40" s="201">
        <f>SUMIFS('Other Minerals - Q&amp;V'!$I$11:$I$743, 'Other Minerals - Q&amp;V'!$A$11:$A$743, "&gt;=" &amp; DATE(LEFT(E$9, 4), 7, 1), 'Other Minerals - Q&amp;V'!$A$11:$A$743, "&lt;" &amp; DATE(LEFT(E$9, 4)+1, 7, 1))*10^6</f>
        <v>479842597</v>
      </c>
      <c r="G40" s="201">
        <f>SUMIFS('Other Minerals - Q&amp;V'!$H$11:$H$743, 'Other Minerals - Q&amp;V'!$A$11:$A$743, "&gt;=" &amp; DATE(LEFT(G$9, 4), 7, 1), 'Other Minerals - Q&amp;V'!$A$11:$A$743, "&lt;" &amp; DATE(LEFT(G$9, 4)+1, 7, 1))*10^6</f>
        <v>29263869</v>
      </c>
      <c r="H40" s="201">
        <f>SUMIFS('Other Minerals - Q&amp;V'!$I$11:$I$743, 'Other Minerals - Q&amp;V'!$A$11:$A$743, "&gt;=" &amp; DATE(LEFT(G$9, 4), 7, 1), 'Other Minerals - Q&amp;V'!$A$11:$A$743, "&lt;" &amp; DATE(LEFT(G$9, 4)+1, 7, 1))*10^6</f>
        <v>696209547.99999988</v>
      </c>
      <c r="I40" s="201">
        <f>SUMIFS('Other Minerals - Q&amp;V'!$H$11:$H$743, 'Other Minerals - Q&amp;V'!$A$11:$A$743, "&gt;=" &amp; DATE(LEFT(I$9, 4), 7, 1), 'Other Minerals - Q&amp;V'!$A$11:$A$743, "&lt;" &amp; DATE(LEFT(I$9, 4)+1, 7, 1))*10^6</f>
        <v>18223318.999999996</v>
      </c>
      <c r="J40" s="201">
        <f>SUMIFS('Other Minerals - Q&amp;V'!$I$11:$I$743, 'Other Minerals - Q&amp;V'!$A$11:$A$743, "&gt;=" &amp; DATE(LEFT(I$9, 4), 7, 1), 'Other Minerals - Q&amp;V'!$A$11:$A$743, "&lt;" &amp; DATE(LEFT(I$9, 4)+1, 7, 1))*10^6</f>
        <v>461923761</v>
      </c>
      <c r="K40" s="201">
        <f>SUMIFS('Other Minerals - Q&amp;V'!$H$11:$H$743, 'Other Minerals - Q&amp;V'!$A$11:$A$743, "&gt;=" &amp; DATE(LEFT(K$9, 4), 7, 1), 'Other Minerals - Q&amp;V'!$A$11:$A$743, "&lt;" &amp; DATE(LEFT(K$9, 4)+1, 7, 1))*10^6</f>
        <v>27968098</v>
      </c>
      <c r="L40" s="201">
        <f>SUMIFS('Other Minerals - Q&amp;V'!$I$11:$I$743, 'Other Minerals - Q&amp;V'!$A$11:$A$743, "&gt;=" &amp; DATE(LEFT(K$9, 4), 7, 1), 'Other Minerals - Q&amp;V'!$A$11:$A$743, "&lt;" &amp; DATE(LEFT(K$9, 4)+1, 7, 1))*10^6</f>
        <v>612985558</v>
      </c>
      <c r="M40" s="201">
        <f>SUMIFS('Other Minerals - Q&amp;V'!$H$11:$H$743, 'Other Minerals - Q&amp;V'!$A$11:$A$743, "&gt;=" &amp; DATE(LEFT(M$9, 4), 7, 1), 'Other Minerals - Q&amp;V'!$A$11:$A$743, "&lt;" &amp; DATE(LEFT(M$9, 4)+1, 7, 1))*10^6</f>
        <v>23187842</v>
      </c>
      <c r="N40" s="201">
        <f>SUMIFS('Other Minerals - Q&amp;V'!$I$11:$I$743, 'Other Minerals - Q&amp;V'!$A$11:$A$743, "&gt;=" &amp; DATE(LEFT(M$9, 4), 7, 1), 'Other Minerals - Q&amp;V'!$A$11:$A$743, "&lt;" &amp; DATE(LEFT(M$9, 4)+1, 7, 1))*10^6</f>
        <v>272693003</v>
      </c>
      <c r="O40" s="201">
        <f>SUMIFS('Other Minerals - Q&amp;V'!$H$11:$H$743, 'Other Minerals - Q&amp;V'!$A$11:$A$743, "&gt;=" &amp; DATE(LEFT(O$9, 4), 7, 1), 'Other Minerals - Q&amp;V'!$A$11:$A$743, "&lt;" &amp; DATE(LEFT(O$9, 4)+1, 7, 1))*10^6</f>
        <v>16280757.000000002</v>
      </c>
      <c r="P40" s="201">
        <f>SUMIFS('Other Minerals - Q&amp;V'!$I$11:$I$743, 'Other Minerals - Q&amp;V'!$A$11:$A$743, "&gt;=" &amp; DATE(LEFT(O$9, 4), 7, 1), 'Other Minerals - Q&amp;V'!$A$11:$A$743, "&lt;" &amp; DATE(LEFT(O$9, 4)+1, 7, 1))*10^6</f>
        <v>304332534</v>
      </c>
      <c r="Q40" s="201">
        <f>SUMIFS('Other Minerals - Q&amp;V'!$H$11:$H$743, 'Other Minerals - Q&amp;V'!$A$11:$A$743, "&gt;=" &amp; DATE(LEFT(Q$9, 4), 7, 1), 'Other Minerals - Q&amp;V'!$A$11:$A$743, "&lt;" &amp; DATE(LEFT(Q$9, 4)+1, 7, 1))*10^6</f>
        <v>10121587</v>
      </c>
      <c r="R40" s="201">
        <f>SUMIFS('Other Minerals - Q&amp;V'!$I$11:$I$743, 'Other Minerals - Q&amp;V'!$A$11:$A$743, "&gt;=" &amp; DATE(LEFT(Q$9, 4), 7, 1), 'Other Minerals - Q&amp;V'!$A$11:$A$743, "&lt;" &amp; DATE(LEFT(Q$9, 4)+1, 7, 1))*10^6</f>
        <v>303092471.00000006</v>
      </c>
      <c r="S40" s="201">
        <f>SUMIFS('Other Minerals - Q&amp;V'!$H$11:$H$743, 'Other Minerals - Q&amp;V'!$A$11:$A$743, "&gt;=" &amp; DATE(LEFT(S$9, 4), 7, 1), 'Other Minerals - Q&amp;V'!$A$11:$A$743, "&lt;" &amp; DATE(LEFT(S$9, 4)+1, 7, 1))*10^6</f>
        <v>8689501</v>
      </c>
      <c r="T40" s="201">
        <f>SUMIFS('Other Minerals - Q&amp;V'!$I$11:$I$743, 'Other Minerals - Q&amp;V'!$A$11:$A$743, "&gt;=" &amp; DATE(LEFT(S$9, 4), 7, 1), 'Other Minerals - Q&amp;V'!$A$11:$A$743, "&lt;" &amp; DATE(LEFT(S$9, 4)+1, 7, 1))*10^6</f>
        <v>343293394.00000006</v>
      </c>
      <c r="U40" s="201">
        <f>SUMIFS('Other Minerals - Q&amp;V'!$H$11:$H$743, 'Other Minerals - Q&amp;V'!$A$11:$A$743, "&gt;=" &amp; DATE(LEFT(U$9, 4), 7, 1), 'Other Minerals - Q&amp;V'!$A$11:$A$743, "&lt;" &amp; DATE(LEFT(U$9, 4)+1, 7, 1))*10^6</f>
        <v>9608684.4299999997</v>
      </c>
      <c r="V40" s="201">
        <f>SUMIFS('Other Minerals - Q&amp;V'!$I$11:$I$743, 'Other Minerals - Q&amp;V'!$A$11:$A$743, "&gt;=" &amp; DATE(LEFT(U$9, 4), 7, 1), 'Other Minerals - Q&amp;V'!$A$11:$A$743, "&lt;" &amp; DATE(LEFT(U$9, 4)+1, 7, 1))*10^6</f>
        <v>354474246</v>
      </c>
      <c r="W40" s="201">
        <f>SUMIFS('Other Minerals - Q&amp;V'!$H$11:$H$743, 'Other Minerals - Q&amp;V'!$A$11:$A$743, "&gt;=" &amp; DATE(LEFT(W$9, 4), 7, 1), 'Other Minerals - Q&amp;V'!$A$11:$A$743, "&lt;" &amp; DATE(LEFT(W$9, 4)+1, 7, 1))*10^6</f>
        <v>11610630.830000002</v>
      </c>
      <c r="X40" s="201">
        <f>SUMIFS('Other Minerals - Q&amp;V'!$I$11:$I$743, 'Other Minerals - Q&amp;V'!$A$11:$A$743, "&gt;=" &amp; DATE(LEFT(W$9, 4), 7, 1), 'Other Minerals - Q&amp;V'!$A$11:$A$743, "&lt;" &amp; DATE(LEFT(W$9, 4)+1, 7, 1))*10^6</f>
        <v>400256324.99999994</v>
      </c>
      <c r="Y40" s="201">
        <f>SUMIFS('Other Minerals - Q&amp;V'!$H$11:$H$743, 'Other Minerals - Q&amp;V'!$A$11:$A$743, "&gt;=" &amp; DATE(LEFT(Y$9, 4), 7, 1), 'Other Minerals - Q&amp;V'!$A$11:$A$743, "&lt;" &amp; DATE(LEFT(Y$9, 4)+1, 7, 1))*10^6</f>
        <v>10387926.220000001</v>
      </c>
      <c r="Z40" s="201">
        <f>SUMIFS('Other Minerals - Q&amp;V'!$I$11:$I$743, 'Other Minerals - Q&amp;V'!$A$11:$A$743, "&gt;=" &amp; DATE(LEFT(Y$9, 4), 7, 1), 'Other Minerals - Q&amp;V'!$A$11:$A$743, "&lt;" &amp; DATE(LEFT(Y$9, 4)+1, 7, 1))*10^6</f>
        <v>342313663.99999994</v>
      </c>
      <c r="AA40" s="201">
        <f>SUMIFS('Other Minerals - Q&amp;V'!$H$11:$H$743, 'Other Minerals - Q&amp;V'!$A$11:$A$743, "&gt;=" &amp; DATE(LEFT(AA$9, 4), 7, 1), 'Other Minerals - Q&amp;V'!$A$11:$A$743, "&lt;" &amp; DATE(LEFT(AA$9, 4)+1, 7, 1))*10^6</f>
        <v>13869547.099999998</v>
      </c>
      <c r="AB40" s="201">
        <f>SUMIFS('Other Minerals - Q&amp;V'!$I$11:$I$743, 'Other Minerals - Q&amp;V'!$A$11:$A$743, "&gt;=" &amp; DATE(LEFT(AA$9, 4), 7, 1), 'Other Minerals - Q&amp;V'!$A$11:$A$743, "&lt;" &amp; DATE(LEFT(AA$9, 4)+1, 7, 1))*10^6</f>
        <v>354047664</v>
      </c>
      <c r="AC40" s="278">
        <f>SUMIFS('Other Minerals - Q&amp;V'!$H$11:$H$743, 'Other Minerals - Q&amp;V'!$A$11:$A$743, "&gt;=" &amp; DATE(LEFT(AC$9, 4), 7, 1), 'Other Minerals - Q&amp;V'!$A$11:$A$743, "&lt;" &amp; DATE(LEFT(AC$9, 4)+1, 7, 1))*10^6</f>
        <v>12607032.439999999</v>
      </c>
      <c r="AD40" s="201">
        <f>SUMIFS('Other Minerals - Q&amp;V'!$I$11:$I$743, 'Other Minerals - Q&amp;V'!$A$11:$A$743, "&gt;=" &amp; DATE(LEFT(AC$9, 4), 7, 1), 'Other Minerals - Q&amp;V'!$A$11:$A$743, "&lt;" &amp; DATE(LEFT(AC$9, 4)+1, 7, 1))*10^6</f>
        <v>268383093.99999997</v>
      </c>
      <c r="AE40" s="278">
        <f>SUMIFS('Other Minerals - Q&amp;V'!$H$11:$H$743, 'Other Minerals - Q&amp;V'!$A$11:$A$743, "&gt;=" &amp; DATE(LEFT(AE$9, 4), 7, 1), 'Other Minerals - Q&amp;V'!$A$11:$A$743, "&lt;" &amp; DATE(LEFT(AE$9, 4)+1, 7, 1))*10^6</f>
        <v>15281302.73</v>
      </c>
      <c r="AF40" s="201">
        <f>SUMIFS('Other Minerals - Q&amp;V'!$I$11:$I$743, 'Other Minerals - Q&amp;V'!$A$11:$A$743, "&gt;=" &amp; DATE(LEFT(AE$9, 4), 7, 1), 'Other Minerals - Q&amp;V'!$A$11:$A$743, "&lt;" &amp; DATE(LEFT(AE$9, 4)+1, 7, 1))*10^6</f>
        <v>249759751</v>
      </c>
      <c r="AG40" s="201">
        <f>SUMIFS('Other Minerals - Q&amp;V'!$H$11:$H$743, 'Other Minerals - Q&amp;V'!$A$11:$A$743, "&gt;=" &amp; DATE(LEFT(AG$9, 4), 7, 1), 'Other Minerals - Q&amp;V'!$A$11:$A$743, "&lt;" &amp; DATE(LEFT(AG$9, 4)+1, 7, 1))*10^6</f>
        <v>11149894.85</v>
      </c>
      <c r="AH40" s="232">
        <f>SUMIFS('Other Minerals - Q&amp;V'!$I$11:$I$743, 'Other Minerals - Q&amp;V'!$A$11:$A$743, "&gt;=" &amp; DATE(LEFT(AG$9, 4), 7, 1), 'Other Minerals - Q&amp;V'!$A$11:$A$743, "&lt;" &amp; DATE(LEFT(AG$9, 4)+1, 7, 1))*10^6</f>
        <v>219221184</v>
      </c>
      <c r="AI40" s="232">
        <f>SUMIFS('Other Minerals - Q&amp;V'!$H$11:$H$743, 'Other Minerals - Q&amp;V'!$A$11:$A$743, "&gt;=" &amp; DATE(LEFT(AI$9, 4), 7, 1), 'Other Minerals - Q&amp;V'!$A$11:$A$743, "&lt;" &amp; DATE(LEFT(AI$9, 4)+1, 7, 1))*10^6</f>
        <v>17489919.959999997</v>
      </c>
      <c r="AJ40" s="232">
        <f>SUMIFS('Other Minerals - Q&amp;V'!$I$11:$I$743, 'Other Minerals - Q&amp;V'!$A$11:$A$743, "&gt;=" &amp; DATE(LEFT(AI$9, 4), 7, 1), 'Other Minerals - Q&amp;V'!$A$11:$A$743, "&lt;" &amp; DATE(LEFT(AI$9, 4)+1, 7, 1))*10^6</f>
        <v>281266032.99999994</v>
      </c>
      <c r="AK40" s="232">
        <f>SUMIFS('Other Minerals - Q&amp;V'!$H$11:$H$743, 'Other Minerals - Q&amp;V'!$A$11:$A$743, "&gt;=" &amp; DATE(LEFT(AK$9, 4), 7, 1), 'Other Minerals - Q&amp;V'!$A$11:$A$743, "&lt;" &amp; DATE(LEFT(AK$9, 4)+1, 7, 1))*10^6</f>
        <v>8083055.5300000012</v>
      </c>
      <c r="AL40" s="232">
        <f>SUMIFS('Other Minerals - Q&amp;V'!$I$11:$I$743, 'Other Minerals - Q&amp;V'!$A$11:$A$743, "&gt;=" &amp; DATE(LEFT(AK$9, 4), 7, 1), 'Other Minerals - Q&amp;V'!$A$11:$A$743, "&lt;" &amp; DATE(LEFT(AK$9, 4)+1, 7, 1))*10^6</f>
        <v>112100235</v>
      </c>
      <c r="AM40" s="232">
        <f>SUMIFS('Other Minerals - Q&amp;V'!$H$11:$H$743, 'Other Minerals - Q&amp;V'!$A$11:$A$743, "&gt;=" &amp; DATE(LEFT(AM$9, 4), 7, 1), 'Other Minerals - Q&amp;V'!$A$11:$A$743, "&lt;" &amp; DATE(LEFT(AM$9, 4)+1, 7, 1))*10^6</f>
        <v>43072.919999999991</v>
      </c>
      <c r="AN40" s="232">
        <f>SUMIFS('Other Minerals - Q&amp;V'!$I$11:$I$743, 'Other Minerals - Q&amp;V'!$A$11:$A$743, "&gt;=" &amp; DATE(LEFT(AM$9, 4), 7, 1), 'Other Minerals - Q&amp;V'!$A$11:$A$743, "&lt;" &amp; DATE(LEFT(AM$9, 4)+1, 7, 1))*10^6</f>
        <v>1195627</v>
      </c>
      <c r="AO40" s="232">
        <f>SUMIFS('Other Minerals - Q&amp;V'!$H$11:$H$743, 'Other Minerals - Q&amp;V'!$A$11:$A$743, "&gt;=" &amp; DATE(LEFT(AO$9, 4), 7, 1), 'Other Minerals - Q&amp;V'!$A$11:$A$743, "&lt;" &amp; DATE(LEFT(AO$9, 4)+1, 7, 1))*10^6</f>
        <v>0</v>
      </c>
      <c r="AP40" s="232">
        <f>SUMIFS('Other Minerals - Q&amp;V'!$I$11:$I$743, 'Other Minerals - Q&amp;V'!$A$11:$A$743, "&gt;=" &amp; DATE(LEFT(AO$9, 4), 7, 1), 'Other Minerals - Q&amp;V'!$A$11:$A$743, "&lt;" &amp; DATE(LEFT(AO$9, 4)+1, 7, 1))*10^6</f>
        <v>0</v>
      </c>
      <c r="AQ40" s="232">
        <f>SUMIFS('Other Minerals - Q&amp;V'!$H$11:$H$743, 'Other Minerals - Q&amp;V'!$A$11:$A$743, "&gt;=" &amp; DATE(LEFT(AQ$9, 4), 7, 1), 'Other Minerals - Q&amp;V'!$A$11:$A$743, "&lt;" &amp; DATE(LEFT(AQ$9, 4)+1, 7, 1))*10^6</f>
        <v>0</v>
      </c>
      <c r="AR40" s="232">
        <f>SUMIFS('Other Minerals - Q&amp;V'!$I$11:$I$743, 'Other Minerals - Q&amp;V'!$A$11:$A$743, "&gt;=" &amp; DATE(LEFT(AQ$9, 4), 7, 1), 'Other Minerals - Q&amp;V'!$A$11:$A$743, "&lt;" &amp; DATE(LEFT(AQ$9, 4)+1, 7, 1))*10^6</f>
        <v>0</v>
      </c>
      <c r="AS40" s="232">
        <f>SUMIFS('Other Minerals - Q&amp;V'!$H$11:$H$743, 'Other Minerals - Q&amp;V'!$A$11:$A$743, "&gt;=" &amp; DATE(LEFT(AS$9, 4), 7, 1), 'Other Minerals - Q&amp;V'!$A$11:$A$743, "&lt;" &amp; DATE(LEFT(AS$9, 4)+1, 7, 1))*10^6</f>
        <v>24870.29</v>
      </c>
      <c r="AT40" s="232">
        <f>SUMIFS('Other Minerals - Q&amp;V'!$I$11:$I$743, 'Other Minerals - Q&amp;V'!$A$11:$A$743, "&gt;=" &amp; DATE(LEFT(AS$9, 4), 7, 1), 'Other Minerals - Q&amp;V'!$A$11:$A$743, "&lt;" &amp; DATE(LEFT(AS$9, 4)+1, 7, 1))*10^6</f>
        <v>5120258</v>
      </c>
      <c r="AU40" s="278">
        <f>SUMIF($C$11:AT$11,1,$C40:AT40)</f>
        <v>299189795.30000007</v>
      </c>
      <c r="AV40" s="201">
        <f>IF(COUNTIF($C40:AT40, "nfp")=0, SUMIF($C$11:AT$11,0,$C40:AT40), "nfp")</f>
        <v>6582376280</v>
      </c>
    </row>
    <row r="41" spans="1:48" x14ac:dyDescent="0.25">
      <c r="A41" s="231"/>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27"/>
      <c r="AC41" s="227"/>
      <c r="AD41" s="227"/>
      <c r="AE41" s="373"/>
      <c r="AF41" s="227"/>
      <c r="AG41" s="373"/>
      <c r="AH41" s="374"/>
      <c r="AI41" s="375"/>
      <c r="AJ41" s="374"/>
      <c r="AK41" s="374"/>
      <c r="AL41" s="374"/>
      <c r="AM41" s="374"/>
      <c r="AN41" s="374"/>
      <c r="AO41" s="374"/>
      <c r="AP41" s="374"/>
      <c r="AQ41" s="374"/>
      <c r="AR41" s="374"/>
      <c r="AS41" s="374"/>
      <c r="AT41" s="374"/>
      <c r="AU41" s="278"/>
      <c r="AV41" s="201"/>
    </row>
    <row r="42" spans="1:48" x14ac:dyDescent="0.25">
      <c r="A42" s="323" t="s">
        <v>212</v>
      </c>
      <c r="B42" s="324" t="s">
        <v>166</v>
      </c>
      <c r="C42" s="326">
        <v>3081.04</v>
      </c>
      <c r="D42" s="326">
        <v>987504</v>
      </c>
      <c r="E42" s="326">
        <v>4520.8599999999997</v>
      </c>
      <c r="F42" s="326">
        <v>854816.4</v>
      </c>
      <c r="G42" s="326">
        <v>1951</v>
      </c>
      <c r="H42" s="326">
        <v>770591</v>
      </c>
      <c r="I42" s="326">
        <v>1976.04</v>
      </c>
      <c r="J42" s="326">
        <v>342863</v>
      </c>
      <c r="K42" s="326">
        <v>491.74</v>
      </c>
      <c r="L42" s="326">
        <v>157224</v>
      </c>
      <c r="M42" s="326">
        <v>3142.63</v>
      </c>
      <c r="N42" s="326">
        <v>329863</v>
      </c>
      <c r="O42" s="326">
        <v>5371.19</v>
      </c>
      <c r="P42" s="326">
        <v>339102</v>
      </c>
      <c r="Q42" s="326">
        <v>8669.33</v>
      </c>
      <c r="R42" s="326">
        <v>861017</v>
      </c>
      <c r="S42" s="326">
        <v>7590</v>
      </c>
      <c r="T42" s="326">
        <v>1450510</v>
      </c>
      <c r="U42" s="326">
        <v>4196.3099999999995</v>
      </c>
      <c r="V42" s="326">
        <v>1221243</v>
      </c>
      <c r="W42" s="326">
        <v>5020.9719999999998</v>
      </c>
      <c r="X42" s="326">
        <v>1365020</v>
      </c>
      <c r="Y42" s="326">
        <v>6648.1320000000005</v>
      </c>
      <c r="Z42" s="326">
        <v>2997253.8785662013</v>
      </c>
      <c r="AA42" s="326">
        <v>4112.5</v>
      </c>
      <c r="AB42" s="326">
        <v>2205326</v>
      </c>
      <c r="AC42" s="326">
        <v>4794.829999999999</v>
      </c>
      <c r="AD42" s="326">
        <v>1827463.9661279039</v>
      </c>
      <c r="AE42" s="357">
        <v>6497.71</v>
      </c>
      <c r="AF42" s="326">
        <v>2562324.1714457981</v>
      </c>
      <c r="AG42" s="368">
        <v>9638.77</v>
      </c>
      <c r="AH42" s="326">
        <v>3041676.3146707914</v>
      </c>
      <c r="AI42" s="357">
        <v>11353.424999999999</v>
      </c>
      <c r="AJ42" s="326">
        <v>2581401.0877106157</v>
      </c>
      <c r="AK42" s="326">
        <v>7850.1760000000013</v>
      </c>
      <c r="AL42" s="326">
        <v>2500609.1073642559</v>
      </c>
      <c r="AM42" s="326">
        <v>6169.1859999999988</v>
      </c>
      <c r="AN42" s="326">
        <v>2256701</v>
      </c>
      <c r="AO42" s="326">
        <v>5612.3480000000009</v>
      </c>
      <c r="AP42" s="326">
        <v>2327065.7566302796</v>
      </c>
      <c r="AQ42" s="326">
        <v>7017.15</v>
      </c>
      <c r="AR42" s="326">
        <v>3277958</v>
      </c>
      <c r="AS42" s="326">
        <v>20675.004000000004</v>
      </c>
      <c r="AT42" s="326">
        <v>7589576.0246968418</v>
      </c>
      <c r="AU42" s="370">
        <f>SUMIF($C$11:AT$11,1,$C42:AT42)</f>
        <v>136380.34300000002</v>
      </c>
      <c r="AV42" s="325">
        <f>IF(COUNTIF($C42:AT42, "nfp")=0, SUMIF($C$11:AT$11,0,$C42:AT42), "nfp")</f>
        <v>41847108.707212687</v>
      </c>
    </row>
    <row r="43" spans="1:48" x14ac:dyDescent="0.25">
      <c r="A43" s="329"/>
      <c r="B43" s="324"/>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57"/>
      <c r="AF43" s="326"/>
      <c r="AG43" s="368"/>
      <c r="AH43" s="326"/>
      <c r="AI43" s="357"/>
      <c r="AJ43" s="326"/>
      <c r="AK43" s="326"/>
      <c r="AL43" s="326"/>
      <c r="AM43" s="326"/>
      <c r="AN43" s="326"/>
      <c r="AO43" s="326"/>
      <c r="AP43" s="326"/>
      <c r="AQ43" s="326"/>
      <c r="AR43" s="326"/>
      <c r="AS43" s="326"/>
      <c r="AT43" s="326"/>
      <c r="AU43" s="370"/>
      <c r="AV43" s="325"/>
    </row>
    <row r="44" spans="1:48" x14ac:dyDescent="0.25">
      <c r="A44" s="330" t="s">
        <v>510</v>
      </c>
      <c r="B44" s="216" t="s">
        <v>214</v>
      </c>
      <c r="C44" s="201">
        <v>345617.5</v>
      </c>
      <c r="D44" s="201">
        <v>198691</v>
      </c>
      <c r="E44" s="201">
        <v>310050.76</v>
      </c>
      <c r="F44" s="201">
        <v>243114</v>
      </c>
      <c r="G44" s="201">
        <v>195162.92</v>
      </c>
      <c r="H44" s="201">
        <v>180938</v>
      </c>
      <c r="I44" s="201">
        <v>316716.03000000003</v>
      </c>
      <c r="J44" s="201">
        <v>245279</v>
      </c>
      <c r="K44" s="201">
        <v>2730675.03</v>
      </c>
      <c r="L44" s="201">
        <v>401644</v>
      </c>
      <c r="M44" s="201">
        <v>316420.38</v>
      </c>
      <c r="N44" s="201">
        <v>210961</v>
      </c>
      <c r="O44" s="201">
        <v>300509.38</v>
      </c>
      <c r="P44" s="201">
        <v>308238</v>
      </c>
      <c r="Q44" s="201">
        <v>292458.05</v>
      </c>
      <c r="R44" s="201">
        <v>288460</v>
      </c>
      <c r="S44" s="201">
        <v>227963.18</v>
      </c>
      <c r="T44" s="201">
        <v>280727</v>
      </c>
      <c r="U44" s="201">
        <v>197832.13</v>
      </c>
      <c r="V44" s="201">
        <v>254158</v>
      </c>
      <c r="W44" s="201">
        <v>310676.27400000003</v>
      </c>
      <c r="X44" s="201">
        <v>409321</v>
      </c>
      <c r="Y44" s="201">
        <v>720551.56599999988</v>
      </c>
      <c r="Z44" s="201">
        <v>1402333</v>
      </c>
      <c r="AA44" s="201">
        <v>245128.95639999997</v>
      </c>
      <c r="AB44" s="201">
        <v>696715</v>
      </c>
      <c r="AC44" s="278">
        <v>295742.37940000003</v>
      </c>
      <c r="AD44" s="201">
        <v>655691</v>
      </c>
      <c r="AE44" s="278">
        <v>276265.723</v>
      </c>
      <c r="AF44" s="201">
        <v>302696</v>
      </c>
      <c r="AG44" s="278">
        <v>127635.90300000001</v>
      </c>
      <c r="AH44" s="232">
        <v>324203</v>
      </c>
      <c r="AI44" s="281">
        <v>245535.97</v>
      </c>
      <c r="AJ44" s="232">
        <v>432061</v>
      </c>
      <c r="AK44" s="232">
        <v>294284.27</v>
      </c>
      <c r="AL44" s="232">
        <v>450764</v>
      </c>
      <c r="AM44" s="232">
        <v>570308.86</v>
      </c>
      <c r="AN44" s="232">
        <v>805708</v>
      </c>
      <c r="AO44" s="232">
        <v>440949.99</v>
      </c>
      <c r="AP44" s="232">
        <v>953368</v>
      </c>
      <c r="AQ44" s="232">
        <v>478486.60800000001</v>
      </c>
      <c r="AR44" s="232">
        <v>1389742</v>
      </c>
      <c r="AS44" s="232">
        <v>205973.02000000002</v>
      </c>
      <c r="AT44" s="232">
        <v>555009</v>
      </c>
      <c r="AU44" s="278">
        <f>SUMIF($C$11:AT$11,1,$C44:AT44)</f>
        <v>9444944.8797999993</v>
      </c>
      <c r="AV44" s="201">
        <f>IF(COUNTIF($C44:AT44, "nfp")=0, SUMIF($C$11:AT$11,0,$C44:AT44), "nfp")</f>
        <v>10989821</v>
      </c>
    </row>
    <row r="45" spans="1:48" x14ac:dyDescent="0.25">
      <c r="A45" s="231"/>
      <c r="C45" s="227"/>
      <c r="D45" s="227"/>
      <c r="E45" s="227"/>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227"/>
      <c r="AE45" s="373"/>
      <c r="AF45" s="227"/>
      <c r="AG45" s="373"/>
      <c r="AH45" s="374"/>
      <c r="AI45" s="375"/>
      <c r="AJ45" s="374"/>
      <c r="AK45" s="374"/>
      <c r="AL45" s="374"/>
      <c r="AM45" s="374"/>
      <c r="AN45" s="374"/>
      <c r="AO45" s="374"/>
      <c r="AP45" s="374"/>
      <c r="AQ45" s="374"/>
      <c r="AR45" s="374"/>
      <c r="AS45" s="374"/>
      <c r="AT45" s="374"/>
      <c r="AU45" s="278"/>
      <c r="AV45" s="201"/>
    </row>
    <row r="46" spans="1:48" x14ac:dyDescent="0.25">
      <c r="A46" s="323" t="s">
        <v>215</v>
      </c>
      <c r="B46" s="324" t="s">
        <v>214</v>
      </c>
      <c r="C46" s="326">
        <f>(SUMIFS('Gold - Q&amp;V'!$B$9:$B$251,'Gold - Q&amp;V'!$D$9:$D$251,LEFT('Q&amp;V FY 2003-04 to Now'!C$9:D$9,4),'Gold - Q&amp;V'!$E$9:$E$251,3)+
SUMIFS('Gold - Q&amp;V'!$B$9:$B$251,'Gold - Q&amp;V'!$D$9:$D$251,LEFT('Q&amp;V FY 2003-04 to Now'!C$9:D$9,4),'Gold - Q&amp;V'!$E$9:$E$251,4)+
SUMIFS('Gold - Q&amp;V'!$B$9:$B$251,'Gold - Q&amp;V'!$D$9:$D$251,CONCATENATE("20",RIGHT('Q&amp;V FY 2003-04 to Now'!C$9,2)),'Gold - Q&amp;V'!$E$9:$E$251,1)+
SUMIFS('Gold - Q&amp;V'!$B$9:$B$251,'Gold - Q&amp;V'!$D$9:$D$251,CONCATENATE("20",RIGHT('Q&amp;V FY 2003-04 to Now'!C$9,2)),'Gold - Q&amp;V'!$E$9:$E$251,2))*1000</f>
        <v>176730</v>
      </c>
      <c r="D46" s="326">
        <f>(SUMIFS('Gold - Q&amp;V'!$C$9:$C$251,'Gold - Q&amp;V'!$D$9:$D$251,LEFT('Q&amp;V FY 2003-04 to Now'!C$9,4),'Gold - Q&amp;V'!$E$9:$E$251,3)+
SUMIFS('Gold - Q&amp;V'!$C$9:$C$251,'Gold - Q&amp;V'!$D$9:$D$251,LEFT('Q&amp;V FY 2003-04 to Now'!C$9,4),'Gold - Q&amp;V'!$E$9:$E$251,4)+
SUMIFS('Gold - Q&amp;V'!$C$9:$C$251,'Gold - Q&amp;V'!$D$9:$D$251,CONCATENATE("20",RIGHT('Q&amp;V FY 2003-04 to Now'!C$9,2)),'Gold - Q&amp;V'!$E$9:$E$251,1)+
SUMIFS('Gold - Q&amp;V'!$C$9:$C$251,'Gold - Q&amp;V'!$D$9:$D$251,CONCATENATE("20",RIGHT('Q&amp;V FY 2003-04 to Now'!C$9,2)),'Gold - Q&amp;V'!$E$9:$E$251,2))*1000000</f>
        <v>3104170000</v>
      </c>
      <c r="E46" s="326">
        <f>(SUMIFS('Gold - Q&amp;V'!$B$9:$B$251,'Gold - Q&amp;V'!$D$9:$D$251,LEFT('Q&amp;V FY 2003-04 to Now'!E$9:F$9,4),'Gold - Q&amp;V'!$E$9:$E$251,3)+
SUMIFS('Gold - Q&amp;V'!$B$9:$B$251,'Gold - Q&amp;V'!$D$9:$D$251,LEFT('Q&amp;V FY 2003-04 to Now'!E$9:F$9,4),'Gold - Q&amp;V'!$E$9:$E$251,4)+
SUMIFS('Gold - Q&amp;V'!$B$9:$B$251,'Gold - Q&amp;V'!$D$9:$D$251,CONCATENATE("20",RIGHT('Q&amp;V FY 2003-04 to Now'!E$9,2)),'Gold - Q&amp;V'!$E$9:$E$251,1)+
SUMIFS('Gold - Q&amp;V'!$B$9:$B$251,'Gold - Q&amp;V'!$D$9:$D$251,CONCATENATE("20",RIGHT('Q&amp;V FY 2003-04 to Now'!E$9,2)),'Gold - Q&amp;V'!$E$9:$E$251,2))*1000</f>
        <v>166586.9385567421</v>
      </c>
      <c r="F46" s="326">
        <f>(SUMIFS('Gold - Q&amp;V'!$C$9:$C$251,'Gold - Q&amp;V'!$D$9:$D$251,LEFT('Q&amp;V FY 2003-04 to Now'!E$9,4),'Gold - Q&amp;V'!$E$9:$E$251,3)+
SUMIFS('Gold - Q&amp;V'!$C$9:$C$251,'Gold - Q&amp;V'!$D$9:$D$251,LEFT('Q&amp;V FY 2003-04 to Now'!E$9,4),'Gold - Q&amp;V'!$E$9:$E$251,4)+
SUMIFS('Gold - Q&amp;V'!$C$9:$C$251,'Gold - Q&amp;V'!$D$9:$D$251,CONCATENATE("20",RIGHT('Q&amp;V FY 2003-04 to Now'!E$9,2)),'Gold - Q&amp;V'!$E$9:$E$251,1)+
SUMIFS('Gold - Q&amp;V'!$C$9:$C$251,'Gold - Q&amp;V'!$D$9:$D$251,CONCATENATE("20",RIGHT('Q&amp;V FY 2003-04 to Now'!E$9,2)),'Gold - Q&amp;V'!$E$9:$E$251,2))*1000000</f>
        <v>3006500215</v>
      </c>
      <c r="G46" s="326">
        <f>(SUMIFS('Gold - Q&amp;V'!$B$9:$B$251,'Gold - Q&amp;V'!$D$9:$D$251,LEFT('Q&amp;V FY 2003-04 to Now'!G$9:H$9,4),'Gold - Q&amp;V'!$E$9:$E$251,3)+
SUMIFS('Gold - Q&amp;V'!$B$9:$B$251,'Gold - Q&amp;V'!$D$9:$D$251,LEFT('Q&amp;V FY 2003-04 to Now'!G$9:H$9,4),'Gold - Q&amp;V'!$E$9:$E$251,4)+
SUMIFS('Gold - Q&amp;V'!$B$9:$B$251,'Gold - Q&amp;V'!$D$9:$D$251,CONCATENATE("20",RIGHT('Q&amp;V FY 2003-04 to Now'!G$9,2)),'Gold - Q&amp;V'!$E$9:$E$251,1)+
SUMIFS('Gold - Q&amp;V'!$B$9:$B$251,'Gold - Q&amp;V'!$D$9:$D$251,CONCATENATE("20",RIGHT('Q&amp;V FY 2003-04 to Now'!G$9,2)),'Gold - Q&amp;V'!$E$9:$E$251,2))*1000</f>
        <v>163340.02807027526</v>
      </c>
      <c r="H46" s="326">
        <f>(SUMIFS('Gold - Q&amp;V'!$C$9:$C$251,'Gold - Q&amp;V'!$D$9:$D$251,LEFT('Q&amp;V FY 2003-04 to Now'!G$9,4),'Gold - Q&amp;V'!$E$9:$E$251,3)+
SUMIFS('Gold - Q&amp;V'!$C$9:$C$251,'Gold - Q&amp;V'!$D$9:$D$251,LEFT('Q&amp;V FY 2003-04 to Now'!G$9,4),'Gold - Q&amp;V'!$E$9:$E$251,4)+
SUMIFS('Gold - Q&amp;V'!$C$9:$C$251,'Gold - Q&amp;V'!$D$9:$D$251,CONCATENATE("20",RIGHT('Q&amp;V FY 2003-04 to Now'!G$9,2)),'Gold - Q&amp;V'!$E$9:$E$251,1)+
SUMIFS('Gold - Q&amp;V'!$C$9:$C$251,'Gold - Q&amp;V'!$D$9:$D$251,CONCATENATE("20",RIGHT('Q&amp;V FY 2003-04 to Now'!G$9,2)),'Gold - Q&amp;V'!$E$9:$E$251,2))*1000000</f>
        <v>3696336325</v>
      </c>
      <c r="I46" s="326">
        <f>(SUMIFS('Gold - Q&amp;V'!$B$9:$B$251,'Gold - Q&amp;V'!$D$9:$D$251,LEFT('Q&amp;V FY 2003-04 to Now'!I$9:J$9,4),'Gold - Q&amp;V'!$E$9:$E$251,3)+
SUMIFS('Gold - Q&amp;V'!$B$9:$B$251,'Gold - Q&amp;V'!$D$9:$D$251,LEFT('Q&amp;V FY 2003-04 to Now'!I$9:J$9,4),'Gold - Q&amp;V'!$E$9:$E$251,4)+
SUMIFS('Gold - Q&amp;V'!$B$9:$B$251,'Gold - Q&amp;V'!$D$9:$D$251,CONCATENATE("20",RIGHT('Q&amp;V FY 2003-04 to Now'!I$9,2)),'Gold - Q&amp;V'!$E$9:$E$251,1)+
SUMIFS('Gold - Q&amp;V'!$B$9:$B$251,'Gold - Q&amp;V'!$D$9:$D$251,CONCATENATE("20",RIGHT('Q&amp;V FY 2003-04 to Now'!I$9,2)),'Gold - Q&amp;V'!$E$9:$E$251,2))*1000</f>
        <v>159574.71746569587</v>
      </c>
      <c r="J46" s="326">
        <f>(SUMIFS('Gold - Q&amp;V'!$C$9:$C$251,'Gold - Q&amp;V'!$D$9:$D$251,LEFT('Q&amp;V FY 2003-04 to Now'!I$9,4),'Gold - Q&amp;V'!$E$9:$E$251,3)+
SUMIFS('Gold - Q&amp;V'!$C$9:$C$251,'Gold - Q&amp;V'!$D$9:$D$251,LEFT('Q&amp;V FY 2003-04 to Now'!I$9,4),'Gold - Q&amp;V'!$E$9:$E$251,4)+
SUMIFS('Gold - Q&amp;V'!$C$9:$C$251,'Gold - Q&amp;V'!$D$9:$D$251,CONCATENATE("20",RIGHT('Q&amp;V FY 2003-04 to Now'!I$9,2)),'Gold - Q&amp;V'!$E$9:$E$251,1)+
SUMIFS('Gold - Q&amp;V'!$C$9:$C$251,'Gold - Q&amp;V'!$D$9:$D$251,CONCATENATE("20",RIGHT('Q&amp;V FY 2003-04 to Now'!I$9,2)),'Gold - Q&amp;V'!$E$9:$E$251,2))*1000000</f>
        <v>4166106485.9999995</v>
      </c>
      <c r="K46" s="326">
        <f>(SUMIFS('Gold - Q&amp;V'!$B$9:$B$251,'Gold - Q&amp;V'!$D$9:$D$251,LEFT('Q&amp;V FY 2003-04 to Now'!K$9:L$9,4),'Gold - Q&amp;V'!$E$9:$E$251,3)+
SUMIFS('Gold - Q&amp;V'!$B$9:$B$251,'Gold - Q&amp;V'!$D$9:$D$251,LEFT('Q&amp;V FY 2003-04 to Now'!K$9:L$9,4),'Gold - Q&amp;V'!$E$9:$E$251,4)+
SUMIFS('Gold - Q&amp;V'!$B$9:$B$251,'Gold - Q&amp;V'!$D$9:$D$251,CONCATENATE("20",RIGHT('Q&amp;V FY 2003-04 to Now'!K$9,2)),'Gold - Q&amp;V'!$E$9:$E$251,1)+
SUMIFS('Gold - Q&amp;V'!$B$9:$B$251,'Gold - Q&amp;V'!$D$9:$D$251,CONCATENATE("20",RIGHT('Q&amp;V FY 2003-04 to Now'!K$9,2)),'Gold - Q&amp;V'!$E$9:$E$251,2))*1000</f>
        <v>141113.59968937762</v>
      </c>
      <c r="L46" s="326">
        <f>(SUMIFS('Gold - Q&amp;V'!$C$9:$C$251,'Gold - Q&amp;V'!$D$9:$D$251,LEFT('Q&amp;V FY 2003-04 to Now'!K$9,4),'Gold - Q&amp;V'!$E$9:$E$251,3)+
SUMIFS('Gold - Q&amp;V'!$C$9:$C$251,'Gold - Q&amp;V'!$D$9:$D$251,LEFT('Q&amp;V FY 2003-04 to Now'!K$9,4),'Gold - Q&amp;V'!$E$9:$E$251,4)+
SUMIFS('Gold - Q&amp;V'!$C$9:$C$251,'Gold - Q&amp;V'!$D$9:$D$251,CONCATENATE("20",RIGHT('Q&amp;V FY 2003-04 to Now'!K$9,2)),'Gold - Q&amp;V'!$E$9:$E$251,1)+
SUMIFS('Gold - Q&amp;V'!$C$9:$C$251,'Gold - Q&amp;V'!$D$9:$D$251,CONCATENATE("20",RIGHT('Q&amp;V FY 2003-04 to Now'!K$9,2)),'Gold - Q&amp;V'!$E$9:$E$251,2))*1000000</f>
        <v>4126598530.9999995</v>
      </c>
      <c r="M46" s="326">
        <f>(SUMIFS('Gold - Q&amp;V'!$B$9:$B$251,'Gold - Q&amp;V'!$D$9:$D$251,LEFT('Q&amp;V FY 2003-04 to Now'!M$9:N$9,4),'Gold - Q&amp;V'!$E$9:$E$251,3)+
SUMIFS('Gold - Q&amp;V'!$B$9:$B$251,'Gold - Q&amp;V'!$D$9:$D$251,LEFT('Q&amp;V FY 2003-04 to Now'!M$9:N$9,4),'Gold - Q&amp;V'!$E$9:$E$251,4)+
SUMIFS('Gold - Q&amp;V'!$B$9:$B$251,'Gold - Q&amp;V'!$D$9:$D$251,CONCATENATE("20",RIGHT('Q&amp;V FY 2003-04 to Now'!M$9,2)),'Gold - Q&amp;V'!$E$9:$E$251,1)+
SUMIFS('Gold - Q&amp;V'!$B$9:$B$251,'Gold - Q&amp;V'!$D$9:$D$251,CONCATENATE("20",RIGHT('Q&amp;V FY 2003-04 to Now'!M$9,2)),'Gold - Q&amp;V'!$E$9:$E$251,2))*1000</f>
        <v>136996.66135584741</v>
      </c>
      <c r="N46" s="326">
        <f>(SUMIFS('Gold - Q&amp;V'!$C$9:$C$251,'Gold - Q&amp;V'!$D$9:$D$251,LEFT('Q&amp;V FY 2003-04 to Now'!M$9,4),'Gold - Q&amp;V'!$E$9:$E$251,3)+
SUMIFS('Gold - Q&amp;V'!$C$9:$C$251,'Gold - Q&amp;V'!$D$9:$D$251,LEFT('Q&amp;V FY 2003-04 to Now'!M$9,4),'Gold - Q&amp;V'!$E$9:$E$251,4)+
SUMIFS('Gold - Q&amp;V'!$C$9:$C$251,'Gold - Q&amp;V'!$D$9:$D$251,CONCATENATE("20",RIGHT('Q&amp;V FY 2003-04 to Now'!M$9,2)),'Gold - Q&amp;V'!$E$9:$E$251,1)+
SUMIFS('Gold - Q&amp;V'!$C$9:$C$251,'Gold - Q&amp;V'!$D$9:$D$251,CONCATENATE("20",RIGHT('Q&amp;V FY 2003-04 to Now'!M$9,2)),'Gold - Q&amp;V'!$E$9:$E$251,2))*1000000</f>
        <v>5248104326</v>
      </c>
      <c r="O46" s="326">
        <f>(SUMIFS('Gold - Q&amp;V'!$B$9:$B$251,'Gold - Q&amp;V'!$D$9:$D$251,LEFT('Q&amp;V FY 2003-04 to Now'!O$9:P$9,4),'Gold - Q&amp;V'!$E$9:$E$251,3)+
SUMIFS('Gold - Q&amp;V'!$B$9:$B$251,'Gold - Q&amp;V'!$D$9:$D$251,LEFT('Q&amp;V FY 2003-04 to Now'!O$9:P$9,4),'Gold - Q&amp;V'!$E$9:$E$251,4)+
SUMIFS('Gold - Q&amp;V'!$B$9:$B$251,'Gold - Q&amp;V'!$D$9:$D$251,CONCATENATE("20",RIGHT('Q&amp;V FY 2003-04 to Now'!O$9,2)),'Gold - Q&amp;V'!$E$9:$E$251,1)+
SUMIFS('Gold - Q&amp;V'!$B$9:$B$251,'Gold - Q&amp;V'!$D$9:$D$251,CONCATENATE("20",RIGHT('Q&amp;V FY 2003-04 to Now'!O$9,2)),'Gold - Q&amp;V'!$E$9:$E$251,2))*1000</f>
        <v>164038.91193451267</v>
      </c>
      <c r="P46" s="326">
        <f>(SUMIFS('Gold - Q&amp;V'!$C$9:$C$251,'Gold - Q&amp;V'!$D$9:$D$251,LEFT('Q&amp;V FY 2003-04 to Now'!O$9,4),'Gold - Q&amp;V'!$E$9:$E$251,3)+
SUMIFS('Gold - Q&amp;V'!$C$9:$C$251,'Gold - Q&amp;V'!$D$9:$D$251,LEFT('Q&amp;V FY 2003-04 to Now'!O$9,4),'Gold - Q&amp;V'!$E$9:$E$251,4)+
SUMIFS('Gold - Q&amp;V'!$C$9:$C$251,'Gold - Q&amp;V'!$D$9:$D$251,CONCATENATE("20",RIGHT('Q&amp;V FY 2003-04 to Now'!O$9,2)),'Gold - Q&amp;V'!$E$9:$E$251,1)+
SUMIFS('Gold - Q&amp;V'!$C$9:$C$251,'Gold - Q&amp;V'!$D$9:$D$251,CONCATENATE("20",RIGHT('Q&amp;V FY 2003-04 to Now'!O$9,2)),'Gold - Q&amp;V'!$E$9:$E$251,2))*1000000</f>
        <v>6558256060</v>
      </c>
      <c r="Q46" s="326">
        <f>(SUMIFS('Gold - Q&amp;V'!$B$9:$B$251,'Gold - Q&amp;V'!$D$9:$D$251,LEFT('Q&amp;V FY 2003-04 to Now'!Q$9:R$9,4),'Gold - Q&amp;V'!$E$9:$E$251,3)+
SUMIFS('Gold - Q&amp;V'!$B$9:$B$251,'Gold - Q&amp;V'!$D$9:$D$251,LEFT('Q&amp;V FY 2003-04 to Now'!Q$9:R$9,4),'Gold - Q&amp;V'!$E$9:$E$251,4)+
SUMIFS('Gold - Q&amp;V'!$B$9:$B$251,'Gold - Q&amp;V'!$D$9:$D$251,CONCATENATE("20",RIGHT('Q&amp;V FY 2003-04 to Now'!Q$9,2)),'Gold - Q&amp;V'!$E$9:$E$251,1)+
SUMIFS('Gold - Q&amp;V'!$B$9:$B$251,'Gold - Q&amp;V'!$D$9:$D$251,CONCATENATE("20",RIGHT('Q&amp;V FY 2003-04 to Now'!Q$9,2)),'Gold - Q&amp;V'!$E$9:$E$251,2))*1000</f>
        <v>183750.47523047641</v>
      </c>
      <c r="R46" s="326">
        <f>(SUMIFS('Gold - Q&amp;V'!$C$9:$C$251,'Gold - Q&amp;V'!$D$9:$D$251,LEFT('Q&amp;V FY 2003-04 to Now'!Q$9,4),'Gold - Q&amp;V'!$E$9:$E$251,3)+
SUMIFS('Gold - Q&amp;V'!$C$9:$C$251,'Gold - Q&amp;V'!$D$9:$D$251,LEFT('Q&amp;V FY 2003-04 to Now'!Q$9,4),'Gold - Q&amp;V'!$E$9:$E$251,4)+
SUMIFS('Gold - Q&amp;V'!$C$9:$C$251,'Gold - Q&amp;V'!$D$9:$D$251,CONCATENATE("20",RIGHT('Q&amp;V FY 2003-04 to Now'!Q$9,2)),'Gold - Q&amp;V'!$E$9:$E$251,1)+
SUMIFS('Gold - Q&amp;V'!$C$9:$C$251,'Gold - Q&amp;V'!$D$9:$D$251,CONCATENATE("20",RIGHT('Q&amp;V FY 2003-04 to Now'!Q$9,2)),'Gold - Q&amp;V'!$E$9:$E$251,2))*1000000</f>
        <v>8184187456</v>
      </c>
      <c r="S46" s="326">
        <f>(SUMIFS('Gold - Q&amp;V'!$B$9:$B$251,'Gold - Q&amp;V'!$D$9:$D$251,LEFT('Q&amp;V FY 2003-04 to Now'!S$9:T$9,4),'Gold - Q&amp;V'!$E$9:$E$251,3)+
SUMIFS('Gold - Q&amp;V'!$B$9:$B$251,'Gold - Q&amp;V'!$D$9:$D$251,LEFT('Q&amp;V FY 2003-04 to Now'!S$9:T$9,4),'Gold - Q&amp;V'!$E$9:$E$251,4)+
SUMIFS('Gold - Q&amp;V'!$B$9:$B$251,'Gold - Q&amp;V'!$D$9:$D$251,CONCATENATE("20",RIGHT('Q&amp;V FY 2003-04 to Now'!S$9,2)),'Gold - Q&amp;V'!$E$9:$E$251,1)+
SUMIFS('Gold - Q&amp;V'!$B$9:$B$251,'Gold - Q&amp;V'!$D$9:$D$251,CONCATENATE("20",RIGHT('Q&amp;V FY 2003-04 to Now'!S$9,2)),'Gold - Q&amp;V'!$E$9:$E$251,2))*1000</f>
        <v>180770.97443426558</v>
      </c>
      <c r="T46" s="326">
        <f>(SUMIFS('Gold - Q&amp;V'!$C$9:$C$251,'Gold - Q&amp;V'!$D$9:$D$251,LEFT('Q&amp;V FY 2003-04 to Now'!S$9,4),'Gold - Q&amp;V'!$E$9:$E$251,3)+
SUMIFS('Gold - Q&amp;V'!$C$9:$C$251,'Gold - Q&amp;V'!$D$9:$D$251,LEFT('Q&amp;V FY 2003-04 to Now'!S$9,4),'Gold - Q&amp;V'!$E$9:$E$251,4)+
SUMIFS('Gold - Q&amp;V'!$C$9:$C$251,'Gold - Q&amp;V'!$D$9:$D$251,CONCATENATE("20",RIGHT('Q&amp;V FY 2003-04 to Now'!S$9,2)),'Gold - Q&amp;V'!$E$9:$E$251,1)+
SUMIFS('Gold - Q&amp;V'!$C$9:$C$251,'Gold - Q&amp;V'!$D$9:$D$251,CONCATENATE("20",RIGHT('Q&amp;V FY 2003-04 to Now'!S$9,2)),'Gold - Q&amp;V'!$E$9:$E$251,2))*1000000</f>
        <v>9421483327</v>
      </c>
      <c r="U46" s="326">
        <f>(SUMIFS('Gold - Q&amp;V'!$B$9:$B$251,'Gold - Q&amp;V'!$D$9:$D$251,LEFT('Q&amp;V FY 2003-04 to Now'!U$9:V$9,4),'Gold - Q&amp;V'!$E$9:$E$251,3)+
SUMIFS('Gold - Q&amp;V'!$B$9:$B$251,'Gold - Q&amp;V'!$D$9:$D$251,LEFT('Q&amp;V FY 2003-04 to Now'!U$9:V$9,4),'Gold - Q&amp;V'!$E$9:$E$251,4)+
SUMIFS('Gold - Q&amp;V'!$B$9:$B$251,'Gold - Q&amp;V'!$D$9:$D$251,CONCATENATE("20",RIGHT('Q&amp;V FY 2003-04 to Now'!U$9,2)),'Gold - Q&amp;V'!$E$9:$E$251,1)+
SUMIFS('Gold - Q&amp;V'!$B$9:$B$251,'Gold - Q&amp;V'!$D$9:$D$251,CONCATENATE("20",RIGHT('Q&amp;V FY 2003-04 to Now'!U$9,2)),'Gold - Q&amp;V'!$E$9:$E$251,2))*1000</f>
        <v>179856.23688883337</v>
      </c>
      <c r="V46" s="326">
        <f>(SUMIFS('Gold - Q&amp;V'!$C$9:$C$251,'Gold - Q&amp;V'!$D$9:$D$251,LEFT('Q&amp;V FY 2003-04 to Now'!U$9,4),'Gold - Q&amp;V'!$E$9:$E$251,3)+
SUMIFS('Gold - Q&amp;V'!$C$9:$C$251,'Gold - Q&amp;V'!$D$9:$D$251,LEFT('Q&amp;V FY 2003-04 to Now'!U$9,4),'Gold - Q&amp;V'!$E$9:$E$251,4)+
SUMIFS('Gold - Q&amp;V'!$C$9:$C$251,'Gold - Q&amp;V'!$D$9:$D$251,CONCATENATE("20",RIGHT('Q&amp;V FY 2003-04 to Now'!U$9,2)),'Gold - Q&amp;V'!$E$9:$E$251,1)+
SUMIFS('Gold - Q&amp;V'!$C$9:$C$251,'Gold - Q&amp;V'!$D$9:$D$251,CONCATENATE("20",RIGHT('Q&amp;V FY 2003-04 to Now'!U$9,2)),'Gold - Q&amp;V'!$E$9:$E$251,2))*1000000</f>
        <v>9022890932</v>
      </c>
      <c r="W46" s="326">
        <f>(SUMIFS('Gold - Q&amp;V'!$B$9:$B$251,'Gold - Q&amp;V'!$D$9:$D$251,LEFT('Q&amp;V FY 2003-04 to Now'!W$9:X$9,4),'Gold - Q&amp;V'!$E$9:$E$251,3)+
SUMIFS('Gold - Q&amp;V'!$B$9:$B$251,'Gold - Q&amp;V'!$D$9:$D$251,LEFT('Q&amp;V FY 2003-04 to Now'!W$9:X$9,4),'Gold - Q&amp;V'!$E$9:$E$251,4)+
SUMIFS('Gold - Q&amp;V'!$B$9:$B$251,'Gold - Q&amp;V'!$D$9:$D$251,CONCATENATE("20",RIGHT('Q&amp;V FY 2003-04 to Now'!W$9,2)),'Gold - Q&amp;V'!$E$9:$E$251,1)+
SUMIFS('Gold - Q&amp;V'!$B$9:$B$251,'Gold - Q&amp;V'!$D$9:$D$251,CONCATENATE("20",RIGHT('Q&amp;V FY 2003-04 to Now'!W$9,2)),'Gold - Q&amp;V'!$E$9:$E$251,2))*1000</f>
        <v>196023.16616652513</v>
      </c>
      <c r="X46" s="326">
        <f>(SUMIFS('Gold - Q&amp;V'!$C$9:$C$251,'Gold - Q&amp;V'!$D$9:$D$251,LEFT('Q&amp;V FY 2003-04 to Now'!W$9,4),'Gold - Q&amp;V'!$E$9:$E$251,3)+
SUMIFS('Gold - Q&amp;V'!$C$9:$C$251,'Gold - Q&amp;V'!$D$9:$D$251,LEFT('Q&amp;V FY 2003-04 to Now'!W$9,4),'Gold - Q&amp;V'!$E$9:$E$251,4)+
SUMIFS('Gold - Q&amp;V'!$C$9:$C$251,'Gold - Q&amp;V'!$D$9:$D$251,CONCATENATE("20",RIGHT('Q&amp;V FY 2003-04 to Now'!W$9,2)),'Gold - Q&amp;V'!$E$9:$E$251,1)+
SUMIFS('Gold - Q&amp;V'!$C$9:$C$251,'Gold - Q&amp;V'!$D$9:$D$251,CONCATENATE("20",RIGHT('Q&amp;V FY 2003-04 to Now'!W$9,2)),'Gold - Q&amp;V'!$E$9:$E$251,2))*1000000</f>
        <v>8888740518.9999981</v>
      </c>
      <c r="Y46" s="326">
        <f>(SUMIFS('Gold - Q&amp;V'!$B$9:$B$251,'Gold - Q&amp;V'!$D$9:$D$251,LEFT('Q&amp;V FY 2003-04 to Now'!Y$9:Z$9,4),'Gold - Q&amp;V'!$E$9:$E$251,3)+
SUMIFS('Gold - Q&amp;V'!$B$9:$B$251,'Gold - Q&amp;V'!$D$9:$D$251,LEFT('Q&amp;V FY 2003-04 to Now'!Y$9:Z$9,4),'Gold - Q&amp;V'!$E$9:$E$251,4)+
SUMIFS('Gold - Q&amp;V'!$B$9:$B$251,'Gold - Q&amp;V'!$D$9:$D$251,CONCATENATE("20",RIGHT('Q&amp;V FY 2003-04 to Now'!Y$9,2)),'Gold - Q&amp;V'!$E$9:$E$251,1)+
SUMIFS('Gold - Q&amp;V'!$B$9:$B$251,'Gold - Q&amp;V'!$D$9:$D$251,CONCATENATE("20",RIGHT('Q&amp;V FY 2003-04 to Now'!Y$9,2)),'Gold - Q&amp;V'!$E$9:$E$251,2))*1000</f>
        <v>193095.88711255023</v>
      </c>
      <c r="Z46" s="326">
        <f>(SUMIFS('Gold - Q&amp;V'!$C$9:$C$251,'Gold - Q&amp;V'!$D$9:$D$251,LEFT('Q&amp;V FY 2003-04 to Now'!Y$9,4),'Gold - Q&amp;V'!$E$9:$E$251,3)+
SUMIFS('Gold - Q&amp;V'!$C$9:$C$251,'Gold - Q&amp;V'!$D$9:$D$251,LEFT('Q&amp;V FY 2003-04 to Now'!Y$9,4),'Gold - Q&amp;V'!$E$9:$E$251,4)+
SUMIFS('Gold - Q&amp;V'!$C$9:$C$251,'Gold - Q&amp;V'!$D$9:$D$251,CONCATENATE("20",RIGHT('Q&amp;V FY 2003-04 to Now'!Y$9,2)),'Gold - Q&amp;V'!$E$9:$E$251,1)+
SUMIFS('Gold - Q&amp;V'!$C$9:$C$251,'Gold - Q&amp;V'!$D$9:$D$251,CONCATENATE("20",RIGHT('Q&amp;V FY 2003-04 to Now'!Y$9,2)),'Gold - Q&amp;V'!$E$9:$E$251,2))*1000000</f>
        <v>9104147303.9999981</v>
      </c>
      <c r="AA46" s="326">
        <f>(SUMIFS('Gold - Q&amp;V'!$B$9:$B$251,'Gold - Q&amp;V'!$D$9:$D$251,LEFT('Q&amp;V FY 2003-04 to Now'!AA$9:AB$9,4),'Gold - Q&amp;V'!$E$9:$E$251,3)+
SUMIFS('Gold - Q&amp;V'!$B$9:$B$251,'Gold - Q&amp;V'!$D$9:$D$251,LEFT('Q&amp;V FY 2003-04 to Now'!AA$9:AB$9,4),'Gold - Q&amp;V'!$E$9:$E$251,4)+
SUMIFS('Gold - Q&amp;V'!$B$9:$B$251,'Gold - Q&amp;V'!$D$9:$D$251,CONCATENATE("20",RIGHT('Q&amp;V FY 2003-04 to Now'!AA$9,2)),'Gold - Q&amp;V'!$E$9:$E$251,1)+
SUMIFS('Gold - Q&amp;V'!$B$9:$B$251,'Gold - Q&amp;V'!$D$9:$D$251,CONCATENATE("20",RIGHT('Q&amp;V FY 2003-04 to Now'!AA$9,2)),'Gold - Q&amp;V'!$E$9:$E$251,2))*1000</f>
        <v>195970.4594899824</v>
      </c>
      <c r="AB46" s="326">
        <f>(SUMIFS('Gold - Q&amp;V'!$C$9:$C$251,'Gold - Q&amp;V'!$D$9:$D$251,LEFT('Q&amp;V FY 2003-04 to Now'!AA$9,4),'Gold - Q&amp;V'!$E$9:$E$251,3)+
SUMIFS('Gold - Q&amp;V'!$C$9:$C$251,'Gold - Q&amp;V'!$D$9:$D$251,LEFT('Q&amp;V FY 2003-04 to Now'!AA$9,4),'Gold - Q&amp;V'!$E$9:$E$251,4)+
SUMIFS('Gold - Q&amp;V'!$C$9:$C$251,'Gold - Q&amp;V'!$D$9:$D$251,CONCATENATE("20",RIGHT('Q&amp;V FY 2003-04 to Now'!AA$9,2)),'Gold - Q&amp;V'!$E$9:$E$251,1)+
SUMIFS('Gold - Q&amp;V'!$C$9:$C$251,'Gold - Q&amp;V'!$D$9:$D$251,CONCATENATE("20",RIGHT('Q&amp;V FY 2003-04 to Now'!AA$9,2)),'Gold - Q&amp;V'!$E$9:$E$251,2))*1000000</f>
        <v>10104488151.999998</v>
      </c>
      <c r="AC46" s="326">
        <f>(SUMIFS('Gold - Q&amp;V'!$B$9:$B$251,'Gold - Q&amp;V'!$D$9:$D$251,LEFT('Q&amp;V FY 2003-04 to Now'!AC$9:AD$9,4),'Gold - Q&amp;V'!$E$9:$E$251,3)+
SUMIFS('Gold - Q&amp;V'!$B$9:$B$251,'Gold - Q&amp;V'!$D$9:$D$251,LEFT('Q&amp;V FY 2003-04 to Now'!AC$9:AD$9,4),'Gold - Q&amp;V'!$E$9:$E$251,4)+
SUMIFS('Gold - Q&amp;V'!$B$9:$B$251,'Gold - Q&amp;V'!$D$9:$D$251,CONCATENATE("20",RIGHT('Q&amp;V FY 2003-04 to Now'!AC$9,2)),'Gold - Q&amp;V'!$E$9:$E$251,1)+
SUMIFS('Gold - Q&amp;V'!$B$9:$B$251,'Gold - Q&amp;V'!$D$9:$D$251,CONCATENATE("20",RIGHT('Q&amp;V FY 2003-04 to Now'!AC$9,2)),'Gold - Q&amp;V'!$E$9:$E$251,2))*1000</f>
        <v>203025.98924310313</v>
      </c>
      <c r="AD46" s="326">
        <f>(SUMIFS('Gold - Q&amp;V'!$C$9:$C$251,'Gold - Q&amp;V'!$D$9:$D$251,LEFT('Q&amp;V FY 2003-04 to Now'!AC$9,4),'Gold - Q&amp;V'!$E$9:$E$251,3)+
SUMIFS('Gold - Q&amp;V'!$C$9:$C$251,'Gold - Q&amp;V'!$D$9:$D$251,LEFT('Q&amp;V FY 2003-04 to Now'!AC$9,4),'Gold - Q&amp;V'!$E$9:$E$251,4)+
SUMIFS('Gold - Q&amp;V'!$C$9:$C$251,'Gold - Q&amp;V'!$D$9:$D$251,CONCATENATE("20",RIGHT('Q&amp;V FY 2003-04 to Now'!AC$9,2)),'Gold - Q&amp;V'!$E$9:$E$251,1)+
SUMIFS('Gold - Q&amp;V'!$C$9:$C$251,'Gold - Q&amp;V'!$D$9:$D$251,CONCATENATE("20",RIGHT('Q&amp;V FY 2003-04 to Now'!AC$9,2)),'Gold - Q&amp;V'!$E$9:$E$251,2))*1000000</f>
        <v>10860662037.999998</v>
      </c>
      <c r="AE46" s="357">
        <f>(SUMIFS('Gold - Q&amp;V'!$B$9:$B$251,'Gold - Q&amp;V'!$D$9:$D$251,LEFT('Q&amp;V FY 2003-04 to Now'!AE$9:AF$9,4),'Gold - Q&amp;V'!$E$9:$E$251,3)+
SUMIFS('Gold - Q&amp;V'!$B$9:$B$251,'Gold - Q&amp;V'!$D$9:$D$251,LEFT('Q&amp;V FY 2003-04 to Now'!AE$9:AF$9,4),'Gold - Q&amp;V'!$E$9:$E$251,4)+
SUMIFS('Gold - Q&amp;V'!$B$9:$B$251,'Gold - Q&amp;V'!$D$9:$D$251,CONCATENATE("20",RIGHT('Q&amp;V FY 2003-04 to Now'!AE$9,2)),'Gold - Q&amp;V'!$E$9:$E$251,1)+
SUMIFS('Gold - Q&amp;V'!$B$9:$B$251,'Gold - Q&amp;V'!$D$9:$D$251,CONCATENATE("20",RIGHT('Q&amp;V FY 2003-04 to Now'!AE$9,2)),'Gold - Q&amp;V'!$E$9:$E$251,2))*1000</f>
        <v>212221.21444165183</v>
      </c>
      <c r="AF46" s="326">
        <f>(SUMIFS('Gold - Q&amp;V'!$C$9:$C$251,'Gold - Q&amp;V'!$D$9:$D$251,LEFT('Q&amp;V FY 2003-04 to Now'!AE$9,4),'Gold - Q&amp;V'!$E$9:$E$251,3)+
SUMIFS('Gold - Q&amp;V'!$C$9:$C$251,'Gold - Q&amp;V'!$D$9:$D$251,LEFT('Q&amp;V FY 2003-04 to Now'!AE$9,4),'Gold - Q&amp;V'!$E$9:$E$251,4)+
SUMIFS('Gold - Q&amp;V'!$C$9:$C$251,'Gold - Q&amp;V'!$D$9:$D$251,CONCATENATE("20",RIGHT('Q&amp;V FY 2003-04 to Now'!AE$9,2)),'Gold - Q&amp;V'!$E$9:$E$251,1)+
SUMIFS('Gold - Q&amp;V'!$C$9:$C$251,'Gold - Q&amp;V'!$D$9:$D$251,CONCATENATE("20",RIGHT('Q&amp;V FY 2003-04 to Now'!AE$9,2)),'Gold - Q&amp;V'!$E$9:$E$251,2))*1000000</f>
        <v>11419455090</v>
      </c>
      <c r="AG46" s="368">
        <f>(SUMIFS('Gold - Q&amp;V'!$B$9:$B$251,'Gold - Q&amp;V'!$D$9:$D$251,LEFT('Q&amp;V FY 2003-04 to Now'!AG$9:AH$9,4),'Gold - Q&amp;V'!$E$9:$E$251,3)+
SUMIFS('Gold - Q&amp;V'!$B$9:$B$251,'Gold - Q&amp;V'!$D$9:$D$251,LEFT('Q&amp;V FY 2003-04 to Now'!AG$9:AH$9,4),'Gold - Q&amp;V'!$E$9:$E$251,4)+
SUMIFS('Gold - Q&amp;V'!$B$9:$B$251,'Gold - Q&amp;V'!$D$9:$D$251,CONCATENATE("20",RIGHT('Q&amp;V FY 2003-04 to Now'!AG$9,2)),'Gold - Q&amp;V'!$E$9:$E$251,1)+
SUMIFS('Gold - Q&amp;V'!$B$9:$B$251,'Gold - Q&amp;V'!$D$9:$D$251,CONCATENATE("20",RIGHT('Q&amp;V FY 2003-04 to Now'!AG$9,2)),'Gold - Q&amp;V'!$E$9:$E$251,2))*1000</f>
        <v>210561.15389263551</v>
      </c>
      <c r="AH46" s="326">
        <f>(SUMIFS('Gold - Q&amp;V'!$C$9:$C$251,'Gold - Q&amp;V'!$D$9:$D$251,LEFT('Q&amp;V FY 2003-04 to Now'!AG$9,4),'Gold - Q&amp;V'!$E$9:$E$251,3)+
SUMIFS('Gold - Q&amp;V'!$C$9:$C$251,'Gold - Q&amp;V'!$D$9:$D$251,LEFT('Q&amp;V FY 2003-04 to Now'!AG$9,4),'Gold - Q&amp;V'!$E$9:$E$251,4)+
SUMIFS('Gold - Q&amp;V'!$C$9:$C$251,'Gold - Q&amp;V'!$D$9:$D$251,CONCATENATE("20",RIGHT('Q&amp;V FY 2003-04 to Now'!AG$9,2)),'Gold - Q&amp;V'!$E$9:$E$251,1)+
SUMIFS('Gold - Q&amp;V'!$C$9:$C$251,'Gold - Q&amp;V'!$D$9:$D$251,CONCATENATE("20",RIGHT('Q&amp;V FY 2003-04 to Now'!AG$9,2)),'Gold - Q&amp;V'!$E$9:$E$251,2))*1000000</f>
        <v>11959753892</v>
      </c>
      <c r="AI46" s="357">
        <f>(SUMIFS('Gold - Q&amp;V'!$B$9:$B$251,'Gold - Q&amp;V'!$D$9:$D$251,LEFT('Q&amp;V FY 2003-04 to Now'!AI$9:AJ$9,4),'Gold - Q&amp;V'!$E$9:$E$251,3)+
SUMIFS('Gold - Q&amp;V'!$B$9:$B$251,'Gold - Q&amp;V'!$D$9:$D$251,LEFT('Q&amp;V FY 2003-04 to Now'!AI$9:AJ$9,4),'Gold - Q&amp;V'!$E$9:$E$251,4)+
SUMIFS('Gold - Q&amp;V'!$B$9:$B$251,'Gold - Q&amp;V'!$D$9:$D$251,CONCATENATE("20",RIGHT('Q&amp;V FY 2003-04 to Now'!AI$9,2)),'Gold - Q&amp;V'!$E$9:$E$251,1)+
SUMIFS('Gold - Q&amp;V'!$B$9:$B$251,'Gold - Q&amp;V'!$D$9:$D$251,CONCATENATE("20",RIGHT('Q&amp;V FY 2003-04 to Now'!AI$9,2)),'Gold - Q&amp;V'!$E$9:$E$251,2))*1000</f>
        <v>212253.60939701553</v>
      </c>
      <c r="AJ46" s="326">
        <f>(SUMIFS('Gold - Q&amp;V'!$C$9:$C$251,'Gold - Q&amp;V'!$D$9:$D$251,LEFT('Q&amp;V FY 2003-04 to Now'!AI$9,4),'Gold - Q&amp;V'!$E$9:$E$251,3)+
SUMIFS('Gold - Q&amp;V'!$C$9:$C$251,'Gold - Q&amp;V'!$D$9:$D$251,LEFT('Q&amp;V FY 2003-04 to Now'!AI$9,4),'Gold - Q&amp;V'!$E$9:$E$251,4)+
SUMIFS('Gold - Q&amp;V'!$C$9:$C$251,'Gold - Q&amp;V'!$D$9:$D$251,CONCATENATE("20",RIGHT('Q&amp;V FY 2003-04 to Now'!AI$9,2)),'Gold - Q&amp;V'!$E$9:$E$251,1)+
SUMIFS('Gold - Q&amp;V'!$C$9:$C$251,'Gold - Q&amp;V'!$D$9:$D$251,CONCATENATE("20",RIGHT('Q&amp;V FY 2003-04 to Now'!AI$9,2)),'Gold - Q&amp;V'!$E$9:$E$251,2))*1000000</f>
        <v>15876108169</v>
      </c>
      <c r="AK46" s="326">
        <f>(SUMIFS('Gold - Q&amp;V'!$B$9:$B$251,'Gold - Q&amp;V'!$D$9:$D$251,LEFT('Q&amp;V FY 2003-04 to Now'!AK$9:AL$9,4),'Gold - Q&amp;V'!$E$9:$E$251,3)+
SUMIFS('Gold - Q&amp;V'!$B$9:$B$251,'Gold - Q&amp;V'!$D$9:$D$251,LEFT('Q&amp;V FY 2003-04 to Now'!AK$9:AL$9,4),'Gold - Q&amp;V'!$E$9:$E$251,4)+
SUMIFS('Gold - Q&amp;V'!$B$9:$B$251,'Gold - Q&amp;V'!$D$9:$D$251,CONCATENATE("20",RIGHT('Q&amp;V FY 2003-04 to Now'!AK$9,2)),'Gold - Q&amp;V'!$E$9:$E$251,1)+
SUMIFS('Gold - Q&amp;V'!$B$9:$B$251,'Gold - Q&amp;V'!$D$9:$D$251,CONCATENATE("20",RIGHT('Q&amp;V FY 2003-04 to Now'!AK$9,2)),'Gold - Q&amp;V'!$E$9:$E$251,2))*1000</f>
        <v>207828.88524025789</v>
      </c>
      <c r="AL46" s="326">
        <f>(SUMIFS('Gold - Q&amp;V'!$C$9:$C$251,'Gold - Q&amp;V'!$D$9:$D$251,LEFT('Q&amp;V FY 2003-04 to Now'!AK$9,4),'Gold - Q&amp;V'!$E$9:$E$251,3)+
SUMIFS('Gold - Q&amp;V'!$C$9:$C$251,'Gold - Q&amp;V'!$D$9:$D$251,LEFT('Q&amp;V FY 2003-04 to Now'!AK$9,4),'Gold - Q&amp;V'!$E$9:$E$251,4)+
SUMIFS('Gold - Q&amp;V'!$C$9:$C$251,'Gold - Q&amp;V'!$D$9:$D$251,CONCATENATE("20",RIGHT('Q&amp;V FY 2003-04 to Now'!AK$9,2)),'Gold - Q&amp;V'!$E$9:$E$251,1)+
SUMIFS('Gold - Q&amp;V'!$C$9:$C$251,'Gold - Q&amp;V'!$D$9:$D$251,CONCATENATE("20",RIGHT('Q&amp;V FY 2003-04 to Now'!AK$9,2)),'Gold - Q&amp;V'!$E$9:$E$251,2))*1000000</f>
        <v>16578656742</v>
      </c>
      <c r="AM46" s="326">
        <f>(SUMIFS('Gold - Q&amp;V'!$B$9:$B$251,'Gold - Q&amp;V'!$D$9:$D$251,LEFT('Q&amp;V FY 2003-04 to Now'!AM$9:AN$9,4),'Gold - Q&amp;V'!$E$9:$E$251,3)+
SUMIFS('Gold - Q&amp;V'!$B$9:$B$251,'Gold - Q&amp;V'!$D$9:$D$251,LEFT('Q&amp;V FY 2003-04 to Now'!AM$9:AN$9,4),'Gold - Q&amp;V'!$E$9:$E$251,4)+
SUMIFS('Gold - Q&amp;V'!$B$9:$B$251,'Gold - Q&amp;V'!$D$9:$D$251,CONCATENATE("20",RIGHT('Q&amp;V FY 2003-04 to Now'!AM$9,2)),'Gold - Q&amp;V'!$E$9:$E$251,1)+
SUMIFS('Gold - Q&amp;V'!$B$9:$B$251,'Gold - Q&amp;V'!$D$9:$D$251,CONCATENATE("20",RIGHT('Q&amp;V FY 2003-04 to Now'!AM$9,2)),'Gold - Q&amp;V'!$E$9:$E$251,2))*1000</f>
        <v>214363.92011266793</v>
      </c>
      <c r="AN46" s="326">
        <f>(SUMIFS('Gold - Q&amp;V'!$C$9:$C$251,'Gold - Q&amp;V'!$D$9:$D$251,LEFT('Q&amp;V FY 2003-04 to Now'!AM$9,4),'Gold - Q&amp;V'!$E$9:$E$251,3)+
SUMIFS('Gold - Q&amp;V'!$C$9:$C$251,'Gold - Q&amp;V'!$D$9:$D$251,LEFT('Q&amp;V FY 2003-04 to Now'!AM$9,4),'Gold - Q&amp;V'!$E$9:$E$251,4)+
SUMIFS('Gold - Q&amp;V'!$C$9:$C$251,'Gold - Q&amp;V'!$D$9:$D$251,CONCATENATE("20",RIGHT('Q&amp;V FY 2003-04 to Now'!AM$9,2)),'Gold - Q&amp;V'!$E$9:$E$251,1)+
SUMIFS('Gold - Q&amp;V'!$C$9:$C$251,'Gold - Q&amp;V'!$D$9:$D$251,CONCATENATE("20",RIGHT('Q&amp;V FY 2003-04 to Now'!AM$9,2)),'Gold - Q&amp;V'!$E$9:$E$251,2))*1000000</f>
        <v>17416300003.999996</v>
      </c>
      <c r="AO46" s="326">
        <f>(SUMIFS('Gold - Q&amp;V'!$B$9:$B$251,'Gold - Q&amp;V'!$D$9:$D$251,LEFT('Q&amp;V FY 2003-04 to Now'!AO$9:AP$9,4),'Gold - Q&amp;V'!$E$9:$E$251,3)+
SUMIFS('Gold - Q&amp;V'!$B$9:$B$251,'Gold - Q&amp;V'!$D$9:$D$251,LEFT('Q&amp;V FY 2003-04 to Now'!AO$9:AP$9,4),'Gold - Q&amp;V'!$E$9:$E$251,4)+
SUMIFS('Gold - Q&amp;V'!$B$9:$B$251,'Gold - Q&amp;V'!$D$9:$D$251,CONCATENATE("20",RIGHT('Q&amp;V FY 2003-04 to Now'!AO$9,2)),'Gold - Q&amp;V'!$E$9:$E$251,1)+
SUMIFS('Gold - Q&amp;V'!$B$9:$B$251,'Gold - Q&amp;V'!$D$9:$D$251,CONCATENATE("20",RIGHT('Q&amp;V FY 2003-04 to Now'!AO$9,2)),'Gold - Q&amp;V'!$E$9:$E$251,2))*1000</f>
        <v>213024.00469552376</v>
      </c>
      <c r="AP46" s="326">
        <f>(SUMIFS('Gold - Q&amp;V'!$C$9:$C$251,'Gold - Q&amp;V'!$D$9:$D$251,LEFT('Q&amp;V FY 2003-04 to Now'!AO$9,4),'Gold - Q&amp;V'!$E$9:$E$251,3)+
SUMIFS('Gold - Q&amp;V'!$C$9:$C$251,'Gold - Q&amp;V'!$D$9:$D$251,LEFT('Q&amp;V FY 2003-04 to Now'!AO$9,4),'Gold - Q&amp;V'!$E$9:$E$251,4)+
SUMIFS('Gold - Q&amp;V'!$C$9:$C$251,'Gold - Q&amp;V'!$D$9:$D$251,CONCATENATE("20",RIGHT('Q&amp;V FY 2003-04 to Now'!AO$9,2)),'Gold - Q&amp;V'!$E$9:$E$251,1)+
SUMIFS('Gold - Q&amp;V'!$C$9:$C$251,'Gold - Q&amp;V'!$D$9:$D$251,CONCATENATE("20",RIGHT('Q&amp;V FY 2003-04 to Now'!AO$9,2)),'Gold - Q&amp;V'!$E$9:$E$251,2))*1000000</f>
        <v>18643888583</v>
      </c>
      <c r="AQ46" s="326">
        <f>(SUMIFS('Gold - Q&amp;V'!$B$9:$B$251,'Gold - Q&amp;V'!$D$9:$D$251,LEFT('Q&amp;V FY 2003-04 to Now'!AQ$9:AR$9,4),'Gold - Q&amp;V'!$E$9:$E$251,3)+
SUMIFS('Gold - Q&amp;V'!$B$9:$B$251,'Gold - Q&amp;V'!$D$9:$D$251,LEFT('Q&amp;V FY 2003-04 to Now'!AQ$9:AR$9,4),'Gold - Q&amp;V'!$E$9:$E$251,4)+
SUMIFS('Gold - Q&amp;V'!$B$9:$B$251,'Gold - Q&amp;V'!$D$9:$D$251,CONCATENATE("20",RIGHT('Q&amp;V FY 2003-04 to Now'!AQ$9,2)),'Gold - Q&amp;V'!$E$9:$E$251,1)+
SUMIFS('Gold - Q&amp;V'!$B$9:$B$251,'Gold - Q&amp;V'!$D$9:$D$251,CONCATENATE("20",RIGHT('Q&amp;V FY 2003-04 to Now'!AQ$9,2)),'Gold - Q&amp;V'!$E$9:$E$251,2))*1000</f>
        <v>204141.07955441129</v>
      </c>
      <c r="AR46" s="326">
        <f>(SUMIFS('Gold - Q&amp;V'!$C$9:$C$251,'Gold - Q&amp;V'!$D$9:$D$251,LEFT('Q&amp;V FY 2003-04 to Now'!AQ$9,4),'Gold - Q&amp;V'!$E$9:$E$251,3)+
SUMIFS('Gold - Q&amp;V'!$C$9:$C$251,'Gold - Q&amp;V'!$D$9:$D$251,LEFT('Q&amp;V FY 2003-04 to Now'!AQ$9,4),'Gold - Q&amp;V'!$E$9:$E$251,4)+
SUMIFS('Gold - Q&amp;V'!$C$9:$C$251,'Gold - Q&amp;V'!$D$9:$D$251,CONCATENATE("20",RIGHT('Q&amp;V FY 2003-04 to Now'!AQ$9,2)),'Gold - Q&amp;V'!$E$9:$E$251,1)+
SUMIFS('Gold - Q&amp;V'!$C$9:$C$251,'Gold - Q&amp;V'!$D$9:$D$251,CONCATENATE("20",RIGHT('Q&amp;V FY 2003-04 to Now'!AQ$9,2)),'Gold - Q&amp;V'!$E$9:$E$251,2))*1000000</f>
        <v>20779901385</v>
      </c>
      <c r="AS46" s="326">
        <f>(SUMIFS('Gold - Q&amp;V'!$B$9:$B$251,'Gold - Q&amp;V'!$D$9:$D$251,LEFT('Q&amp;V FY 2003-04 to Now'!AS$9:AT$9,4),'Gold - Q&amp;V'!$E$9:$E$251,3)+
SUMIFS('Gold - Q&amp;V'!$B$9:$B$251,'Gold - Q&amp;V'!$D$9:$D$251,LEFT('Q&amp;V FY 2003-04 to Now'!AS$9:AT$9,4),'Gold - Q&amp;V'!$E$9:$E$251,4)+
SUMIFS('Gold - Q&amp;V'!$B$9:$B$251,'Gold - Q&amp;V'!$D$9:$D$251,CONCATENATE("20",RIGHT('Q&amp;V FY 2003-04 to Now'!AS$9,2)),'Gold - Q&amp;V'!$E$9:$E$251,1)+
SUMIFS('Gold - Q&amp;V'!$B$9:$B$251,'Gold - Q&amp;V'!$D$9:$D$251,CONCATENATE("20",RIGHT('Q&amp;V FY 2003-04 to Now'!AS$9,2)),'Gold - Q&amp;V'!$E$9:$E$251,2))*1000</f>
        <v>208913.24929773266</v>
      </c>
      <c r="AT46" s="326">
        <f>(SUMIFS('Gold - Q&amp;V'!$C$9:$C$251,'Gold - Q&amp;V'!$D$9:$D$251,LEFT('Q&amp;V FY 2003-04 to Now'!AS$9,4),'Gold - Q&amp;V'!$E$9:$E$251,3)+
SUMIFS('Gold - Q&amp;V'!$C$9:$C$251,'Gold - Q&amp;V'!$D$9:$D$251,LEFT('Q&amp;V FY 2003-04 to Now'!AS$9,4),'Gold - Q&amp;V'!$E$9:$E$251,4)+
SUMIFS('Gold - Q&amp;V'!$C$9:$C$251,'Gold - Q&amp;V'!$D$9:$D$251,CONCATENATE("20",RIGHT('Q&amp;V FY 2003-04 to Now'!AS$9,2)),'Gold - Q&amp;V'!$E$9:$E$251,1)+
SUMIFS('Gold - Q&amp;V'!$C$9:$C$251,'Gold - Q&amp;V'!$D$9:$D$251,CONCATENATE("20",RIGHT('Q&amp;V FY 2003-04 to Now'!AS$9,2)),'Gold - Q&amp;V'!$E$9:$E$251,2))*1000000</f>
        <v>29295993499</v>
      </c>
      <c r="AU46" s="370">
        <f>SUMIF($C$11:AT$11,1,$C46:AT46)</f>
        <v>4124181.1622700836</v>
      </c>
      <c r="AV46" s="325">
        <f>IF(COUNTIF($C46:AT46, "nfp")=0, SUMIF($C$11:AT$11,0,$C46:AT46), "nfp")</f>
        <v>237462729035</v>
      </c>
    </row>
    <row r="47" spans="1:48" x14ac:dyDescent="0.25">
      <c r="A47" s="338"/>
      <c r="B47" s="324"/>
      <c r="C47" s="326"/>
      <c r="D47" s="326"/>
      <c r="E47" s="326"/>
      <c r="F47" s="326"/>
      <c r="G47" s="326"/>
      <c r="H47" s="326"/>
      <c r="I47" s="326"/>
      <c r="J47" s="326"/>
      <c r="K47" s="326"/>
      <c r="L47" s="326"/>
      <c r="M47" s="326"/>
      <c r="N47" s="326"/>
      <c r="O47" s="326"/>
      <c r="P47" s="326"/>
      <c r="Q47" s="326"/>
      <c r="R47" s="326"/>
      <c r="S47" s="326"/>
      <c r="T47" s="326"/>
      <c r="U47" s="326"/>
      <c r="V47" s="326"/>
      <c r="W47" s="326"/>
      <c r="X47" s="326"/>
      <c r="Y47" s="326"/>
      <c r="Z47" s="326"/>
      <c r="AA47" s="326"/>
      <c r="AB47" s="326"/>
      <c r="AC47" s="326"/>
      <c r="AD47" s="326"/>
      <c r="AE47" s="357"/>
      <c r="AF47" s="326"/>
      <c r="AG47" s="368"/>
      <c r="AH47" s="326"/>
      <c r="AI47" s="357"/>
      <c r="AJ47" s="326"/>
      <c r="AK47" s="326"/>
      <c r="AL47" s="326"/>
      <c r="AM47" s="326"/>
      <c r="AN47" s="326"/>
      <c r="AO47" s="326"/>
      <c r="AP47" s="326"/>
      <c r="AQ47" s="326"/>
      <c r="AR47" s="326"/>
      <c r="AS47" s="326"/>
      <c r="AT47" s="326"/>
      <c r="AU47" s="370"/>
      <c r="AV47" s="325"/>
    </row>
    <row r="48" spans="1:48" x14ac:dyDescent="0.25">
      <c r="A48" s="330" t="s">
        <v>216</v>
      </c>
      <c r="B48" s="216" t="s">
        <v>166</v>
      </c>
      <c r="C48" s="201">
        <v>1546182.4760000003</v>
      </c>
      <c r="D48" s="201">
        <v>24138386.410000004</v>
      </c>
      <c r="E48" s="201">
        <v>1407202.7169999999</v>
      </c>
      <c r="F48" s="201">
        <v>23725373.02</v>
      </c>
      <c r="G48" s="201">
        <v>1598511.3479999998</v>
      </c>
      <c r="H48" s="201">
        <v>27327397.959999997</v>
      </c>
      <c r="I48" s="201">
        <v>1552490.2009999999</v>
      </c>
      <c r="J48" s="201">
        <v>26999655.759999998</v>
      </c>
      <c r="K48" s="201">
        <v>1011975.09</v>
      </c>
      <c r="L48" s="201">
        <v>16043327.220000003</v>
      </c>
      <c r="M48" s="201">
        <v>846712.01899999997</v>
      </c>
      <c r="N48" s="201">
        <v>16915694.149999999</v>
      </c>
      <c r="O48" s="201">
        <v>877669.47</v>
      </c>
      <c r="P48" s="201">
        <v>17980732.5</v>
      </c>
      <c r="Q48" s="201">
        <v>587374.19000000006</v>
      </c>
      <c r="R48" s="201">
        <v>10931443.359999999</v>
      </c>
      <c r="S48" s="201">
        <v>334178.43</v>
      </c>
      <c r="T48" s="201">
        <v>4690979.8900000006</v>
      </c>
      <c r="U48" s="201">
        <v>1575768.9</v>
      </c>
      <c r="V48" s="201">
        <v>7027902.5500000007</v>
      </c>
      <c r="W48" s="201">
        <v>534905.01</v>
      </c>
      <c r="X48" s="201">
        <v>10781308.754652103</v>
      </c>
      <c r="Y48" s="201">
        <v>590576.5199999999</v>
      </c>
      <c r="Z48" s="201">
        <v>12354586.574005609</v>
      </c>
      <c r="AA48" s="201">
        <v>553061.82799999998</v>
      </c>
      <c r="AB48" s="201">
        <v>14303549.407631798</v>
      </c>
      <c r="AC48" s="201">
        <v>546240.10100000002</v>
      </c>
      <c r="AD48" s="201">
        <v>13623683.579538623</v>
      </c>
      <c r="AE48" s="278">
        <v>893293.73900000029</v>
      </c>
      <c r="AF48" s="201">
        <v>22595106.94823055</v>
      </c>
      <c r="AG48" s="278">
        <v>989352.70999999973</v>
      </c>
      <c r="AH48" s="232">
        <v>24241703.191493195</v>
      </c>
      <c r="AI48" s="281">
        <v>623255.42999999993</v>
      </c>
      <c r="AJ48" s="232">
        <v>14701017.337210184</v>
      </c>
      <c r="AK48" s="232">
        <v>844604.30500000017</v>
      </c>
      <c r="AL48" s="232">
        <v>18996641.520606697</v>
      </c>
      <c r="AM48" s="232">
        <v>1309819.3599999999</v>
      </c>
      <c r="AN48" s="232">
        <v>30527997.747133251</v>
      </c>
      <c r="AO48" s="232">
        <v>1338106.3700000003</v>
      </c>
      <c r="AP48" s="232">
        <v>35341304.420662433</v>
      </c>
      <c r="AQ48" s="232">
        <v>1657333.115</v>
      </c>
      <c r="AR48" s="232">
        <v>48881248.584860079</v>
      </c>
      <c r="AS48" s="232">
        <v>1561727.2379999999</v>
      </c>
      <c r="AT48" s="232">
        <v>47624130.863613024</v>
      </c>
      <c r="AU48" s="201">
        <f>SUMIF($C$11:AT$11,1,$C48:AT48)</f>
        <v>22780340.566999994</v>
      </c>
      <c r="AV48" s="201">
        <f>IF(COUNTIF($C48:AT48, "nfp")=0, SUMIF($C$11:AT$11,0,$C48:AT48), "nfp")</f>
        <v>469753171.74963748</v>
      </c>
    </row>
    <row r="49" spans="1:48" x14ac:dyDescent="0.25">
      <c r="A49" s="215"/>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373"/>
      <c r="AF49" s="227"/>
      <c r="AG49" s="373"/>
      <c r="AH49" s="374"/>
      <c r="AI49" s="375"/>
      <c r="AJ49" s="374"/>
      <c r="AK49" s="374"/>
      <c r="AL49" s="374"/>
      <c r="AM49" s="374"/>
      <c r="AN49" s="374"/>
      <c r="AO49" s="374"/>
      <c r="AP49" s="374"/>
      <c r="AQ49" s="374"/>
      <c r="AR49" s="374"/>
      <c r="AS49" s="374"/>
      <c r="AT49" s="374"/>
      <c r="AU49" s="278"/>
      <c r="AV49" s="201"/>
    </row>
    <row r="50" spans="1:48" x14ac:dyDescent="0.25">
      <c r="A50" s="323" t="s">
        <v>217</v>
      </c>
      <c r="B50" s="324" t="s">
        <v>166</v>
      </c>
      <c r="C50" s="325">
        <f>(SUMIFS('Iron Ore - Q&amp;V'!$B$9:$B$251,'Iron Ore - Q&amp;V'!$D$9:$D$251,LEFT('Q&amp;V FY 2003-04 to Now'!C$9:D$9,4),'Iron Ore - Q&amp;V'!$E$9:$E$251,3)+
SUMIFS('Iron Ore - Q&amp;V'!$B$9:$B$251,'Iron Ore - Q&amp;V'!$D$9:$D$251,LEFT('Q&amp;V FY 2003-04 to Now'!C$9:D$9,4),'Iron Ore - Q&amp;V'!$E$9:$E$251,4)+
SUMIFS('Iron Ore - Q&amp;V'!$B$9:$B$251,'Iron Ore - Q&amp;V'!$D$9:$D$251,CONCATENATE("20",RIGHT('Q&amp;V FY 2003-04 to Now'!C$9,2)),'Iron Ore - Q&amp;V'!$E$9:$E$251,1)+
SUMIFS('Iron Ore - Q&amp;V'!$B$9:$B$251,'Iron Ore - Q&amp;V'!$D$9:$D$251,CONCATENATE("20",RIGHT('Q&amp;V FY 2003-04 to Now'!C$9,2)),'Iron Ore - Q&amp;V'!$E$9:$E$251,2))*1000000</f>
        <v>200936683.13</v>
      </c>
      <c r="D50" s="325">
        <f>(SUMIFS('Iron Ore - Q&amp;V'!$C$9:$C$251,'Iron Ore - Q&amp;V'!$D$9:$D$251,LEFT('Q&amp;V FY 2003-04 to Now'!C$9,4),'Iron Ore - Q&amp;V'!$E$9:$E$251,3)+
SUMIFS('Iron Ore - Q&amp;V'!$C$9:$C$251,'Iron Ore - Q&amp;V'!$D$9:$D$251,LEFT('Q&amp;V FY 2003-04 to Now'!C$9,4),'Iron Ore - Q&amp;V'!$E$9:$E$251,4)+
SUMIFS('Iron Ore - Q&amp;V'!$C$9:$C$251,'Iron Ore - Q&amp;V'!$D$9:$D$251,CONCATENATE("20",RIGHT('Q&amp;V FY 2003-04 to Now'!C$9,2)),'Iron Ore - Q&amp;V'!$E$9:$E$251,1)+
SUMIFS('Iron Ore - Q&amp;V'!$C$9:$C$251,'Iron Ore - Q&amp;V'!$D$9:$D$251,CONCATENATE("20",RIGHT('Q&amp;V FY 2003-04 to Now'!C$9,2)),'Iron Ore - Q&amp;V'!$E$9:$E$251,2))*1000000</f>
        <v>5360459976.1599998</v>
      </c>
      <c r="E50" s="325">
        <f>(SUMIFS('Iron Ore - Q&amp;V'!$B$9:$B$251,'Iron Ore - Q&amp;V'!$D$9:$D$251,LEFT('Q&amp;V FY 2003-04 to Now'!E$9:F$9,4),'Iron Ore - Q&amp;V'!$E$9:$E$251,3)+
SUMIFS('Iron Ore - Q&amp;V'!$B$9:$B$251,'Iron Ore - Q&amp;V'!$D$9:$D$251,LEFT('Q&amp;V FY 2003-04 to Now'!E$9:F$9,4),'Iron Ore - Q&amp;V'!$E$9:$E$251,4)+
SUMIFS('Iron Ore - Q&amp;V'!$B$9:$B$251,'Iron Ore - Q&amp;V'!$D$9:$D$251,CONCATENATE("20",RIGHT('Q&amp;V FY 2003-04 to Now'!E$9,2)),'Iron Ore - Q&amp;V'!$E$9:$E$251,1)+
SUMIFS('Iron Ore - Q&amp;V'!$B$9:$B$251,'Iron Ore - Q&amp;V'!$D$9:$D$251,CONCATENATE("20",RIGHT('Q&amp;V FY 2003-04 to Now'!E$9,2)),'Iron Ore - Q&amp;V'!$E$9:$E$251,2))*1000000</f>
        <v>230114648.62</v>
      </c>
      <c r="F50" s="325">
        <f>(SUMIFS('Iron Ore - Q&amp;V'!$C$9:$C$251,'Iron Ore - Q&amp;V'!$D$9:$D$251,LEFT('Q&amp;V FY 2003-04 to Now'!E$9,4),'Iron Ore - Q&amp;V'!$E$9:$E$251,3)+
SUMIFS('Iron Ore - Q&amp;V'!$C$9:$C$251,'Iron Ore - Q&amp;V'!$D$9:$D$251,LEFT('Q&amp;V FY 2003-04 to Now'!E$9,4),'Iron Ore - Q&amp;V'!$E$9:$E$251,4)+
SUMIFS('Iron Ore - Q&amp;V'!$C$9:$C$251,'Iron Ore - Q&amp;V'!$D$9:$D$251,CONCATENATE("20",RIGHT('Q&amp;V FY 2003-04 to Now'!E$9,2)),'Iron Ore - Q&amp;V'!$E$9:$E$251,1)+
SUMIFS('Iron Ore - Q&amp;V'!$C$9:$C$251,'Iron Ore - Q&amp;V'!$D$9:$D$251,CONCATENATE("20",RIGHT('Q&amp;V FY 2003-04 to Now'!E$9,2)),'Iron Ore - Q&amp;V'!$E$9:$E$251,2))*1000000</f>
        <v>8287180143.1499987</v>
      </c>
      <c r="G50" s="325">
        <f>(SUMIFS('Iron Ore - Q&amp;V'!$B$9:$B$251,'Iron Ore - Q&amp;V'!$D$9:$D$251,LEFT('Q&amp;V FY 2003-04 to Now'!G$9:H$9,4),'Iron Ore - Q&amp;V'!$E$9:$E$251,3)+
SUMIFS('Iron Ore - Q&amp;V'!$B$9:$B$251,'Iron Ore - Q&amp;V'!$D$9:$D$251,LEFT('Q&amp;V FY 2003-04 to Now'!G$9:H$9,4),'Iron Ore - Q&amp;V'!$E$9:$E$251,4)+
SUMIFS('Iron Ore - Q&amp;V'!$B$9:$B$251,'Iron Ore - Q&amp;V'!$D$9:$D$251,CONCATENATE("20",RIGHT('Q&amp;V FY 2003-04 to Now'!G$9,2)),'Iron Ore - Q&amp;V'!$E$9:$E$251,1)+
SUMIFS('Iron Ore - Q&amp;V'!$B$9:$B$251,'Iron Ore - Q&amp;V'!$D$9:$D$251,CONCATENATE("20",RIGHT('Q&amp;V FY 2003-04 to Now'!G$9,2)),'Iron Ore - Q&amp;V'!$E$9:$E$251,2))*1000000</f>
        <v>240568391.38800001</v>
      </c>
      <c r="H50" s="325">
        <f>(SUMIFS('Iron Ore - Q&amp;V'!$C$9:$C$251,'Iron Ore - Q&amp;V'!$D$9:$D$251,LEFT('Q&amp;V FY 2003-04 to Now'!G$9,4),'Iron Ore - Q&amp;V'!$E$9:$E$251,3)+
SUMIFS('Iron Ore - Q&amp;V'!$C$9:$C$251,'Iron Ore - Q&amp;V'!$D$9:$D$251,LEFT('Q&amp;V FY 2003-04 to Now'!G$9,4),'Iron Ore - Q&amp;V'!$E$9:$E$251,4)+
SUMIFS('Iron Ore - Q&amp;V'!$C$9:$C$251,'Iron Ore - Q&amp;V'!$D$9:$D$251,CONCATENATE("20",RIGHT('Q&amp;V FY 2003-04 to Now'!G$9,2)),'Iron Ore - Q&amp;V'!$E$9:$E$251,1)+
SUMIFS('Iron Ore - Q&amp;V'!$C$9:$C$251,'Iron Ore - Q&amp;V'!$D$9:$D$251,CONCATENATE("20",RIGHT('Q&amp;V FY 2003-04 to Now'!G$9,2)),'Iron Ore - Q&amp;V'!$E$9:$E$251,2))*1000000</f>
        <v>13040826036.820002</v>
      </c>
      <c r="I50" s="325">
        <f>(SUMIFS('Iron Ore - Q&amp;V'!$B$9:$B$251,'Iron Ore - Q&amp;V'!$D$9:$D$251,LEFT('Q&amp;V FY 2003-04 to Now'!I$9:J$9,4),'Iron Ore - Q&amp;V'!$E$9:$E$251,3)+
SUMIFS('Iron Ore - Q&amp;V'!$B$9:$B$251,'Iron Ore - Q&amp;V'!$D$9:$D$251,LEFT('Q&amp;V FY 2003-04 to Now'!I$9:J$9,4),'Iron Ore - Q&amp;V'!$E$9:$E$251,4)+
SUMIFS('Iron Ore - Q&amp;V'!$B$9:$B$251,'Iron Ore - Q&amp;V'!$D$9:$D$251,CONCATENATE("20",RIGHT('Q&amp;V FY 2003-04 to Now'!I$9,2)),'Iron Ore - Q&amp;V'!$E$9:$E$251,1)+
SUMIFS('Iron Ore - Q&amp;V'!$B$9:$B$251,'Iron Ore - Q&amp;V'!$D$9:$D$251,CONCATENATE("20",RIGHT('Q&amp;V FY 2003-04 to Now'!I$9,2)),'Iron Ore - Q&amp;V'!$E$9:$E$251,2))*1000000</f>
        <v>258996921.59300002</v>
      </c>
      <c r="J50" s="325">
        <f>(SUMIFS('Iron Ore - Q&amp;V'!$C$9:$C$251,'Iron Ore - Q&amp;V'!$D$9:$D$251,LEFT('Q&amp;V FY 2003-04 to Now'!I$9,4),'Iron Ore - Q&amp;V'!$E$9:$E$251,3)+
SUMIFS('Iron Ore - Q&amp;V'!$C$9:$C$251,'Iron Ore - Q&amp;V'!$D$9:$D$251,LEFT('Q&amp;V FY 2003-04 to Now'!I$9,4),'Iron Ore - Q&amp;V'!$E$9:$E$251,4)+
SUMIFS('Iron Ore - Q&amp;V'!$C$9:$C$251,'Iron Ore - Q&amp;V'!$D$9:$D$251,CONCATENATE("20",RIGHT('Q&amp;V FY 2003-04 to Now'!I$9,2)),'Iron Ore - Q&amp;V'!$E$9:$E$251,1)+
SUMIFS('Iron Ore - Q&amp;V'!$C$9:$C$251,'Iron Ore - Q&amp;V'!$D$9:$D$251,CONCATENATE("20",RIGHT('Q&amp;V FY 2003-04 to Now'!I$9,2)),'Iron Ore - Q&amp;V'!$E$9:$E$251,2))*1000000</f>
        <v>15779191450.360001</v>
      </c>
      <c r="K50" s="325">
        <f>(SUMIFS('Iron Ore - Q&amp;V'!$B$9:$B$251,'Iron Ore - Q&amp;V'!$D$9:$D$251,LEFT('Q&amp;V FY 2003-04 to Now'!K$9:L$9,4),'Iron Ore - Q&amp;V'!$E$9:$E$251,3)+
SUMIFS('Iron Ore - Q&amp;V'!$B$9:$B$251,'Iron Ore - Q&amp;V'!$D$9:$D$251,LEFT('Q&amp;V FY 2003-04 to Now'!K$9:L$9,4),'Iron Ore - Q&amp;V'!$E$9:$E$251,4)+
SUMIFS('Iron Ore - Q&amp;V'!$B$9:$B$251,'Iron Ore - Q&amp;V'!$D$9:$D$251,CONCATENATE("20",RIGHT('Q&amp;V FY 2003-04 to Now'!K$9,2)),'Iron Ore - Q&amp;V'!$E$9:$E$251,1)+
SUMIFS('Iron Ore - Q&amp;V'!$B$9:$B$251,'Iron Ore - Q&amp;V'!$D$9:$D$251,CONCATENATE("20",RIGHT('Q&amp;V FY 2003-04 to Now'!K$9,2)),'Iron Ore - Q&amp;V'!$E$9:$E$251,2))*1000000</f>
        <v>291166115.31199998</v>
      </c>
      <c r="L50" s="325">
        <f>(SUMIFS('Iron Ore - Q&amp;V'!$C$9:$C$251,'Iron Ore - Q&amp;V'!$D$9:$D$251,LEFT('Q&amp;V FY 2003-04 to Now'!K$9,4),'Iron Ore - Q&amp;V'!$E$9:$E$251,3)+
SUMIFS('Iron Ore - Q&amp;V'!$C$9:$C$251,'Iron Ore - Q&amp;V'!$D$9:$D$251,LEFT('Q&amp;V FY 2003-04 to Now'!K$9,4),'Iron Ore - Q&amp;V'!$E$9:$E$251,4)+
SUMIFS('Iron Ore - Q&amp;V'!$C$9:$C$251,'Iron Ore - Q&amp;V'!$D$9:$D$251,CONCATENATE("20",RIGHT('Q&amp;V FY 2003-04 to Now'!K$9,2)),'Iron Ore - Q&amp;V'!$E$9:$E$251,1)+
SUMIFS('Iron Ore - Q&amp;V'!$C$9:$C$251,'Iron Ore - Q&amp;V'!$D$9:$D$251,CONCATENATE("20",RIGHT('Q&amp;V FY 2003-04 to Now'!K$9,2)),'Iron Ore - Q&amp;V'!$E$9:$E$251,2))*1000000</f>
        <v>21960406709.939999</v>
      </c>
      <c r="M50" s="325">
        <f>(SUMIFS('Iron Ore - Q&amp;V'!$B$9:$B$251,'Iron Ore - Q&amp;V'!$D$9:$D$251,LEFT('Q&amp;V FY 2003-04 to Now'!M$9:N$9,4),'Iron Ore - Q&amp;V'!$E$9:$E$251,3)+
SUMIFS('Iron Ore - Q&amp;V'!$B$9:$B$251,'Iron Ore - Q&amp;V'!$D$9:$D$251,LEFT('Q&amp;V FY 2003-04 to Now'!M$9:N$9,4),'Iron Ore - Q&amp;V'!$E$9:$E$251,4)+
SUMIFS('Iron Ore - Q&amp;V'!$B$9:$B$251,'Iron Ore - Q&amp;V'!$D$9:$D$251,CONCATENATE("20",RIGHT('Q&amp;V FY 2003-04 to Now'!M$9,2)),'Iron Ore - Q&amp;V'!$E$9:$E$251,1)+
SUMIFS('Iron Ore - Q&amp;V'!$B$9:$B$251,'Iron Ore - Q&amp;V'!$D$9:$D$251,CONCATENATE("20",RIGHT('Q&amp;V FY 2003-04 to Now'!M$9,2)),'Iron Ore - Q&amp;V'!$E$9:$E$251,2))*1000000</f>
        <v>316545932.79799998</v>
      </c>
      <c r="N50" s="325">
        <f>(SUMIFS('Iron Ore - Q&amp;V'!$C$9:$C$251,'Iron Ore - Q&amp;V'!$D$9:$D$251,LEFT('Q&amp;V FY 2003-04 to Now'!M$9,4),'Iron Ore - Q&amp;V'!$E$9:$E$251,3)+
SUMIFS('Iron Ore - Q&amp;V'!$C$9:$C$251,'Iron Ore - Q&amp;V'!$D$9:$D$251,LEFT('Q&amp;V FY 2003-04 to Now'!M$9,4),'Iron Ore - Q&amp;V'!$E$9:$E$251,4)+
SUMIFS('Iron Ore - Q&amp;V'!$C$9:$C$251,'Iron Ore - Q&amp;V'!$D$9:$D$251,CONCATENATE("20",RIGHT('Q&amp;V FY 2003-04 to Now'!M$9,2)),'Iron Ore - Q&amp;V'!$E$9:$E$251,1)+
SUMIFS('Iron Ore - Q&amp;V'!$C$9:$C$251,'Iron Ore - Q&amp;V'!$D$9:$D$251,CONCATENATE("20",RIGHT('Q&amp;V FY 2003-04 to Now'!M$9,2)),'Iron Ore - Q&amp;V'!$E$9:$E$251,2))*1000000</f>
        <v>33621877296.689999</v>
      </c>
      <c r="O50" s="325">
        <f>(SUMIFS('Iron Ore - Q&amp;V'!$B$9:$B$251,'Iron Ore - Q&amp;V'!$D$9:$D$251,LEFT('Q&amp;V FY 2003-04 to Now'!O$9:P$9,4),'Iron Ore - Q&amp;V'!$E$9:$E$251,3)+
SUMIFS('Iron Ore - Q&amp;V'!$B$9:$B$251,'Iron Ore - Q&amp;V'!$D$9:$D$251,LEFT('Q&amp;V FY 2003-04 to Now'!O$9:P$9,4),'Iron Ore - Q&amp;V'!$E$9:$E$251,4)+
SUMIFS('Iron Ore - Q&amp;V'!$B$9:$B$251,'Iron Ore - Q&amp;V'!$D$9:$D$251,CONCATENATE("20",RIGHT('Q&amp;V FY 2003-04 to Now'!O$9,2)),'Iron Ore - Q&amp;V'!$E$9:$E$251,1)+
SUMIFS('Iron Ore - Q&amp;V'!$B$9:$B$251,'Iron Ore - Q&amp;V'!$D$9:$D$251,CONCATENATE("20",RIGHT('Q&amp;V FY 2003-04 to Now'!O$9,2)),'Iron Ore - Q&amp;V'!$E$9:$E$251,2))*1000000</f>
        <v>384964867.80599999</v>
      </c>
      <c r="P50" s="325">
        <f>(SUMIFS('Iron Ore - Q&amp;V'!$C$9:$C$251,'Iron Ore - Q&amp;V'!$D$9:$D$251,LEFT('Q&amp;V FY 2003-04 to Now'!O$9,4),'Iron Ore - Q&amp;V'!$E$9:$E$251,3)+
SUMIFS('Iron Ore - Q&amp;V'!$C$9:$C$251,'Iron Ore - Q&amp;V'!$D$9:$D$251,LEFT('Q&amp;V FY 2003-04 to Now'!O$9,4),'Iron Ore - Q&amp;V'!$E$9:$E$251,4)+
SUMIFS('Iron Ore - Q&amp;V'!$C$9:$C$251,'Iron Ore - Q&amp;V'!$D$9:$D$251,CONCATENATE("20",RIGHT('Q&amp;V FY 2003-04 to Now'!O$9,2)),'Iron Ore - Q&amp;V'!$E$9:$E$251,1)+
SUMIFS('Iron Ore - Q&amp;V'!$C$9:$C$251,'Iron Ore - Q&amp;V'!$D$9:$D$251,CONCATENATE("20",RIGHT('Q&amp;V FY 2003-04 to Now'!O$9,2)),'Iron Ore - Q&amp;V'!$E$9:$E$251,2))*1000000</f>
        <v>35214420583.349998</v>
      </c>
      <c r="Q50" s="325">
        <f>(SUMIFS('Iron Ore - Q&amp;V'!$B$9:$B$251,'Iron Ore - Q&amp;V'!$D$9:$D$251,LEFT('Q&amp;V FY 2003-04 to Now'!Q$9:R$9,4),'Iron Ore - Q&amp;V'!$E$9:$E$251,3)+
SUMIFS('Iron Ore - Q&amp;V'!$B$9:$B$251,'Iron Ore - Q&amp;V'!$D$9:$D$251,LEFT('Q&amp;V FY 2003-04 to Now'!Q$9:R$9,4),'Iron Ore - Q&amp;V'!$E$9:$E$251,4)+
SUMIFS('Iron Ore - Q&amp;V'!$B$9:$B$251,'Iron Ore - Q&amp;V'!$D$9:$D$251,CONCATENATE("20",RIGHT('Q&amp;V FY 2003-04 to Now'!Q$9,2)),'Iron Ore - Q&amp;V'!$E$9:$E$251,1)+
SUMIFS('Iron Ore - Q&amp;V'!$B$9:$B$251,'Iron Ore - Q&amp;V'!$D$9:$D$251,CONCATENATE("20",RIGHT('Q&amp;V FY 2003-04 to Now'!Q$9,2)),'Iron Ore - Q&amp;V'!$E$9:$E$251,2))*1000000</f>
        <v>397604213.46799999</v>
      </c>
      <c r="R50" s="325">
        <f>(SUMIFS('Iron Ore - Q&amp;V'!$C$9:$C$251,'Iron Ore - Q&amp;V'!$D$9:$D$251,LEFT('Q&amp;V FY 2003-04 to Now'!Q$9,4),'Iron Ore - Q&amp;V'!$E$9:$E$251,3)+
SUMIFS('Iron Ore - Q&amp;V'!$C$9:$C$251,'Iron Ore - Q&amp;V'!$D$9:$D$251,LEFT('Q&amp;V FY 2003-04 to Now'!Q$9,4),'Iron Ore - Q&amp;V'!$E$9:$E$251,4)+
SUMIFS('Iron Ore - Q&amp;V'!$C$9:$C$251,'Iron Ore - Q&amp;V'!$D$9:$D$251,CONCATENATE("20",RIGHT('Q&amp;V FY 2003-04 to Now'!Q$9,2)),'Iron Ore - Q&amp;V'!$E$9:$E$251,1)+
SUMIFS('Iron Ore - Q&amp;V'!$C$9:$C$251,'Iron Ore - Q&amp;V'!$D$9:$D$251,CONCATENATE("20",RIGHT('Q&amp;V FY 2003-04 to Now'!Q$9,2)),'Iron Ore - Q&amp;V'!$E$9:$E$251,2))*1000000</f>
        <v>57533101328.700005</v>
      </c>
      <c r="S50" s="325">
        <f>(SUMIFS('Iron Ore - Q&amp;V'!$B$9:$B$251,'Iron Ore - Q&amp;V'!$D$9:$D$251,LEFT('Q&amp;V FY 2003-04 to Now'!S$9:T$9,4),'Iron Ore - Q&amp;V'!$E$9:$E$251,3)+
SUMIFS('Iron Ore - Q&amp;V'!$B$9:$B$251,'Iron Ore - Q&amp;V'!$D$9:$D$251,LEFT('Q&amp;V FY 2003-04 to Now'!S$9:T$9,4),'Iron Ore - Q&amp;V'!$E$9:$E$251,4)+
SUMIFS('Iron Ore - Q&amp;V'!$B$9:$B$251,'Iron Ore - Q&amp;V'!$D$9:$D$251,CONCATENATE("20",RIGHT('Q&amp;V FY 2003-04 to Now'!S$9,2)),'Iron Ore - Q&amp;V'!$E$9:$E$251,1)+
SUMIFS('Iron Ore - Q&amp;V'!$B$9:$B$251,'Iron Ore - Q&amp;V'!$D$9:$D$251,CONCATENATE("20",RIGHT('Q&amp;V FY 2003-04 to Now'!S$9,2)),'Iron Ore - Q&amp;V'!$E$9:$E$251,2))*1000000</f>
        <v>454385063.56699997</v>
      </c>
      <c r="T50" s="325">
        <f>(SUMIFS('Iron Ore - Q&amp;V'!$C$9:$C$251,'Iron Ore - Q&amp;V'!$D$9:$D$251,LEFT('Q&amp;V FY 2003-04 to Now'!S$9,4),'Iron Ore - Q&amp;V'!$E$9:$E$251,3)+
SUMIFS('Iron Ore - Q&amp;V'!$C$9:$C$251,'Iron Ore - Q&amp;V'!$D$9:$D$251,LEFT('Q&amp;V FY 2003-04 to Now'!S$9,4),'Iron Ore - Q&amp;V'!$E$9:$E$251,4)+
SUMIFS('Iron Ore - Q&amp;V'!$C$9:$C$251,'Iron Ore - Q&amp;V'!$D$9:$D$251,CONCATENATE("20",RIGHT('Q&amp;V FY 2003-04 to Now'!S$9,2)),'Iron Ore - Q&amp;V'!$E$9:$E$251,1)+
SUMIFS('Iron Ore - Q&amp;V'!$C$9:$C$251,'Iron Ore - Q&amp;V'!$D$9:$D$251,CONCATENATE("20",RIGHT('Q&amp;V FY 2003-04 to Now'!S$9,2)),'Iron Ore - Q&amp;V'!$E$9:$E$251,2))*1000000</f>
        <v>60972726991.370003</v>
      </c>
      <c r="U50" s="325">
        <f>(SUMIFS('Iron Ore - Q&amp;V'!$B$9:$B$251,'Iron Ore - Q&amp;V'!$D$9:$D$251,LEFT('Q&amp;V FY 2003-04 to Now'!U$9:V$9,4),'Iron Ore - Q&amp;V'!$E$9:$E$251,3)+
SUMIFS('Iron Ore - Q&amp;V'!$B$9:$B$251,'Iron Ore - Q&amp;V'!$D$9:$D$251,LEFT('Q&amp;V FY 2003-04 to Now'!U$9:V$9,4),'Iron Ore - Q&amp;V'!$E$9:$E$251,4)+
SUMIFS('Iron Ore - Q&amp;V'!$B$9:$B$251,'Iron Ore - Q&amp;V'!$D$9:$D$251,CONCATENATE("20",RIGHT('Q&amp;V FY 2003-04 to Now'!U$9,2)),'Iron Ore - Q&amp;V'!$E$9:$E$251,1)+
SUMIFS('Iron Ore - Q&amp;V'!$B$9:$B$251,'Iron Ore - Q&amp;V'!$D$9:$D$251,CONCATENATE("20",RIGHT('Q&amp;V FY 2003-04 to Now'!U$9,2)),'Iron Ore - Q&amp;V'!$E$9:$E$251,2))*1000000</f>
        <v>511760416.48500007</v>
      </c>
      <c r="V50" s="325">
        <f>(SUMIFS('Iron Ore - Q&amp;V'!$C$9:$C$251,'Iron Ore - Q&amp;V'!$D$9:$D$251,LEFT('Q&amp;V FY 2003-04 to Now'!U$9,4),'Iron Ore - Q&amp;V'!$E$9:$E$251,3)+
SUMIFS('Iron Ore - Q&amp;V'!$C$9:$C$251,'Iron Ore - Q&amp;V'!$D$9:$D$251,LEFT('Q&amp;V FY 2003-04 to Now'!U$9,4),'Iron Ore - Q&amp;V'!$E$9:$E$251,4)+
SUMIFS('Iron Ore - Q&amp;V'!$C$9:$C$251,'Iron Ore - Q&amp;V'!$D$9:$D$251,CONCATENATE("20",RIGHT('Q&amp;V FY 2003-04 to Now'!U$9,2)),'Iron Ore - Q&amp;V'!$E$9:$E$251,1)+
SUMIFS('Iron Ore - Q&amp;V'!$C$9:$C$251,'Iron Ore - Q&amp;V'!$D$9:$D$251,CONCATENATE("20",RIGHT('Q&amp;V FY 2003-04 to Now'!U$9,2)),'Iron Ore - Q&amp;V'!$E$9:$E$251,2))*1000000</f>
        <v>56204322876.540001</v>
      </c>
      <c r="W50" s="325">
        <f>(SUMIFS('Iron Ore - Q&amp;V'!$B$9:$B$251,'Iron Ore - Q&amp;V'!$D$9:$D$251,LEFT('Q&amp;V FY 2003-04 to Now'!W$9:X$9,4),'Iron Ore - Q&amp;V'!$E$9:$E$251,3)+
SUMIFS('Iron Ore - Q&amp;V'!$B$9:$B$251,'Iron Ore - Q&amp;V'!$D$9:$D$251,LEFT('Q&amp;V FY 2003-04 to Now'!W$9:X$9,4),'Iron Ore - Q&amp;V'!$E$9:$E$251,4)+
SUMIFS('Iron Ore - Q&amp;V'!$B$9:$B$251,'Iron Ore - Q&amp;V'!$D$9:$D$251,CONCATENATE("20",RIGHT('Q&amp;V FY 2003-04 to Now'!W$9,2)),'Iron Ore - Q&amp;V'!$E$9:$E$251,1)+
SUMIFS('Iron Ore - Q&amp;V'!$B$9:$B$251,'Iron Ore - Q&amp;V'!$D$9:$D$251,CONCATENATE("20",RIGHT('Q&amp;V FY 2003-04 to Now'!W$9,2)),'Iron Ore - Q&amp;V'!$E$9:$E$251,2))*1000000</f>
        <v>613507314.76900005</v>
      </c>
      <c r="X50" s="325">
        <f>(SUMIFS('Iron Ore - Q&amp;V'!$C$9:$C$251,'Iron Ore - Q&amp;V'!$D$9:$D$251,LEFT('Q&amp;V FY 2003-04 to Now'!W$9,4),'Iron Ore - Q&amp;V'!$E$9:$E$251,3)+
SUMIFS('Iron Ore - Q&amp;V'!$C$9:$C$251,'Iron Ore - Q&amp;V'!$D$9:$D$251,LEFT('Q&amp;V FY 2003-04 to Now'!W$9,4),'Iron Ore - Q&amp;V'!$E$9:$E$251,4)+
SUMIFS('Iron Ore - Q&amp;V'!$C$9:$C$251,'Iron Ore - Q&amp;V'!$D$9:$D$251,CONCATENATE("20",RIGHT('Q&amp;V FY 2003-04 to Now'!W$9,2)),'Iron Ore - Q&amp;V'!$E$9:$E$251,1)+
SUMIFS('Iron Ore - Q&amp;V'!$C$9:$C$251,'Iron Ore - Q&amp;V'!$D$9:$D$251,CONCATENATE("20",RIGHT('Q&amp;V FY 2003-04 to Now'!W$9,2)),'Iron Ore - Q&amp;V'!$E$9:$E$251,2))*1000000</f>
        <v>75909497762</v>
      </c>
      <c r="Y50" s="325">
        <f>(SUMIFS('Iron Ore - Q&amp;V'!$B$9:$B$251,'Iron Ore - Q&amp;V'!$D$9:$D$251,LEFT('Q&amp;V FY 2003-04 to Now'!Y$9:Z$9,4),'Iron Ore - Q&amp;V'!$E$9:$E$251,3)+
SUMIFS('Iron Ore - Q&amp;V'!$B$9:$B$251,'Iron Ore - Q&amp;V'!$D$9:$D$251,LEFT('Q&amp;V FY 2003-04 to Now'!Y$9:Z$9,4),'Iron Ore - Q&amp;V'!$E$9:$E$251,4)+
SUMIFS('Iron Ore - Q&amp;V'!$B$9:$B$251,'Iron Ore - Q&amp;V'!$D$9:$D$251,CONCATENATE("20",RIGHT('Q&amp;V FY 2003-04 to Now'!Y$9,2)),'Iron Ore - Q&amp;V'!$E$9:$E$251,1)+
SUMIFS('Iron Ore - Q&amp;V'!$B$9:$B$251,'Iron Ore - Q&amp;V'!$D$9:$D$251,CONCATENATE("20",RIGHT('Q&amp;V FY 2003-04 to Now'!Y$9,2)),'Iron Ore - Q&amp;V'!$E$9:$E$251,2))*1000000</f>
        <v>718821036.42800009</v>
      </c>
      <c r="Z50" s="325">
        <f>(SUMIFS('Iron Ore - Q&amp;V'!$C$9:$C$251,'Iron Ore - Q&amp;V'!$D$9:$D$251,LEFT('Q&amp;V FY 2003-04 to Now'!Y$9,4),'Iron Ore - Q&amp;V'!$E$9:$E$251,3)+
SUMIFS('Iron Ore - Q&amp;V'!$C$9:$C$251,'Iron Ore - Q&amp;V'!$D$9:$D$251,LEFT('Q&amp;V FY 2003-04 to Now'!Y$9,4),'Iron Ore - Q&amp;V'!$E$9:$E$251,4)+
SUMIFS('Iron Ore - Q&amp;V'!$C$9:$C$251,'Iron Ore - Q&amp;V'!$D$9:$D$251,CONCATENATE("20",RIGHT('Q&amp;V FY 2003-04 to Now'!Y$9,2)),'Iron Ore - Q&amp;V'!$E$9:$E$251,1)+
SUMIFS('Iron Ore - Q&amp;V'!$C$9:$C$251,'Iron Ore - Q&amp;V'!$D$9:$D$251,CONCATENATE("20",RIGHT('Q&amp;V FY 2003-04 to Now'!Y$9,2)),'Iron Ore - Q&amp;V'!$E$9:$E$251,2))*1000000</f>
        <v>54378482829</v>
      </c>
      <c r="AA50" s="325">
        <f>(SUMIFS('Iron Ore - Q&amp;V'!$B$9:$B$251,'Iron Ore - Q&amp;V'!$D$9:$D$251,LEFT('Q&amp;V FY 2003-04 to Now'!AA$9:AB$9,4),'Iron Ore - Q&amp;V'!$E$9:$E$251,3)+
SUMIFS('Iron Ore - Q&amp;V'!$B$9:$B$251,'Iron Ore - Q&amp;V'!$D$9:$D$251,LEFT('Q&amp;V FY 2003-04 to Now'!AA$9:AB$9,4),'Iron Ore - Q&amp;V'!$E$9:$E$251,4)+
SUMIFS('Iron Ore - Q&amp;V'!$B$9:$B$251,'Iron Ore - Q&amp;V'!$D$9:$D$251,CONCATENATE("20",RIGHT('Q&amp;V FY 2003-04 to Now'!AA$9,2)),'Iron Ore - Q&amp;V'!$E$9:$E$251,1)+
SUMIFS('Iron Ore - Q&amp;V'!$B$9:$B$251,'Iron Ore - Q&amp;V'!$D$9:$D$251,CONCATENATE("20",RIGHT('Q&amp;V FY 2003-04 to Now'!AA$9,2)),'Iron Ore - Q&amp;V'!$E$9:$E$251,2))*1000000</f>
        <v>774538371.16900003</v>
      </c>
      <c r="AB50" s="325">
        <f>(SUMIFS('Iron Ore - Q&amp;V'!$C$9:$C$251,'Iron Ore - Q&amp;V'!$D$9:$D$251,LEFT('Q&amp;V FY 2003-04 to Now'!AA$9,4),'Iron Ore - Q&amp;V'!$E$9:$E$251,3)+
SUMIFS('Iron Ore - Q&amp;V'!$C$9:$C$251,'Iron Ore - Q&amp;V'!$D$9:$D$251,LEFT('Q&amp;V FY 2003-04 to Now'!AA$9,4),'Iron Ore - Q&amp;V'!$E$9:$E$251,4)+
SUMIFS('Iron Ore - Q&amp;V'!$C$9:$C$251,'Iron Ore - Q&amp;V'!$D$9:$D$251,CONCATENATE("20",RIGHT('Q&amp;V FY 2003-04 to Now'!AA$9,2)),'Iron Ore - Q&amp;V'!$E$9:$E$251,1)+
SUMIFS('Iron Ore - Q&amp;V'!$C$9:$C$251,'Iron Ore - Q&amp;V'!$D$9:$D$251,CONCATENATE("20",RIGHT('Q&amp;V FY 2003-04 to Now'!AA$9,2)),'Iron Ore - Q&amp;V'!$E$9:$E$251,2))*1000000</f>
        <v>48767746598</v>
      </c>
      <c r="AC50" s="358">
        <f>(SUMIFS('Iron Ore - Q&amp;V'!$B$9:$B$251,'Iron Ore - Q&amp;V'!$D$9:$D$251,LEFT('Q&amp;V FY 2003-04 to Now'!AC$9:AD$9,4),'Iron Ore - Q&amp;V'!$E$9:$E$251,3)+
SUMIFS('Iron Ore - Q&amp;V'!$B$9:$B$251,'Iron Ore - Q&amp;V'!$D$9:$D$251,LEFT('Q&amp;V FY 2003-04 to Now'!AC$9:AD$9,4),'Iron Ore - Q&amp;V'!$E$9:$E$251,4)+
SUMIFS('Iron Ore - Q&amp;V'!$B$9:$B$251,'Iron Ore - Q&amp;V'!$D$9:$D$251,CONCATENATE("20",RIGHT('Q&amp;V FY 2003-04 to Now'!AC$9,2)),'Iron Ore - Q&amp;V'!$E$9:$E$251,1)+
SUMIFS('Iron Ore - Q&amp;V'!$B$9:$B$251,'Iron Ore - Q&amp;V'!$D$9:$D$251,CONCATENATE("20",RIGHT('Q&amp;V FY 2003-04 to Now'!AC$9,2)),'Iron Ore - Q&amp;V'!$E$9:$E$251,2))*1000000</f>
        <v>792984562.296</v>
      </c>
      <c r="AD50" s="325">
        <f>(SUMIFS('Iron Ore - Q&amp;V'!$C$9:$C$251,'Iron Ore - Q&amp;V'!$D$9:$D$251,LEFT('Q&amp;V FY 2003-04 to Now'!AC$9,4),'Iron Ore - Q&amp;V'!$E$9:$E$251,3)+
SUMIFS('Iron Ore - Q&amp;V'!$C$9:$C$251,'Iron Ore - Q&amp;V'!$D$9:$D$251,LEFT('Q&amp;V FY 2003-04 to Now'!AC$9,4),'Iron Ore - Q&amp;V'!$E$9:$E$251,4)+
SUMIFS('Iron Ore - Q&amp;V'!$C$9:$C$251,'Iron Ore - Q&amp;V'!$D$9:$D$251,CONCATENATE("20",RIGHT('Q&amp;V FY 2003-04 to Now'!AC$9,2)),'Iron Ore - Q&amp;V'!$E$9:$E$251,1)+
SUMIFS('Iron Ore - Q&amp;V'!$C$9:$C$251,'Iron Ore - Q&amp;V'!$D$9:$D$251,CONCATENATE("20",RIGHT('Q&amp;V FY 2003-04 to Now'!AC$9,2)),'Iron Ore - Q&amp;V'!$E$9:$E$251,2))*1000000</f>
        <v>64319249451.999992</v>
      </c>
      <c r="AE50" s="358">
        <f>(SUMIFS('Iron Ore - Q&amp;V'!$B$9:$B$251,'Iron Ore - Q&amp;V'!$D$9:$D$251,LEFT('Q&amp;V FY 2003-04 to Now'!AE$9:AF$9,4),'Iron Ore - Q&amp;V'!$E$9:$E$251,3)+
SUMIFS('Iron Ore - Q&amp;V'!$B$9:$B$251,'Iron Ore - Q&amp;V'!$D$9:$D$251,LEFT('Q&amp;V FY 2003-04 to Now'!AE$9:AF$9,4),'Iron Ore - Q&amp;V'!$E$9:$E$251,4)+
SUMIFS('Iron Ore - Q&amp;V'!$B$9:$B$251,'Iron Ore - Q&amp;V'!$D$9:$D$251,CONCATENATE("20",RIGHT('Q&amp;V FY 2003-04 to Now'!AE$9,2)),'Iron Ore - Q&amp;V'!$E$9:$E$251,1)+
SUMIFS('Iron Ore - Q&amp;V'!$B$9:$B$251,'Iron Ore - Q&amp;V'!$D$9:$D$251,CONCATENATE("20",RIGHT('Q&amp;V FY 2003-04 to Now'!AE$9,2)),'Iron Ore - Q&amp;V'!$E$9:$E$251,2))*1000000</f>
        <v>839425599.75700009</v>
      </c>
      <c r="AF50" s="325">
        <f>(SUMIFS('Iron Ore - Q&amp;V'!$C$9:$C$251,'Iron Ore - Q&amp;V'!$D$9:$D$251,LEFT('Q&amp;V FY 2003-04 to Now'!AE$9,4),'Iron Ore - Q&amp;V'!$E$9:$E$251,3)+
SUMIFS('Iron Ore - Q&amp;V'!$C$9:$C$251,'Iron Ore - Q&amp;V'!$D$9:$D$251,LEFT('Q&amp;V FY 2003-04 to Now'!AE$9,4),'Iron Ore - Q&amp;V'!$E$9:$E$251,4)+
SUMIFS('Iron Ore - Q&amp;V'!$C$9:$C$251,'Iron Ore - Q&amp;V'!$D$9:$D$251,CONCATENATE("20",RIGHT('Q&amp;V FY 2003-04 to Now'!AE$9,2)),'Iron Ore - Q&amp;V'!$E$9:$E$251,1)+
SUMIFS('Iron Ore - Q&amp;V'!$C$9:$C$251,'Iron Ore - Q&amp;V'!$D$9:$D$251,CONCATENATE("20",RIGHT('Q&amp;V FY 2003-04 to Now'!AE$9,2)),'Iron Ore - Q&amp;V'!$E$9:$E$251,2))*1000000</f>
        <v>62075605869.999992</v>
      </c>
      <c r="AG50" s="358">
        <f>(SUMIFS('Iron Ore - Q&amp;V'!$B$9:$B$251,'Iron Ore - Q&amp;V'!$D$9:$D$251,LEFT('Q&amp;V FY 2003-04 to Now'!AG$9:AH$9,4),'Iron Ore - Q&amp;V'!$E$9:$E$251,3)+
SUMIFS('Iron Ore - Q&amp;V'!$B$9:$B$251,'Iron Ore - Q&amp;V'!$D$9:$D$251,LEFT('Q&amp;V FY 2003-04 to Now'!AG$9:AH$9,4),'Iron Ore - Q&amp;V'!$E$9:$E$251,4)+
SUMIFS('Iron Ore - Q&amp;V'!$B$9:$B$251,'Iron Ore - Q&amp;V'!$D$9:$D$251,CONCATENATE("20",RIGHT('Q&amp;V FY 2003-04 to Now'!AG$9,2)),'Iron Ore - Q&amp;V'!$E$9:$E$251,1)+
SUMIFS('Iron Ore - Q&amp;V'!$B$9:$B$251,'Iron Ore - Q&amp;V'!$D$9:$D$251,CONCATENATE("20",RIGHT('Q&amp;V FY 2003-04 to Now'!AG$9,2)),'Iron Ore - Q&amp;V'!$E$9:$E$251,2))*1000000</f>
        <v>794649329.91299999</v>
      </c>
      <c r="AH50" s="326">
        <f>(SUMIFS('Iron Ore - Q&amp;V'!$C$9:$C$251,'Iron Ore - Q&amp;V'!$D$9:$D$251,LEFT('Q&amp;V FY 2003-04 to Now'!AG$9,4),'Iron Ore - Q&amp;V'!$E$9:$E$251,3)+
SUMIFS('Iron Ore - Q&amp;V'!$C$9:$C$251,'Iron Ore - Q&amp;V'!$D$9:$D$251,LEFT('Q&amp;V FY 2003-04 to Now'!AG$9,4),'Iron Ore - Q&amp;V'!$E$9:$E$251,4)+
SUMIFS('Iron Ore - Q&amp;V'!$C$9:$C$251,'Iron Ore - Q&amp;V'!$D$9:$D$251,CONCATENATE("20",RIGHT('Q&amp;V FY 2003-04 to Now'!AG$9,2)),'Iron Ore - Q&amp;V'!$E$9:$E$251,1)+
SUMIFS('Iron Ore - Q&amp;V'!$C$9:$C$251,'Iron Ore - Q&amp;V'!$D$9:$D$251,CONCATENATE("20",RIGHT('Q&amp;V FY 2003-04 to Now'!AG$9,2)),'Iron Ore - Q&amp;V'!$E$9:$E$251,2))*1000000</f>
        <v>81854370013</v>
      </c>
      <c r="AI50" s="367">
        <f>(SUMIFS('Iron Ore - Q&amp;V'!$B$9:$B$251,'Iron Ore - Q&amp;V'!$D$9:$D$251,LEFT('Q&amp;V FY 2003-04 to Now'!AI$9:AJ$9,4),'Iron Ore - Q&amp;V'!$E$9:$E$251,3)+
SUMIFS('Iron Ore - Q&amp;V'!$B$9:$B$251,'Iron Ore - Q&amp;V'!$D$9:$D$251,LEFT('Q&amp;V FY 2003-04 to Now'!AI$9:AJ$9,4),'Iron Ore - Q&amp;V'!$E$9:$E$251,4)+
SUMIFS('Iron Ore - Q&amp;V'!$B$9:$B$251,'Iron Ore - Q&amp;V'!$D$9:$D$251,CONCATENATE("20",RIGHT('Q&amp;V FY 2003-04 to Now'!AI$9,2)),'Iron Ore - Q&amp;V'!$E$9:$E$251,1)+
SUMIFS('Iron Ore - Q&amp;V'!$B$9:$B$251,'Iron Ore - Q&amp;V'!$D$9:$D$251,CONCATENATE("20",RIGHT('Q&amp;V FY 2003-04 to Now'!AI$9,2)),'Iron Ore - Q&amp;V'!$E$9:$E$251,2))*1000000</f>
        <v>837077674.20899999</v>
      </c>
      <c r="AJ50" s="367">
        <f>(SUMIFS('Iron Ore - Q&amp;V'!$C$9:$C$251,'Iron Ore - Q&amp;V'!$D$9:$D$251,LEFT('Q&amp;V FY 2003-04 to Now'!AI$9,4),'Iron Ore - Q&amp;V'!$E$9:$E$251,3)+
SUMIFS('Iron Ore - Q&amp;V'!$C$9:$C$251,'Iron Ore - Q&amp;V'!$D$9:$D$251,LEFT('Q&amp;V FY 2003-04 to Now'!AI$9,4),'Iron Ore - Q&amp;V'!$E$9:$E$251,4)+
SUMIFS('Iron Ore - Q&amp;V'!$C$9:$C$251,'Iron Ore - Q&amp;V'!$D$9:$D$251,CONCATENATE("20",RIGHT('Q&amp;V FY 2003-04 to Now'!AI$9,2)),'Iron Ore - Q&amp;V'!$E$9:$E$251,1)+
SUMIFS('Iron Ore - Q&amp;V'!$C$9:$C$251,'Iron Ore - Q&amp;V'!$D$9:$D$251,CONCATENATE("20",RIGHT('Q&amp;V FY 2003-04 to Now'!AI$9,2)),'Iron Ore - Q&amp;V'!$E$9:$E$251,2))*1000000</f>
        <v>104646594646.99998</v>
      </c>
      <c r="AK50" s="367">
        <f>(SUMIFS('Iron Ore - Q&amp;V'!$B$9:$B$251,'Iron Ore - Q&amp;V'!$D$9:$D$251,LEFT('Q&amp;V FY 2003-04 to Now'!AK$9:AL$9,4),'Iron Ore - Q&amp;V'!$E$9:$E$251,3)+
SUMIFS('Iron Ore - Q&amp;V'!$B$9:$B$251,'Iron Ore - Q&amp;V'!$D$9:$D$251,LEFT('Q&amp;V FY 2003-04 to Now'!AK$9:AL$9,4),'Iron Ore - Q&amp;V'!$E$9:$E$251,4)+
SUMIFS('Iron Ore - Q&amp;V'!$B$9:$B$251,'Iron Ore - Q&amp;V'!$D$9:$D$251,CONCATENATE("20",RIGHT('Q&amp;V FY 2003-04 to Now'!AK$9,2)),'Iron Ore - Q&amp;V'!$E$9:$E$251,1)+
SUMIFS('Iron Ore - Q&amp;V'!$B$9:$B$251,'Iron Ore - Q&amp;V'!$D$9:$D$251,CONCATENATE("20",RIGHT('Q&amp;V FY 2003-04 to Now'!AK$9,2)),'Iron Ore - Q&amp;V'!$E$9:$E$251,2))*1000000</f>
        <v>839087311.58599997</v>
      </c>
      <c r="AL50" s="367">
        <f>(SUMIFS('Iron Ore - Q&amp;V'!$C$9:$C$251,'Iron Ore - Q&amp;V'!$D$9:$D$251,LEFT('Q&amp;V FY 2003-04 to Now'!AK$9,4),'Iron Ore - Q&amp;V'!$E$9:$E$251,3)+
SUMIFS('Iron Ore - Q&amp;V'!$C$9:$C$251,'Iron Ore - Q&amp;V'!$D$9:$D$251,LEFT('Q&amp;V FY 2003-04 to Now'!AK$9,4),'Iron Ore - Q&amp;V'!$E$9:$E$251,4)+
SUMIFS('Iron Ore - Q&amp;V'!$C$9:$C$251,'Iron Ore - Q&amp;V'!$D$9:$D$251,CONCATENATE("20",RIGHT('Q&amp;V FY 2003-04 to Now'!AK$9,2)),'Iron Ore - Q&amp;V'!$E$9:$E$251,1)+
SUMIFS('Iron Ore - Q&amp;V'!$C$9:$C$251,'Iron Ore - Q&amp;V'!$D$9:$D$251,CONCATENATE("20",RIGHT('Q&amp;V FY 2003-04 to Now'!AK$9,2)),'Iron Ore - Q&amp;V'!$E$9:$E$251,2))*1000000</f>
        <v>155636943087</v>
      </c>
      <c r="AM50" s="367">
        <f>(SUMIFS('Iron Ore - Q&amp;V'!$B$9:$B$251,'Iron Ore - Q&amp;V'!$D$9:$D$251,LEFT('Q&amp;V FY 2003-04 to Now'!AM$9:AN$9,4),'Iron Ore - Q&amp;V'!$E$9:$E$251,3)+
SUMIFS('Iron Ore - Q&amp;V'!$B$9:$B$251,'Iron Ore - Q&amp;V'!$D$9:$D$251,LEFT('Q&amp;V FY 2003-04 to Now'!AM$9:AN$9,4),'Iron Ore - Q&amp;V'!$E$9:$E$251,4)+
SUMIFS('Iron Ore - Q&amp;V'!$B$9:$B$251,'Iron Ore - Q&amp;V'!$D$9:$D$251,CONCATENATE("20",RIGHT('Q&amp;V FY 2003-04 to Now'!AM$9,2)),'Iron Ore - Q&amp;V'!$E$9:$E$251,1)+
SUMIFS('Iron Ore - Q&amp;V'!$B$9:$B$251,'Iron Ore - Q&amp;V'!$D$9:$D$251,CONCATENATE("20",RIGHT('Q&amp;V FY 2003-04 to Now'!AM$9,2)),'Iron Ore - Q&amp;V'!$E$9:$E$251,2))*1000000</f>
        <v>844814540.50199997</v>
      </c>
      <c r="AN50" s="367">
        <f>(SUMIFS('Iron Ore - Q&amp;V'!$C$9:$C$251,'Iron Ore - Q&amp;V'!$D$9:$D$251,LEFT('Q&amp;V FY 2003-04 to Now'!AM$9,4),'Iron Ore - Q&amp;V'!$E$9:$E$251,3)+
SUMIFS('Iron Ore - Q&amp;V'!$C$9:$C$251,'Iron Ore - Q&amp;V'!$D$9:$D$251,LEFT('Q&amp;V FY 2003-04 to Now'!AM$9,4),'Iron Ore - Q&amp;V'!$E$9:$E$251,4)+
SUMIFS('Iron Ore - Q&amp;V'!$C$9:$C$251,'Iron Ore - Q&amp;V'!$D$9:$D$251,CONCATENATE("20",RIGHT('Q&amp;V FY 2003-04 to Now'!AM$9,2)),'Iron Ore - Q&amp;V'!$E$9:$E$251,1)+
SUMIFS('Iron Ore - Q&amp;V'!$C$9:$C$251,'Iron Ore - Q&amp;V'!$D$9:$D$251,CONCATENATE("20",RIGHT('Q&amp;V FY 2003-04 to Now'!AM$9,2)),'Iron Ore - Q&amp;V'!$E$9:$E$251,2))*1000000</f>
        <v>137773523182</v>
      </c>
      <c r="AO50" s="367">
        <f>(SUMIFS('Iron Ore - Q&amp;V'!$B$9:$B$251,'Iron Ore - Q&amp;V'!$D$9:$D$251,LEFT('Q&amp;V FY 2003-04 to Now'!AO$9:AP$9,4),'Iron Ore - Q&amp;V'!$E$9:$E$251,3)+
SUMIFS('Iron Ore - Q&amp;V'!$B$9:$B$251,'Iron Ore - Q&amp;V'!$D$9:$D$251,LEFT('Q&amp;V FY 2003-04 to Now'!AO$9:AP$9,4),'Iron Ore - Q&amp;V'!$E$9:$E$251,4)+
SUMIFS('Iron Ore - Q&amp;V'!$B$9:$B$251,'Iron Ore - Q&amp;V'!$D$9:$D$251,CONCATENATE("20",RIGHT('Q&amp;V FY 2003-04 to Now'!AO$9,2)),'Iron Ore - Q&amp;V'!$E$9:$E$251,1)+
SUMIFS('Iron Ore - Q&amp;V'!$B$9:$B$251,'Iron Ore - Q&amp;V'!$D$9:$D$251,CONCATENATE("20",RIGHT('Q&amp;V FY 2003-04 to Now'!AO$9,2)),'Iron Ore - Q&amp;V'!$E$9:$E$251,2))*1000000</f>
        <v>861655375.03800011</v>
      </c>
      <c r="AP50" s="367">
        <f>(SUMIFS('Iron Ore - Q&amp;V'!$C$9:$C$251,'Iron Ore - Q&amp;V'!$D$9:$D$251,LEFT('Q&amp;V FY 2003-04 to Now'!AO$9,4),'Iron Ore - Q&amp;V'!$E$9:$E$251,3)+
SUMIFS('Iron Ore - Q&amp;V'!$C$9:$C$251,'Iron Ore - Q&amp;V'!$D$9:$D$251,LEFT('Q&amp;V FY 2003-04 to Now'!AO$9,4),'Iron Ore - Q&amp;V'!$E$9:$E$251,4)+
SUMIFS('Iron Ore - Q&amp;V'!$C$9:$C$251,'Iron Ore - Q&amp;V'!$D$9:$D$251,CONCATENATE("20",RIGHT('Q&amp;V FY 2003-04 to Now'!AO$9,2)),'Iron Ore - Q&amp;V'!$E$9:$E$251,1)+
SUMIFS('Iron Ore - Q&amp;V'!$C$9:$C$251,'Iron Ore - Q&amp;V'!$D$9:$D$251,CONCATENATE("20",RIGHT('Q&amp;V FY 2003-04 to Now'!AO$9,2)),'Iron Ore - Q&amp;V'!$E$9:$E$251,2))*1000000</f>
        <v>125289631352.99998</v>
      </c>
      <c r="AQ50" s="367">
        <f>(SUMIFS('Iron Ore - Q&amp;V'!$B$9:$B$251,'Iron Ore - Q&amp;V'!$D$9:$D$251,LEFT('Q&amp;V FY 2003-04 to Now'!AQ$9:AR$9,4),'Iron Ore - Q&amp;V'!$E$9:$E$251,3)+
SUMIFS('Iron Ore - Q&amp;V'!$B$9:$B$251,'Iron Ore - Q&amp;V'!$D$9:$D$251,LEFT('Q&amp;V FY 2003-04 to Now'!AQ$9:AR$9,4),'Iron Ore - Q&amp;V'!$E$9:$E$251,4)+
SUMIFS('Iron Ore - Q&amp;V'!$B$9:$B$251,'Iron Ore - Q&amp;V'!$D$9:$D$251,CONCATENATE("20",RIGHT('Q&amp;V FY 2003-04 to Now'!AQ$9,2)),'Iron Ore - Q&amp;V'!$E$9:$E$251,1)+
SUMIFS('Iron Ore - Q&amp;V'!$B$9:$B$251,'Iron Ore - Q&amp;V'!$D$9:$D$251,CONCATENATE("20",RIGHT('Q&amp;V FY 2003-04 to Now'!AQ$9,2)),'Iron Ore - Q&amp;V'!$E$9:$E$251,2))*1000000</f>
        <v>866409003.06899989</v>
      </c>
      <c r="AR50" s="367">
        <f>(SUMIFS('Iron Ore - Q&amp;V'!$C$9:$C$251,'Iron Ore - Q&amp;V'!$D$9:$D$251,LEFT('Q&amp;V FY 2003-04 to Now'!AQ$9,4),'Iron Ore - Q&amp;V'!$E$9:$E$251,3)+
SUMIFS('Iron Ore - Q&amp;V'!$C$9:$C$251,'Iron Ore - Q&amp;V'!$D$9:$D$251,LEFT('Q&amp;V FY 2003-04 to Now'!AQ$9,4),'Iron Ore - Q&amp;V'!$E$9:$E$251,4)+
SUMIFS('Iron Ore - Q&amp;V'!$C$9:$C$251,'Iron Ore - Q&amp;V'!$D$9:$D$251,CONCATENATE("20",RIGHT('Q&amp;V FY 2003-04 to Now'!AQ$9,2)),'Iron Ore - Q&amp;V'!$E$9:$E$251,1)+
SUMIFS('Iron Ore - Q&amp;V'!$C$9:$C$251,'Iron Ore - Q&amp;V'!$D$9:$D$251,CONCATENATE("20",RIGHT('Q&amp;V FY 2003-04 to Now'!AQ$9,2)),'Iron Ore - Q&amp;V'!$E$9:$E$251,2))*1000000</f>
        <v>145855139689</v>
      </c>
      <c r="AS50" s="367">
        <f>(SUMIFS('Iron Ore - Q&amp;V'!$B$9:$B$251,'Iron Ore - Q&amp;V'!$D$9:$D$251,LEFT('Q&amp;V FY 2003-04 to Now'!AS$9:AT$9,4),'Iron Ore - Q&amp;V'!$E$9:$E$251,3)+
SUMIFS('Iron Ore - Q&amp;V'!$B$9:$B$251,'Iron Ore - Q&amp;V'!$D$9:$D$251,LEFT('Q&amp;V FY 2003-04 to Now'!AS$9:AT$9,4),'Iron Ore - Q&amp;V'!$E$9:$E$251,4)+
SUMIFS('Iron Ore - Q&amp;V'!$B$9:$B$251,'Iron Ore - Q&amp;V'!$D$9:$D$251,CONCATENATE("20",RIGHT('Q&amp;V FY 2003-04 to Now'!AS$9,2)),'Iron Ore - Q&amp;V'!$E$9:$E$251,1)+
SUMIFS('Iron Ore - Q&amp;V'!$B$9:$B$251,'Iron Ore - Q&amp;V'!$D$9:$D$251,CONCATENATE("20",RIGHT('Q&amp;V FY 2003-04 to Now'!AS$9,2)),'Iron Ore - Q&amp;V'!$E$9:$E$251,2))*1000000</f>
        <v>866356861.06069994</v>
      </c>
      <c r="AT50" s="367">
        <f>(SUMIFS('Iron Ore - Q&amp;V'!$C$9:$C$251,'Iron Ore - Q&amp;V'!$D$9:$D$251,LEFT('Q&amp;V FY 2003-04 to Now'!AS$9,4),'Iron Ore - Q&amp;V'!$E$9:$E$251,3)+
SUMIFS('Iron Ore - Q&amp;V'!$C$9:$C$251,'Iron Ore - Q&amp;V'!$D$9:$D$251,LEFT('Q&amp;V FY 2003-04 to Now'!AS$9,4),'Iron Ore - Q&amp;V'!$E$9:$E$251,4)+
SUMIFS('Iron Ore - Q&amp;V'!$C$9:$C$251,'Iron Ore - Q&amp;V'!$D$9:$D$251,CONCATENATE("20",RIGHT('Q&amp;V FY 2003-04 to Now'!AS$9,2)),'Iron Ore - Q&amp;V'!$E$9:$E$251,1)+
SUMIFS('Iron Ore - Q&amp;V'!$C$9:$C$251,'Iron Ore - Q&amp;V'!$D$9:$D$251,CONCATENATE("20",RIGHT('Q&amp;V FY 2003-04 to Now'!AS$9,2)),'Iron Ore - Q&amp;V'!$E$9:$E$251,2))*1000000</f>
        <v>125814424256.99998</v>
      </c>
      <c r="AU50" s="358">
        <f>SUMIF($C$11:AT$11,1,$C50:AT50)</f>
        <v>12936370233.963701</v>
      </c>
      <c r="AV50" s="325">
        <f>IF(COUNTIF($C50:AT50, "nfp")=0, SUMIF($C$11:AT$11,0,$C50:AT50), "nfp")</f>
        <v>1490295722132.0798</v>
      </c>
    </row>
    <row r="52" spans="1:48" x14ac:dyDescent="0.25">
      <c r="A52" s="330" t="s">
        <v>218</v>
      </c>
      <c r="B52" s="216" t="s">
        <v>166</v>
      </c>
      <c r="C52" s="232">
        <v>4099466.3669999996</v>
      </c>
      <c r="D52" s="232">
        <v>32885039.690000005</v>
      </c>
      <c r="E52" s="232">
        <v>4079782.1860000002</v>
      </c>
      <c r="F52" s="232">
        <v>39422579.100000009</v>
      </c>
      <c r="G52" s="232">
        <v>4032988.5779999997</v>
      </c>
      <c r="H52" s="232">
        <v>43237134.020000003</v>
      </c>
      <c r="I52" s="232">
        <v>3836357.8820000002</v>
      </c>
      <c r="J52" s="232">
        <v>22397355.969999999</v>
      </c>
      <c r="K52" s="232">
        <v>3885943.8760000002</v>
      </c>
      <c r="L52" s="232">
        <v>19979614.639999997</v>
      </c>
      <c r="M52" s="232">
        <v>3720978.852</v>
      </c>
      <c r="N52" s="232">
        <v>18951732.790000003</v>
      </c>
      <c r="O52" s="232">
        <v>4017735.65</v>
      </c>
      <c r="P52" s="232">
        <v>22695365.710000001</v>
      </c>
      <c r="Q52" s="232">
        <v>3721270.0129999998</v>
      </c>
      <c r="R52" s="232">
        <v>17742837.869999997</v>
      </c>
      <c r="S52" s="232">
        <v>4157629.7340000002</v>
      </c>
      <c r="T52" s="232">
        <v>21403514.879999995</v>
      </c>
      <c r="U52" s="232">
        <v>4091848.8079999997</v>
      </c>
      <c r="V52" s="232">
        <v>24239571.09</v>
      </c>
      <c r="W52" s="232">
        <v>5140757.4649999989</v>
      </c>
      <c r="X52" s="232">
        <v>40953017.02977553</v>
      </c>
      <c r="Y52" s="232">
        <v>5392071.0050000008</v>
      </c>
      <c r="Z52" s="232">
        <v>40955885.995149821</v>
      </c>
      <c r="AA52" s="232">
        <v>4550509.3800000008</v>
      </c>
      <c r="AB52" s="232">
        <v>32007015.361149855</v>
      </c>
      <c r="AC52" s="232">
        <v>4183786.1129999999</v>
      </c>
      <c r="AD52" s="232">
        <v>28337242.162203677</v>
      </c>
      <c r="AE52" s="366">
        <v>3945670.6959999995</v>
      </c>
      <c r="AF52" s="232">
        <v>27742410.263955917</v>
      </c>
      <c r="AG52" s="365">
        <v>4315354.2699999996</v>
      </c>
      <c r="AH52" s="232">
        <v>31047237.206367996</v>
      </c>
      <c r="AI52" s="366">
        <v>4112602.0379999997</v>
      </c>
      <c r="AJ52" s="232">
        <v>34815590.438861787</v>
      </c>
      <c r="AK52" s="232">
        <v>5264193.267</v>
      </c>
      <c r="AL52" s="232">
        <v>52693711.655280575</v>
      </c>
      <c r="AM52" s="232">
        <v>5453867.7300000004</v>
      </c>
      <c r="AN52" s="232">
        <v>56107099.914703593</v>
      </c>
      <c r="AO52" s="232">
        <v>5721833.6929999981</v>
      </c>
      <c r="AP52" s="232">
        <v>59234325.781827912</v>
      </c>
      <c r="AQ52" s="232">
        <v>4780965.2020000005</v>
      </c>
      <c r="AR52" s="232">
        <v>49252689.349306792</v>
      </c>
      <c r="AS52" s="232">
        <v>4216760.0539999986</v>
      </c>
      <c r="AT52" s="232">
        <v>46188292.712325737</v>
      </c>
      <c r="AU52" s="272">
        <f>SUMIF($C$11:AT$11,1,$C52:AT52)</f>
        <v>96722372.859000027</v>
      </c>
      <c r="AV52" s="201">
        <f>IF(COUNTIF($C52:AT52, "nfp")=0, SUMIF($C$11:AT$11,0,$C52:AT52), "nfp")</f>
        <v>762289263.63090909</v>
      </c>
    </row>
    <row r="53" spans="1:48" x14ac:dyDescent="0.25">
      <c r="A53" s="231"/>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366"/>
      <c r="AF53" s="232"/>
      <c r="AG53" s="365"/>
      <c r="AH53" s="232"/>
      <c r="AI53" s="376"/>
      <c r="AJ53" s="374"/>
      <c r="AK53" s="374"/>
      <c r="AL53" s="374"/>
      <c r="AM53" s="374"/>
      <c r="AN53" s="374"/>
      <c r="AO53" s="374"/>
      <c r="AP53" s="374"/>
      <c r="AQ53" s="374"/>
      <c r="AR53" s="374"/>
      <c r="AS53" s="374"/>
      <c r="AT53" s="374"/>
      <c r="AU53" s="272"/>
      <c r="AV53" s="201"/>
    </row>
    <row r="54" spans="1:48" x14ac:dyDescent="0.25">
      <c r="A54" s="323" t="s">
        <v>219</v>
      </c>
      <c r="B54" s="324"/>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320"/>
      <c r="AE54" s="360"/>
      <c r="AF54" s="320"/>
      <c r="AG54" s="360"/>
      <c r="AH54" s="356"/>
      <c r="AI54" s="361"/>
      <c r="AJ54" s="356"/>
      <c r="AK54" s="356"/>
      <c r="AL54" s="356"/>
      <c r="AM54" s="356"/>
      <c r="AN54" s="356"/>
      <c r="AO54" s="356"/>
      <c r="AP54" s="356"/>
      <c r="AQ54" s="356"/>
      <c r="AR54" s="356"/>
      <c r="AS54" s="356"/>
      <c r="AT54" s="356"/>
      <c r="AU54" s="320"/>
      <c r="AV54" s="325"/>
    </row>
    <row r="55" spans="1:48" x14ac:dyDescent="0.25">
      <c r="A55" s="327" t="s">
        <v>220</v>
      </c>
      <c r="B55" s="324" t="s">
        <v>166</v>
      </c>
      <c r="C55" s="325">
        <f>(SUMIFS('Lithium - Q&amp;V'!$B$9:$B$253,'Lithium - Q&amp;V'!$D$9:$D$253,LEFT('Q&amp;V FY 2003-04 to Now'!C$9,4),'Lithium - Q&amp;V'!$E$9:$E$253,3)+
SUMIFS('Lithium - Q&amp;V'!$B$9:$B$253,'Lithium - Q&amp;V'!$D$9:$D$253,LEFT('Q&amp;V FY 2003-04 to Now'!C$9,4),'Lithium - Q&amp;V'!$E$9:$E$253,4)+
SUMIFS('Lithium - Q&amp;V'!$B$9:$B$253,'Lithium - Q&amp;V'!$D$9:$D$253,CONCATENATE("20",RIGHT('Q&amp;V FY 2003-04 to Now'!C$9,2)),'Lithium - Q&amp;V'!$E$9:$E$253,1)+
SUMIFS('Lithium - Q&amp;V'!$B$9:$B$253,'Lithium - Q&amp;V'!$D$9:$D$253,CONCATENATE("20",RIGHT('Q&amp;V FY 2003-04 to Now'!C$9,2)),'Lithium - Q&amp;V'!$E$9:$E$253,2))*1000</f>
        <v>106372.99999999999</v>
      </c>
      <c r="D55" s="325">
        <f>(SUMIFS('Lithium - Q&amp;V'!$C$9:$C$253,'Lithium - Q&amp;V'!$D$9:$D$253,LEFT('Q&amp;V FY 2003-04 to Now'!C$9,4),'Lithium - Q&amp;V'!$E$9:$E$253,3)+
SUMIFS('Lithium - Q&amp;V'!$C$9:$C$253,'Lithium - Q&amp;V'!$D$9:$D$253,LEFT('Q&amp;V FY 2003-04 to Now'!C$9,4),'Lithium - Q&amp;V'!$E$9:$E$253,4)+
SUMIFS('Lithium - Q&amp;V'!$C$9:$C$253,'Lithium - Q&amp;V'!$D$9:$D$253,CONCATENATE("20",RIGHT('Q&amp;V FY 2003-04 to Now'!C$9,2)),'Lithium - Q&amp;V'!$E$9:$E$253,1)+
SUMIFS('Lithium - Q&amp;V'!$C$9:$C$253,'Lithium - Q&amp;V'!$D$9:$D$253,CONCATENATE("20",RIGHT('Q&amp;V FY 2003-04 to Now'!C$9,2)),'Lithium - Q&amp;V'!$E$9:$E$253,2))*1000000</f>
        <v>21381603</v>
      </c>
      <c r="E55" s="325">
        <f>(SUMIFS('Lithium - Q&amp;V'!$B$9:$B$253,'Lithium - Q&amp;V'!$D$9:$D$253,LEFT('Q&amp;V FY 2003-04 to Now'!E$9,4),'Lithium - Q&amp;V'!$E$9:$E$253,3)+
SUMIFS('Lithium - Q&amp;V'!$B$9:$B$253,'Lithium - Q&amp;V'!$D$9:$D$253,LEFT('Q&amp;V FY 2003-04 to Now'!E$9,4),'Lithium - Q&amp;V'!$E$9:$E$253,4)+
SUMIFS('Lithium - Q&amp;V'!$B$9:$B$253,'Lithium - Q&amp;V'!$D$9:$D$253,CONCATENATE("20",RIGHT('Q&amp;V FY 2003-04 to Now'!E$9,2)),'Lithium - Q&amp;V'!$E$9:$E$253,1)+
SUMIFS('Lithium - Q&amp;V'!$B$9:$B$253,'Lithium - Q&amp;V'!$D$9:$D$253,CONCATENATE("20",RIGHT('Q&amp;V FY 2003-04 to Now'!E$9,2)),'Lithium - Q&amp;V'!$E$9:$E$253,2))*1000</f>
        <v>108804</v>
      </c>
      <c r="F55" s="325">
        <f>(SUMIFS('Lithium - Q&amp;V'!$C$9:$C$253,'Lithium - Q&amp;V'!$D$9:$D$253,LEFT('Q&amp;V FY 2003-04 to Now'!E$9,4),'Lithium - Q&amp;V'!$E$9:$E$253,3)+
SUMIFS('Lithium - Q&amp;V'!$C$9:$C$253,'Lithium - Q&amp;V'!$D$9:$D$253,LEFT('Q&amp;V FY 2003-04 to Now'!E$9,4),'Lithium - Q&amp;V'!$E$9:$E$253,4)+
SUMIFS('Lithium - Q&amp;V'!$C$9:$C$253,'Lithium - Q&amp;V'!$D$9:$D$253,CONCATENATE("20",RIGHT('Q&amp;V FY 2003-04 to Now'!E$9,2)),'Lithium - Q&amp;V'!$E$9:$E$253,1)+
SUMIFS('Lithium - Q&amp;V'!$C$9:$C$253,'Lithium - Q&amp;V'!$D$9:$D$253,CONCATENATE("20",RIGHT('Q&amp;V FY 2003-04 to Now'!E$9,2)),'Lithium - Q&amp;V'!$E$9:$E$253,2))*1000000</f>
        <v>23466171</v>
      </c>
      <c r="G55" s="325">
        <f>(SUMIFS('Lithium - Q&amp;V'!$B$9:$B$253,'Lithium - Q&amp;V'!$D$9:$D$253,LEFT('Q&amp;V FY 2003-04 to Now'!G$9,4),'Lithium - Q&amp;V'!$E$9:$E$253,3)+
SUMIFS('Lithium - Q&amp;V'!$B$9:$B$253,'Lithium - Q&amp;V'!$D$9:$D$253,LEFT('Q&amp;V FY 2003-04 to Now'!G$9,4),'Lithium - Q&amp;V'!$E$9:$E$253,4)+
SUMIFS('Lithium - Q&amp;V'!$B$9:$B$253,'Lithium - Q&amp;V'!$D$9:$D$253,CONCATENATE("20",RIGHT('Q&amp;V FY 2003-04 to Now'!G$9,2)),'Lithium - Q&amp;V'!$E$9:$E$253,1)+
SUMIFS('Lithium - Q&amp;V'!$B$9:$B$253,'Lithium - Q&amp;V'!$D$9:$D$253,CONCATENATE("20",RIGHT('Q&amp;V FY 2003-04 to Now'!G$9,2)),'Lithium - Q&amp;V'!$E$9:$E$253,2))*1000</f>
        <v>193228.99999999997</v>
      </c>
      <c r="H55" s="325">
        <f>(SUMIFS('Lithium - Q&amp;V'!$C$9:$C$253,'Lithium - Q&amp;V'!$D$9:$D$253,LEFT('Q&amp;V FY 2003-04 to Now'!G$9,4),'Lithium - Q&amp;V'!$E$9:$E$253,3)+
SUMIFS('Lithium - Q&amp;V'!$C$9:$C$253,'Lithium - Q&amp;V'!$D$9:$D$253,LEFT('Q&amp;V FY 2003-04 to Now'!G$9,4),'Lithium - Q&amp;V'!$E$9:$E$253,4)+
SUMIFS('Lithium - Q&amp;V'!$C$9:$C$253,'Lithium - Q&amp;V'!$D$9:$D$253,CONCATENATE("20",RIGHT('Q&amp;V FY 2003-04 to Now'!G$9,2)),'Lithium - Q&amp;V'!$E$9:$E$253,1)+
SUMIFS('Lithium - Q&amp;V'!$C$9:$C$253,'Lithium - Q&amp;V'!$D$9:$D$253,CONCATENATE("20",RIGHT('Q&amp;V FY 2003-04 to Now'!G$9,2)),'Lithium - Q&amp;V'!$E$9:$E$253,2))*1000000</f>
        <v>36636462</v>
      </c>
      <c r="I55" s="325">
        <f>(SUMIFS('Lithium - Q&amp;V'!$B$9:$B$253,'Lithium - Q&amp;V'!$D$9:$D$253,LEFT('Q&amp;V FY 2003-04 to Now'!I$9,4),'Lithium - Q&amp;V'!$E$9:$E$253,3)+
SUMIFS('Lithium - Q&amp;V'!$B$9:$B$253,'Lithium - Q&amp;V'!$D$9:$D$253,LEFT('Q&amp;V FY 2003-04 to Now'!I$9,4),'Lithium - Q&amp;V'!$E$9:$E$253,4)+
SUMIFS('Lithium - Q&amp;V'!$B$9:$B$253,'Lithium - Q&amp;V'!$D$9:$D$253,CONCATENATE("20",RIGHT('Q&amp;V FY 2003-04 to Now'!I$9,2)),'Lithium - Q&amp;V'!$E$9:$E$253,1)+
SUMIFS('Lithium - Q&amp;V'!$B$9:$B$253,'Lithium - Q&amp;V'!$D$9:$D$253,CONCATENATE("20",RIGHT('Q&amp;V FY 2003-04 to Now'!I$9,2)),'Lithium - Q&amp;V'!$E$9:$E$253,2))*1000</f>
        <v>290432</v>
      </c>
      <c r="J55" s="325">
        <f>(SUMIFS('Lithium - Q&amp;V'!$C$9:$C$253,'Lithium - Q&amp;V'!$D$9:$D$253,LEFT('Q&amp;V FY 2003-04 to Now'!I$9,4),'Lithium - Q&amp;V'!$E$9:$E$253,3)+
SUMIFS('Lithium - Q&amp;V'!$C$9:$C$253,'Lithium - Q&amp;V'!$D$9:$D$253,LEFT('Q&amp;V FY 2003-04 to Now'!I$9,4),'Lithium - Q&amp;V'!$E$9:$E$253,4)+
SUMIFS('Lithium - Q&amp;V'!$C$9:$C$253,'Lithium - Q&amp;V'!$D$9:$D$253,CONCATENATE("20",RIGHT('Q&amp;V FY 2003-04 to Now'!I$9,2)),'Lithium - Q&amp;V'!$E$9:$E$253,1)+
SUMIFS('Lithium - Q&amp;V'!$C$9:$C$253,'Lithium - Q&amp;V'!$D$9:$D$253,CONCATENATE("20",RIGHT('Q&amp;V FY 2003-04 to Now'!I$9,2)),'Lithium - Q&amp;V'!$E$9:$E$253,2))*1000000</f>
        <v>72200944</v>
      </c>
      <c r="K55" s="325">
        <f>(SUMIFS('Lithium - Q&amp;V'!$B$9:$B$253,'Lithium - Q&amp;V'!$D$9:$D$253,LEFT('Q&amp;V FY 2003-04 to Now'!K$9,4),'Lithium - Q&amp;V'!$E$9:$E$253,3)+
SUMIFS('Lithium - Q&amp;V'!$B$9:$B$253,'Lithium - Q&amp;V'!$D$9:$D$253,LEFT('Q&amp;V FY 2003-04 to Now'!K$9,4),'Lithium - Q&amp;V'!$E$9:$E$253,4)+
SUMIFS('Lithium - Q&amp;V'!$B$9:$B$253,'Lithium - Q&amp;V'!$D$9:$D$253,CONCATENATE("20",RIGHT('Q&amp;V FY 2003-04 to Now'!K$9,2)),'Lithium - Q&amp;V'!$E$9:$E$253,1)+
SUMIFS('Lithium - Q&amp;V'!$B$9:$B$253,'Lithium - Q&amp;V'!$D$9:$D$253,CONCATENATE("20",RIGHT('Q&amp;V FY 2003-04 to Now'!K$9,2)),'Lithium - Q&amp;V'!$E$9:$E$253,2))*1000</f>
        <v>246015</v>
      </c>
      <c r="L55" s="325">
        <f>(SUMIFS('Lithium - Q&amp;V'!$C$9:$C$253,'Lithium - Q&amp;V'!$D$9:$D$253,LEFT('Q&amp;V FY 2003-04 to Now'!K$9,4),'Lithium - Q&amp;V'!$E$9:$E$253,3)+
SUMIFS('Lithium - Q&amp;V'!$C$9:$C$253,'Lithium - Q&amp;V'!$D$9:$D$253,LEFT('Q&amp;V FY 2003-04 to Now'!K$9,4),'Lithium - Q&amp;V'!$E$9:$E$253,4)+
SUMIFS('Lithium - Q&amp;V'!$C$9:$C$253,'Lithium - Q&amp;V'!$D$9:$D$253,CONCATENATE("20",RIGHT('Q&amp;V FY 2003-04 to Now'!K$9,2)),'Lithium - Q&amp;V'!$E$9:$E$253,1)+
SUMIFS('Lithium - Q&amp;V'!$C$9:$C$253,'Lithium - Q&amp;V'!$D$9:$D$253,CONCATENATE("20",RIGHT('Q&amp;V FY 2003-04 to Now'!K$9,2)),'Lithium - Q&amp;V'!$E$9:$E$253,2))*1000000</f>
        <v>69975835</v>
      </c>
      <c r="M55" s="325">
        <f>(SUMIFS('Lithium - Q&amp;V'!$B$9:$B$253,'Lithium - Q&amp;V'!$D$9:$D$253,LEFT('Q&amp;V FY 2003-04 to Now'!M$9,4),'Lithium - Q&amp;V'!$E$9:$E$253,3)+
SUMIFS('Lithium - Q&amp;V'!$B$9:$B$253,'Lithium - Q&amp;V'!$D$9:$D$253,LEFT('Q&amp;V FY 2003-04 to Now'!M$9,4),'Lithium - Q&amp;V'!$E$9:$E$253,4)+
SUMIFS('Lithium - Q&amp;V'!$B$9:$B$253,'Lithium - Q&amp;V'!$D$9:$D$253,CONCATENATE("20",RIGHT('Q&amp;V FY 2003-04 to Now'!M$9,2)),'Lithium - Q&amp;V'!$E$9:$E$253,1)+
SUMIFS('Lithium - Q&amp;V'!$B$9:$B$253,'Lithium - Q&amp;V'!$D$9:$D$253,CONCATENATE("20",RIGHT('Q&amp;V FY 2003-04 to Now'!M$9,2)),'Lithium - Q&amp;V'!$E$9:$E$253,2))*1000</f>
        <v>223756.15</v>
      </c>
      <c r="N55" s="325">
        <f>(SUMIFS('Lithium - Q&amp;V'!$C$9:$C$253,'Lithium - Q&amp;V'!$D$9:$D$253,LEFT('Q&amp;V FY 2003-04 to Now'!M$9,4),'Lithium - Q&amp;V'!$E$9:$E$253,3)+
SUMIFS('Lithium - Q&amp;V'!$C$9:$C$253,'Lithium - Q&amp;V'!$D$9:$D$253,LEFT('Q&amp;V FY 2003-04 to Now'!M$9,4),'Lithium - Q&amp;V'!$E$9:$E$253,4)+
SUMIFS('Lithium - Q&amp;V'!$C$9:$C$253,'Lithium - Q&amp;V'!$D$9:$D$253,CONCATENATE("20",RIGHT('Q&amp;V FY 2003-04 to Now'!M$9,2)),'Lithium - Q&amp;V'!$E$9:$E$253,1)+
SUMIFS('Lithium - Q&amp;V'!$C$9:$C$253,'Lithium - Q&amp;V'!$D$9:$D$253,CONCATENATE("20",RIGHT('Q&amp;V FY 2003-04 to Now'!M$9,2)),'Lithium - Q&amp;V'!$E$9:$E$253,2))*1000000</f>
        <v>80063204.329999998</v>
      </c>
      <c r="O55" s="325">
        <f>(SUMIFS('Lithium - Q&amp;V'!$B$9:$B$253,'Lithium - Q&amp;V'!$D$9:$D$253,LEFT('Q&amp;V FY 2003-04 to Now'!O$9,4),'Lithium - Q&amp;V'!$E$9:$E$253,3)+
SUMIFS('Lithium - Q&amp;V'!$B$9:$B$253,'Lithium - Q&amp;V'!$D$9:$D$253,LEFT('Q&amp;V FY 2003-04 to Now'!O$9,4),'Lithium - Q&amp;V'!$E$9:$E$253,4)+
SUMIFS('Lithium - Q&amp;V'!$B$9:$B$253,'Lithium - Q&amp;V'!$D$9:$D$253,CONCATENATE("20",RIGHT('Q&amp;V FY 2003-04 to Now'!O$9,2)),'Lithium - Q&amp;V'!$E$9:$E$253,1)+
SUMIFS('Lithium - Q&amp;V'!$B$9:$B$253,'Lithium - Q&amp;V'!$D$9:$D$253,CONCATENATE("20",RIGHT('Q&amp;V FY 2003-04 to Now'!O$9,2)),'Lithium - Q&amp;V'!$E$9:$E$253,2))*1000</f>
        <v>247422.00000000003</v>
      </c>
      <c r="P55" s="325">
        <f>(SUMIFS('Lithium - Q&amp;V'!$C$9:$C$253,'Lithium - Q&amp;V'!$D$9:$D$253,LEFT('Q&amp;V FY 2003-04 to Now'!O$9,4),'Lithium - Q&amp;V'!$E$9:$E$253,3)+
SUMIFS('Lithium - Q&amp;V'!$C$9:$C$253,'Lithium - Q&amp;V'!$D$9:$D$253,LEFT('Q&amp;V FY 2003-04 to Now'!O$9,4),'Lithium - Q&amp;V'!$E$9:$E$253,4)+
SUMIFS('Lithium - Q&amp;V'!$C$9:$C$253,'Lithium - Q&amp;V'!$D$9:$D$253,CONCATENATE("20",RIGHT('Q&amp;V FY 2003-04 to Now'!O$9,2)),'Lithium - Q&amp;V'!$E$9:$E$253,1)+
SUMIFS('Lithium - Q&amp;V'!$C$9:$C$253,'Lithium - Q&amp;V'!$D$9:$D$253,CONCATENATE("20",RIGHT('Q&amp;V FY 2003-04 to Now'!O$9,2)),'Lithium - Q&amp;V'!$E$9:$E$253,2))*1000000</f>
        <v>73436811</v>
      </c>
      <c r="Q55" s="325">
        <f>(SUMIFS('Lithium - Q&amp;V'!$B$9:$B$253,'Lithium - Q&amp;V'!$D$9:$D$253,LEFT('Q&amp;V FY 2003-04 to Now'!Q$9,4),'Lithium - Q&amp;V'!$E$9:$E$253,3)+
SUMIFS('Lithium - Q&amp;V'!$B$9:$B$253,'Lithium - Q&amp;V'!$D$9:$D$253,LEFT('Q&amp;V FY 2003-04 to Now'!Q$9,4),'Lithium - Q&amp;V'!$E$9:$E$253,4)+
SUMIFS('Lithium - Q&amp;V'!$B$9:$B$253,'Lithium - Q&amp;V'!$D$9:$D$253,CONCATENATE("20",RIGHT('Q&amp;V FY 2003-04 to Now'!Q$9,2)),'Lithium - Q&amp;V'!$E$9:$E$253,1)+
SUMIFS('Lithium - Q&amp;V'!$B$9:$B$253,'Lithium - Q&amp;V'!$D$9:$D$253,CONCATENATE("20",RIGHT('Q&amp;V FY 2003-04 to Now'!Q$9,2)),'Lithium - Q&amp;V'!$E$9:$E$253,2))*1000</f>
        <v>352417.69999999995</v>
      </c>
      <c r="R55" s="325">
        <f>(SUMIFS('Lithium - Q&amp;V'!$C$9:$C$253,'Lithium - Q&amp;V'!$D$9:$D$253,LEFT('Q&amp;V FY 2003-04 to Now'!Q$9,4),'Lithium - Q&amp;V'!$E$9:$E$253,3)+
SUMIFS('Lithium - Q&amp;V'!$C$9:$C$253,'Lithium - Q&amp;V'!$D$9:$D$253,LEFT('Q&amp;V FY 2003-04 to Now'!Q$9,4),'Lithium - Q&amp;V'!$E$9:$E$253,4)+
SUMIFS('Lithium - Q&amp;V'!$C$9:$C$253,'Lithium - Q&amp;V'!$D$9:$D$253,CONCATENATE("20",RIGHT('Q&amp;V FY 2003-04 to Now'!Q$9,2)),'Lithium - Q&amp;V'!$E$9:$E$253,1)+
SUMIFS('Lithium - Q&amp;V'!$C$9:$C$253,'Lithium - Q&amp;V'!$D$9:$D$253,CONCATENATE("20",RIGHT('Q&amp;V FY 2003-04 to Now'!Q$9,2)),'Lithium - Q&amp;V'!$E$9:$E$253,2))*1000000</f>
        <v>103317679.97</v>
      </c>
      <c r="S55" s="325">
        <f>(SUMIFS('Lithium - Q&amp;V'!$B$9:$B$253,'Lithium - Q&amp;V'!$D$9:$D$253,LEFT('Q&amp;V FY 2003-04 to Now'!S$9,4),'Lithium - Q&amp;V'!$E$9:$E$253,3)+
SUMIFS('Lithium - Q&amp;V'!$B$9:$B$253,'Lithium - Q&amp;V'!$D$9:$D$253,LEFT('Q&amp;V FY 2003-04 to Now'!S$9,4),'Lithium - Q&amp;V'!$E$9:$E$253,4)+
SUMIFS('Lithium - Q&amp;V'!$B$9:$B$253,'Lithium - Q&amp;V'!$D$9:$D$253,CONCATENATE("20",RIGHT('Q&amp;V FY 2003-04 to Now'!S$9,2)),'Lithium - Q&amp;V'!$E$9:$E$253,1)+
SUMIFS('Lithium - Q&amp;V'!$B$9:$B$253,'Lithium - Q&amp;V'!$D$9:$D$253,CONCATENATE("20",RIGHT('Q&amp;V FY 2003-04 to Now'!S$9,2)),'Lithium - Q&amp;V'!$E$9:$E$253,2))*1000</f>
        <v>461120.81</v>
      </c>
      <c r="T55" s="325">
        <f>(SUMIFS('Lithium - Q&amp;V'!$C$9:$C$253,'Lithium - Q&amp;V'!$D$9:$D$253,LEFT('Q&amp;V FY 2003-04 to Now'!S$9,4),'Lithium - Q&amp;V'!$E$9:$E$253,3)+
SUMIFS('Lithium - Q&amp;V'!$C$9:$C$253,'Lithium - Q&amp;V'!$D$9:$D$253,LEFT('Q&amp;V FY 2003-04 to Now'!S$9,4),'Lithium - Q&amp;V'!$E$9:$E$253,4)+
SUMIFS('Lithium - Q&amp;V'!$C$9:$C$253,'Lithium - Q&amp;V'!$D$9:$D$253,CONCATENATE("20",RIGHT('Q&amp;V FY 2003-04 to Now'!S$9,2)),'Lithium - Q&amp;V'!$E$9:$E$253,1)+
SUMIFS('Lithium - Q&amp;V'!$C$9:$C$253,'Lithium - Q&amp;V'!$D$9:$D$253,CONCATENATE("20",RIGHT('Q&amp;V FY 2003-04 to Now'!S$9,2)),'Lithium - Q&amp;V'!$E$9:$E$253,2))*1000000</f>
        <v>138413821.05999997</v>
      </c>
      <c r="U55" s="325">
        <f>(SUMIFS('Lithium - Q&amp;V'!$B$9:$B$253,'Lithium - Q&amp;V'!$D$9:$D$253,LEFT('Q&amp;V FY 2003-04 to Now'!U$9,4),'Lithium - Q&amp;V'!$E$9:$E$253,3)+
SUMIFS('Lithium - Q&amp;V'!$B$9:$B$253,'Lithium - Q&amp;V'!$D$9:$D$253,LEFT('Q&amp;V FY 2003-04 to Now'!U$9,4),'Lithium - Q&amp;V'!$E$9:$E$253,4)+
SUMIFS('Lithium - Q&amp;V'!$B$9:$B$253,'Lithium - Q&amp;V'!$D$9:$D$253,CONCATENATE("20",RIGHT('Q&amp;V FY 2003-04 to Now'!U$9,2)),'Lithium - Q&amp;V'!$E$9:$E$253,1)+
SUMIFS('Lithium - Q&amp;V'!$B$9:$B$253,'Lithium - Q&amp;V'!$D$9:$D$253,CONCATENATE("20",RIGHT('Q&amp;V FY 2003-04 to Now'!U$9,2)),'Lithium - Q&amp;V'!$E$9:$E$253,2))*1000</f>
        <v>485878.88999999996</v>
      </c>
      <c r="V55" s="325">
        <f>(SUMIFS('Lithium - Q&amp;V'!$C$9:$C$253,'Lithium - Q&amp;V'!$D$9:$D$253,LEFT('Q&amp;V FY 2003-04 to Now'!U$9,4),'Lithium - Q&amp;V'!$E$9:$E$253,3)+
SUMIFS('Lithium - Q&amp;V'!$C$9:$C$253,'Lithium - Q&amp;V'!$D$9:$D$253,LEFT('Q&amp;V FY 2003-04 to Now'!U$9,4),'Lithium - Q&amp;V'!$E$9:$E$253,4)+
SUMIFS('Lithium - Q&amp;V'!$C$9:$C$253,'Lithium - Q&amp;V'!$D$9:$D$253,CONCATENATE("20",RIGHT('Q&amp;V FY 2003-04 to Now'!U$9,2)),'Lithium - Q&amp;V'!$E$9:$E$253,1)+
SUMIFS('Lithium - Q&amp;V'!$C$9:$C$253,'Lithium - Q&amp;V'!$D$9:$D$253,CONCATENATE("20",RIGHT('Q&amp;V FY 2003-04 to Now'!U$9,2)),'Lithium - Q&amp;V'!$E$9:$E$253,2))*1000000</f>
        <v>178786684.56999996</v>
      </c>
      <c r="W55" s="325">
        <f>(SUMIFS('Lithium - Q&amp;V'!$B$9:$B$253,'Lithium - Q&amp;V'!$D$9:$D$253,LEFT('Q&amp;V FY 2003-04 to Now'!W$9,4),'Lithium - Q&amp;V'!$E$9:$E$253,3)+
SUMIFS('Lithium - Q&amp;V'!$B$9:$B$253,'Lithium - Q&amp;V'!$D$9:$D$253,LEFT('Q&amp;V FY 2003-04 to Now'!W$9,4),'Lithium - Q&amp;V'!$E$9:$E$253,4)+
SUMIFS('Lithium - Q&amp;V'!$B$9:$B$253,'Lithium - Q&amp;V'!$D$9:$D$253,CONCATENATE("20",RIGHT('Q&amp;V FY 2003-04 to Now'!W$9,2)),'Lithium - Q&amp;V'!$E$9:$E$253,1)+
SUMIFS('Lithium - Q&amp;V'!$B$9:$B$253,'Lithium - Q&amp;V'!$D$9:$D$253,CONCATENATE("20",RIGHT('Q&amp;V FY 2003-04 to Now'!W$9,2)),'Lithium - Q&amp;V'!$E$9:$E$253,2))*1000</f>
        <v>342065</v>
      </c>
      <c r="X55" s="325">
        <f>(SUMIFS('Lithium - Q&amp;V'!$C$9:$C$253,'Lithium - Q&amp;V'!$D$9:$D$253,LEFT('Q&amp;V FY 2003-04 to Now'!W$9,4),'Lithium - Q&amp;V'!$E$9:$E$253,3)+
SUMIFS('Lithium - Q&amp;V'!$C$9:$C$253,'Lithium - Q&amp;V'!$D$9:$D$253,LEFT('Q&amp;V FY 2003-04 to Now'!W$9,4),'Lithium - Q&amp;V'!$E$9:$E$253,4)+
SUMIFS('Lithium - Q&amp;V'!$C$9:$C$253,'Lithium - Q&amp;V'!$D$9:$D$253,CONCATENATE("20",RIGHT('Q&amp;V FY 2003-04 to Now'!W$9,2)),'Lithium - Q&amp;V'!$E$9:$E$253,1)+
SUMIFS('Lithium - Q&amp;V'!$C$9:$C$253,'Lithium - Q&amp;V'!$D$9:$D$253,CONCATENATE("20",RIGHT('Q&amp;V FY 2003-04 to Now'!W$9,2)),'Lithium - Q&amp;V'!$E$9:$E$253,2))*1000000</f>
        <v>150564376.99999997</v>
      </c>
      <c r="Y55" s="325">
        <f>(SUMIFS('Lithium - Q&amp;V'!$B$9:$B$253,'Lithium - Q&amp;V'!$D$9:$D$253,LEFT('Q&amp;V FY 2003-04 to Now'!Y$9,4),'Lithium - Q&amp;V'!$E$9:$E$253,3)+
SUMIFS('Lithium - Q&amp;V'!$B$9:$B$253,'Lithium - Q&amp;V'!$D$9:$D$253,LEFT('Q&amp;V FY 2003-04 to Now'!Y$9,4),'Lithium - Q&amp;V'!$E$9:$E$253,4)+
SUMIFS('Lithium - Q&amp;V'!$B$9:$B$253,'Lithium - Q&amp;V'!$D$9:$D$253,CONCATENATE("20",RIGHT('Q&amp;V FY 2003-04 to Now'!Y$9,2)),'Lithium - Q&amp;V'!$E$9:$E$253,1)+
SUMIFS('Lithium - Q&amp;V'!$B$9:$B$253,'Lithium - Q&amp;V'!$D$9:$D$253,CONCATENATE("20",RIGHT('Q&amp;V FY 2003-04 to Now'!Y$9,2)),'Lithium - Q&amp;V'!$E$9:$E$253,2))*1000</f>
        <v>489073.99999999994</v>
      </c>
      <c r="Z55" s="325">
        <f>(SUMIFS('Lithium - Q&amp;V'!$C$9:$C$253,'Lithium - Q&amp;V'!$D$9:$D$253,LEFT('Q&amp;V FY 2003-04 to Now'!Y$9,4),'Lithium - Q&amp;V'!$E$9:$E$253,3)+
SUMIFS('Lithium - Q&amp;V'!$C$9:$C$253,'Lithium - Q&amp;V'!$D$9:$D$253,LEFT('Q&amp;V FY 2003-04 to Now'!Y$9,4),'Lithium - Q&amp;V'!$E$9:$E$253,4)+
SUMIFS('Lithium - Q&amp;V'!$C$9:$C$253,'Lithium - Q&amp;V'!$D$9:$D$253,CONCATENATE("20",RIGHT('Q&amp;V FY 2003-04 to Now'!Y$9,2)),'Lithium - Q&amp;V'!$E$9:$E$253,1)+
SUMIFS('Lithium - Q&amp;V'!$C$9:$C$253,'Lithium - Q&amp;V'!$D$9:$D$253,CONCATENATE("20",RIGHT('Q&amp;V FY 2003-04 to Now'!Y$9,2)),'Lithium - Q&amp;V'!$E$9:$E$253,2))*1000000</f>
        <v>245874387</v>
      </c>
      <c r="AA55" s="325">
        <f>(SUMIFS('Lithium - Q&amp;V'!$B$9:$B$253,'Lithium - Q&amp;V'!$D$9:$D$253,LEFT('Q&amp;V FY 2003-04 to Now'!AA$9,4),'Lithium - Q&amp;V'!$E$9:$E$253,3)+
SUMIFS('Lithium - Q&amp;V'!$B$9:$B$253,'Lithium - Q&amp;V'!$D$9:$D$253,LEFT('Q&amp;V FY 2003-04 to Now'!AA$9,4),'Lithium - Q&amp;V'!$E$9:$E$253,4)+
SUMIFS('Lithium - Q&amp;V'!$B$9:$B$253,'Lithium - Q&amp;V'!$D$9:$D$253,CONCATENATE("20",RIGHT('Q&amp;V FY 2003-04 to Now'!AA$9,2)),'Lithium - Q&amp;V'!$E$9:$E$253,1)+
SUMIFS('Lithium - Q&amp;V'!$B$9:$B$253,'Lithium - Q&amp;V'!$D$9:$D$253,CONCATENATE("20",RIGHT('Q&amp;V FY 2003-04 to Now'!AA$9,2)),'Lithium - Q&amp;V'!$E$9:$E$253,2))*1000</f>
        <v>465817</v>
      </c>
      <c r="AB55" s="325">
        <f>(SUMIFS('Lithium - Q&amp;V'!$C$9:$C$253,'Lithium - Q&amp;V'!$D$9:$D$253,LEFT('Q&amp;V FY 2003-04 to Now'!AA$9,4),'Lithium - Q&amp;V'!$E$9:$E$253,3)+
SUMIFS('Lithium - Q&amp;V'!$C$9:$C$253,'Lithium - Q&amp;V'!$D$9:$D$253,LEFT('Q&amp;V FY 2003-04 to Now'!AA$9,4),'Lithium - Q&amp;V'!$E$9:$E$253,4)+
SUMIFS('Lithium - Q&amp;V'!$C$9:$C$253,'Lithium - Q&amp;V'!$D$9:$D$253,CONCATENATE("20",RIGHT('Q&amp;V FY 2003-04 to Now'!AA$9,2)),'Lithium - Q&amp;V'!$E$9:$E$253,1)+
SUMIFS('Lithium - Q&amp;V'!$C$9:$C$253,'Lithium - Q&amp;V'!$D$9:$D$253,CONCATENATE("20",RIGHT('Q&amp;V FY 2003-04 to Now'!AA$9,2)),'Lithium - Q&amp;V'!$E$9:$E$253,2))*1000000</f>
        <v>260721539.99999994</v>
      </c>
      <c r="AC55" s="325">
        <f>(SUMIFS('Lithium - Q&amp;V'!$B$9:$B$253,'Lithium - Q&amp;V'!$D$9:$D$253,LEFT('Q&amp;V FY 2003-04 to Now'!AC$9,4),'Lithium - Q&amp;V'!$E$9:$E$253,3)+
SUMIFS('Lithium - Q&amp;V'!$B$9:$B$253,'Lithium - Q&amp;V'!$D$9:$D$253,LEFT('Q&amp;V FY 2003-04 to Now'!AC$9,4),'Lithium - Q&amp;V'!$E$9:$E$253,4)+
SUMIFS('Lithium - Q&amp;V'!$B$9:$B$253,'Lithium - Q&amp;V'!$D$9:$D$253,CONCATENATE("20",RIGHT('Q&amp;V FY 2003-04 to Now'!AC$9,2)),'Lithium - Q&amp;V'!$E$9:$E$253,1)+
SUMIFS('Lithium - Q&amp;V'!$B$9:$B$253,'Lithium - Q&amp;V'!$D$9:$D$253,CONCATENATE("20",RIGHT('Q&amp;V FY 2003-04 to Now'!AC$9,2)),'Lithium - Q&amp;V'!$E$9:$E$253,2))*1000</f>
        <v>914056.27500000002</v>
      </c>
      <c r="AD55" s="325">
        <f>(SUMIFS('Lithium - Q&amp;V'!$C$9:$C$253,'Lithium - Q&amp;V'!$D$9:$D$253,LEFT('Q&amp;V FY 2003-04 to Now'!AC$9,4),'Lithium - Q&amp;V'!$E$9:$E$253,3)+
SUMIFS('Lithium - Q&amp;V'!$C$9:$C$253,'Lithium - Q&amp;V'!$D$9:$D$253,LEFT('Q&amp;V FY 2003-04 to Now'!AC$9,4),'Lithium - Q&amp;V'!$E$9:$E$253,4)+
SUMIFS('Lithium - Q&amp;V'!$C$9:$C$253,'Lithium - Q&amp;V'!$D$9:$D$253,CONCATENATE("20",RIGHT('Q&amp;V FY 2003-04 to Now'!AC$9,2)),'Lithium - Q&amp;V'!$E$9:$E$253,1)+
SUMIFS('Lithium - Q&amp;V'!$C$9:$C$253,'Lithium - Q&amp;V'!$D$9:$D$253,CONCATENATE("20",RIGHT('Q&amp;V FY 2003-04 to Now'!AC$9,2)),'Lithium - Q&amp;V'!$E$9:$E$253,2))*1000000</f>
        <v>595472095</v>
      </c>
      <c r="AE55" s="358">
        <f>(SUMIFS('Lithium - Q&amp;V'!$B$9:$B$253,'Lithium - Q&amp;V'!$D$9:$D$253,LEFT('Q&amp;V FY 2003-04 to Now'!AE$9,4),'Lithium - Q&amp;V'!$E$9:$E$253,3)+
SUMIFS('Lithium - Q&amp;V'!$B$9:$B$253,'Lithium - Q&amp;V'!$D$9:$D$253,LEFT('Q&amp;V FY 2003-04 to Now'!AE$9,4),'Lithium - Q&amp;V'!$E$9:$E$253,4)+
SUMIFS('Lithium - Q&amp;V'!$B$9:$B$253,'Lithium - Q&amp;V'!$D$9:$D$253,CONCATENATE("20",RIGHT('Q&amp;V FY 2003-04 to Now'!AE$9,2)),'Lithium - Q&amp;V'!$E$9:$E$253,1)+
SUMIFS('Lithium - Q&amp;V'!$B$9:$B$253,'Lithium - Q&amp;V'!$D$9:$D$253,CONCATENATE("20",RIGHT('Q&amp;V FY 2003-04 to Now'!AE$9,2)),'Lithium - Q&amp;V'!$E$9:$E$253,2))*1000</f>
        <v>2138226.0175000001</v>
      </c>
      <c r="AF55" s="325">
        <f>(SUMIFS('Lithium - Q&amp;V'!$C$9:$C$253,'Lithium - Q&amp;V'!$D$9:$D$253,LEFT('Q&amp;V FY 2003-04 to Now'!AE$9,4),'Lithium - Q&amp;V'!$E$9:$E$253,3)+
SUMIFS('Lithium - Q&amp;V'!$C$9:$C$253,'Lithium - Q&amp;V'!$D$9:$D$253,LEFT('Q&amp;V FY 2003-04 to Now'!AE$9,4),'Lithium - Q&amp;V'!$E$9:$E$253,4)+
SUMIFS('Lithium - Q&amp;V'!$C$9:$C$253,'Lithium - Q&amp;V'!$D$9:$D$253,CONCATENATE("20",RIGHT('Q&amp;V FY 2003-04 to Now'!AE$9,2)),'Lithium - Q&amp;V'!$E$9:$E$253,1)+
SUMIFS('Lithium - Q&amp;V'!$C$9:$C$253,'Lithium - Q&amp;V'!$D$9:$D$253,CONCATENATE("20",RIGHT('Q&amp;V FY 2003-04 to Now'!AE$9,2)),'Lithium - Q&amp;V'!$E$9:$E$253,2))*1000000</f>
        <v>1698466966.9999998</v>
      </c>
      <c r="AG55" s="358">
        <f>(SUMIFS('Lithium - Q&amp;V'!$B$9:$B$253,'Lithium - Q&amp;V'!$D$9:$D$253,LEFT('Q&amp;V FY 2003-04 to Now'!AG$9,4),'Lithium - Q&amp;V'!$E$9:$E$253,3)+
SUMIFS('Lithium - Q&amp;V'!$B$9:$B$253,'Lithium - Q&amp;V'!$D$9:$D$253,LEFT('Q&amp;V FY 2003-04 to Now'!AG$9,4),'Lithium - Q&amp;V'!$E$9:$E$253,4)+
SUMIFS('Lithium - Q&amp;V'!$B$9:$B$253,'Lithium - Q&amp;V'!$D$9:$D$253,CONCATENATE("20",RIGHT('Q&amp;V FY 2003-04 to Now'!AG$9,2)),'Lithium - Q&amp;V'!$E$9:$E$253,1)+
SUMIFS('Lithium - Q&amp;V'!$B$9:$B$253,'Lithium - Q&amp;V'!$D$9:$D$253,CONCATENATE("20",RIGHT('Q&amp;V FY 2003-04 to Now'!AG$9,2)),'Lithium - Q&amp;V'!$E$9:$E$253,2))*1000</f>
        <v>1696907.6429999999</v>
      </c>
      <c r="AH55" s="326">
        <f>(SUMIFS('Lithium - Q&amp;V'!$C$9:$C$253,'Lithium - Q&amp;V'!$D$9:$D$253,LEFT('Q&amp;V FY 2003-04 to Now'!AG$9,4),'Lithium - Q&amp;V'!$E$9:$E$253,3)+
SUMIFS('Lithium - Q&amp;V'!$C$9:$C$253,'Lithium - Q&amp;V'!$D$9:$D$253,LEFT('Q&amp;V FY 2003-04 to Now'!AG$9,4),'Lithium - Q&amp;V'!$E$9:$E$253,4)+
SUMIFS('Lithium - Q&amp;V'!$C$9:$C$253,'Lithium - Q&amp;V'!$D$9:$D$253,CONCATENATE("20",RIGHT('Q&amp;V FY 2003-04 to Now'!AG$9,2)),'Lithium - Q&amp;V'!$E$9:$E$253,1)+
SUMIFS('Lithium - Q&amp;V'!$C$9:$C$253,'Lithium - Q&amp;V'!$D$9:$D$253,CONCATENATE("20",RIGHT('Q&amp;V FY 2003-04 to Now'!AG$9,2)),'Lithium - Q&amp;V'!$E$9:$E$253,2))*1000000</f>
        <v>1663093342.9999998</v>
      </c>
      <c r="AI55" s="367">
        <f>(SUMIFS('Lithium - Q&amp;V'!$B$9:$B$253,'Lithium - Q&amp;V'!$D$9:$D$253,LEFT('Q&amp;V FY 2003-04 to Now'!AI$9,4),'Lithium - Q&amp;V'!$E$9:$E$253,3)+
SUMIFS('Lithium - Q&amp;V'!$B$9:$B$253,'Lithium - Q&amp;V'!$D$9:$D$253,LEFT('Q&amp;V FY 2003-04 to Now'!AI$9,4),'Lithium - Q&amp;V'!$E$9:$E$253,4)+
SUMIFS('Lithium - Q&amp;V'!$B$9:$B$253,'Lithium - Q&amp;V'!$D$9:$D$253,CONCATENATE("20",RIGHT('Q&amp;V FY 2003-04 to Now'!AI$9,2)),'Lithium - Q&amp;V'!$E$9:$E$253,1)+
SUMIFS('Lithium - Q&amp;V'!$B$9:$B$253,'Lithium - Q&amp;V'!$D$9:$D$253,CONCATENATE("20",RIGHT('Q&amp;V FY 2003-04 to Now'!AI$9,2)),'Lithium - Q&amp;V'!$E$9:$E$253,2))*1000</f>
        <v>1459796.92</v>
      </c>
      <c r="AJ55" s="367">
        <f>(SUMIFS('Lithium - Q&amp;V'!$C$9:$C$253,'Lithium - Q&amp;V'!$D$9:$D$253,LEFT('Q&amp;V FY 2003-04 to Now'!AI$9,4),'Lithium - Q&amp;V'!$E$9:$E$253,3)+
SUMIFS('Lithium - Q&amp;V'!$C$9:$C$253,'Lithium - Q&amp;V'!$D$9:$D$253,LEFT('Q&amp;V FY 2003-04 to Now'!AI$9,4),'Lithium - Q&amp;V'!$E$9:$E$253,4)+
SUMIFS('Lithium - Q&amp;V'!$C$9:$C$253,'Lithium - Q&amp;V'!$D$9:$D$253,CONCATENATE("20",RIGHT('Q&amp;V FY 2003-04 to Now'!AI$9,2)),'Lithium - Q&amp;V'!$E$9:$E$253,1)+
SUMIFS('Lithium - Q&amp;V'!$C$9:$C$253,'Lithium - Q&amp;V'!$D$9:$D$253,CONCATENATE("20",RIGHT('Q&amp;V FY 2003-04 to Now'!AI$9,2)),'Lithium - Q&amp;V'!$E$9:$E$253,2))*1000000</f>
        <v>998656158</v>
      </c>
      <c r="AK55" s="367">
        <f>(SUMIFS('Lithium - Q&amp;V'!$B$9:$B$253,'Lithium - Q&amp;V'!$D$9:$D$253,LEFT('Q&amp;V FY 2003-04 to Now'!AK$9,4),'Lithium - Q&amp;V'!$E$9:$E$253,3)+
SUMIFS('Lithium - Q&amp;V'!$B$9:$B$253,'Lithium - Q&amp;V'!$D$9:$D$253,LEFT('Q&amp;V FY 2003-04 to Now'!AK$9,4),'Lithium - Q&amp;V'!$E$9:$E$253,4)+
SUMIFS('Lithium - Q&amp;V'!$B$9:$B$253,'Lithium - Q&amp;V'!$D$9:$D$253,CONCATENATE("20",RIGHT('Q&amp;V FY 2003-04 to Now'!AK$9,2)),'Lithium - Q&amp;V'!$E$9:$E$253,1)+
SUMIFS('Lithium - Q&amp;V'!$B$9:$B$253,'Lithium - Q&amp;V'!$D$9:$D$253,CONCATENATE("20",RIGHT('Q&amp;V FY 2003-04 to Now'!AK$9,2)),'Lithium - Q&amp;V'!$E$9:$E$253,2))*1000</f>
        <v>1709896.5969999998</v>
      </c>
      <c r="AL55" s="367">
        <f>(SUMIFS('Lithium - Q&amp;V'!$C$9:$C$253,'Lithium - Q&amp;V'!$D$9:$D$253,LEFT('Q&amp;V FY 2003-04 to Now'!AK$9,4),'Lithium - Q&amp;V'!$E$9:$E$253,3)+
SUMIFS('Lithium - Q&amp;V'!$C$9:$C$253,'Lithium - Q&amp;V'!$D$9:$D$253,LEFT('Q&amp;V FY 2003-04 to Now'!AK$9,4),'Lithium - Q&amp;V'!$E$9:$E$253,4)+
SUMIFS('Lithium - Q&amp;V'!$C$9:$C$253,'Lithium - Q&amp;V'!$D$9:$D$253,CONCATENATE("20",RIGHT('Q&amp;V FY 2003-04 to Now'!AK$9,2)),'Lithium - Q&amp;V'!$E$9:$E$253,1)+
SUMIFS('Lithium - Q&amp;V'!$C$9:$C$253,'Lithium - Q&amp;V'!$D$9:$D$253,CONCATENATE("20",RIGHT('Q&amp;V FY 2003-04 to Now'!AK$9,2)),'Lithium - Q&amp;V'!$E$9:$E$253,2))*1000000</f>
        <v>1053892981.9999999</v>
      </c>
      <c r="AM55" s="367">
        <f>(SUMIFS('Lithium - Q&amp;V'!$B$9:$B$253,'Lithium - Q&amp;V'!$D$9:$D$253,LEFT('Q&amp;V FY 2003-04 to Now'!AM$9,4),'Lithium - Q&amp;V'!$E$9:$E$253,3)+
SUMIFS('Lithium - Q&amp;V'!$B$9:$B$253,'Lithium - Q&amp;V'!$D$9:$D$253,LEFT('Q&amp;V FY 2003-04 to Now'!AM$9,4),'Lithium - Q&amp;V'!$E$9:$E$253,4)+
SUMIFS('Lithium - Q&amp;V'!$B$9:$B$253,'Lithium - Q&amp;V'!$D$9:$D$253,CONCATENATE("20",RIGHT('Q&amp;V FY 2003-04 to Now'!AM$9,2)),'Lithium - Q&amp;V'!$E$9:$E$253,1)+
SUMIFS('Lithium - Q&amp;V'!$B$9:$B$253,'Lithium - Q&amp;V'!$D$9:$D$253,CONCATENATE("20",RIGHT('Q&amp;V FY 2003-04 to Now'!AM$9,2)),'Lithium - Q&amp;V'!$E$9:$E$253,2))*1000</f>
        <v>2243004.1</v>
      </c>
      <c r="AN55" s="367">
        <f>(SUMIFS('Lithium - Q&amp;V'!$C$9:$C$253,'Lithium - Q&amp;V'!$D$9:$D$253,LEFT('Q&amp;V FY 2003-04 to Now'!AM$9,4),'Lithium - Q&amp;V'!$E$9:$E$253,3)+
SUMIFS('Lithium - Q&amp;V'!$C$9:$C$253,'Lithium - Q&amp;V'!$D$9:$D$253,LEFT('Q&amp;V FY 2003-04 to Now'!AM$9,4),'Lithium - Q&amp;V'!$E$9:$E$253,4)+
SUMIFS('Lithium - Q&amp;V'!$C$9:$C$253,'Lithium - Q&amp;V'!$D$9:$D$253,CONCATENATE("20",RIGHT('Q&amp;V FY 2003-04 to Now'!AM$9,2)),'Lithium - Q&amp;V'!$E$9:$E$253,1)+
SUMIFS('Lithium - Q&amp;V'!$C$9:$C$253,'Lithium - Q&amp;V'!$D$9:$D$253,CONCATENATE("20",RIGHT('Q&amp;V FY 2003-04 to Now'!AM$9,2)),'Lithium - Q&amp;V'!$E$9:$E$253,2))*1000000</f>
        <v>7976106629</v>
      </c>
      <c r="AO55" s="367">
        <f>(SUMIFS('Lithium - Q&amp;V'!$B$9:$B$253,'Lithium - Q&amp;V'!$D$9:$D$253,LEFT('Q&amp;V FY 2003-04 to Now'!AO$9,4),'Lithium - Q&amp;V'!$E$9:$E$253,3)+
SUMIFS('Lithium - Q&amp;V'!$B$9:$B$253,'Lithium - Q&amp;V'!$D$9:$D$253,LEFT('Q&amp;V FY 2003-04 to Now'!AO$9,4),'Lithium - Q&amp;V'!$E$9:$E$253,4)+
SUMIFS('Lithium - Q&amp;V'!$B$9:$B$253,'Lithium - Q&amp;V'!$D$9:$D$253,CONCATENATE("20",RIGHT('Q&amp;V FY 2003-04 to Now'!AO$9,2)),'Lithium - Q&amp;V'!$E$9:$E$253,1)+
SUMIFS('Lithium - Q&amp;V'!$B$9:$B$253,'Lithium - Q&amp;V'!$D$9:$D$253,CONCATENATE("20",RIGHT('Q&amp;V FY 2003-04 to Now'!AO$9,2)),'Lithium - Q&amp;V'!$E$9:$E$253,2))*1000</f>
        <v>3323196.8569999998</v>
      </c>
      <c r="AP55" s="367">
        <f>(SUMIFS('Lithium - Q&amp;V'!$C$9:$C$253,'Lithium - Q&amp;V'!$D$9:$D$253,LEFT('Q&amp;V FY 2003-04 to Now'!AO$9,4),'Lithium - Q&amp;V'!$E$9:$E$253,3)+
SUMIFS('Lithium - Q&amp;V'!$C$9:$C$253,'Lithium - Q&amp;V'!$D$9:$D$253,LEFT('Q&amp;V FY 2003-04 to Now'!AO$9,4),'Lithium - Q&amp;V'!$E$9:$E$253,4)+
SUMIFS('Lithium - Q&amp;V'!$C$9:$C$253,'Lithium - Q&amp;V'!$D$9:$D$253,CONCATENATE("20",RIGHT('Q&amp;V FY 2003-04 to Now'!AO$9,2)),'Lithium - Q&amp;V'!$E$9:$E$253,1)+
SUMIFS('Lithium - Q&amp;V'!$C$9:$C$253,'Lithium - Q&amp;V'!$D$9:$D$253,CONCATENATE("20",RIGHT('Q&amp;V FY 2003-04 to Now'!AO$9,2)),'Lithium - Q&amp;V'!$E$9:$E$253,2))*1000000</f>
        <v>21456054764.999996</v>
      </c>
      <c r="AQ55" s="367">
        <f>(SUMIFS('Lithium - Q&amp;V'!$B$9:$B$253,'Lithium - Q&amp;V'!$D$9:$D$253,LEFT('Q&amp;V FY 2003-04 to Now'!AQ$9,4),'Lithium - Q&amp;V'!$E$9:$E$253,3)+
SUMIFS('Lithium - Q&amp;V'!$B$9:$B$253,'Lithium - Q&amp;V'!$D$9:$D$253,LEFT('Q&amp;V FY 2003-04 to Now'!AQ$9,4),'Lithium - Q&amp;V'!$E$9:$E$253,4)+
SUMIFS('Lithium - Q&amp;V'!$B$9:$B$253,'Lithium - Q&amp;V'!$D$9:$D$253,CONCATENATE("20",RIGHT('Q&amp;V FY 2003-04 to Now'!AQ$9,2)),'Lithium - Q&amp;V'!$E$9:$E$253,1)+
SUMIFS('Lithium - Q&amp;V'!$B$9:$B$253,'Lithium - Q&amp;V'!$D$9:$D$253,CONCATENATE("20",RIGHT('Q&amp;V FY 2003-04 to Now'!AQ$9,2)),'Lithium - Q&amp;V'!$E$9:$E$253,2))*1000</f>
        <v>3588414.321</v>
      </c>
      <c r="AR55" s="367">
        <f>(SUMIFS('Lithium - Q&amp;V'!$C$9:$C$253,'Lithium - Q&amp;V'!$D$9:$D$253,LEFT('Q&amp;V FY 2003-04 to Now'!AQ$9,4),'Lithium - Q&amp;V'!$E$9:$E$253,3)+
SUMIFS('Lithium - Q&amp;V'!$C$9:$C$253,'Lithium - Q&amp;V'!$D$9:$D$253,LEFT('Q&amp;V FY 2003-04 to Now'!AQ$9,4),'Lithium - Q&amp;V'!$E$9:$E$253,4)+
SUMIFS('Lithium - Q&amp;V'!$C$9:$C$253,'Lithium - Q&amp;V'!$D$9:$D$253,CONCATENATE("20",RIGHT('Q&amp;V FY 2003-04 to Now'!AQ$9,2)),'Lithium - Q&amp;V'!$E$9:$E$253,1)+
SUMIFS('Lithium - Q&amp;V'!$C$9:$C$253,'Lithium - Q&amp;V'!$D$9:$D$253,CONCATENATE("20",RIGHT('Q&amp;V FY 2003-04 to Now'!AQ$9,2)),'Lithium - Q&amp;V'!$E$9:$E$253,2))*1000000</f>
        <v>8516581490.000001</v>
      </c>
      <c r="AS55" s="367">
        <f>(SUMIFS('Lithium - Q&amp;V'!$B$9:$B$253,'Lithium - Q&amp;V'!$D$9:$D$253,LEFT('Q&amp;V FY 2003-04 to Now'!AS$9,4),'Lithium - Q&amp;V'!$E$9:$E$253,3)+
SUMIFS('Lithium - Q&amp;V'!$B$9:$B$253,'Lithium - Q&amp;V'!$D$9:$D$253,LEFT('Q&amp;V FY 2003-04 to Now'!AS$9,4),'Lithium - Q&amp;V'!$E$9:$E$253,4)+
SUMIFS('Lithium - Q&amp;V'!$B$9:$B$253,'Lithium - Q&amp;V'!$D$9:$D$253,CONCATENATE("20",RIGHT('Q&amp;V FY 2003-04 to Now'!AS$9,2)),'Lithium - Q&amp;V'!$E$9:$E$253,1)+
SUMIFS('Lithium - Q&amp;V'!$B$9:$B$253,'Lithium - Q&amp;V'!$D$9:$D$253,CONCATENATE("20",RIGHT('Q&amp;V FY 2003-04 to Now'!AS$9,2)),'Lithium - Q&amp;V'!$E$9:$E$253,2))*1000</f>
        <v>3854390.0759999999</v>
      </c>
      <c r="AT55" s="367">
        <f>(SUMIFS('Lithium - Q&amp;V'!$C$9:$C$253,'Lithium - Q&amp;V'!$D$9:$D$253,LEFT('Q&amp;V FY 2003-04 to Now'!AS$9,4),'Lithium - Q&amp;V'!$E$9:$E$253,3)+
SUMIFS('Lithium - Q&amp;V'!$C$9:$C$253,'Lithium - Q&amp;V'!$D$9:$D$253,LEFT('Q&amp;V FY 2003-04 to Now'!AS$9,4),'Lithium - Q&amp;V'!$E$9:$E$253,4)+
SUMIFS('Lithium - Q&amp;V'!$C$9:$C$253,'Lithium - Q&amp;V'!$D$9:$D$253,CONCATENATE("20",RIGHT('Q&amp;V FY 2003-04 to Now'!AS$9,2)),'Lithium - Q&amp;V'!$E$9:$E$253,1)+
SUMIFS('Lithium - Q&amp;V'!$C$9:$C$253,'Lithium - Q&amp;V'!$D$9:$D$253,CONCATENATE("20",RIGHT('Q&amp;V FY 2003-04 to Now'!AS$9,2)),'Lithium - Q&amp;V'!$E$9:$E$253,2))*1000000</f>
        <v>4243577777.0000005</v>
      </c>
      <c r="AU55" s="325">
        <f>SUMIF($C$11:AT$11,1,$C55:AT55)</f>
        <v>24940293.3565</v>
      </c>
      <c r="AV55" s="325">
        <f>IF(COUNTIF($C55:AT55, "nfp")=0, SUMIF($C$11:AT$11,0,$C55:AT55), "nfp")</f>
        <v>49656741725.929993</v>
      </c>
    </row>
    <row r="56" spans="1:48" x14ac:dyDescent="0.25">
      <c r="A56" s="327" t="s">
        <v>221</v>
      </c>
      <c r="B56" s="324" t="s">
        <v>166</v>
      </c>
      <c r="C56" s="358">
        <v>0</v>
      </c>
      <c r="D56" s="358">
        <v>0</v>
      </c>
      <c r="E56" s="358">
        <v>0</v>
      </c>
      <c r="F56" s="358">
        <v>0</v>
      </c>
      <c r="G56" s="358">
        <v>0</v>
      </c>
      <c r="H56" s="358">
        <v>0</v>
      </c>
      <c r="I56" s="358">
        <v>0</v>
      </c>
      <c r="J56" s="358">
        <v>0</v>
      </c>
      <c r="K56" s="358">
        <v>0</v>
      </c>
      <c r="L56" s="358">
        <v>0</v>
      </c>
      <c r="M56" s="358">
        <v>0</v>
      </c>
      <c r="N56" s="358">
        <v>0</v>
      </c>
      <c r="O56" s="358">
        <v>0</v>
      </c>
      <c r="P56" s="358">
        <v>0</v>
      </c>
      <c r="Q56" s="358">
        <v>0</v>
      </c>
      <c r="R56" s="358">
        <v>0</v>
      </c>
      <c r="S56" s="358">
        <v>0</v>
      </c>
      <c r="T56" s="358">
        <v>0</v>
      </c>
      <c r="U56" s="358">
        <v>0</v>
      </c>
      <c r="V56" s="358">
        <v>0</v>
      </c>
      <c r="W56" s="358">
        <v>0</v>
      </c>
      <c r="X56" s="358">
        <v>0</v>
      </c>
      <c r="Y56" s="358">
        <v>0</v>
      </c>
      <c r="Z56" s="358">
        <v>0</v>
      </c>
      <c r="AA56" s="358">
        <v>0</v>
      </c>
      <c r="AB56" s="358">
        <v>0</v>
      </c>
      <c r="AC56" s="358">
        <v>0</v>
      </c>
      <c r="AD56" s="358">
        <v>0</v>
      </c>
      <c r="AE56" s="358">
        <v>0</v>
      </c>
      <c r="AF56" s="358">
        <v>0</v>
      </c>
      <c r="AG56" s="358">
        <v>0</v>
      </c>
      <c r="AH56" s="367">
        <v>0</v>
      </c>
      <c r="AI56" s="367">
        <v>0</v>
      </c>
      <c r="AJ56" s="367">
        <v>0</v>
      </c>
      <c r="AK56" s="367">
        <v>0</v>
      </c>
      <c r="AL56" s="367">
        <v>0</v>
      </c>
      <c r="AM56" s="367">
        <v>0</v>
      </c>
      <c r="AN56" s="367">
        <v>0</v>
      </c>
      <c r="AO56" s="367">
        <v>0</v>
      </c>
      <c r="AP56" s="367">
        <v>0</v>
      </c>
      <c r="AQ56" s="367">
        <v>0</v>
      </c>
      <c r="AR56" s="367">
        <v>0</v>
      </c>
      <c r="AS56" s="367">
        <v>0</v>
      </c>
      <c r="AT56" s="367">
        <v>0</v>
      </c>
      <c r="AU56" s="325">
        <f>SUMIF($C$11:AT$11,1,$C56:AT56)</f>
        <v>0</v>
      </c>
      <c r="AV56" s="325">
        <f>IF(COUNTIF($C56:AT56, "nfp")=0, SUMIF($C$11:AT$11,0,$C56:AT56), "nfp")</f>
        <v>0</v>
      </c>
    </row>
    <row r="57" spans="1:48" x14ac:dyDescent="0.25">
      <c r="A57" s="328" t="s">
        <v>222</v>
      </c>
      <c r="B57" s="324"/>
      <c r="C57" s="320"/>
      <c r="D57" s="325">
        <v>21381603</v>
      </c>
      <c r="E57" s="325"/>
      <c r="F57" s="325">
        <v>23466171</v>
      </c>
      <c r="G57" s="325"/>
      <c r="H57" s="325">
        <v>36636462</v>
      </c>
      <c r="I57" s="325"/>
      <c r="J57" s="325">
        <v>72200944</v>
      </c>
      <c r="K57" s="325"/>
      <c r="L57" s="325">
        <v>69975835</v>
      </c>
      <c r="M57" s="325"/>
      <c r="N57" s="325">
        <v>80063204.329999998</v>
      </c>
      <c r="O57" s="325"/>
      <c r="P57" s="325">
        <v>73436811</v>
      </c>
      <c r="Q57" s="325"/>
      <c r="R57" s="325">
        <v>103317679.97</v>
      </c>
      <c r="S57" s="325"/>
      <c r="T57" s="325">
        <v>138413821.05999997</v>
      </c>
      <c r="U57" s="325"/>
      <c r="V57" s="325">
        <v>178786684.34999999</v>
      </c>
      <c r="W57" s="325"/>
      <c r="X57" s="325">
        <v>150564377.63999999</v>
      </c>
      <c r="Y57" s="325"/>
      <c r="Z57" s="325">
        <v>245874387</v>
      </c>
      <c r="AA57" s="325"/>
      <c r="AB57" s="325">
        <v>260721540</v>
      </c>
      <c r="AC57" s="325"/>
      <c r="AD57" s="325">
        <v>595472095</v>
      </c>
      <c r="AE57" s="358"/>
      <c r="AF57" s="358">
        <v>1698466966.9999998</v>
      </c>
      <c r="AG57" s="358"/>
      <c r="AH57" s="326">
        <f>SUM(AH55+AH56)</f>
        <v>1663093342.9999998</v>
      </c>
      <c r="AI57" s="367"/>
      <c r="AJ57" s="326">
        <f>SUM(AJ55+AJ56)</f>
        <v>998656158</v>
      </c>
      <c r="AK57" s="326"/>
      <c r="AL57" s="326">
        <f>SUM(AL55+AL56)</f>
        <v>1053892981.9999999</v>
      </c>
      <c r="AM57" s="326"/>
      <c r="AN57" s="326">
        <f>SUM(AN55+AN56)</f>
        <v>7976106629</v>
      </c>
      <c r="AO57" s="326"/>
      <c r="AP57" s="326">
        <f>SUM(AP55+AP56)</f>
        <v>21456054764.999996</v>
      </c>
      <c r="AQ57" s="326"/>
      <c r="AR57" s="326">
        <f>SUM(AR55+AR56)</f>
        <v>8516581490.000001</v>
      </c>
      <c r="AS57" s="326"/>
      <c r="AT57" s="326">
        <f>SUM(AT55+AT56)</f>
        <v>4243577777.0000005</v>
      </c>
      <c r="AU57" s="325"/>
      <c r="AV57" s="325">
        <f>IF(COUNTIF($C57:AT57, "nfp")=0, SUMIF($C$11:AT$11,0,$C57:AT57), "nfp")</f>
        <v>49656741726.349991</v>
      </c>
    </row>
    <row r="58" spans="1:48" x14ac:dyDescent="0.25">
      <c r="A58" s="328"/>
      <c r="B58" s="324"/>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5"/>
      <c r="AG58" s="325"/>
      <c r="AH58" s="326"/>
      <c r="AI58" s="326"/>
      <c r="AJ58" s="326"/>
      <c r="AK58" s="326"/>
      <c r="AL58" s="326"/>
      <c r="AM58" s="326"/>
      <c r="AN58" s="326"/>
      <c r="AO58" s="326"/>
      <c r="AP58" s="326"/>
      <c r="AQ58" s="326"/>
      <c r="AR58" s="326"/>
      <c r="AS58" s="326"/>
      <c r="AT58" s="326"/>
      <c r="AU58" s="325"/>
      <c r="AV58" s="325"/>
    </row>
    <row r="59" spans="1:48" x14ac:dyDescent="0.25">
      <c r="A59" s="330" t="s">
        <v>223</v>
      </c>
      <c r="B59" s="216" t="s">
        <v>166</v>
      </c>
      <c r="C59" s="201">
        <v>281241</v>
      </c>
      <c r="D59" s="201" t="s">
        <v>509</v>
      </c>
      <c r="E59" s="201">
        <v>293148.90999999997</v>
      </c>
      <c r="F59" s="201" t="s">
        <v>509</v>
      </c>
      <c r="G59" s="201">
        <v>402542.48</v>
      </c>
      <c r="H59" s="201" t="s">
        <v>509</v>
      </c>
      <c r="I59" s="201">
        <v>426651.75</v>
      </c>
      <c r="J59" s="201" t="s">
        <v>509</v>
      </c>
      <c r="K59" s="201">
        <v>373470.27</v>
      </c>
      <c r="L59" s="201" t="s">
        <v>509</v>
      </c>
      <c r="M59" s="201">
        <v>419269.89</v>
      </c>
      <c r="N59" s="201">
        <v>226007453</v>
      </c>
      <c r="O59" s="201">
        <v>746742.34</v>
      </c>
      <c r="P59" s="201">
        <v>382592192</v>
      </c>
      <c r="Q59" s="201">
        <v>873063.68</v>
      </c>
      <c r="R59" s="201">
        <v>392302135</v>
      </c>
      <c r="S59" s="201">
        <v>846292.54</v>
      </c>
      <c r="T59" s="201">
        <v>331693574</v>
      </c>
      <c r="U59" s="201">
        <v>649695.39</v>
      </c>
      <c r="V59" s="201" t="s">
        <v>509</v>
      </c>
      <c r="W59" s="201">
        <v>711536.3</v>
      </c>
      <c r="X59" s="201" t="s">
        <v>509</v>
      </c>
      <c r="Y59" s="201">
        <v>800984.82000000007</v>
      </c>
      <c r="Z59" s="201">
        <v>345242068</v>
      </c>
      <c r="AA59" s="201">
        <v>425303.35</v>
      </c>
      <c r="AB59" s="201">
        <v>146188090</v>
      </c>
      <c r="AC59" s="278">
        <v>236663.60000000003</v>
      </c>
      <c r="AD59" s="201">
        <v>58520911</v>
      </c>
      <c r="AE59" s="278">
        <v>393691.73</v>
      </c>
      <c r="AF59" s="201">
        <v>287944919</v>
      </c>
      <c r="AG59" s="278">
        <v>558111.74099999992</v>
      </c>
      <c r="AH59" s="232" t="s">
        <v>509</v>
      </c>
      <c r="AI59" s="281">
        <v>554483.04</v>
      </c>
      <c r="AJ59" s="232" t="s">
        <v>509</v>
      </c>
      <c r="AK59" s="232">
        <v>469119.25</v>
      </c>
      <c r="AL59" s="232" t="s">
        <v>509</v>
      </c>
      <c r="AM59" s="232">
        <v>527502.22937000007</v>
      </c>
      <c r="AN59" s="232">
        <v>322250998</v>
      </c>
      <c r="AO59" s="232">
        <v>497024.05369999999</v>
      </c>
      <c r="AP59" s="232">
        <v>306441062</v>
      </c>
      <c r="AQ59" s="232">
        <v>557612.12800000003</v>
      </c>
      <c r="AR59" s="232">
        <v>341718367</v>
      </c>
      <c r="AS59" s="232">
        <v>554361.37899999996</v>
      </c>
      <c r="AT59" s="232">
        <v>410399552</v>
      </c>
      <c r="AU59" s="278">
        <f>SUMIF($C$11:AT$11,1,$C59:AT59)</f>
        <v>11598511.871070001</v>
      </c>
      <c r="AV59" s="201" t="str">
        <f>IF(COUNTIF($C59:AT59, "nfp")=0, SUMIF($C$11:AT$11,0,$C59:AT59), "nfp")</f>
        <v>nfp</v>
      </c>
    </row>
    <row r="60" spans="1:48" x14ac:dyDescent="0.25">
      <c r="A60" s="330"/>
      <c r="C60" s="227"/>
      <c r="D60" s="201"/>
      <c r="E60" s="227"/>
      <c r="F60" s="201"/>
      <c r="G60" s="227"/>
      <c r="H60" s="201"/>
      <c r="I60" s="227"/>
      <c r="J60" s="201"/>
      <c r="K60" s="227"/>
      <c r="L60" s="201"/>
      <c r="M60" s="227"/>
      <c r="N60" s="227"/>
      <c r="O60" s="227"/>
      <c r="P60" s="227"/>
      <c r="Q60" s="227"/>
      <c r="R60" s="227"/>
      <c r="S60" s="227"/>
      <c r="T60" s="227"/>
      <c r="U60" s="227"/>
      <c r="V60" s="227"/>
      <c r="W60" s="227"/>
      <c r="X60" s="227"/>
      <c r="Y60" s="227"/>
      <c r="Z60" s="227"/>
      <c r="AA60" s="227"/>
      <c r="AB60" s="227"/>
      <c r="AC60" s="227"/>
      <c r="AD60" s="227"/>
      <c r="AE60" s="373"/>
      <c r="AF60" s="227"/>
      <c r="AG60" s="373"/>
      <c r="AH60" s="374"/>
      <c r="AI60" s="375"/>
      <c r="AJ60" s="374"/>
      <c r="AK60" s="374"/>
      <c r="AL60" s="374"/>
      <c r="AM60" s="374"/>
      <c r="AN60" s="374"/>
      <c r="AO60" s="374"/>
      <c r="AP60" s="374"/>
      <c r="AQ60" s="374"/>
      <c r="AR60" s="374"/>
      <c r="AS60" s="374"/>
      <c r="AT60" s="374"/>
      <c r="AU60" s="278"/>
      <c r="AV60" s="201"/>
    </row>
    <row r="61" spans="1:48" x14ac:dyDescent="0.25">
      <c r="A61" s="323" t="s">
        <v>224</v>
      </c>
      <c r="B61" s="324"/>
      <c r="C61" s="326"/>
      <c r="D61" s="326"/>
      <c r="E61" s="326"/>
      <c r="F61" s="326"/>
      <c r="G61" s="326"/>
      <c r="H61" s="326"/>
      <c r="I61" s="326"/>
      <c r="J61" s="326"/>
      <c r="K61" s="326"/>
      <c r="L61" s="326"/>
      <c r="M61" s="326"/>
      <c r="N61" s="326"/>
      <c r="O61" s="326"/>
      <c r="P61" s="326"/>
      <c r="Q61" s="326"/>
      <c r="R61" s="326"/>
      <c r="S61" s="326"/>
      <c r="T61" s="326"/>
      <c r="U61" s="326"/>
      <c r="V61" s="326"/>
      <c r="W61" s="326"/>
      <c r="X61" s="326"/>
      <c r="Y61" s="326"/>
      <c r="Z61" s="326"/>
      <c r="AA61" s="326"/>
      <c r="AB61" s="326"/>
      <c r="AC61" s="326"/>
      <c r="AD61" s="326"/>
      <c r="AE61" s="357"/>
      <c r="AF61" s="326"/>
      <c r="AG61" s="368"/>
      <c r="AH61" s="326"/>
      <c r="AI61" s="357"/>
      <c r="AJ61" s="326"/>
      <c r="AK61" s="326"/>
      <c r="AL61" s="326"/>
      <c r="AM61" s="326"/>
      <c r="AN61" s="326"/>
      <c r="AO61" s="326"/>
      <c r="AP61" s="326"/>
      <c r="AQ61" s="326"/>
      <c r="AR61" s="326"/>
      <c r="AS61" s="326"/>
      <c r="AT61" s="326"/>
      <c r="AU61" s="370"/>
      <c r="AV61" s="325"/>
    </row>
    <row r="62" spans="1:48" x14ac:dyDescent="0.25">
      <c r="A62" s="327" t="s">
        <v>225</v>
      </c>
      <c r="B62" s="324" t="s">
        <v>166</v>
      </c>
      <c r="C62" s="326">
        <v>128379.38</v>
      </c>
      <c r="D62" s="326">
        <v>16306801.329999998</v>
      </c>
      <c r="E62" s="326">
        <v>186667.1</v>
      </c>
      <c r="F62" s="326">
        <v>19446761.800000001</v>
      </c>
      <c r="G62" s="326">
        <v>278576.92000000004</v>
      </c>
      <c r="H62" s="326">
        <v>29805653.34</v>
      </c>
      <c r="I62" s="326">
        <v>265550.41000000003</v>
      </c>
      <c r="J62" s="326">
        <v>31845413.109999999</v>
      </c>
      <c r="K62" s="326">
        <v>327521</v>
      </c>
      <c r="L62" s="326">
        <v>54414406.459999993</v>
      </c>
      <c r="M62" s="326">
        <v>290884.25</v>
      </c>
      <c r="N62" s="326">
        <v>52723152.800000004</v>
      </c>
      <c r="O62" s="326">
        <v>237977.79</v>
      </c>
      <c r="P62" s="326">
        <v>45356185</v>
      </c>
      <c r="Q62" s="326">
        <v>226619.89</v>
      </c>
      <c r="R62" s="326">
        <v>42689083.030000001</v>
      </c>
      <c r="S62" s="326">
        <v>301944.67</v>
      </c>
      <c r="T62" s="326">
        <v>59591878.449999996</v>
      </c>
      <c r="U62" s="326">
        <v>317335.87</v>
      </c>
      <c r="V62" s="326">
        <v>64834324.370000005</v>
      </c>
      <c r="W62" s="326">
        <v>357266.36</v>
      </c>
      <c r="X62" s="326" t="s">
        <v>509</v>
      </c>
      <c r="Y62" s="326">
        <v>299022.19</v>
      </c>
      <c r="Z62" s="326" t="s">
        <v>509</v>
      </c>
      <c r="AA62" s="326">
        <v>251161.69</v>
      </c>
      <c r="AB62" s="326" t="s">
        <v>509</v>
      </c>
      <c r="AC62" s="326">
        <v>565618.23</v>
      </c>
      <c r="AD62" s="326" t="s">
        <v>509</v>
      </c>
      <c r="AE62" s="357">
        <v>379724.45999999996</v>
      </c>
      <c r="AF62" s="326" t="s">
        <v>509</v>
      </c>
      <c r="AG62" s="368">
        <v>388470.11</v>
      </c>
      <c r="AH62" s="326" t="s">
        <v>509</v>
      </c>
      <c r="AI62" s="357">
        <v>323841.57999999996</v>
      </c>
      <c r="AJ62" s="369" t="s">
        <v>509</v>
      </c>
      <c r="AK62" s="369">
        <v>277047.27</v>
      </c>
      <c r="AL62" s="372" t="s">
        <v>509</v>
      </c>
      <c r="AM62" s="359">
        <v>374475.84</v>
      </c>
      <c r="AN62" s="372" t="s">
        <v>509</v>
      </c>
      <c r="AO62" s="359">
        <v>343579.84</v>
      </c>
      <c r="AP62" s="372">
        <v>113695319</v>
      </c>
      <c r="AQ62" s="359">
        <v>359906.69999999995</v>
      </c>
      <c r="AR62" s="372">
        <v>131514218</v>
      </c>
      <c r="AS62" s="359">
        <v>427826.23</v>
      </c>
      <c r="AT62" s="372">
        <v>140569188</v>
      </c>
      <c r="AU62" s="370">
        <f>SUMIF($C$11:AT$11,1,$C62:AT62)</f>
        <v>6909397.7799999993</v>
      </c>
      <c r="AV62" s="325" t="str">
        <f>IF(COUNTIF($C62:AT62, "nfp")=0, SUMIF($C$11:AT$11,0,$C62:AT62), "nfp")</f>
        <v>nfp</v>
      </c>
    </row>
    <row r="63" spans="1:48" x14ac:dyDescent="0.25">
      <c r="A63" s="327" t="s">
        <v>226</v>
      </c>
      <c r="B63" s="324" t="s">
        <v>166</v>
      </c>
      <c r="C63" s="326">
        <v>762649.24</v>
      </c>
      <c r="D63" s="326">
        <v>100913869.98</v>
      </c>
      <c r="E63" s="326">
        <v>706243.51</v>
      </c>
      <c r="F63" s="326">
        <v>80513224.680000007</v>
      </c>
      <c r="G63" s="326">
        <v>590243.99699999997</v>
      </c>
      <c r="H63" s="326">
        <v>65897621.859999985</v>
      </c>
      <c r="I63" s="326">
        <v>922296.30999999994</v>
      </c>
      <c r="J63" s="326">
        <v>103354486.05000001</v>
      </c>
      <c r="K63" s="326">
        <v>725120.17299999995</v>
      </c>
      <c r="L63" s="326">
        <v>83744751.210000008</v>
      </c>
      <c r="M63" s="326">
        <v>452043.91500000004</v>
      </c>
      <c r="N63" s="326">
        <v>65165654.31000001</v>
      </c>
      <c r="O63" s="326">
        <v>508584.15</v>
      </c>
      <c r="P63" s="326">
        <v>68516762.780000001</v>
      </c>
      <c r="Q63" s="326">
        <v>394033.44</v>
      </c>
      <c r="R63" s="326">
        <v>52763228.199999996</v>
      </c>
      <c r="S63" s="326">
        <v>332012.35000000003</v>
      </c>
      <c r="T63" s="326">
        <v>58190544.020000003</v>
      </c>
      <c r="U63" s="326">
        <v>270770.13</v>
      </c>
      <c r="V63" s="326">
        <v>72680422.280000001</v>
      </c>
      <c r="W63" s="326">
        <v>78900.36</v>
      </c>
      <c r="X63" s="326">
        <v>19515065</v>
      </c>
      <c r="Y63" s="326">
        <v>104455.74</v>
      </c>
      <c r="Z63" s="326">
        <v>22005519</v>
      </c>
      <c r="AA63" s="326">
        <v>174687.28</v>
      </c>
      <c r="AB63" s="326">
        <v>39692103</v>
      </c>
      <c r="AC63" s="326">
        <v>178527.5</v>
      </c>
      <c r="AD63" s="326">
        <v>42928094</v>
      </c>
      <c r="AE63" s="357">
        <v>120227</v>
      </c>
      <c r="AF63" s="326">
        <v>25279255</v>
      </c>
      <c r="AG63" s="368">
        <v>241155.26</v>
      </c>
      <c r="AH63" s="326">
        <v>50606471</v>
      </c>
      <c r="AI63" s="357">
        <v>270080.92000000004</v>
      </c>
      <c r="AJ63" s="326">
        <v>62372293</v>
      </c>
      <c r="AK63" s="326">
        <v>322478.91000000003</v>
      </c>
      <c r="AL63" s="359">
        <v>71997886</v>
      </c>
      <c r="AM63" s="359">
        <v>233084.85</v>
      </c>
      <c r="AN63" s="359">
        <v>81218391</v>
      </c>
      <c r="AO63" s="359">
        <v>237924.48000000001</v>
      </c>
      <c r="AP63" s="359">
        <v>93119565</v>
      </c>
      <c r="AQ63" s="359">
        <v>271276.45125699998</v>
      </c>
      <c r="AR63" s="359">
        <v>112908178</v>
      </c>
      <c r="AS63" s="359">
        <v>385932.54541700002</v>
      </c>
      <c r="AT63" s="359">
        <v>175913647</v>
      </c>
      <c r="AU63" s="370">
        <f>SUMIF($C$11:AT$11,1,$C63:AT63)</f>
        <v>8282728.511674</v>
      </c>
      <c r="AV63" s="325">
        <f>IF(COUNTIF($C63:AT63, "nfp")=0, SUMIF($C$11:AT$11,0,$C63:AT63), "nfp")</f>
        <v>1549297032.3700001</v>
      </c>
    </row>
    <row r="64" spans="1:48" x14ac:dyDescent="0.25">
      <c r="A64" s="327" t="s">
        <v>227</v>
      </c>
      <c r="B64" s="324" t="s">
        <v>166</v>
      </c>
      <c r="C64" s="326">
        <v>51733.33</v>
      </c>
      <c r="D64" s="326">
        <v>21574054.840000004</v>
      </c>
      <c r="E64" s="326">
        <v>70729.88</v>
      </c>
      <c r="F64" s="326">
        <v>22706700.339999996</v>
      </c>
      <c r="G64" s="326">
        <v>77024.28</v>
      </c>
      <c r="H64" s="326">
        <v>23947658.210000001</v>
      </c>
      <c r="I64" s="326">
        <v>62752</v>
      </c>
      <c r="J64" s="326">
        <v>23455267.079999998</v>
      </c>
      <c r="K64" s="326">
        <v>82456.59</v>
      </c>
      <c r="L64" s="326">
        <v>22072513.259999998</v>
      </c>
      <c r="M64" s="326">
        <v>49608.289999999994</v>
      </c>
      <c r="N64" s="326">
        <v>19224805.540000003</v>
      </c>
      <c r="O64" s="326">
        <v>76590.94</v>
      </c>
      <c r="P64" s="326">
        <v>24831504.810000002</v>
      </c>
      <c r="Q64" s="326">
        <v>26029.95</v>
      </c>
      <c r="R64" s="326">
        <v>12165130.050000003</v>
      </c>
      <c r="S64" s="326">
        <v>22230.65</v>
      </c>
      <c r="T64" s="326">
        <v>16691847.319999997</v>
      </c>
      <c r="U64" s="326">
        <v>29071.34</v>
      </c>
      <c r="V64" s="326">
        <v>31231788.140000004</v>
      </c>
      <c r="W64" s="326">
        <v>29268.089999999997</v>
      </c>
      <c r="X64" s="326">
        <v>26205649</v>
      </c>
      <c r="Y64" s="326">
        <v>16980.319999999996</v>
      </c>
      <c r="Z64" s="326">
        <v>14651506</v>
      </c>
      <c r="AA64" s="326">
        <v>18137.07</v>
      </c>
      <c r="AB64" s="326">
        <v>16452584</v>
      </c>
      <c r="AC64" s="326">
        <v>7144.44</v>
      </c>
      <c r="AD64" s="326">
        <v>6492778</v>
      </c>
      <c r="AE64" s="357">
        <v>14286.82</v>
      </c>
      <c r="AF64" s="326">
        <v>13031604</v>
      </c>
      <c r="AG64" s="368">
        <v>15175.675999999999</v>
      </c>
      <c r="AH64" s="326">
        <v>18209118</v>
      </c>
      <c r="AI64" s="357">
        <v>27128.928</v>
      </c>
      <c r="AJ64" s="326">
        <v>27918452</v>
      </c>
      <c r="AK64" s="326">
        <v>20133.03</v>
      </c>
      <c r="AL64" s="359">
        <v>24110554</v>
      </c>
      <c r="AM64" s="359">
        <v>16844.982</v>
      </c>
      <c r="AN64" s="359">
        <v>18989519</v>
      </c>
      <c r="AO64" s="359">
        <v>21625.687999999998</v>
      </c>
      <c r="AP64" s="359">
        <v>32184400</v>
      </c>
      <c r="AQ64" s="359">
        <v>16626.229166827598</v>
      </c>
      <c r="AR64" s="359">
        <v>18363040</v>
      </c>
      <c r="AS64" s="359">
        <v>44729.528758999993</v>
      </c>
      <c r="AT64" s="359">
        <v>54941951</v>
      </c>
      <c r="AU64" s="370">
        <f>SUMIF($C$11:AT$11,1,$C64:AT64)</f>
        <v>796308.05192582728</v>
      </c>
      <c r="AV64" s="325">
        <f>IF(COUNTIF($C64:AT64, "nfp")=0, SUMIF($C$11:AT$11,0,$C64:AT64), "nfp")</f>
        <v>489452424.59000003</v>
      </c>
    </row>
    <row r="65" spans="1:48" x14ac:dyDescent="0.25">
      <c r="A65" s="327" t="s">
        <v>228</v>
      </c>
      <c r="B65" s="324" t="s">
        <v>166</v>
      </c>
      <c r="C65" s="326">
        <v>138790.57</v>
      </c>
      <c r="D65" s="326">
        <v>85623473.780000001</v>
      </c>
      <c r="E65" s="326">
        <v>101708.83</v>
      </c>
      <c r="F65" s="326">
        <v>63725523.490000002</v>
      </c>
      <c r="G65" s="326">
        <v>89954.495999999999</v>
      </c>
      <c r="H65" s="326">
        <v>58673948.350000001</v>
      </c>
      <c r="I65" s="326">
        <v>108973.04999999999</v>
      </c>
      <c r="J65" s="326">
        <v>68497752.609999999</v>
      </c>
      <c r="K65" s="326">
        <v>95486.512000000002</v>
      </c>
      <c r="L65" s="326">
        <v>54967974.07</v>
      </c>
      <c r="M65" s="326">
        <v>74033.680000000008</v>
      </c>
      <c r="N65" s="326">
        <v>53162366.980000004</v>
      </c>
      <c r="O65" s="326">
        <v>118234.23000000001</v>
      </c>
      <c r="P65" s="326">
        <v>77691649.189999998</v>
      </c>
      <c r="Q65" s="326">
        <v>49744.5</v>
      </c>
      <c r="R65" s="326">
        <v>35431242.170000002</v>
      </c>
      <c r="S65" s="326">
        <v>38870.25</v>
      </c>
      <c r="T65" s="326">
        <v>52250226.769999996</v>
      </c>
      <c r="U65" s="326">
        <v>46937.54</v>
      </c>
      <c r="V65" s="326">
        <v>80261378.810000002</v>
      </c>
      <c r="W65" s="326">
        <v>65083.87</v>
      </c>
      <c r="X65" s="326">
        <v>65938306</v>
      </c>
      <c r="Y65" s="326">
        <v>30205.599999999999</v>
      </c>
      <c r="Z65" s="326">
        <v>29582184</v>
      </c>
      <c r="AA65" s="326">
        <v>45887.87</v>
      </c>
      <c r="AB65" s="326">
        <v>44260114</v>
      </c>
      <c r="AC65" s="326">
        <v>21561.97</v>
      </c>
      <c r="AD65" s="326">
        <v>21953547</v>
      </c>
      <c r="AE65" s="357">
        <v>20596.260000000002</v>
      </c>
      <c r="AF65" s="326">
        <v>22170174</v>
      </c>
      <c r="AG65" s="368">
        <v>23906</v>
      </c>
      <c r="AH65" s="326">
        <v>29470430</v>
      </c>
      <c r="AI65" s="357">
        <v>32844.61</v>
      </c>
      <c r="AJ65" s="326">
        <v>36110651</v>
      </c>
      <c r="AK65" s="326">
        <v>54322.26</v>
      </c>
      <c r="AL65" s="359">
        <v>46056307</v>
      </c>
      <c r="AM65" s="359">
        <v>67778.179999999993</v>
      </c>
      <c r="AN65" s="359">
        <v>97076235</v>
      </c>
      <c r="AO65" s="359">
        <v>97879.75</v>
      </c>
      <c r="AP65" s="359">
        <v>151452977</v>
      </c>
      <c r="AQ65" s="359">
        <v>125020.75</v>
      </c>
      <c r="AR65" s="359">
        <v>123008132</v>
      </c>
      <c r="AS65" s="359">
        <v>88543.39</v>
      </c>
      <c r="AT65" s="359">
        <v>78956298</v>
      </c>
      <c r="AU65" s="370">
        <f>SUMIF($C$11:AT$11,1,$C65:AT65)</f>
        <v>1536364.1680000001</v>
      </c>
      <c r="AV65" s="325">
        <f>IF(COUNTIF($C65:AT65, "nfp")=0, SUMIF($C$11:AT$11,0,$C65:AT65), "nfp")</f>
        <v>1376320891.22</v>
      </c>
    </row>
    <row r="66" spans="1:48" x14ac:dyDescent="0.25">
      <c r="A66" s="327" t="s">
        <v>177</v>
      </c>
      <c r="B66" s="324" t="s">
        <v>166</v>
      </c>
      <c r="C66" s="326">
        <v>443699.14999999997</v>
      </c>
      <c r="D66" s="326">
        <v>260418224.21000001</v>
      </c>
      <c r="E66" s="326">
        <v>451205.51999999996</v>
      </c>
      <c r="F66" s="326">
        <v>304838808.88</v>
      </c>
      <c r="G66" s="326">
        <v>407915.73</v>
      </c>
      <c r="H66" s="326">
        <v>354604945.01999998</v>
      </c>
      <c r="I66" s="326">
        <v>413664.87900000002</v>
      </c>
      <c r="J66" s="326">
        <v>336501960.62</v>
      </c>
      <c r="K66" s="326">
        <v>283042.17300000001</v>
      </c>
      <c r="L66" s="326">
        <v>204335099.34000003</v>
      </c>
      <c r="M66" s="326">
        <v>264546.799</v>
      </c>
      <c r="N66" s="326">
        <v>231446448.66</v>
      </c>
      <c r="O66" s="326">
        <v>351957.11000000004</v>
      </c>
      <c r="P66" s="326">
        <v>270549395.88999999</v>
      </c>
      <c r="Q66" s="326">
        <v>298644.24900000001</v>
      </c>
      <c r="R66" s="326">
        <v>197514000.79000002</v>
      </c>
      <c r="S66" s="326">
        <v>180429.25300000003</v>
      </c>
      <c r="T66" s="326">
        <v>219219648.86999995</v>
      </c>
      <c r="U66" s="326">
        <v>215831.04599999997</v>
      </c>
      <c r="V66" s="326">
        <v>189547781.68999997</v>
      </c>
      <c r="W66" s="326">
        <v>212068.06899999999</v>
      </c>
      <c r="X66" s="326">
        <v>114307406</v>
      </c>
      <c r="Y66" s="326">
        <v>183266.01</v>
      </c>
      <c r="Z66" s="326">
        <v>136822267</v>
      </c>
      <c r="AA66" s="326">
        <v>191507.69</v>
      </c>
      <c r="AB66" s="326">
        <v>151279498</v>
      </c>
      <c r="AC66" s="326">
        <v>184700.02</v>
      </c>
      <c r="AD66" s="326">
        <v>101083491</v>
      </c>
      <c r="AE66" s="377">
        <v>72567.17</v>
      </c>
      <c r="AF66" s="326">
        <v>102266285</v>
      </c>
      <c r="AG66" s="368">
        <v>140680.508</v>
      </c>
      <c r="AH66" s="326">
        <v>257581580</v>
      </c>
      <c r="AI66" s="357">
        <v>171592.09</v>
      </c>
      <c r="AJ66" s="326">
        <v>268419815</v>
      </c>
      <c r="AK66" s="326">
        <v>233247.63000000003</v>
      </c>
      <c r="AL66" s="359">
        <v>347933229</v>
      </c>
      <c r="AM66" s="359">
        <v>285496.83499999996</v>
      </c>
      <c r="AN66" s="359">
        <v>609672369</v>
      </c>
      <c r="AO66" s="359">
        <v>196729.63</v>
      </c>
      <c r="AP66" s="359">
        <v>526669711</v>
      </c>
      <c r="AQ66" s="359">
        <v>140367.57815078454</v>
      </c>
      <c r="AR66" s="359">
        <v>403915484</v>
      </c>
      <c r="AS66" s="359">
        <v>152225.80283168124</v>
      </c>
      <c r="AT66" s="359">
        <v>423030884</v>
      </c>
      <c r="AU66" s="370">
        <f>SUMIF($C$11:AT$11,1,$C66:AT66)</f>
        <v>5475384.9419824658</v>
      </c>
      <c r="AV66" s="325">
        <f>IF(COUNTIF($C66:AT66, "nfp")=0, SUMIF($C$11:AT$11,0,$C66:AT66), "nfp")</f>
        <v>6011958332.9700003</v>
      </c>
    </row>
    <row r="67" spans="1:48" x14ac:dyDescent="0.25">
      <c r="A67" s="327" t="s">
        <v>229</v>
      </c>
      <c r="B67" s="324" t="s">
        <v>166</v>
      </c>
      <c r="C67" s="326" t="s">
        <v>172</v>
      </c>
      <c r="D67" s="326" t="s">
        <v>172</v>
      </c>
      <c r="E67" s="326" t="s">
        <v>172</v>
      </c>
      <c r="F67" s="326" t="s">
        <v>172</v>
      </c>
      <c r="G67" s="326" t="s">
        <v>172</v>
      </c>
      <c r="H67" s="326" t="s">
        <v>172</v>
      </c>
      <c r="I67" s="326" t="s">
        <v>172</v>
      </c>
      <c r="J67" s="326" t="s">
        <v>172</v>
      </c>
      <c r="K67" s="326" t="s">
        <v>172</v>
      </c>
      <c r="L67" s="326" t="s">
        <v>172</v>
      </c>
      <c r="M67" s="326" t="s">
        <v>172</v>
      </c>
      <c r="N67" s="326" t="s">
        <v>172</v>
      </c>
      <c r="O67" s="326" t="s">
        <v>172</v>
      </c>
      <c r="P67" s="326" t="s">
        <v>172</v>
      </c>
      <c r="Q67" s="326" t="s">
        <v>172</v>
      </c>
      <c r="R67" s="326" t="s">
        <v>172</v>
      </c>
      <c r="S67" s="326" t="s">
        <v>172</v>
      </c>
      <c r="T67" s="326" t="s">
        <v>172</v>
      </c>
      <c r="U67" s="326" t="s">
        <v>172</v>
      </c>
      <c r="V67" s="326" t="s">
        <v>172</v>
      </c>
      <c r="W67" s="326">
        <v>182850.83636363639</v>
      </c>
      <c r="X67" s="326">
        <v>63990253.74545455</v>
      </c>
      <c r="Y67" s="326">
        <v>240940.75151515155</v>
      </c>
      <c r="Z67" s="326">
        <v>215809868.26065212</v>
      </c>
      <c r="AA67" s="326">
        <v>268107.5151515152</v>
      </c>
      <c r="AB67" s="326">
        <v>254260587.13582832</v>
      </c>
      <c r="AC67" s="326">
        <v>274929.9173333334</v>
      </c>
      <c r="AD67" s="326">
        <v>252213036.04640043</v>
      </c>
      <c r="AE67" s="377">
        <v>282058.32266666665</v>
      </c>
      <c r="AF67" s="326">
        <v>279071092.8773964</v>
      </c>
      <c r="AG67" s="368">
        <v>218274.18181818182</v>
      </c>
      <c r="AH67" s="326">
        <v>245754107.36106151</v>
      </c>
      <c r="AI67" s="357">
        <v>277931.30860606063</v>
      </c>
      <c r="AJ67" s="326">
        <v>314936595.26599419</v>
      </c>
      <c r="AK67" s="326">
        <v>286723.04606060608</v>
      </c>
      <c r="AL67" s="359">
        <v>336513404.33800471</v>
      </c>
      <c r="AM67" s="359">
        <v>281991.16210909095</v>
      </c>
      <c r="AN67" s="359">
        <v>454785752.45177686</v>
      </c>
      <c r="AO67" s="359">
        <v>282239.83030303032</v>
      </c>
      <c r="AP67" s="359">
        <v>517025576.27833861</v>
      </c>
      <c r="AQ67" s="359">
        <v>169904.54060606065</v>
      </c>
      <c r="AR67" s="359">
        <v>315728974.87104195</v>
      </c>
      <c r="AS67" s="359">
        <v>233981.09090909091</v>
      </c>
      <c r="AT67" s="359">
        <v>418197289.05556732</v>
      </c>
      <c r="AU67" s="370">
        <f>SUMIF($C$11:AT$11,1,$C67:AT67)</f>
        <v>2999932.5034424248</v>
      </c>
      <c r="AV67" s="325">
        <f>IF(COUNTIF($C67:AT67, "nfp")=0, SUMIF($C$11:AT$11,0,$C67:AT67), "nfp")</f>
        <v>3668286537.6875167</v>
      </c>
    </row>
    <row r="68" spans="1:48" x14ac:dyDescent="0.25">
      <c r="A68" s="327" t="s">
        <v>643</v>
      </c>
      <c r="B68" s="324" t="s">
        <v>166</v>
      </c>
      <c r="C68" s="326"/>
      <c r="D68" s="326">
        <v>292701469.47151518</v>
      </c>
      <c r="E68" s="326"/>
      <c r="F68" s="326">
        <v>317215898.49030304</v>
      </c>
      <c r="G68" s="326"/>
      <c r="H68" s="326">
        <v>302701422.50512731</v>
      </c>
      <c r="I68" s="326"/>
      <c r="J68" s="326">
        <v>281872129.454</v>
      </c>
      <c r="K68" s="326"/>
      <c r="L68" s="326">
        <v>257719561.2910291</v>
      </c>
      <c r="M68" s="326"/>
      <c r="N68" s="326">
        <v>282879838.97060996</v>
      </c>
      <c r="O68" s="326"/>
      <c r="P68" s="326">
        <v>177539531.95650181</v>
      </c>
      <c r="Q68" s="326"/>
      <c r="R68" s="326">
        <v>135619862.7269091</v>
      </c>
      <c r="S68" s="326"/>
      <c r="T68" s="326">
        <v>458168417.6431855</v>
      </c>
      <c r="U68" s="326"/>
      <c r="V68" s="326">
        <v>372123979.28436369</v>
      </c>
      <c r="W68" s="326"/>
      <c r="X68" s="326">
        <v>70001371</v>
      </c>
      <c r="Y68" s="326"/>
      <c r="Z68" s="325">
        <f>Z69-SUM(Z62:Z67)</f>
        <v>75356169</v>
      </c>
      <c r="AA68" s="357"/>
      <c r="AB68" s="325">
        <f>AB69-SUM(AB62:AB67)</f>
        <v>65585668.99999994</v>
      </c>
      <c r="AC68" s="326"/>
      <c r="AD68" s="325">
        <f>AD69-SUM(AD62:AD67)</f>
        <v>158791842</v>
      </c>
      <c r="AE68" s="378"/>
      <c r="AF68" s="325">
        <f>AF69-SUM(AF62:AF67)</f>
        <v>110190572.99999994</v>
      </c>
      <c r="AG68" s="368"/>
      <c r="AH68" s="326">
        <v>116708350</v>
      </c>
      <c r="AI68" s="357"/>
      <c r="AJ68" s="326">
        <v>105973282</v>
      </c>
      <c r="AK68" s="326"/>
      <c r="AL68" s="359">
        <v>100191134.81999993</v>
      </c>
      <c r="AM68" s="359"/>
      <c r="AN68" s="359">
        <f>AN69-SUM(AN62:AN67)</f>
        <v>125658334.99999976</v>
      </c>
      <c r="AO68" s="359"/>
      <c r="AP68" s="359">
        <f>AP69-SUM(AP62:AP67)</f>
        <v>598022.99999976158</v>
      </c>
      <c r="AQ68" s="359"/>
      <c r="AR68" s="359">
        <f>AR69-SUM(AR62:AR67)</f>
        <v>72614779</v>
      </c>
      <c r="AS68" s="359"/>
      <c r="AT68" s="359">
        <f>AT69-SUM(AT62:AT67)</f>
        <v>155238731</v>
      </c>
      <c r="AU68" s="370"/>
      <c r="AV68" s="325">
        <f>AV69-SUM(AV62:AV67)</f>
        <v>4684735432.5440273</v>
      </c>
    </row>
    <row r="69" spans="1:48" x14ac:dyDescent="0.25">
      <c r="A69" s="328" t="s">
        <v>230</v>
      </c>
      <c r="B69" s="324"/>
      <c r="C69" s="326"/>
      <c r="D69" s="326">
        <f>(SUMIFS('Mineral Sands - Q&amp;V'!$C$9:$C$251,'Mineral Sands - Q&amp;V'!$D$9:$D$251,LEFT('Q&amp;V FY 2003-04 to Now'!C$9,4),'Mineral Sands - Q&amp;V'!$E$9:$E$251,3)+
SUMIFS('Mineral Sands - Q&amp;V'!$C$9:$C$251,'Mineral Sands - Q&amp;V'!$D$9:$D$251,LEFT('Q&amp;V FY 2003-04 to Now'!C$9,4),'Mineral Sands - Q&amp;V'!$E$9:$E$251,4)+
SUMIFS('Mineral Sands - Q&amp;V'!$C$9:$C$251,'Mineral Sands - Q&amp;V'!$D$9:$D$251,CONCATENATE("20",RIGHT('Q&amp;V FY 2003-04 to Now'!C$9,2)),'Mineral Sands - Q&amp;V'!$E$9:$E$251,1)+
SUMIFS('Mineral Sands - Q&amp;V'!$C$9:$C$251,'Mineral Sands - Q&amp;V'!$D$9:$D$251,CONCATENATE("20",RIGHT('Q&amp;V FY 2003-04 to Now'!C$9,2)),'Mineral Sands - Q&amp;V'!$E$9:$E$251,2))*1000000</f>
        <v>777537893.61151516</v>
      </c>
      <c r="E69" s="326"/>
      <c r="F69" s="326">
        <f>(SUMIFS('Mineral Sands - Q&amp;V'!$C$9:$C$251,'Mineral Sands - Q&amp;V'!$D$9:$D$251,LEFT('Q&amp;V FY 2003-04 to Now'!E$9,4),'Mineral Sands - Q&amp;V'!$E$9:$E$251,3)+
SUMIFS('Mineral Sands - Q&amp;V'!$C$9:$C$251,'Mineral Sands - Q&amp;V'!$D$9:$D$251,LEFT('Q&amp;V FY 2003-04 to Now'!E$9,4),'Mineral Sands - Q&amp;V'!$E$9:$E$251,4)+
SUMIFS('Mineral Sands - Q&amp;V'!$C$9:$C$251,'Mineral Sands - Q&amp;V'!$D$9:$D$251,CONCATENATE("20",RIGHT('Q&amp;V FY 2003-04 to Now'!E$9,2)),'Mineral Sands - Q&amp;V'!$E$9:$E$251,1)+
SUMIFS('Mineral Sands - Q&amp;V'!$C$9:$C$251,'Mineral Sands - Q&amp;V'!$D$9:$D$251,CONCATENATE("20",RIGHT('Q&amp;V FY 2003-04 to Now'!E$9,2)),'Mineral Sands - Q&amp;V'!$E$9:$E$251,2))*1000000</f>
        <v>808446917.6803031</v>
      </c>
      <c r="G69" s="326"/>
      <c r="H69" s="326">
        <f>(SUMIFS('Mineral Sands - Q&amp;V'!$C$9:$C$251,'Mineral Sands - Q&amp;V'!$D$9:$D$251,LEFT('Q&amp;V FY 2003-04 to Now'!G$9,4),'Mineral Sands - Q&amp;V'!$E$9:$E$251,3)+
SUMIFS('Mineral Sands - Q&amp;V'!$C$9:$C$251,'Mineral Sands - Q&amp;V'!$D$9:$D$251,LEFT('Q&amp;V FY 2003-04 to Now'!G$9,4),'Mineral Sands - Q&amp;V'!$E$9:$E$251,4)+
SUMIFS('Mineral Sands - Q&amp;V'!$C$9:$C$251,'Mineral Sands - Q&amp;V'!$D$9:$D$251,CONCATENATE("20",RIGHT('Q&amp;V FY 2003-04 to Now'!G$9,2)),'Mineral Sands - Q&amp;V'!$E$9:$E$251,1)+
SUMIFS('Mineral Sands - Q&amp;V'!$C$9:$C$251,'Mineral Sands - Q&amp;V'!$D$9:$D$251,CONCATENATE("20",RIGHT('Q&amp;V FY 2003-04 to Now'!G$9,2)),'Mineral Sands - Q&amp;V'!$E$9:$E$251,2))*1000000</f>
        <v>835631249.28512728</v>
      </c>
      <c r="I69" s="326"/>
      <c r="J69" s="326">
        <f>(SUMIFS('Mineral Sands - Q&amp;V'!$C$9:$C$251,'Mineral Sands - Q&amp;V'!$D$9:$D$251,LEFT('Q&amp;V FY 2003-04 to Now'!I$9,4),'Mineral Sands - Q&amp;V'!$E$9:$E$251,3)+
SUMIFS('Mineral Sands - Q&amp;V'!$C$9:$C$251,'Mineral Sands - Q&amp;V'!$D$9:$D$251,LEFT('Q&amp;V FY 2003-04 to Now'!I$9,4),'Mineral Sands - Q&amp;V'!$E$9:$E$251,4)+
SUMIFS('Mineral Sands - Q&amp;V'!$C$9:$C$251,'Mineral Sands - Q&amp;V'!$D$9:$D$251,CONCATENATE("20",RIGHT('Q&amp;V FY 2003-04 to Now'!I$9,2)),'Mineral Sands - Q&amp;V'!$E$9:$E$251,1)+
SUMIFS('Mineral Sands - Q&amp;V'!$C$9:$C$251,'Mineral Sands - Q&amp;V'!$D$9:$D$251,CONCATENATE("20",RIGHT('Q&amp;V FY 2003-04 to Now'!I$9,2)),'Mineral Sands - Q&amp;V'!$E$9:$E$251,2))*1000000</f>
        <v>845527008.92400002</v>
      </c>
      <c r="K69" s="326"/>
      <c r="L69" s="326">
        <f>(SUMIFS('Mineral Sands - Q&amp;V'!$C$9:$C$251,'Mineral Sands - Q&amp;V'!$D$9:$D$251,LEFT('Q&amp;V FY 2003-04 to Now'!K$9,4),'Mineral Sands - Q&amp;V'!$E$9:$E$251,3)+
SUMIFS('Mineral Sands - Q&amp;V'!$C$9:$C$251,'Mineral Sands - Q&amp;V'!$D$9:$D$251,LEFT('Q&amp;V FY 2003-04 to Now'!K$9,4),'Mineral Sands - Q&amp;V'!$E$9:$E$251,4)+
SUMIFS('Mineral Sands - Q&amp;V'!$C$9:$C$251,'Mineral Sands - Q&amp;V'!$D$9:$D$251,CONCATENATE("20",RIGHT('Q&amp;V FY 2003-04 to Now'!K$9,2)),'Mineral Sands - Q&amp;V'!$E$9:$E$251,1)+
SUMIFS('Mineral Sands - Q&amp;V'!$C$9:$C$251,'Mineral Sands - Q&amp;V'!$D$9:$D$251,CONCATENATE("20",RIGHT('Q&amp;V FY 2003-04 to Now'!K$9,2)),'Mineral Sands - Q&amp;V'!$E$9:$E$251,2))*1000000</f>
        <v>677254305.63102913</v>
      </c>
      <c r="M69" s="326"/>
      <c r="N69" s="326">
        <f>(SUMIFS('Mineral Sands - Q&amp;V'!$C$9:$C$251,'Mineral Sands - Q&amp;V'!$D$9:$D$251,LEFT('Q&amp;V FY 2003-04 to Now'!M$9,4),'Mineral Sands - Q&amp;V'!$E$9:$E$251,3)+
SUMIFS('Mineral Sands - Q&amp;V'!$C$9:$C$251,'Mineral Sands - Q&amp;V'!$D$9:$D$251,LEFT('Q&amp;V FY 2003-04 to Now'!M$9,4),'Mineral Sands - Q&amp;V'!$E$9:$E$251,4)+
SUMIFS('Mineral Sands - Q&amp;V'!$C$9:$C$251,'Mineral Sands - Q&amp;V'!$D$9:$D$251,CONCATENATE("20",RIGHT('Q&amp;V FY 2003-04 to Now'!M$9,2)),'Mineral Sands - Q&amp;V'!$E$9:$E$251,1)+
SUMIFS('Mineral Sands - Q&amp;V'!$C$9:$C$251,'Mineral Sands - Q&amp;V'!$D$9:$D$251,CONCATENATE("20",RIGHT('Q&amp;V FY 2003-04 to Now'!M$9,2)),'Mineral Sands - Q&amp;V'!$E$9:$E$251,2))*1000000</f>
        <v>704602267.2606101</v>
      </c>
      <c r="O69" s="326"/>
      <c r="P69" s="326">
        <f>(SUMIFS('Mineral Sands - Q&amp;V'!$C$9:$C$251,'Mineral Sands - Q&amp;V'!$D$9:$D$251,LEFT('Q&amp;V FY 2003-04 to Now'!O$9,4),'Mineral Sands - Q&amp;V'!$E$9:$E$251,3)+
SUMIFS('Mineral Sands - Q&amp;V'!$C$9:$C$251,'Mineral Sands - Q&amp;V'!$D$9:$D$251,LEFT('Q&amp;V FY 2003-04 to Now'!O$9,4),'Mineral Sands - Q&amp;V'!$E$9:$E$251,4)+
SUMIFS('Mineral Sands - Q&amp;V'!$C$9:$C$251,'Mineral Sands - Q&amp;V'!$D$9:$D$251,CONCATENATE("20",RIGHT('Q&amp;V FY 2003-04 to Now'!O$9,2)),'Mineral Sands - Q&amp;V'!$E$9:$E$251,1)+
SUMIFS('Mineral Sands - Q&amp;V'!$C$9:$C$251,'Mineral Sands - Q&amp;V'!$D$9:$D$251,CONCATENATE("20",RIGHT('Q&amp;V FY 2003-04 to Now'!O$9,2)),'Mineral Sands - Q&amp;V'!$E$9:$E$251,2))*1000000</f>
        <v>664485029.62650192</v>
      </c>
      <c r="Q69" s="326"/>
      <c r="R69" s="326">
        <f>(SUMIFS('Mineral Sands - Q&amp;V'!$C$9:$C$251,'Mineral Sands - Q&amp;V'!$D$9:$D$251,LEFT('Q&amp;V FY 2003-04 to Now'!Q$9,4),'Mineral Sands - Q&amp;V'!$E$9:$E$251,3)+
SUMIFS('Mineral Sands - Q&amp;V'!$C$9:$C$251,'Mineral Sands - Q&amp;V'!$D$9:$D$251,LEFT('Q&amp;V FY 2003-04 to Now'!Q$9,4),'Mineral Sands - Q&amp;V'!$E$9:$E$251,4)+
SUMIFS('Mineral Sands - Q&amp;V'!$C$9:$C$251,'Mineral Sands - Q&amp;V'!$D$9:$D$251,CONCATENATE("20",RIGHT('Q&amp;V FY 2003-04 to Now'!Q$9,2)),'Mineral Sands - Q&amp;V'!$E$9:$E$251,1)+
SUMIFS('Mineral Sands - Q&amp;V'!$C$9:$C$251,'Mineral Sands - Q&amp;V'!$D$9:$D$251,CONCATENATE("20",RIGHT('Q&amp;V FY 2003-04 to Now'!Q$9,2)),'Mineral Sands - Q&amp;V'!$E$9:$E$251,2))*1000000</f>
        <v>476182546.96690905</v>
      </c>
      <c r="S69" s="326"/>
      <c r="T69" s="326">
        <f>(SUMIFS('Mineral Sands - Q&amp;V'!$C$9:$C$251,'Mineral Sands - Q&amp;V'!$D$9:$D$251,LEFT('Q&amp;V FY 2003-04 to Now'!S$9,4),'Mineral Sands - Q&amp;V'!$E$9:$E$251,3)+
SUMIFS('Mineral Sands - Q&amp;V'!$C$9:$C$251,'Mineral Sands - Q&amp;V'!$D$9:$D$251,LEFT('Q&amp;V FY 2003-04 to Now'!S$9,4),'Mineral Sands - Q&amp;V'!$E$9:$E$251,4)+
SUMIFS('Mineral Sands - Q&amp;V'!$C$9:$C$251,'Mineral Sands - Q&amp;V'!$D$9:$D$251,CONCATENATE("20",RIGHT('Q&amp;V FY 2003-04 to Now'!S$9,2)),'Mineral Sands - Q&amp;V'!$E$9:$E$251,1)+
SUMIFS('Mineral Sands - Q&amp;V'!$C$9:$C$251,'Mineral Sands - Q&amp;V'!$D$9:$D$251,CONCATENATE("20",RIGHT('Q&amp;V FY 2003-04 to Now'!S$9,2)),'Mineral Sands - Q&amp;V'!$E$9:$E$251,2))*1000000</f>
        <v>864112563.07318532</v>
      </c>
      <c r="U69" s="326"/>
      <c r="V69" s="326">
        <f>(SUMIFS('Mineral Sands - Q&amp;V'!$C$9:$C$251,'Mineral Sands - Q&amp;V'!$D$9:$D$251,LEFT('Q&amp;V FY 2003-04 to Now'!U$9,4),'Mineral Sands - Q&amp;V'!$E$9:$E$251,3)+
SUMIFS('Mineral Sands - Q&amp;V'!$C$9:$C$251,'Mineral Sands - Q&amp;V'!$D$9:$D$251,LEFT('Q&amp;V FY 2003-04 to Now'!U$9,4),'Mineral Sands - Q&amp;V'!$E$9:$E$251,4)+
SUMIFS('Mineral Sands - Q&amp;V'!$C$9:$C$251,'Mineral Sands - Q&amp;V'!$D$9:$D$251,CONCATENATE("20",RIGHT('Q&amp;V FY 2003-04 to Now'!U$9,2)),'Mineral Sands - Q&amp;V'!$E$9:$E$251,1)+
SUMIFS('Mineral Sands - Q&amp;V'!$C$9:$C$251,'Mineral Sands - Q&amp;V'!$D$9:$D$251,CONCATENATE("20",RIGHT('Q&amp;V FY 2003-04 to Now'!U$9,2)),'Mineral Sands - Q&amp;V'!$E$9:$E$251,2))*1000000</f>
        <v>657172351.63484848</v>
      </c>
      <c r="W69" s="326"/>
      <c r="X69" s="326">
        <f>(SUMIFS('Mineral Sands - Q&amp;V'!$C$9:$C$251,'Mineral Sands - Q&amp;V'!$D$9:$D$251,LEFT('Q&amp;V FY 2003-04 to Now'!W$9,4),'Mineral Sands - Q&amp;V'!$E$9:$E$251,3)+
SUMIFS('Mineral Sands - Q&amp;V'!$C$9:$C$251,'Mineral Sands - Q&amp;V'!$D$9:$D$251,LEFT('Q&amp;V FY 2003-04 to Now'!W$9,4),'Mineral Sands - Q&amp;V'!$E$9:$E$251,4)+
SUMIFS('Mineral Sands - Q&amp;V'!$C$9:$C$251,'Mineral Sands - Q&amp;V'!$D$9:$D$251,CONCATENATE("20",RIGHT('Q&amp;V FY 2003-04 to Now'!W$9,2)),'Mineral Sands - Q&amp;V'!$E$9:$E$251,1)+
SUMIFS('Mineral Sands - Q&amp;V'!$C$9:$C$251,'Mineral Sands - Q&amp;V'!$D$9:$D$251,CONCATENATE("20",RIGHT('Q&amp;V FY 2003-04 to Now'!W$9,2)),'Mineral Sands - Q&amp;V'!$E$9:$E$251,2))*1000000</f>
        <v>359958050.74545455</v>
      </c>
      <c r="Y69" s="326"/>
      <c r="Z69" s="326">
        <f>(SUMIFS('Mineral Sands - Q&amp;V'!$C$9:$C$251,'Mineral Sands - Q&amp;V'!$D$9:$D$251,LEFT('Q&amp;V FY 2003-04 to Now'!Y$9,4),'Mineral Sands - Q&amp;V'!$E$9:$E$251,3)+
SUMIFS('Mineral Sands - Q&amp;V'!$C$9:$C$251,'Mineral Sands - Q&amp;V'!$D$9:$D$251,LEFT('Q&amp;V FY 2003-04 to Now'!Y$9,4),'Mineral Sands - Q&amp;V'!$E$9:$E$251,4)+
SUMIFS('Mineral Sands - Q&amp;V'!$C$9:$C$251,'Mineral Sands - Q&amp;V'!$D$9:$D$251,CONCATENATE("20",RIGHT('Q&amp;V FY 2003-04 to Now'!Y$9,2)),'Mineral Sands - Q&amp;V'!$E$9:$E$251,1)+
SUMIFS('Mineral Sands - Q&amp;V'!$C$9:$C$251,'Mineral Sands - Q&amp;V'!$D$9:$D$251,CONCATENATE("20",RIGHT('Q&amp;V FY 2003-04 to Now'!Y$9,2)),'Mineral Sands - Q&amp;V'!$E$9:$E$251,2))*1000000</f>
        <v>494227513.26065212</v>
      </c>
      <c r="AA69" s="326"/>
      <c r="AB69" s="326">
        <f>(SUMIFS('Mineral Sands - Q&amp;V'!$C$9:$C$251,'Mineral Sands - Q&amp;V'!$D$9:$D$251,LEFT('Q&amp;V FY 2003-04 to Now'!AA$9,4),'Mineral Sands - Q&amp;V'!$E$9:$E$251,3)+
SUMIFS('Mineral Sands - Q&amp;V'!$C$9:$C$251,'Mineral Sands - Q&amp;V'!$D$9:$D$251,LEFT('Q&amp;V FY 2003-04 to Now'!AA$9,4),'Mineral Sands - Q&amp;V'!$E$9:$E$251,4)+
SUMIFS('Mineral Sands - Q&amp;V'!$C$9:$C$251,'Mineral Sands - Q&amp;V'!$D$9:$D$251,CONCATENATE("20",RIGHT('Q&amp;V FY 2003-04 to Now'!AA$9,2)),'Mineral Sands - Q&amp;V'!$E$9:$E$251,1)+
SUMIFS('Mineral Sands - Q&amp;V'!$C$9:$C$251,'Mineral Sands - Q&amp;V'!$D$9:$D$251,CONCATENATE("20",RIGHT('Q&amp;V FY 2003-04 to Now'!AA$9,2)),'Mineral Sands - Q&amp;V'!$E$9:$E$251,2))*1000000</f>
        <v>571530555.13582826</v>
      </c>
      <c r="AC69" s="326"/>
      <c r="AD69" s="326">
        <f>(SUMIFS('Mineral Sands - Q&amp;V'!$C$9:$C$251,'Mineral Sands - Q&amp;V'!$D$9:$D$251,LEFT('Q&amp;V FY 2003-04 to Now'!AC$9,4),'Mineral Sands - Q&amp;V'!$E$9:$E$251,3)+
SUMIFS('Mineral Sands - Q&amp;V'!$C$9:$C$251,'Mineral Sands - Q&amp;V'!$D$9:$D$251,LEFT('Q&amp;V FY 2003-04 to Now'!AC$9,4),'Mineral Sands - Q&amp;V'!$E$9:$E$251,4)+
SUMIFS('Mineral Sands - Q&amp;V'!$C$9:$C$251,'Mineral Sands - Q&amp;V'!$D$9:$D$251,CONCATENATE("20",RIGHT('Q&amp;V FY 2003-04 to Now'!AC$9,2)),'Mineral Sands - Q&amp;V'!$E$9:$E$251,1)+
SUMIFS('Mineral Sands - Q&amp;V'!$C$9:$C$251,'Mineral Sands - Q&amp;V'!$D$9:$D$251,CONCATENATE("20",RIGHT('Q&amp;V FY 2003-04 to Now'!AC$9,2)),'Mineral Sands - Q&amp;V'!$E$9:$E$251,2))*1000000</f>
        <v>583462788.04640043</v>
      </c>
      <c r="AE69" s="357"/>
      <c r="AF69" s="326">
        <f>(SUMIFS('Mineral Sands - Q&amp;V'!$C$9:$C$251,'Mineral Sands - Q&amp;V'!$D$9:$D$251,LEFT('Q&amp;V FY 2003-04 to Now'!AE$9,4),'Mineral Sands - Q&amp;V'!$E$9:$E$251,3)+
SUMIFS('Mineral Sands - Q&amp;V'!$C$9:$C$251,'Mineral Sands - Q&amp;V'!$D$9:$D$251,LEFT('Q&amp;V FY 2003-04 to Now'!AE$9,4),'Mineral Sands - Q&amp;V'!$E$9:$E$251,4)+
SUMIFS('Mineral Sands - Q&amp;V'!$C$9:$C$251,'Mineral Sands - Q&amp;V'!$D$9:$D$251,CONCATENATE("20",RIGHT('Q&amp;V FY 2003-04 to Now'!AE$9,2)),'Mineral Sands - Q&amp;V'!$E$9:$E$251,1)+
SUMIFS('Mineral Sands - Q&amp;V'!$C$9:$C$251,'Mineral Sands - Q&amp;V'!$D$9:$D$251,CONCATENATE("20",RIGHT('Q&amp;V FY 2003-04 to Now'!AE$9,2)),'Mineral Sands - Q&amp;V'!$E$9:$E$251,2))*1000000</f>
        <v>552008983.87739635</v>
      </c>
      <c r="AG69" s="368"/>
      <c r="AH69" s="326">
        <f>(SUMIFS('Mineral Sands - Q&amp;V'!$C$9:$C$251,'Mineral Sands - Q&amp;V'!$D$9:$D$251,LEFT('Q&amp;V FY 2003-04 to Now'!AG$9,4),'Mineral Sands - Q&amp;V'!$E$9:$E$251,3)+
SUMIFS('Mineral Sands - Q&amp;V'!$C$9:$C$251,'Mineral Sands - Q&amp;V'!$D$9:$D$251,LEFT('Q&amp;V FY 2003-04 to Now'!AG$9,4),'Mineral Sands - Q&amp;V'!$E$9:$E$251,4)+
SUMIFS('Mineral Sands - Q&amp;V'!$C$9:$C$251,'Mineral Sands - Q&amp;V'!$D$9:$D$251,CONCATENATE("20",RIGHT('Q&amp;V FY 2003-04 to Now'!AG$9,2)),'Mineral Sands - Q&amp;V'!$E$9:$E$251,1)+
SUMIFS('Mineral Sands - Q&amp;V'!$C$9:$C$251,'Mineral Sands - Q&amp;V'!$D$9:$D$251,CONCATENATE("20",RIGHT('Q&amp;V FY 2003-04 to Now'!AG$9,2)),'Mineral Sands - Q&amp;V'!$E$9:$E$251,2))*1000000</f>
        <v>718330056.36106145</v>
      </c>
      <c r="AI69" s="357"/>
      <c r="AJ69" s="326">
        <f>(SUMIFS('Mineral Sands - Q&amp;V'!$C$9:$C$251,'Mineral Sands - Q&amp;V'!$D$9:$D$251,LEFT('Q&amp;V FY 2003-04 to Now'!AI$9,4),'Mineral Sands - Q&amp;V'!$E$9:$E$251,3)+
SUMIFS('Mineral Sands - Q&amp;V'!$C$9:$C$251,'Mineral Sands - Q&amp;V'!$D$9:$D$251,LEFT('Q&amp;V FY 2003-04 to Now'!AI$9,4),'Mineral Sands - Q&amp;V'!$E$9:$E$251,4)+
SUMIFS('Mineral Sands - Q&amp;V'!$C$9:$C$251,'Mineral Sands - Q&amp;V'!$D$9:$D$251,CONCATENATE("20",RIGHT('Q&amp;V FY 2003-04 to Now'!AI$9,2)),'Mineral Sands - Q&amp;V'!$E$9:$E$251,1)+
SUMIFS('Mineral Sands - Q&amp;V'!$C$9:$C$251,'Mineral Sands - Q&amp;V'!$D$9:$D$251,CONCATENATE("20",RIGHT('Q&amp;V FY 2003-04 to Now'!AI$9,2)),'Mineral Sands - Q&amp;V'!$E$9:$E$251,2))*1000000</f>
        <v>815731088.26599419</v>
      </c>
      <c r="AK69" s="326"/>
      <c r="AL69" s="359">
        <f>(SUMIFS('Mineral Sands - Q&amp;V'!$C$9:$C$251,'Mineral Sands - Q&amp;V'!$D$9:$D$251,LEFT('Q&amp;V FY 2003-04 to Now'!AK$9,4),'Mineral Sands - Q&amp;V'!$E$9:$E$251,3)+
SUMIFS('Mineral Sands - Q&amp;V'!$C$9:$C$251,'Mineral Sands - Q&amp;V'!$D$9:$D$251,LEFT('Q&amp;V FY 2003-04 to Now'!AK$9,4),'Mineral Sands - Q&amp;V'!$E$9:$E$251,4)+
SUMIFS('Mineral Sands - Q&amp;V'!$C$9:$C$251,'Mineral Sands - Q&amp;V'!$D$9:$D$251,CONCATENATE("20",RIGHT('Q&amp;V FY 2003-04 to Now'!AK$9,2)),'Mineral Sands - Q&amp;V'!$E$9:$E$251,1)+
SUMIFS('Mineral Sands - Q&amp;V'!$C$9:$C$251,'Mineral Sands - Q&amp;V'!$D$9:$D$251,CONCATENATE("20",RIGHT('Q&amp;V FY 2003-04 to Now'!AK$9,2)),'Mineral Sands - Q&amp;V'!$E$9:$E$251,2))*1000000</f>
        <v>926802515.33800459</v>
      </c>
      <c r="AM69" s="372"/>
      <c r="AN69" s="359">
        <f>(SUMIFS('Mineral Sands - Q&amp;V'!$C$9:$C$251,'Mineral Sands - Q&amp;V'!$D$9:$D$251,LEFT('Q&amp;V FY 2003-04 to Now'!AM$9,4),'Mineral Sands - Q&amp;V'!$E$9:$E$251,3)+
SUMIFS('Mineral Sands - Q&amp;V'!$C$9:$C$251,'Mineral Sands - Q&amp;V'!$D$9:$D$251,LEFT('Q&amp;V FY 2003-04 to Now'!AM$9,4),'Mineral Sands - Q&amp;V'!$E$9:$E$251,4)+
SUMIFS('Mineral Sands - Q&amp;V'!$C$9:$C$251,'Mineral Sands - Q&amp;V'!$D$9:$D$251,CONCATENATE("20",RIGHT('Q&amp;V FY 2003-04 to Now'!AM$9,2)),'Mineral Sands - Q&amp;V'!$E$9:$E$251,1)+
SUMIFS('Mineral Sands - Q&amp;V'!$C$9:$C$251,'Mineral Sands - Q&amp;V'!$D$9:$D$251,CONCATENATE("20",RIGHT('Q&amp;V FY 2003-04 to Now'!AM$9,2)),'Mineral Sands - Q&amp;V'!$E$9:$E$251,2))*1000000</f>
        <v>1387400601.4517767</v>
      </c>
      <c r="AO69" s="372"/>
      <c r="AP69" s="359">
        <f>(SUMIFS('Mineral Sands - Q&amp;V'!$C$9:$C$251,'Mineral Sands - Q&amp;V'!$D$9:$D$251,LEFT('Q&amp;V FY 2003-04 to Now'!AO$9,4),'Mineral Sands - Q&amp;V'!$E$9:$E$251,3)+
SUMIFS('Mineral Sands - Q&amp;V'!$C$9:$C$251,'Mineral Sands - Q&amp;V'!$D$9:$D$251,LEFT('Q&amp;V FY 2003-04 to Now'!AO$9,4),'Mineral Sands - Q&amp;V'!$E$9:$E$251,4)+
SUMIFS('Mineral Sands - Q&amp;V'!$C$9:$C$251,'Mineral Sands - Q&amp;V'!$D$9:$D$251,CONCATENATE("20",RIGHT('Q&amp;V FY 2003-04 to Now'!AO$9,2)),'Mineral Sands - Q&amp;V'!$E$9:$E$251,1)+
SUMIFS('Mineral Sands - Q&amp;V'!$C$9:$C$251,'Mineral Sands - Q&amp;V'!$D$9:$D$251,CONCATENATE("20",RIGHT('Q&amp;V FY 2003-04 to Now'!AO$9,2)),'Mineral Sands - Q&amp;V'!$E$9:$E$251,2))*1000000</f>
        <v>1434745571.2783384</v>
      </c>
      <c r="AQ69" s="372"/>
      <c r="AR69" s="359">
        <f>(SUMIFS('Mineral Sands - Q&amp;V'!$C$9:$C$251,'Mineral Sands - Q&amp;V'!$D$9:$D$251,LEFT('Q&amp;V FY 2003-04 to Now'!AQ$9,4),'Mineral Sands - Q&amp;V'!$E$9:$E$251,3)+
SUMIFS('Mineral Sands - Q&amp;V'!$C$9:$C$251,'Mineral Sands - Q&amp;V'!$D$9:$D$251,LEFT('Q&amp;V FY 2003-04 to Now'!AQ$9,4),'Mineral Sands - Q&amp;V'!$E$9:$E$251,4)+
SUMIFS('Mineral Sands - Q&amp;V'!$C$9:$C$251,'Mineral Sands - Q&amp;V'!$D$9:$D$251,CONCATENATE("20",RIGHT('Q&amp;V FY 2003-04 to Now'!AQ$9,2)),'Mineral Sands - Q&amp;V'!$E$9:$E$251,1)+
SUMIFS('Mineral Sands - Q&amp;V'!$C$9:$C$251,'Mineral Sands - Q&amp;V'!$D$9:$D$251,CONCATENATE("20",RIGHT('Q&amp;V FY 2003-04 to Now'!AQ$9,2)),'Mineral Sands - Q&amp;V'!$E$9:$E$251,2))*1000000</f>
        <v>1178052805.871042</v>
      </c>
      <c r="AS69" s="372"/>
      <c r="AT69" s="359">
        <f>(SUMIFS('Mineral Sands - Q&amp;V'!$C$9:$C$251,'Mineral Sands - Q&amp;V'!$D$9:$D$251,LEFT('Q&amp;V FY 2003-04 to Now'!AS$9,4),'Mineral Sands - Q&amp;V'!$E$9:$E$251,3)+
SUMIFS('Mineral Sands - Q&amp;V'!$C$9:$C$251,'Mineral Sands - Q&amp;V'!$D$9:$D$251,LEFT('Q&amp;V FY 2003-04 to Now'!AS$9,4),'Mineral Sands - Q&amp;V'!$E$9:$E$251,4)+
SUMIFS('Mineral Sands - Q&amp;V'!$C$9:$C$251,'Mineral Sands - Q&amp;V'!$D$9:$D$251,CONCATENATE("20",RIGHT('Q&amp;V FY 2003-04 to Now'!AS$9,2)),'Mineral Sands - Q&amp;V'!$E$9:$E$251,1)+
SUMIFS('Mineral Sands - Q&amp;V'!$C$9:$C$251,'Mineral Sands - Q&amp;V'!$D$9:$D$251,CONCATENATE("20",RIGHT('Q&amp;V FY 2003-04 to Now'!AS$9,2)),'Mineral Sands - Q&amp;V'!$E$9:$E$251,2))*1000000</f>
        <v>1446847988.0555673</v>
      </c>
      <c r="AU69" s="370"/>
      <c r="AV69" s="325">
        <f>IF(COUNTIF($C69:AT69, "nfp")=0, SUMIF($C$11:AT$11,0,$C69:AT69), "nfp")</f>
        <v>17780050651.381546</v>
      </c>
    </row>
    <row r="70" spans="1:48" x14ac:dyDescent="0.25">
      <c r="A70" s="329"/>
      <c r="B70" s="324"/>
      <c r="C70" s="326"/>
      <c r="D70" s="326"/>
      <c r="E70" s="326"/>
      <c r="F70" s="326"/>
      <c r="G70" s="326"/>
      <c r="H70" s="326"/>
      <c r="I70" s="326"/>
      <c r="J70" s="326"/>
      <c r="K70" s="326"/>
      <c r="L70" s="326"/>
      <c r="M70" s="326"/>
      <c r="N70" s="326"/>
      <c r="O70" s="326"/>
      <c r="P70" s="326"/>
      <c r="Q70" s="326"/>
      <c r="R70" s="326"/>
      <c r="S70" s="326"/>
      <c r="T70" s="326"/>
      <c r="U70" s="326"/>
      <c r="V70" s="326"/>
      <c r="W70" s="326"/>
      <c r="X70" s="326"/>
      <c r="Y70" s="326"/>
      <c r="Z70" s="326"/>
      <c r="AA70" s="326"/>
      <c r="AB70" s="326"/>
      <c r="AC70" s="326"/>
      <c r="AD70" s="326"/>
      <c r="AE70" s="357"/>
      <c r="AF70" s="326"/>
      <c r="AG70" s="368"/>
      <c r="AH70" s="326"/>
      <c r="AI70" s="357"/>
      <c r="AJ70" s="326"/>
      <c r="AK70" s="326"/>
      <c r="AL70" s="326"/>
      <c r="AM70" s="326"/>
      <c r="AN70" s="326"/>
      <c r="AO70" s="326"/>
      <c r="AP70" s="326"/>
      <c r="AQ70" s="326"/>
      <c r="AR70" s="326"/>
      <c r="AS70" s="326"/>
      <c r="AT70" s="326"/>
      <c r="AU70" s="370"/>
      <c r="AV70" s="325"/>
    </row>
    <row r="71" spans="1:48" x14ac:dyDescent="0.25">
      <c r="A71" s="330" t="s">
        <v>231</v>
      </c>
      <c r="B71" s="216" t="s">
        <v>166</v>
      </c>
      <c r="C71" s="232">
        <f>(SUMIFS('Nickel - Q&amp;V'!$B$9:$B$251,'Nickel - Q&amp;V'!$D$9:$D$251,LEFT('Q&amp;V FY 2003-04 to Now'!C$9:D$9,4),'Nickel - Q&amp;V'!$E$9:$E$251,3)+
SUMIFS('Nickel - Q&amp;V'!$B$9:$B$251,'Nickel - Q&amp;V'!$D$9:$D$251,LEFT('Q&amp;V FY 2003-04 to Now'!C$9:D$9,4),'Nickel - Q&amp;V'!$E$9:$E$251,4)+
SUMIFS('Nickel - Q&amp;V'!$B$9:$B$251,'Nickel - Q&amp;V'!$D$9:$D$251,CONCATENATE("20",RIGHT('Q&amp;V FY 2003-04 to Now'!C$9,2)),'Nickel - Q&amp;V'!$E$9:$E$251,1)+
SUMIFS('Nickel - Q&amp;V'!$B$9:$B$251,'Nickel - Q&amp;V'!$D$9:$D$251,CONCATENATE("20",RIGHT('Q&amp;V FY 2003-04 to Now'!C$9,2)),'Nickel - Q&amp;V'!$E$9:$E$251,2))*1000</f>
        <v>182605</v>
      </c>
      <c r="D71" s="232">
        <f>(SUMIFS('Nickel - Q&amp;V'!$C$9:$C$251,'Nickel - Q&amp;V'!$D$9:$D$251,LEFT('Q&amp;V FY 2003-04 to Now'!C$9,4),'Nickel - Q&amp;V'!$E$9:$E$251,3)+
SUMIFS('Nickel - Q&amp;V'!$C$9:$C$251,'Nickel - Q&amp;V'!$D$9:$D$251,LEFT('Q&amp;V FY 2003-04 to Now'!C$9,4),'Nickel - Q&amp;V'!$E$9:$E$251,4)+
SUMIFS('Nickel - Q&amp;V'!$C$9:$C$251,'Nickel - Q&amp;V'!$D$9:$D$251,CONCATENATE("20",RIGHT('Q&amp;V FY 2003-04 to Now'!C$9,2)),'Nickel - Q&amp;V'!$E$9:$E$251,1)+
SUMIFS('Nickel - Q&amp;V'!$C$9:$C$251,'Nickel - Q&amp;V'!$D$9:$D$251,CONCATENATE("20",RIGHT('Q&amp;V FY 2003-04 to Now'!C$9,2)),'Nickel - Q&amp;V'!$E$9:$E$251,2))*1000000</f>
        <v>3035937570</v>
      </c>
      <c r="E71" s="232">
        <f>(SUMIFS('Nickel - Q&amp;V'!$B$9:$B$251,'Nickel - Q&amp;V'!$D$9:$D$251,LEFT('Q&amp;V FY 2003-04 to Now'!E$9:F$9,4),'Nickel - Q&amp;V'!$E$9:$E$251,3)+
SUMIFS('Nickel - Q&amp;V'!$B$9:$B$251,'Nickel - Q&amp;V'!$D$9:$D$251,LEFT('Q&amp;V FY 2003-04 to Now'!E$9:F$9,4),'Nickel - Q&amp;V'!$E$9:$E$251,4)+
SUMIFS('Nickel - Q&amp;V'!$B$9:$B$251,'Nickel - Q&amp;V'!$D$9:$D$251,CONCATENATE("20",RIGHT('Q&amp;V FY 2003-04 to Now'!E$9,2)),'Nickel - Q&amp;V'!$E$9:$E$251,1)+
SUMIFS('Nickel - Q&amp;V'!$B$9:$B$251,'Nickel - Q&amp;V'!$D$9:$D$251,CONCATENATE("20",RIGHT('Q&amp;V FY 2003-04 to Now'!E$9,2)),'Nickel - Q&amp;V'!$E$9:$E$251,2))*1000</f>
        <v>180386</v>
      </c>
      <c r="F71" s="232">
        <f>(SUMIFS('Nickel - Q&amp;V'!$C$9:$C$251,'Nickel - Q&amp;V'!$D$9:$D$251,LEFT('Q&amp;V FY 2003-04 to Now'!E$9,4),'Nickel - Q&amp;V'!$E$9:$E$251,3)+
SUMIFS('Nickel - Q&amp;V'!$C$9:$C$251,'Nickel - Q&amp;V'!$D$9:$D$251,LEFT('Q&amp;V FY 2003-04 to Now'!E$9,4),'Nickel - Q&amp;V'!$E$9:$E$251,4)+
SUMIFS('Nickel - Q&amp;V'!$C$9:$C$251,'Nickel - Q&amp;V'!$D$9:$D$251,CONCATENATE("20",RIGHT('Q&amp;V FY 2003-04 to Now'!E$9,2)),'Nickel - Q&amp;V'!$E$9:$E$251,1)+
SUMIFS('Nickel - Q&amp;V'!$C$9:$C$251,'Nickel - Q&amp;V'!$D$9:$D$251,CONCATENATE("20",RIGHT('Q&amp;V FY 2003-04 to Now'!E$9,2)),'Nickel - Q&amp;V'!$E$9:$E$251,2))*1000000</f>
        <v>3501466609</v>
      </c>
      <c r="G71" s="232">
        <f>(SUMIFS('Nickel - Q&amp;V'!$B$9:$B$251,'Nickel - Q&amp;V'!$D$9:$D$251,LEFT('Q&amp;V FY 2003-04 to Now'!G$9:H$9,4),'Nickel - Q&amp;V'!$E$9:$E$251,3)+
SUMIFS('Nickel - Q&amp;V'!$B$9:$B$251,'Nickel - Q&amp;V'!$D$9:$D$251,LEFT('Q&amp;V FY 2003-04 to Now'!G$9:H$9,4),'Nickel - Q&amp;V'!$E$9:$E$251,4)+
SUMIFS('Nickel - Q&amp;V'!$B$9:$B$251,'Nickel - Q&amp;V'!$D$9:$D$251,CONCATENATE("20",RIGHT('Q&amp;V FY 2003-04 to Now'!G$9,2)),'Nickel - Q&amp;V'!$E$9:$E$251,1)+
SUMIFS('Nickel - Q&amp;V'!$B$9:$B$251,'Nickel - Q&amp;V'!$D$9:$D$251,CONCATENATE("20",RIGHT('Q&amp;V FY 2003-04 to Now'!G$9,2)),'Nickel - Q&amp;V'!$E$9:$E$251,2))*1000</f>
        <v>183572</v>
      </c>
      <c r="H71" s="232">
        <f>(SUMIFS('Nickel - Q&amp;V'!$C$9:$C$251,'Nickel - Q&amp;V'!$D$9:$D$251,LEFT('Q&amp;V FY 2003-04 to Now'!G$9,4),'Nickel - Q&amp;V'!$E$9:$E$251,3)+
SUMIFS('Nickel - Q&amp;V'!$C$9:$C$251,'Nickel - Q&amp;V'!$D$9:$D$251,LEFT('Q&amp;V FY 2003-04 to Now'!G$9,4),'Nickel - Q&amp;V'!$E$9:$E$251,4)+
SUMIFS('Nickel - Q&amp;V'!$C$9:$C$251,'Nickel - Q&amp;V'!$D$9:$D$251,CONCATENATE("20",RIGHT('Q&amp;V FY 2003-04 to Now'!G$9,2)),'Nickel - Q&amp;V'!$E$9:$E$251,1)+
SUMIFS('Nickel - Q&amp;V'!$C$9:$C$251,'Nickel - Q&amp;V'!$D$9:$D$251,CONCATENATE("20",RIGHT('Q&amp;V FY 2003-04 to Now'!G$9,2)),'Nickel - Q&amp;V'!$E$9:$E$251,2))*1000000</f>
        <v>3811452005</v>
      </c>
      <c r="I71" s="232">
        <f>(SUMIFS('Nickel - Q&amp;V'!$B$9:$B$251,'Nickel - Q&amp;V'!$D$9:$D$251,LEFT('Q&amp;V FY 2003-04 to Now'!I$9:J$9,4),'Nickel - Q&amp;V'!$E$9:$E$251,3)+
SUMIFS('Nickel - Q&amp;V'!$B$9:$B$251,'Nickel - Q&amp;V'!$D$9:$D$251,LEFT('Q&amp;V FY 2003-04 to Now'!I$9:J$9,4),'Nickel - Q&amp;V'!$E$9:$E$251,4)+
SUMIFS('Nickel - Q&amp;V'!$B$9:$B$251,'Nickel - Q&amp;V'!$D$9:$D$251,CONCATENATE("20",RIGHT('Q&amp;V FY 2003-04 to Now'!I$9,2)),'Nickel - Q&amp;V'!$E$9:$E$251,1)+
SUMIFS('Nickel - Q&amp;V'!$B$9:$B$251,'Nickel - Q&amp;V'!$D$9:$D$251,CONCATENATE("20",RIGHT('Q&amp;V FY 2003-04 to Now'!I$9,2)),'Nickel - Q&amp;V'!$E$9:$E$251,2))*1000</f>
        <v>173569</v>
      </c>
      <c r="J71" s="232">
        <f>(SUMIFS('Nickel - Q&amp;V'!$C$9:$C$251,'Nickel - Q&amp;V'!$D$9:$D$251,LEFT('Q&amp;V FY 2003-04 to Now'!I$9,4),'Nickel - Q&amp;V'!$E$9:$E$251,3)+
SUMIFS('Nickel - Q&amp;V'!$C$9:$C$251,'Nickel - Q&amp;V'!$D$9:$D$251,LEFT('Q&amp;V FY 2003-04 to Now'!I$9,4),'Nickel - Q&amp;V'!$E$9:$E$251,4)+
SUMIFS('Nickel - Q&amp;V'!$C$9:$C$251,'Nickel - Q&amp;V'!$D$9:$D$251,CONCATENATE("20",RIGHT('Q&amp;V FY 2003-04 to Now'!I$9,2)),'Nickel - Q&amp;V'!$E$9:$E$251,1)+
SUMIFS('Nickel - Q&amp;V'!$C$9:$C$251,'Nickel - Q&amp;V'!$D$9:$D$251,CONCATENATE("20",RIGHT('Q&amp;V FY 2003-04 to Now'!I$9,2)),'Nickel - Q&amp;V'!$E$9:$E$251,2))*1000000</f>
        <v>8059379171.000001</v>
      </c>
      <c r="K71" s="232">
        <f>(SUMIFS('Nickel - Q&amp;V'!$B$9:$B$251,'Nickel - Q&amp;V'!$D$9:$D$251,LEFT('Q&amp;V FY 2003-04 to Now'!K$9:L$9,4),'Nickel - Q&amp;V'!$E$9:$E$251,3)+
SUMIFS('Nickel - Q&amp;V'!$B$9:$B$251,'Nickel - Q&amp;V'!$D$9:$D$251,LEFT('Q&amp;V FY 2003-04 to Now'!K$9:L$9,4),'Nickel - Q&amp;V'!$E$9:$E$251,4)+
SUMIFS('Nickel - Q&amp;V'!$B$9:$B$251,'Nickel - Q&amp;V'!$D$9:$D$251,CONCATENATE("20",RIGHT('Q&amp;V FY 2003-04 to Now'!K$9,2)),'Nickel - Q&amp;V'!$E$9:$E$251,1)+
SUMIFS('Nickel - Q&amp;V'!$B$9:$B$251,'Nickel - Q&amp;V'!$D$9:$D$251,CONCATENATE("20",RIGHT('Q&amp;V FY 2003-04 to Now'!K$9,2)),'Nickel - Q&amp;V'!$E$9:$E$251,2))*1000</f>
        <v>172801</v>
      </c>
      <c r="L71" s="232">
        <f>(SUMIFS('Nickel - Q&amp;V'!$C$9:$C$251,'Nickel - Q&amp;V'!$D$9:$D$251,LEFT('Q&amp;V FY 2003-04 to Now'!K$9,4),'Nickel - Q&amp;V'!$E$9:$E$251,3)+
SUMIFS('Nickel - Q&amp;V'!$C$9:$C$251,'Nickel - Q&amp;V'!$D$9:$D$251,LEFT('Q&amp;V FY 2003-04 to Now'!K$9,4),'Nickel - Q&amp;V'!$E$9:$E$251,4)+
SUMIFS('Nickel - Q&amp;V'!$C$9:$C$251,'Nickel - Q&amp;V'!$D$9:$D$251,CONCATENATE("20",RIGHT('Q&amp;V FY 2003-04 to Now'!K$9,2)),'Nickel - Q&amp;V'!$E$9:$E$251,1)+
SUMIFS('Nickel - Q&amp;V'!$C$9:$C$251,'Nickel - Q&amp;V'!$D$9:$D$251,CONCATENATE("20",RIGHT('Q&amp;V FY 2003-04 to Now'!K$9,2)),'Nickel - Q&amp;V'!$E$9:$E$251,2))*1000000</f>
        <v>5143604739</v>
      </c>
      <c r="M71" s="232">
        <f>(SUMIFS('Nickel - Q&amp;V'!$B$9:$B$251,'Nickel - Q&amp;V'!$D$9:$D$251,LEFT('Q&amp;V FY 2003-04 to Now'!M$9:N$9,4),'Nickel - Q&amp;V'!$E$9:$E$251,3)+
SUMIFS('Nickel - Q&amp;V'!$B$9:$B$251,'Nickel - Q&amp;V'!$D$9:$D$251,LEFT('Q&amp;V FY 2003-04 to Now'!M$9:N$9,4),'Nickel - Q&amp;V'!$E$9:$E$251,4)+
SUMIFS('Nickel - Q&amp;V'!$B$9:$B$251,'Nickel - Q&amp;V'!$D$9:$D$251,CONCATENATE("20",RIGHT('Q&amp;V FY 2003-04 to Now'!M$9,2)),'Nickel - Q&amp;V'!$E$9:$E$251,1)+
SUMIFS('Nickel - Q&amp;V'!$B$9:$B$251,'Nickel - Q&amp;V'!$D$9:$D$251,CONCATENATE("20",RIGHT('Q&amp;V FY 2003-04 to Now'!M$9,2)),'Nickel - Q&amp;V'!$E$9:$E$251,2))*1000</f>
        <v>178365</v>
      </c>
      <c r="N71" s="232">
        <f>(SUMIFS('Nickel - Q&amp;V'!$C$9:$C$251,'Nickel - Q&amp;V'!$D$9:$D$251,LEFT('Q&amp;V FY 2003-04 to Now'!M$9,4),'Nickel - Q&amp;V'!$E$9:$E$251,3)+
SUMIFS('Nickel - Q&amp;V'!$C$9:$C$251,'Nickel - Q&amp;V'!$D$9:$D$251,LEFT('Q&amp;V FY 2003-04 to Now'!M$9,4),'Nickel - Q&amp;V'!$E$9:$E$251,4)+
SUMIFS('Nickel - Q&amp;V'!$C$9:$C$251,'Nickel - Q&amp;V'!$D$9:$D$251,CONCATENATE("20",RIGHT('Q&amp;V FY 2003-04 to Now'!M$9,2)),'Nickel - Q&amp;V'!$E$9:$E$251,1)+
SUMIFS('Nickel - Q&amp;V'!$C$9:$C$251,'Nickel - Q&amp;V'!$D$9:$D$251,CONCATENATE("20",RIGHT('Q&amp;V FY 2003-04 to Now'!M$9,2)),'Nickel - Q&amp;V'!$E$9:$E$251,2))*1000000</f>
        <v>2996908794</v>
      </c>
      <c r="O71" s="232">
        <f>(SUMIFS('Nickel - Q&amp;V'!$B$9:$B$251,'Nickel - Q&amp;V'!$D$9:$D$251,LEFT('Q&amp;V FY 2003-04 to Now'!O$9:P$9,4),'Nickel - Q&amp;V'!$E$9:$E$251,3)+
SUMIFS('Nickel - Q&amp;V'!$B$9:$B$251,'Nickel - Q&amp;V'!$D$9:$D$251,LEFT('Q&amp;V FY 2003-04 to Now'!O$9:P$9,4),'Nickel - Q&amp;V'!$E$9:$E$251,4)+
SUMIFS('Nickel - Q&amp;V'!$B$9:$B$251,'Nickel - Q&amp;V'!$D$9:$D$251,CONCATENATE("20",RIGHT('Q&amp;V FY 2003-04 to Now'!O$9,2)),'Nickel - Q&amp;V'!$E$9:$E$251,1)+
SUMIFS('Nickel - Q&amp;V'!$B$9:$B$251,'Nickel - Q&amp;V'!$D$9:$D$251,CONCATENATE("20",RIGHT('Q&amp;V FY 2003-04 to Now'!O$9,2)),'Nickel - Q&amp;V'!$E$9:$E$251,2))*1000</f>
        <v>180152</v>
      </c>
      <c r="P71" s="232">
        <f>(SUMIFS('Nickel - Q&amp;V'!$C$9:$C$251,'Nickel - Q&amp;V'!$D$9:$D$251,LEFT('Q&amp;V FY 2003-04 to Now'!O$9,4),'Nickel - Q&amp;V'!$E$9:$E$251,3)+
SUMIFS('Nickel - Q&amp;V'!$C$9:$C$251,'Nickel - Q&amp;V'!$D$9:$D$251,LEFT('Q&amp;V FY 2003-04 to Now'!O$9,4),'Nickel - Q&amp;V'!$E$9:$E$251,4)+
SUMIFS('Nickel - Q&amp;V'!$C$9:$C$251,'Nickel - Q&amp;V'!$D$9:$D$251,CONCATENATE("20",RIGHT('Q&amp;V FY 2003-04 to Now'!O$9,2)),'Nickel - Q&amp;V'!$E$9:$E$251,1)+
SUMIFS('Nickel - Q&amp;V'!$C$9:$C$251,'Nickel - Q&amp;V'!$D$9:$D$251,CONCATENATE("20",RIGHT('Q&amp;V FY 2003-04 to Now'!O$9,2)),'Nickel - Q&amp;V'!$E$9:$E$251,2))*1000000</f>
        <v>3976771528.9999995</v>
      </c>
      <c r="Q71" s="232">
        <f>(SUMIFS('Nickel - Q&amp;V'!$B$9:$B$251,'Nickel - Q&amp;V'!$D$9:$D$251,LEFT('Q&amp;V FY 2003-04 to Now'!Q$9:R$9,4),'Nickel - Q&amp;V'!$E$9:$E$251,3)+
SUMIFS('Nickel - Q&amp;V'!$B$9:$B$251,'Nickel - Q&amp;V'!$D$9:$D$251,LEFT('Q&amp;V FY 2003-04 to Now'!Q$9:R$9,4),'Nickel - Q&amp;V'!$E$9:$E$251,4)+
SUMIFS('Nickel - Q&amp;V'!$B$9:$B$251,'Nickel - Q&amp;V'!$D$9:$D$251,CONCATENATE("20",RIGHT('Q&amp;V FY 2003-04 to Now'!Q$9,2)),'Nickel - Q&amp;V'!$E$9:$E$251,1)+
SUMIFS('Nickel - Q&amp;V'!$B$9:$B$251,'Nickel - Q&amp;V'!$D$9:$D$251,CONCATENATE("20",RIGHT('Q&amp;V FY 2003-04 to Now'!Q$9,2)),'Nickel - Q&amp;V'!$E$9:$E$251,2))*1000</f>
        <v>194177.00000000003</v>
      </c>
      <c r="R71" s="232">
        <f>(SUMIFS('Nickel - Q&amp;V'!$C$9:$C$251,'Nickel - Q&amp;V'!$D$9:$D$251,LEFT('Q&amp;V FY 2003-04 to Now'!Q$9,4),'Nickel - Q&amp;V'!$E$9:$E$251,3)+
SUMIFS('Nickel - Q&amp;V'!$C$9:$C$251,'Nickel - Q&amp;V'!$D$9:$D$251,LEFT('Q&amp;V FY 2003-04 to Now'!Q$9,4),'Nickel - Q&amp;V'!$E$9:$E$251,4)+
SUMIFS('Nickel - Q&amp;V'!$C$9:$C$251,'Nickel - Q&amp;V'!$D$9:$D$251,CONCATENATE("20",RIGHT('Q&amp;V FY 2003-04 to Now'!Q$9,2)),'Nickel - Q&amp;V'!$E$9:$E$251,1)+
SUMIFS('Nickel - Q&amp;V'!$C$9:$C$251,'Nickel - Q&amp;V'!$D$9:$D$251,CONCATENATE("20",RIGHT('Q&amp;V FY 2003-04 to Now'!Q$9,2)),'Nickel - Q&amp;V'!$E$9:$E$251,2))*1000000</f>
        <v>4686173467</v>
      </c>
      <c r="S71" s="232">
        <f>(SUMIFS('Nickel - Q&amp;V'!$B$9:$B$251,'Nickel - Q&amp;V'!$D$9:$D$251,LEFT('Q&amp;V FY 2003-04 to Now'!S$9:T$9,4),'Nickel - Q&amp;V'!$E$9:$E$251,3)+
SUMIFS('Nickel - Q&amp;V'!$B$9:$B$251,'Nickel - Q&amp;V'!$D$9:$D$251,LEFT('Q&amp;V FY 2003-04 to Now'!S$9:T$9,4),'Nickel - Q&amp;V'!$E$9:$E$251,4)+
SUMIFS('Nickel - Q&amp;V'!$B$9:$B$251,'Nickel - Q&amp;V'!$D$9:$D$251,CONCATENATE("20",RIGHT('Q&amp;V FY 2003-04 to Now'!S$9,2)),'Nickel - Q&amp;V'!$E$9:$E$251,1)+
SUMIFS('Nickel - Q&amp;V'!$B$9:$B$251,'Nickel - Q&amp;V'!$D$9:$D$251,CONCATENATE("20",RIGHT('Q&amp;V FY 2003-04 to Now'!S$9,2)),'Nickel - Q&amp;V'!$E$9:$E$251,2))*1000</f>
        <v>209369.76440000001</v>
      </c>
      <c r="T71" s="232">
        <f>(SUMIFS('Nickel - Q&amp;V'!$C$9:$C$251,'Nickel - Q&amp;V'!$D$9:$D$251,LEFT('Q&amp;V FY 2003-04 to Now'!S$9,4),'Nickel - Q&amp;V'!$E$9:$E$251,3)+
SUMIFS('Nickel - Q&amp;V'!$C$9:$C$251,'Nickel - Q&amp;V'!$D$9:$D$251,LEFT('Q&amp;V FY 2003-04 to Now'!S$9,4),'Nickel - Q&amp;V'!$E$9:$E$251,4)+
SUMIFS('Nickel - Q&amp;V'!$C$9:$C$251,'Nickel - Q&amp;V'!$D$9:$D$251,CONCATENATE("20",RIGHT('Q&amp;V FY 2003-04 to Now'!S$9,2)),'Nickel - Q&amp;V'!$E$9:$E$251,1)+
SUMIFS('Nickel - Q&amp;V'!$C$9:$C$251,'Nickel - Q&amp;V'!$D$9:$D$251,CONCATENATE("20",RIGHT('Q&amp;V FY 2003-04 to Now'!S$9,2)),'Nickel - Q&amp;V'!$E$9:$E$251,2))*1000000</f>
        <v>3721964396.23</v>
      </c>
      <c r="U71" s="232">
        <f>(SUMIFS('Nickel - Q&amp;V'!$B$9:$B$251,'Nickel - Q&amp;V'!$D$9:$D$251,LEFT('Q&amp;V FY 2003-04 to Now'!U$9:V$9,4),'Nickel - Q&amp;V'!$E$9:$E$251,3)+
SUMIFS('Nickel - Q&amp;V'!$B$9:$B$251,'Nickel - Q&amp;V'!$D$9:$D$251,LEFT('Q&amp;V FY 2003-04 to Now'!U$9:V$9,4),'Nickel - Q&amp;V'!$E$9:$E$251,4)+
SUMIFS('Nickel - Q&amp;V'!$B$9:$B$251,'Nickel - Q&amp;V'!$D$9:$D$251,CONCATENATE("20",RIGHT('Q&amp;V FY 2003-04 to Now'!U$9,2)),'Nickel - Q&amp;V'!$E$9:$E$251,1)+
SUMIFS('Nickel - Q&amp;V'!$B$9:$B$251,'Nickel - Q&amp;V'!$D$9:$D$251,CONCATENATE("20",RIGHT('Q&amp;V FY 2003-04 to Now'!U$9,2)),'Nickel - Q&amp;V'!$E$9:$E$251,2))*1000</f>
        <v>248874.5489574091</v>
      </c>
      <c r="V71" s="232">
        <f>(SUMIFS('Nickel - Q&amp;V'!$C$9:$C$251,'Nickel - Q&amp;V'!$D$9:$D$251,LEFT('Q&amp;V FY 2003-04 to Now'!U$9,4),'Nickel - Q&amp;V'!$E$9:$E$251,3)+
SUMIFS('Nickel - Q&amp;V'!$C$9:$C$251,'Nickel - Q&amp;V'!$D$9:$D$251,LEFT('Q&amp;V FY 2003-04 to Now'!U$9,4),'Nickel - Q&amp;V'!$E$9:$E$251,4)+
SUMIFS('Nickel - Q&amp;V'!$C$9:$C$251,'Nickel - Q&amp;V'!$D$9:$D$251,CONCATENATE("20",RIGHT('Q&amp;V FY 2003-04 to Now'!U$9,2)),'Nickel - Q&amp;V'!$E$9:$E$251,1)+
SUMIFS('Nickel - Q&amp;V'!$C$9:$C$251,'Nickel - Q&amp;V'!$D$9:$D$251,CONCATENATE("20",RIGHT('Q&amp;V FY 2003-04 to Now'!U$9,2)),'Nickel - Q&amp;V'!$E$9:$E$251,2))*1000000</f>
        <v>3511711764.3099995</v>
      </c>
      <c r="W71" s="232">
        <f>(SUMIFS('Nickel - Q&amp;V'!$B$9:$B$251,'Nickel - Q&amp;V'!$D$9:$D$251,LEFT('Q&amp;V FY 2003-04 to Now'!W$9:X$9,4),'Nickel - Q&amp;V'!$E$9:$E$251,3)+
SUMIFS('Nickel - Q&amp;V'!$B$9:$B$251,'Nickel - Q&amp;V'!$D$9:$D$251,LEFT('Q&amp;V FY 2003-04 to Now'!W$9:X$9,4),'Nickel - Q&amp;V'!$E$9:$E$251,4)+
SUMIFS('Nickel - Q&amp;V'!$B$9:$B$251,'Nickel - Q&amp;V'!$D$9:$D$251,CONCATENATE("20",RIGHT('Q&amp;V FY 2003-04 to Now'!W$9,2)),'Nickel - Q&amp;V'!$E$9:$E$251,1)+
SUMIFS('Nickel - Q&amp;V'!$B$9:$B$251,'Nickel - Q&amp;V'!$D$9:$D$251,CONCATENATE("20",RIGHT('Q&amp;V FY 2003-04 to Now'!W$9,2)),'Nickel - Q&amp;V'!$E$9:$E$251,2))*1000</f>
        <v>252275.90900000001</v>
      </c>
      <c r="X71" s="232">
        <f>(SUMIFS('Nickel - Q&amp;V'!$C$9:$C$251,'Nickel - Q&amp;V'!$D$9:$D$251,LEFT('Q&amp;V FY 2003-04 to Now'!W$9,4),'Nickel - Q&amp;V'!$E$9:$E$251,3)+
SUMIFS('Nickel - Q&amp;V'!$C$9:$C$251,'Nickel - Q&amp;V'!$D$9:$D$251,LEFT('Q&amp;V FY 2003-04 to Now'!W$9,4),'Nickel - Q&amp;V'!$E$9:$E$251,4)+
SUMIFS('Nickel - Q&amp;V'!$C$9:$C$251,'Nickel - Q&amp;V'!$D$9:$D$251,CONCATENATE("20",RIGHT('Q&amp;V FY 2003-04 to Now'!W$9,2)),'Nickel - Q&amp;V'!$E$9:$E$251,1)+
SUMIFS('Nickel - Q&amp;V'!$C$9:$C$251,'Nickel - Q&amp;V'!$D$9:$D$251,CONCATENATE("20",RIGHT('Q&amp;V FY 2003-04 to Now'!W$9,2)),'Nickel - Q&amp;V'!$E$9:$E$251,2))*1000000</f>
        <v>3419023119</v>
      </c>
      <c r="Y71" s="232">
        <f>(SUMIFS('Nickel - Q&amp;V'!$B$9:$B$251,'Nickel - Q&amp;V'!$D$9:$D$251,LEFT('Q&amp;V FY 2003-04 to Now'!Y$9:Z$9,4),'Nickel - Q&amp;V'!$E$9:$E$251,3)+
SUMIFS('Nickel - Q&amp;V'!$B$9:$B$251,'Nickel - Q&amp;V'!$D$9:$D$251,LEFT('Q&amp;V FY 2003-04 to Now'!Y$9:Z$9,4),'Nickel - Q&amp;V'!$E$9:$E$251,4)+
SUMIFS('Nickel - Q&amp;V'!$B$9:$B$251,'Nickel - Q&amp;V'!$D$9:$D$251,CONCATENATE("20",RIGHT('Q&amp;V FY 2003-04 to Now'!Y$9,2)),'Nickel - Q&amp;V'!$E$9:$E$251,1)+
SUMIFS('Nickel - Q&amp;V'!$B$9:$B$251,'Nickel - Q&amp;V'!$D$9:$D$251,CONCATENATE("20",RIGHT('Q&amp;V FY 2003-04 to Now'!Y$9,2)),'Nickel - Q&amp;V'!$E$9:$E$251,2))*1000</f>
        <v>183319.95199999999</v>
      </c>
      <c r="Z71" s="232">
        <f>(SUMIFS('Nickel - Q&amp;V'!$C$9:$C$251,'Nickel - Q&amp;V'!$D$9:$D$251,LEFT('Q&amp;V FY 2003-04 to Now'!Y$9,4),'Nickel - Q&amp;V'!$E$9:$E$251,3)+
SUMIFS('Nickel - Q&amp;V'!$C$9:$C$251,'Nickel - Q&amp;V'!$D$9:$D$251,LEFT('Q&amp;V FY 2003-04 to Now'!Y$9,4),'Nickel - Q&amp;V'!$E$9:$E$251,4)+
SUMIFS('Nickel - Q&amp;V'!$C$9:$C$251,'Nickel - Q&amp;V'!$D$9:$D$251,CONCATENATE("20",RIGHT('Q&amp;V FY 2003-04 to Now'!Y$9,2)),'Nickel - Q&amp;V'!$E$9:$E$251,1)+
SUMIFS('Nickel - Q&amp;V'!$C$9:$C$251,'Nickel - Q&amp;V'!$D$9:$D$251,CONCATENATE("20",RIGHT('Q&amp;V FY 2003-04 to Now'!Y$9,2)),'Nickel - Q&amp;V'!$E$9:$E$251,2))*1000000</f>
        <v>3169605001</v>
      </c>
      <c r="AA71" s="232">
        <f>(SUMIFS('Nickel - Q&amp;V'!$B$9:$B$251,'Nickel - Q&amp;V'!$D$9:$D$251,LEFT('Q&amp;V FY 2003-04 to Now'!AA$9:AB$9,4),'Nickel - Q&amp;V'!$E$9:$E$251,3)+
SUMIFS('Nickel - Q&amp;V'!$B$9:$B$251,'Nickel - Q&amp;V'!$D$9:$D$251,LEFT('Q&amp;V FY 2003-04 to Now'!AA$9:AB$9,4),'Nickel - Q&amp;V'!$E$9:$E$251,4)+
SUMIFS('Nickel - Q&amp;V'!$B$9:$B$251,'Nickel - Q&amp;V'!$D$9:$D$251,CONCATENATE("20",RIGHT('Q&amp;V FY 2003-04 to Now'!AA$9,2)),'Nickel - Q&amp;V'!$E$9:$E$251,1)+
SUMIFS('Nickel - Q&amp;V'!$B$9:$B$251,'Nickel - Q&amp;V'!$D$9:$D$251,CONCATENATE("20",RIGHT('Q&amp;V FY 2003-04 to Now'!AA$9,2)),'Nickel - Q&amp;V'!$E$9:$E$251,2))*1000</f>
        <v>175751.53100000002</v>
      </c>
      <c r="AB71" s="232">
        <f>(SUMIFS('Nickel - Q&amp;V'!$C$9:$C$251,'Nickel - Q&amp;V'!$D$9:$D$251,LEFT('Q&amp;V FY 2003-04 to Now'!AA$9,4),'Nickel - Q&amp;V'!$E$9:$E$251,3)+
SUMIFS('Nickel - Q&amp;V'!$C$9:$C$251,'Nickel - Q&amp;V'!$D$9:$D$251,LEFT('Q&amp;V FY 2003-04 to Now'!AA$9,4),'Nickel - Q&amp;V'!$E$9:$E$251,4)+
SUMIFS('Nickel - Q&amp;V'!$C$9:$C$251,'Nickel - Q&amp;V'!$D$9:$D$251,CONCATENATE("20",RIGHT('Q&amp;V FY 2003-04 to Now'!AA$9,2)),'Nickel - Q&amp;V'!$E$9:$E$251,1)+
SUMIFS('Nickel - Q&amp;V'!$C$9:$C$251,'Nickel - Q&amp;V'!$D$9:$D$251,CONCATENATE("20",RIGHT('Q&amp;V FY 2003-04 to Now'!AA$9,2)),'Nickel - Q&amp;V'!$E$9:$E$251,2))*1000000</f>
        <v>2202734451</v>
      </c>
      <c r="AC71" s="232">
        <f>(SUMIFS('Nickel - Q&amp;V'!$B$9:$B$251,'Nickel - Q&amp;V'!$D$9:$D$251,LEFT('Q&amp;V FY 2003-04 to Now'!AC$9:AD$9,4),'Nickel - Q&amp;V'!$E$9:$E$251,3)+
SUMIFS('Nickel - Q&amp;V'!$B$9:$B$251,'Nickel - Q&amp;V'!$D$9:$D$251,LEFT('Q&amp;V FY 2003-04 to Now'!AC$9:AD$9,4),'Nickel - Q&amp;V'!$E$9:$E$251,4)+
SUMIFS('Nickel - Q&amp;V'!$B$9:$B$251,'Nickel - Q&amp;V'!$D$9:$D$251,CONCATENATE("20",RIGHT('Q&amp;V FY 2003-04 to Now'!AC$9,2)),'Nickel - Q&amp;V'!$E$9:$E$251,1)+
SUMIFS('Nickel - Q&amp;V'!$B$9:$B$251,'Nickel - Q&amp;V'!$D$9:$D$251,CONCATENATE("20",RIGHT('Q&amp;V FY 2003-04 to Now'!AC$9,2)),'Nickel - Q&amp;V'!$E$9:$E$251,2))*1000</f>
        <v>163691.94399999999</v>
      </c>
      <c r="AD71" s="232">
        <f>(SUMIFS('Nickel - Q&amp;V'!$C$9:$C$251,'Nickel - Q&amp;V'!$D$9:$D$251,LEFT('Q&amp;V FY 2003-04 to Now'!AC$9,4),'Nickel - Q&amp;V'!$E$9:$E$251,3)+
SUMIFS('Nickel - Q&amp;V'!$C$9:$C$251,'Nickel - Q&amp;V'!$D$9:$D$251,LEFT('Q&amp;V FY 2003-04 to Now'!AC$9,4),'Nickel - Q&amp;V'!$E$9:$E$251,4)+
SUMIFS('Nickel - Q&amp;V'!$C$9:$C$251,'Nickel - Q&amp;V'!$D$9:$D$251,CONCATENATE("20",RIGHT('Q&amp;V FY 2003-04 to Now'!AC$9,2)),'Nickel - Q&amp;V'!$E$9:$E$251,1)+
SUMIFS('Nickel - Q&amp;V'!$C$9:$C$251,'Nickel - Q&amp;V'!$D$9:$D$251,CONCATENATE("20",RIGHT('Q&amp;V FY 2003-04 to Now'!AC$9,2)),'Nickel - Q&amp;V'!$E$9:$E$251,2))*1000000</f>
        <v>2176719132</v>
      </c>
      <c r="AE71" s="366">
        <f>(SUMIFS('Nickel - Q&amp;V'!$B$9:$B$251,'Nickel - Q&amp;V'!$D$9:$D$251,LEFT('Q&amp;V FY 2003-04 to Now'!AE$9:AF$9,4),'Nickel - Q&amp;V'!$E$9:$E$251,3)+
SUMIFS('Nickel - Q&amp;V'!$B$9:$B$251,'Nickel - Q&amp;V'!$D$9:$D$251,LEFT('Q&amp;V FY 2003-04 to Now'!AE$9:AF$9,4),'Nickel - Q&amp;V'!$E$9:$E$251,4)+
SUMIFS('Nickel - Q&amp;V'!$B$9:$B$251,'Nickel - Q&amp;V'!$D$9:$D$251,CONCATENATE("20",RIGHT('Q&amp;V FY 2003-04 to Now'!AE$9,2)),'Nickel - Q&amp;V'!$E$9:$E$251,1)+
SUMIFS('Nickel - Q&amp;V'!$B$9:$B$251,'Nickel - Q&amp;V'!$D$9:$D$251,CONCATENATE("20",RIGHT('Q&amp;V FY 2003-04 to Now'!AE$9,2)),'Nickel - Q&amp;V'!$E$9:$E$251,2))*1000</f>
        <v>164613.89800000002</v>
      </c>
      <c r="AF71" s="232">
        <f>(SUMIFS('Nickel - Q&amp;V'!$C$9:$C$251,'Nickel - Q&amp;V'!$D$9:$D$251,LEFT('Q&amp;V FY 2003-04 to Now'!AE$9,4),'Nickel - Q&amp;V'!$E$9:$E$251,3)+
SUMIFS('Nickel - Q&amp;V'!$C$9:$C$251,'Nickel - Q&amp;V'!$D$9:$D$251,LEFT('Q&amp;V FY 2003-04 to Now'!AE$9,4),'Nickel - Q&amp;V'!$E$9:$E$251,4)+
SUMIFS('Nickel - Q&amp;V'!$C$9:$C$251,'Nickel - Q&amp;V'!$D$9:$D$251,CONCATENATE("20",RIGHT('Q&amp;V FY 2003-04 to Now'!AE$9,2)),'Nickel - Q&amp;V'!$E$9:$E$251,1)+
SUMIFS('Nickel - Q&amp;V'!$C$9:$C$251,'Nickel - Q&amp;V'!$D$9:$D$251,CONCATENATE("20",RIGHT('Q&amp;V FY 2003-04 to Now'!AE$9,2)),'Nickel - Q&amp;V'!$E$9:$E$251,2))*1000000</f>
        <v>2657745514</v>
      </c>
      <c r="AG71" s="365">
        <f>(SUMIFS('Nickel - Q&amp;V'!$B$9:$B$251,'Nickel - Q&amp;V'!$D$9:$D$251,LEFT('Q&amp;V FY 2003-04 to Now'!AG$9:AH$9,4),'Nickel - Q&amp;V'!$E$9:$E$251,3)+
SUMIFS('Nickel - Q&amp;V'!$B$9:$B$251,'Nickel - Q&amp;V'!$D$9:$D$251,LEFT('Q&amp;V FY 2003-04 to Now'!AG$9:AH$9,4),'Nickel - Q&amp;V'!$E$9:$E$251,4)+
SUMIFS('Nickel - Q&amp;V'!$B$9:$B$251,'Nickel - Q&amp;V'!$D$9:$D$251,CONCATENATE("20",RIGHT('Q&amp;V FY 2003-04 to Now'!AG$9,2)),'Nickel - Q&amp;V'!$E$9:$E$251,1)+
SUMIFS('Nickel - Q&amp;V'!$B$9:$B$251,'Nickel - Q&amp;V'!$D$9:$D$251,CONCATENATE("20",RIGHT('Q&amp;V FY 2003-04 to Now'!AG$9,2)),'Nickel - Q&amp;V'!$E$9:$E$251,2))*1000</f>
        <v>153974.20299999998</v>
      </c>
      <c r="AH71" s="232">
        <f>(SUMIFS('Nickel - Q&amp;V'!$C$9:$C$251,'Nickel - Q&amp;V'!$D$9:$D$251,LEFT('Q&amp;V FY 2003-04 to Now'!AG$9,4),'Nickel - Q&amp;V'!$E$9:$E$251,3)+
SUMIFS('Nickel - Q&amp;V'!$C$9:$C$251,'Nickel - Q&amp;V'!$D$9:$D$251,LEFT('Q&amp;V FY 2003-04 to Now'!AG$9,4),'Nickel - Q&amp;V'!$E$9:$E$251,4)+
SUMIFS('Nickel - Q&amp;V'!$C$9:$C$251,'Nickel - Q&amp;V'!$D$9:$D$251,CONCATENATE("20",RIGHT('Q&amp;V FY 2003-04 to Now'!AG$9,2)),'Nickel - Q&amp;V'!$E$9:$E$251,1)+
SUMIFS('Nickel - Q&amp;V'!$C$9:$C$251,'Nickel - Q&amp;V'!$D$9:$D$251,CONCATENATE("20",RIGHT('Q&amp;V FY 2003-04 to Now'!AG$9,2)),'Nickel - Q&amp;V'!$E$9:$E$251,2))*1000000</f>
        <v>2693223126</v>
      </c>
      <c r="AI71" s="366">
        <f>(SUMIFS('Nickel - Q&amp;V'!$B$9:$B$251,'Nickel - Q&amp;V'!$D$9:$D$251,LEFT('Q&amp;V FY 2003-04 to Now'!AI$9:AJ$9,4),'Nickel - Q&amp;V'!$E$9:$E$251,3)+
SUMIFS('Nickel - Q&amp;V'!$B$9:$B$251,'Nickel - Q&amp;V'!$D$9:$D$251,LEFT('Q&amp;V FY 2003-04 to Now'!AI$9:AJ$9,4),'Nickel - Q&amp;V'!$E$9:$E$251,4)+
SUMIFS('Nickel - Q&amp;V'!$B$9:$B$251,'Nickel - Q&amp;V'!$D$9:$D$251,CONCATENATE("20",RIGHT('Q&amp;V FY 2003-04 to Now'!AI$9,2)),'Nickel - Q&amp;V'!$E$9:$E$251,1)+
SUMIFS('Nickel - Q&amp;V'!$B$9:$B$251,'Nickel - Q&amp;V'!$D$9:$D$251,CONCATENATE("20",RIGHT('Q&amp;V FY 2003-04 to Now'!AI$9,2)),'Nickel - Q&amp;V'!$E$9:$E$251,2))*1000</f>
        <v>153564.274</v>
      </c>
      <c r="AJ71" s="232">
        <f>(SUMIFS('Nickel - Q&amp;V'!$C$9:$C$251,'Nickel - Q&amp;V'!$D$9:$D$251,LEFT('Q&amp;V FY 2003-04 to Now'!AI$9,4),'Nickel - Q&amp;V'!$E$9:$E$251,3)+
SUMIFS('Nickel - Q&amp;V'!$C$9:$C$251,'Nickel - Q&amp;V'!$D$9:$D$251,LEFT('Q&amp;V FY 2003-04 to Now'!AI$9,4),'Nickel - Q&amp;V'!$E$9:$E$251,4)+
SUMIFS('Nickel - Q&amp;V'!$C$9:$C$251,'Nickel - Q&amp;V'!$D$9:$D$251,CONCATENATE("20",RIGHT('Q&amp;V FY 2003-04 to Now'!AI$9,2)),'Nickel - Q&amp;V'!$E$9:$E$251,1)+
SUMIFS('Nickel - Q&amp;V'!$C$9:$C$251,'Nickel - Q&amp;V'!$D$9:$D$251,CONCATENATE("20",RIGHT('Q&amp;V FY 2003-04 to Now'!AI$9,2)),'Nickel - Q&amp;V'!$E$9:$E$251,2))*1000000</f>
        <v>3168148650</v>
      </c>
      <c r="AK71" s="232">
        <f>(SUMIFS('Nickel - Q&amp;V'!$B$9:$B$251,'Nickel - Q&amp;V'!$D$9:$D$251,LEFT('Q&amp;V FY 2003-04 to Now'!AK$9:AL$9,4),'Nickel - Q&amp;V'!$E$9:$E$251,3)+
SUMIFS('Nickel - Q&amp;V'!$B$9:$B$251,'Nickel - Q&amp;V'!$D$9:$D$251,LEFT('Q&amp;V FY 2003-04 to Now'!AK$9:AL$9,4),'Nickel - Q&amp;V'!$E$9:$E$251,4)+
SUMIFS('Nickel - Q&amp;V'!$B$9:$B$251,'Nickel - Q&amp;V'!$D$9:$D$251,CONCATENATE("20",RIGHT('Q&amp;V FY 2003-04 to Now'!AK$9,2)),'Nickel - Q&amp;V'!$E$9:$E$251,1)+
SUMIFS('Nickel - Q&amp;V'!$B$9:$B$251,'Nickel - Q&amp;V'!$D$9:$D$251,CONCATENATE("20",RIGHT('Q&amp;V FY 2003-04 to Now'!AK$9,2)),'Nickel - Q&amp;V'!$E$9:$E$251,2))*1000</f>
        <v>157873.03200000004</v>
      </c>
      <c r="AL71" s="232">
        <f>(SUMIFS('Nickel - Q&amp;V'!$C$9:$C$251,'Nickel - Q&amp;V'!$D$9:$D$251,LEFT('Q&amp;V FY 2003-04 to Now'!AK$9,4),'Nickel - Q&amp;V'!$E$9:$E$251,3)+
SUMIFS('Nickel - Q&amp;V'!$C$9:$C$251,'Nickel - Q&amp;V'!$D$9:$D$251,LEFT('Q&amp;V FY 2003-04 to Now'!AK$9,4),'Nickel - Q&amp;V'!$E$9:$E$251,4)+
SUMIFS('Nickel - Q&amp;V'!$C$9:$C$251,'Nickel - Q&amp;V'!$D$9:$D$251,CONCATENATE("20",RIGHT('Q&amp;V FY 2003-04 to Now'!AK$9,2)),'Nickel - Q&amp;V'!$E$9:$E$251,1)+
SUMIFS('Nickel - Q&amp;V'!$C$9:$C$251,'Nickel - Q&amp;V'!$D$9:$D$251,CONCATENATE("20",RIGHT('Q&amp;V FY 2003-04 to Now'!AK$9,2)),'Nickel - Q&amp;V'!$E$9:$E$251,2))*1000000</f>
        <v>3478800182</v>
      </c>
      <c r="AM71" s="232">
        <f>(SUMIFS('Nickel - Q&amp;V'!$B$9:$B$251,'Nickel - Q&amp;V'!$D$9:$D$251,LEFT('Q&amp;V FY 2003-04 to Now'!AM$9:AN$9,4),'Nickel - Q&amp;V'!$E$9:$E$251,3)+
SUMIFS('Nickel - Q&amp;V'!$B$9:$B$251,'Nickel - Q&amp;V'!$D$9:$D$251,LEFT('Q&amp;V FY 2003-04 to Now'!AM$9:AN$9,4),'Nickel - Q&amp;V'!$E$9:$E$251,4)+
SUMIFS('Nickel - Q&amp;V'!$B$9:$B$251,'Nickel - Q&amp;V'!$D$9:$D$251,CONCATENATE("20",RIGHT('Q&amp;V FY 2003-04 to Now'!AM$9,2)),'Nickel - Q&amp;V'!$E$9:$E$251,1)+
SUMIFS('Nickel - Q&amp;V'!$B$9:$B$251,'Nickel - Q&amp;V'!$D$9:$D$251,CONCATENATE("20",RIGHT('Q&amp;V FY 2003-04 to Now'!AM$9,2)),'Nickel - Q&amp;V'!$E$9:$E$251,2))*1000</f>
        <v>147185.27499999999</v>
      </c>
      <c r="AN71" s="232">
        <f>(SUMIFS('Nickel - Q&amp;V'!$C$9:$C$251,'Nickel - Q&amp;V'!$D$9:$D$251,LEFT('Q&amp;V FY 2003-04 to Now'!AM$9,4),'Nickel - Q&amp;V'!$E$9:$E$251,3)+
SUMIFS('Nickel - Q&amp;V'!$C$9:$C$251,'Nickel - Q&amp;V'!$D$9:$D$251,LEFT('Q&amp;V FY 2003-04 to Now'!AM$9,4),'Nickel - Q&amp;V'!$E$9:$E$251,4)+
SUMIFS('Nickel - Q&amp;V'!$C$9:$C$251,'Nickel - Q&amp;V'!$D$9:$D$251,CONCATENATE("20",RIGHT('Q&amp;V FY 2003-04 to Now'!AM$9,2)),'Nickel - Q&amp;V'!$E$9:$E$251,1)+
SUMIFS('Nickel - Q&amp;V'!$C$9:$C$251,'Nickel - Q&amp;V'!$D$9:$D$251,CONCATENATE("20",RIGHT('Q&amp;V FY 2003-04 to Now'!AM$9,2)),'Nickel - Q&amp;V'!$E$9:$E$251,2))*1000000</f>
        <v>4817018934.6500006</v>
      </c>
      <c r="AO71" s="232">
        <f>(SUMIFS('Nickel - Q&amp;V'!$B$9:$B$251,'Nickel - Q&amp;V'!$D$9:$D$251,LEFT('Q&amp;V FY 2003-04 to Now'!AO$9:AP$9,4),'Nickel - Q&amp;V'!$E$9:$E$251,3)+
SUMIFS('Nickel - Q&amp;V'!$B$9:$B$251,'Nickel - Q&amp;V'!$D$9:$D$251,LEFT('Q&amp;V FY 2003-04 to Now'!AO$9:AP$9,4),'Nickel - Q&amp;V'!$E$9:$E$251,4)+
SUMIFS('Nickel - Q&amp;V'!$B$9:$B$251,'Nickel - Q&amp;V'!$D$9:$D$251,CONCATENATE("20",RIGHT('Q&amp;V FY 2003-04 to Now'!AO$9,2)),'Nickel - Q&amp;V'!$E$9:$E$251,1)+
SUMIFS('Nickel - Q&amp;V'!$B$9:$B$251,'Nickel - Q&amp;V'!$D$9:$D$251,CONCATENATE("20",RIGHT('Q&amp;V FY 2003-04 to Now'!AO$9,2)),'Nickel - Q&amp;V'!$E$9:$E$251,2))*1000</f>
        <v>159866.86700000003</v>
      </c>
      <c r="AP71" s="232">
        <f>(SUMIFS('Nickel - Q&amp;V'!$C$9:$C$251,'Nickel - Q&amp;V'!$D$9:$D$251,LEFT('Q&amp;V FY 2003-04 to Now'!AO$9,4),'Nickel - Q&amp;V'!$E$9:$E$251,3)+
SUMIFS('Nickel - Q&amp;V'!$C$9:$C$251,'Nickel - Q&amp;V'!$D$9:$D$251,LEFT('Q&amp;V FY 2003-04 to Now'!AO$9,4),'Nickel - Q&amp;V'!$E$9:$E$251,4)+
SUMIFS('Nickel - Q&amp;V'!$C$9:$C$251,'Nickel - Q&amp;V'!$D$9:$D$251,CONCATENATE("20",RIGHT('Q&amp;V FY 2003-04 to Now'!AO$9,2)),'Nickel - Q&amp;V'!$E$9:$E$251,1)+
SUMIFS('Nickel - Q&amp;V'!$C$9:$C$251,'Nickel - Q&amp;V'!$D$9:$D$251,CONCATENATE("20",RIGHT('Q&amp;V FY 2003-04 to Now'!AO$9,2)),'Nickel - Q&amp;V'!$E$9:$E$251,2))*1000000</f>
        <v>5693323759.999999</v>
      </c>
      <c r="AQ71" s="232">
        <f>(SUMIFS('Nickel - Q&amp;V'!$B$9:$B$251,'Nickel - Q&amp;V'!$D$9:$D$251,LEFT('Q&amp;V FY 2003-04 to Now'!AQ$9:AR$9,4),'Nickel - Q&amp;V'!$E$9:$E$251,3)+
SUMIFS('Nickel - Q&amp;V'!$B$9:$B$251,'Nickel - Q&amp;V'!$D$9:$D$251,LEFT('Q&amp;V FY 2003-04 to Now'!AQ$9:AR$9,4),'Nickel - Q&amp;V'!$E$9:$E$251,4)+
SUMIFS('Nickel - Q&amp;V'!$B$9:$B$251,'Nickel - Q&amp;V'!$D$9:$D$251,CONCATENATE("20",RIGHT('Q&amp;V FY 2003-04 to Now'!AQ$9,2)),'Nickel - Q&amp;V'!$E$9:$E$251,1)+
SUMIFS('Nickel - Q&amp;V'!$B$9:$B$251,'Nickel - Q&amp;V'!$D$9:$D$251,CONCATENATE("20",RIGHT('Q&amp;V FY 2003-04 to Now'!AQ$9,2)),'Nickel - Q&amp;V'!$E$9:$E$251,2))*1000</f>
        <v>139768.45500000002</v>
      </c>
      <c r="AR71" s="232">
        <f>(SUMIFS('Nickel - Q&amp;V'!$C$9:$C$251,'Nickel - Q&amp;V'!$D$9:$D$251,LEFT('Q&amp;V FY 2003-04 to Now'!AQ$9,4),'Nickel - Q&amp;V'!$E$9:$E$251,3)+
SUMIFS('Nickel - Q&amp;V'!$C$9:$C$251,'Nickel - Q&amp;V'!$D$9:$D$251,LEFT('Q&amp;V FY 2003-04 to Now'!AQ$9,4),'Nickel - Q&amp;V'!$E$9:$E$251,4)+
SUMIFS('Nickel - Q&amp;V'!$C$9:$C$251,'Nickel - Q&amp;V'!$D$9:$D$251,CONCATENATE("20",RIGHT('Q&amp;V FY 2003-04 to Now'!AQ$9,2)),'Nickel - Q&amp;V'!$E$9:$E$251,1)+
SUMIFS('Nickel - Q&amp;V'!$C$9:$C$251,'Nickel - Q&amp;V'!$D$9:$D$251,CONCATENATE("20",RIGHT('Q&amp;V FY 2003-04 to Now'!AQ$9,2)),'Nickel - Q&amp;V'!$E$9:$E$251,2))*1000000</f>
        <v>3820034854</v>
      </c>
      <c r="AS71" s="232">
        <f>(SUMIFS('Nickel - Q&amp;V'!$B$9:$B$251,'Nickel - Q&amp;V'!$D$9:$D$251,LEFT('Q&amp;V FY 2003-04 to Now'!AS$9:AT$9,4),'Nickel - Q&amp;V'!$E$9:$E$251,3)+
SUMIFS('Nickel - Q&amp;V'!$B$9:$B$251,'Nickel - Q&amp;V'!$D$9:$D$251,LEFT('Q&amp;V FY 2003-04 to Now'!AS$9:AT$9,4),'Nickel - Q&amp;V'!$E$9:$E$251,4)+
SUMIFS('Nickel - Q&amp;V'!$B$9:$B$251,'Nickel - Q&amp;V'!$D$9:$D$251,CONCATENATE("20",RIGHT('Q&amp;V FY 2003-04 to Now'!AS$9,2)),'Nickel - Q&amp;V'!$E$9:$E$251,1)+
SUMIFS('Nickel - Q&amp;V'!$B$9:$B$251,'Nickel - Q&amp;V'!$D$9:$D$251,CONCATENATE("20",RIGHT('Q&amp;V FY 2003-04 to Now'!AS$9,2)),'Nickel - Q&amp;V'!$E$9:$E$251,2))*1000</f>
        <v>88176.937000000005</v>
      </c>
      <c r="AT71" s="232">
        <f>(SUMIFS('Nickel - Q&amp;V'!$C$9:$C$251,'Nickel - Q&amp;V'!$D$9:$D$251,LEFT('Q&amp;V FY 2003-04 to Now'!AS$9,4),'Nickel - Q&amp;V'!$E$9:$E$251,3)+
SUMIFS('Nickel - Q&amp;V'!$C$9:$C$251,'Nickel - Q&amp;V'!$D$9:$D$251,LEFT('Q&amp;V FY 2003-04 to Now'!AS$9,4),'Nickel - Q&amp;V'!$E$9:$E$251,4)+
SUMIFS('Nickel - Q&amp;V'!$C$9:$C$251,'Nickel - Q&amp;V'!$D$9:$D$251,CONCATENATE("20",RIGHT('Q&amp;V FY 2003-04 to Now'!AS$9,2)),'Nickel - Q&amp;V'!$E$9:$E$251,1)+
SUMIFS('Nickel - Q&amp;V'!$C$9:$C$251,'Nickel - Q&amp;V'!$D$9:$D$251,CONCATENATE("20",RIGHT('Q&amp;V FY 2003-04 to Now'!AS$9,2)),'Nickel - Q&amp;V'!$E$9:$E$251,2))*1000000</f>
        <v>2141274411.2207706</v>
      </c>
      <c r="AU71" s="278">
        <f>SUMIF($C$11:AT$11,1,$C71:AT71)</f>
        <v>3843933.5903574093</v>
      </c>
      <c r="AV71" s="201">
        <f>IF(COUNTIF($C71:AT71, "nfp")=0, SUMIF($C$11:AT$11,0,$C71:AT71), "nfp")</f>
        <v>81883021179.410767</v>
      </c>
    </row>
    <row r="72" spans="1:48" x14ac:dyDescent="0.25">
      <c r="A72" s="231" t="s">
        <v>238</v>
      </c>
      <c r="C72" s="232"/>
      <c r="D72" s="232"/>
      <c r="E72" s="232"/>
      <c r="F72" s="232"/>
      <c r="G72" s="232"/>
      <c r="H72" s="232"/>
      <c r="I72" s="232"/>
      <c r="J72" s="232"/>
      <c r="K72" s="232"/>
      <c r="L72" s="232"/>
      <c r="M72" s="232"/>
      <c r="N72" s="232"/>
      <c r="O72" s="232"/>
      <c r="P72" s="232"/>
      <c r="Q72" s="232"/>
      <c r="R72" s="232"/>
      <c r="S72" s="232"/>
      <c r="T72" s="232"/>
      <c r="U72" s="232"/>
      <c r="V72" s="232"/>
      <c r="W72" s="232"/>
      <c r="X72" s="232"/>
      <c r="Y72" s="232"/>
      <c r="Z72" s="232"/>
      <c r="AA72" s="232"/>
      <c r="AB72" s="232"/>
      <c r="AC72" s="232"/>
      <c r="AD72" s="232"/>
      <c r="AE72" s="366"/>
      <c r="AF72" s="232"/>
      <c r="AG72" s="365"/>
      <c r="AH72" s="232"/>
      <c r="AI72" s="366"/>
      <c r="AJ72" s="232"/>
      <c r="AK72" s="232"/>
      <c r="AL72" s="232"/>
      <c r="AM72" s="232"/>
      <c r="AN72" s="232"/>
      <c r="AO72" s="232"/>
      <c r="AP72" s="232"/>
      <c r="AQ72" s="232"/>
      <c r="AR72" s="232"/>
      <c r="AS72" s="232"/>
      <c r="AT72" s="232"/>
      <c r="AU72" s="272"/>
      <c r="AV72" s="201"/>
    </row>
    <row r="73" spans="1:48" x14ac:dyDescent="0.25">
      <c r="A73" s="323" t="s">
        <v>232</v>
      </c>
      <c r="B73" s="324"/>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0"/>
      <c r="AD73" s="320"/>
      <c r="AE73" s="360"/>
      <c r="AF73" s="320"/>
      <c r="AG73" s="360"/>
      <c r="AH73" s="356"/>
      <c r="AI73" s="361"/>
      <c r="AJ73" s="356"/>
      <c r="AK73" s="356"/>
      <c r="AL73" s="356"/>
      <c r="AM73" s="356"/>
      <c r="AN73" s="356"/>
      <c r="AO73" s="356"/>
      <c r="AP73" s="356"/>
      <c r="AQ73" s="356"/>
      <c r="AR73" s="356"/>
      <c r="AS73" s="356"/>
      <c r="AT73" s="356"/>
      <c r="AU73" s="358"/>
      <c r="AV73" s="325"/>
    </row>
    <row r="74" spans="1:48" x14ac:dyDescent="0.25">
      <c r="A74" s="327" t="s">
        <v>193</v>
      </c>
      <c r="B74" s="324" t="s">
        <v>233</v>
      </c>
      <c r="C74" s="325">
        <f>(SUMIFS('Petroleum - Q&amp;V 1'!$D$11:$D$252,'Petroleum - Q&amp;V 1'!$H$11:$H$252,LEFT('Q&amp;V FY 2003-04 to Now'!C$9,4),'Petroleum - Q&amp;V 1'!$I$11:$I$252,3)+
SUMIFS('Petroleum - Q&amp;V 1'!$D$11:$D$252,'Petroleum - Q&amp;V 1'!$H$11:$H$252,LEFT('Q&amp;V FY 2003-04 to Now'!C$9,4),'Petroleum - Q&amp;V 1'!$I$11:$I$252,4)+
SUMIFS('Petroleum - Q&amp;V 1'!$D$11:$D$252,'Petroleum - Q&amp;V 1'!$H$11:$H$252,CONCATENATE("20",RIGHT('Q&amp;V FY 2003-04 to Now'!C$9,2)),'Petroleum - Q&amp;V 1'!$I$11:$I$252,1)+
SUMIFS('Petroleum - Q&amp;V 1'!$D$11:$D$252,'Petroleum - Q&amp;V 1'!$H$11:$H$252,CONCATENATE("20",RIGHT('Q&amp;V FY 2003-04 to Now'!C$9,2)),'Petroleum - Q&amp;V 1'!$I$11:$I$252,2))*1000000</f>
        <v>6181484</v>
      </c>
      <c r="D74" s="325">
        <f>(SUMIFS('Petroleum - Q&amp;V 1'!$E$11:$E$252,'Petroleum - Q&amp;V 1'!$H$11:$H$252,LEFT('Q&amp;V FY 2003-04 to Now'!C$9,4),'Petroleum - Q&amp;V 1'!$I$11:$I$252,3)+
SUMIFS('Petroleum - Q&amp;V 1'!$E$11:$E$252,'Petroleum - Q&amp;V 1'!$H$11:$H$252,LEFT('Q&amp;V FY 2003-04 to Now'!C$9,4),'Petroleum - Q&amp;V 1'!$I$11:$I$252,4)+
SUMIFS('Petroleum - Q&amp;V 1'!$E$11:$E$252,'Petroleum - Q&amp;V 1'!$H$11:$H$252,CONCATENATE("20",RIGHT('Q&amp;V FY 2003-04 to Now'!C$9,2)),'Petroleum - Q&amp;V 1'!$I$11:$I$252,1)+
SUMIFS('Petroleum - Q&amp;V 1'!$E$11:$E$252,'Petroleum - Q&amp;V 1'!$H$11:$H$252,CONCATENATE("20",RIGHT('Q&amp;V FY 2003-04 to Now'!C$9,2)),'Petroleum - Q&amp;V 1'!$I$11:$I$252,2))*1000000</f>
        <v>1747506589</v>
      </c>
      <c r="E74" s="325">
        <f>(SUMIFS('Petroleum - Q&amp;V 1'!$D$11:$D$252,'Petroleum - Q&amp;V 1'!$H$11:$H$252,LEFT('Q&amp;V FY 2003-04 to Now'!E$9,4),'Petroleum - Q&amp;V 1'!$I$11:$I$252,3)+
SUMIFS('Petroleum - Q&amp;V 1'!$D$11:$D$252,'Petroleum - Q&amp;V 1'!$H$11:$H$252,LEFT('Q&amp;V FY 2003-04 to Now'!E$9,4),'Petroleum - Q&amp;V 1'!$I$11:$I$252,4)+
SUMIFS('Petroleum - Q&amp;V 1'!$D$11:$D$252,'Petroleum - Q&amp;V 1'!$H$11:$H$252,CONCATENATE("20",RIGHT('Q&amp;V FY 2003-04 to Now'!E$9,2)),'Petroleum - Q&amp;V 1'!$I$11:$I$252,1)+
SUMIFS('Petroleum - Q&amp;V 1'!$D$11:$D$252,'Petroleum - Q&amp;V 1'!$H$11:$H$252,CONCATENATE("20",RIGHT('Q&amp;V FY 2003-04 to Now'!E$9,2)),'Petroleum - Q&amp;V 1'!$I$11:$I$252,2))*1000000</f>
        <v>5173746</v>
      </c>
      <c r="F74" s="325">
        <f>(SUMIFS('Petroleum - Q&amp;V 1'!$E$11:$E$252,'Petroleum - Q&amp;V 1'!$H$11:$H$252,LEFT('Q&amp;V FY 2003-04 to Now'!E$9,4),'Petroleum - Q&amp;V 1'!$I$11:$I$252,3)+
SUMIFS('Petroleum - Q&amp;V 1'!$E$11:$E$252,'Petroleum - Q&amp;V 1'!$H$11:$H$252,LEFT('Q&amp;V FY 2003-04 to Now'!E$9,4),'Petroleum - Q&amp;V 1'!$I$11:$I$252,4)+
SUMIFS('Petroleum - Q&amp;V 1'!$E$11:$E$252,'Petroleum - Q&amp;V 1'!$H$11:$H$252,CONCATENATE("20",RIGHT('Q&amp;V FY 2003-04 to Now'!E$9,2)),'Petroleum - Q&amp;V 1'!$I$11:$I$252,1)+
SUMIFS('Petroleum - Q&amp;V 1'!$E$11:$E$252,'Petroleum - Q&amp;V 1'!$H$11:$H$252,CONCATENATE("20",RIGHT('Q&amp;V FY 2003-04 to Now'!E$9,2)),'Petroleum - Q&amp;V 1'!$I$11:$I$252,2))*1000000</f>
        <v>2203123267</v>
      </c>
      <c r="G74" s="325">
        <f>(SUMIFS('Petroleum - Q&amp;V 1'!$D$11:$D$252,'Petroleum - Q&amp;V 1'!$H$11:$H$252,LEFT('Q&amp;V FY 2003-04 to Now'!G$9,4),'Petroleum - Q&amp;V 1'!$I$11:$I$252,3)+
SUMIFS('Petroleum - Q&amp;V 1'!$D$11:$D$252,'Petroleum - Q&amp;V 1'!$H$11:$H$252,LEFT('Q&amp;V FY 2003-04 to Now'!G$9,4),'Petroleum - Q&amp;V 1'!$I$11:$I$252,4)+
SUMIFS('Petroleum - Q&amp;V 1'!$D$11:$D$252,'Petroleum - Q&amp;V 1'!$H$11:$H$252,CONCATENATE("20",RIGHT('Q&amp;V FY 2003-04 to Now'!G$9,2)),'Petroleum - Q&amp;V 1'!$I$11:$I$252,1)+
SUMIFS('Petroleum - Q&amp;V 1'!$D$11:$D$252,'Petroleum - Q&amp;V 1'!$H$11:$H$252,CONCATENATE("20",RIGHT('Q&amp;V FY 2003-04 to Now'!G$9,2)),'Petroleum - Q&amp;V 1'!$I$11:$I$252,2))*1000000</f>
        <v>5626187</v>
      </c>
      <c r="H74" s="325">
        <f>(SUMIFS('Petroleum - Q&amp;V 1'!$E$11:$E$252,'Petroleum - Q&amp;V 1'!$H$11:$H$252,LEFT('Q&amp;V FY 2003-04 to Now'!G$9,4),'Petroleum - Q&amp;V 1'!$I$11:$I$252,3)+
SUMIFS('Petroleum - Q&amp;V 1'!$E$11:$E$252,'Petroleum - Q&amp;V 1'!$H$11:$H$252,LEFT('Q&amp;V FY 2003-04 to Now'!G$9,4),'Petroleum - Q&amp;V 1'!$I$11:$I$252,4)+
SUMIFS('Petroleum - Q&amp;V 1'!$E$11:$E$252,'Petroleum - Q&amp;V 1'!$H$11:$H$252,CONCATENATE("20",RIGHT('Q&amp;V FY 2003-04 to Now'!G$9,2)),'Petroleum - Q&amp;V 1'!$I$11:$I$252,1)+
SUMIFS('Petroleum - Q&amp;V 1'!$E$11:$E$252,'Petroleum - Q&amp;V 1'!$H$11:$H$252,CONCATENATE("20",RIGHT('Q&amp;V FY 2003-04 to Now'!G$9,2)),'Petroleum - Q&amp;V 1'!$I$11:$I$252,2))*1000000</f>
        <v>2791626559</v>
      </c>
      <c r="I74" s="325">
        <f>(SUMIFS('Petroleum - Q&amp;V 1'!$D$11:$D$252,'Petroleum - Q&amp;V 1'!$H$11:$H$252,LEFT('Q&amp;V FY 2003-04 to Now'!I$9,4),'Petroleum - Q&amp;V 1'!$I$11:$I$252,3)+
SUMIFS('Petroleum - Q&amp;V 1'!$D$11:$D$252,'Petroleum - Q&amp;V 1'!$H$11:$H$252,LEFT('Q&amp;V FY 2003-04 to Now'!I$9,4),'Petroleum - Q&amp;V 1'!$I$11:$I$252,4)+
SUMIFS('Petroleum - Q&amp;V 1'!$D$11:$D$252,'Petroleum - Q&amp;V 1'!$H$11:$H$252,CONCATENATE("20",RIGHT('Q&amp;V FY 2003-04 to Now'!I$9,2)),'Petroleum - Q&amp;V 1'!$I$11:$I$252,1)+
SUMIFS('Petroleum - Q&amp;V 1'!$D$11:$D$252,'Petroleum - Q&amp;V 1'!$H$11:$H$252,CONCATENATE("20",RIGHT('Q&amp;V FY 2003-04 to Now'!I$9,2)),'Petroleum - Q&amp;V 1'!$I$11:$I$252,2))*1000000</f>
        <v>5860072.0000000009</v>
      </c>
      <c r="J74" s="325">
        <f>(SUMIFS('Petroleum - Q&amp;V 1'!$E$11:$E$252,'Petroleum - Q&amp;V 1'!$H$11:$H$252,LEFT('Q&amp;V FY 2003-04 to Now'!I$9,4),'Petroleum - Q&amp;V 1'!$I$11:$I$252,3)+
SUMIFS('Petroleum - Q&amp;V 1'!$E$11:$E$252,'Petroleum - Q&amp;V 1'!$H$11:$H$252,LEFT('Q&amp;V FY 2003-04 to Now'!I$9,4),'Petroleum - Q&amp;V 1'!$I$11:$I$252,4)+
SUMIFS('Petroleum - Q&amp;V 1'!$E$11:$E$252,'Petroleum - Q&amp;V 1'!$H$11:$H$252,CONCATENATE("20",RIGHT('Q&amp;V FY 2003-04 to Now'!I$9,2)),'Petroleum - Q&amp;V 1'!$I$11:$I$252,1)+
SUMIFS('Petroleum - Q&amp;V 1'!$E$11:$E$252,'Petroleum - Q&amp;V 1'!$H$11:$H$252,CONCATENATE("20",RIGHT('Q&amp;V FY 2003-04 to Now'!I$9,2)),'Petroleum - Q&amp;V 1'!$I$11:$I$252,2))*1000000</f>
        <v>2972408099</v>
      </c>
      <c r="K74" s="325">
        <f>(SUMIFS('Petroleum - Q&amp;V 1'!$D$11:$D$252,'Petroleum - Q&amp;V 1'!$H$11:$H$252,LEFT('Q&amp;V FY 2003-04 to Now'!K$9,4),'Petroleum - Q&amp;V 1'!$I$11:$I$252,3)+
SUMIFS('Petroleum - Q&amp;V 1'!$D$11:$D$252,'Petroleum - Q&amp;V 1'!$H$11:$H$252,LEFT('Q&amp;V FY 2003-04 to Now'!K$9,4),'Petroleum - Q&amp;V 1'!$I$11:$I$252,4)+
SUMIFS('Petroleum - Q&amp;V 1'!$D$11:$D$252,'Petroleum - Q&amp;V 1'!$H$11:$H$252,CONCATENATE("20",RIGHT('Q&amp;V FY 2003-04 to Now'!K$9,2)),'Petroleum - Q&amp;V 1'!$I$11:$I$252,1)+
SUMIFS('Petroleum - Q&amp;V 1'!$D$11:$D$252,'Petroleum - Q&amp;V 1'!$H$11:$H$252,CONCATENATE("20",RIGHT('Q&amp;V FY 2003-04 to Now'!K$9,2)),'Petroleum - Q&amp;V 1'!$I$11:$I$252,2))*1000000</f>
        <v>5763756</v>
      </c>
      <c r="L74" s="325">
        <f>(SUMIFS('Petroleum - Q&amp;V 1'!$E$11:$E$252,'Petroleum - Q&amp;V 1'!$H$11:$H$252,LEFT('Q&amp;V FY 2003-04 to Now'!K$9,4),'Petroleum - Q&amp;V 1'!$I$11:$I$252,3)+
SUMIFS('Petroleum - Q&amp;V 1'!$E$11:$E$252,'Petroleum - Q&amp;V 1'!$H$11:$H$252,LEFT('Q&amp;V FY 2003-04 to Now'!K$9,4),'Petroleum - Q&amp;V 1'!$I$11:$I$252,4)+
SUMIFS('Petroleum - Q&amp;V 1'!$E$11:$E$252,'Petroleum - Q&amp;V 1'!$H$11:$H$252,CONCATENATE("20",RIGHT('Q&amp;V FY 2003-04 to Now'!K$9,2)),'Petroleum - Q&amp;V 1'!$I$11:$I$252,1)+
SUMIFS('Petroleum - Q&amp;V 1'!$E$11:$E$252,'Petroleum - Q&amp;V 1'!$H$11:$H$252,CONCATENATE("20",RIGHT('Q&amp;V FY 2003-04 to Now'!K$9,2)),'Petroleum - Q&amp;V 1'!$I$11:$I$252,2))*1000000</f>
        <v>3694669870</v>
      </c>
      <c r="M74" s="325">
        <f>(SUMIFS('Petroleum - Q&amp;V 1'!$D$11:$D$252,'Petroleum - Q&amp;V 1'!$H$11:$H$252,LEFT('Q&amp;V FY 2003-04 to Now'!M$9,4),'Petroleum - Q&amp;V 1'!$I$11:$I$252,3)+
SUMIFS('Petroleum - Q&amp;V 1'!$D$11:$D$252,'Petroleum - Q&amp;V 1'!$H$11:$H$252,LEFT('Q&amp;V FY 2003-04 to Now'!M$9,4),'Petroleum - Q&amp;V 1'!$I$11:$I$252,4)+
SUMIFS('Petroleum - Q&amp;V 1'!$D$11:$D$252,'Petroleum - Q&amp;V 1'!$H$11:$H$252,CONCATENATE("20",RIGHT('Q&amp;V FY 2003-04 to Now'!M$9,2)),'Petroleum - Q&amp;V 1'!$I$11:$I$252,1)+
SUMIFS('Petroleum - Q&amp;V 1'!$D$11:$D$252,'Petroleum - Q&amp;V 1'!$H$11:$H$252,CONCATENATE("20",RIGHT('Q&amp;V FY 2003-04 to Now'!M$9,2)),'Petroleum - Q&amp;V 1'!$I$11:$I$252,2))*1000000</f>
        <v>6657101.0000000009</v>
      </c>
      <c r="N74" s="325">
        <f>(SUMIFS('Petroleum - Q&amp;V 1'!$E$11:$E$252,'Petroleum - Q&amp;V 1'!$H$11:$H$252,LEFT('Q&amp;V FY 2003-04 to Now'!M$9,4),'Petroleum - Q&amp;V 1'!$I$11:$I$252,3)+
SUMIFS('Petroleum - Q&amp;V 1'!$E$11:$E$252,'Petroleum - Q&amp;V 1'!$H$11:$H$252,LEFT('Q&amp;V FY 2003-04 to Now'!M$9,4),'Petroleum - Q&amp;V 1'!$I$11:$I$252,4)+
SUMIFS('Petroleum - Q&amp;V 1'!$E$11:$E$252,'Petroleum - Q&amp;V 1'!$H$11:$H$252,CONCATENATE("20",RIGHT('Q&amp;V FY 2003-04 to Now'!M$9,2)),'Petroleum - Q&amp;V 1'!$I$11:$I$252,1)+
SUMIFS('Petroleum - Q&amp;V 1'!$E$11:$E$252,'Petroleum - Q&amp;V 1'!$H$11:$H$252,CONCATENATE("20",RIGHT('Q&amp;V FY 2003-04 to Now'!M$9,2)),'Petroleum - Q&amp;V 1'!$I$11:$I$252,2))*1000000</f>
        <v>3108787292</v>
      </c>
      <c r="O74" s="325">
        <f>(SUMIFS('Petroleum - Q&amp;V 1'!$D$11:$D$252,'Petroleum - Q&amp;V 1'!$H$11:$H$252,LEFT('Q&amp;V FY 2003-04 to Now'!O$9,4),'Petroleum - Q&amp;V 1'!$I$11:$I$252,3)+
SUMIFS('Petroleum - Q&amp;V 1'!$D$11:$D$252,'Petroleum - Q&amp;V 1'!$H$11:$H$252,LEFT('Q&amp;V FY 2003-04 to Now'!O$9,4),'Petroleum - Q&amp;V 1'!$I$11:$I$252,4)+
SUMIFS('Petroleum - Q&amp;V 1'!$D$11:$D$252,'Petroleum - Q&amp;V 1'!$H$11:$H$252,CONCATENATE("20",RIGHT('Q&amp;V FY 2003-04 to Now'!O$9,2)),'Petroleum - Q&amp;V 1'!$I$11:$I$252,1)+
SUMIFS('Petroleum - Q&amp;V 1'!$D$11:$D$252,'Petroleum - Q&amp;V 1'!$H$11:$H$252,CONCATENATE("20",RIGHT('Q&amp;V FY 2003-04 to Now'!O$9,2)),'Petroleum - Q&amp;V 1'!$I$11:$I$252,2))*1000000</f>
        <v>7418012</v>
      </c>
      <c r="P74" s="325">
        <f>(SUMIFS('Petroleum - Q&amp;V 1'!$E$11:$E$252,'Petroleum - Q&amp;V 1'!$H$11:$H$252,LEFT('Q&amp;V FY 2003-04 to Now'!O$9,4),'Petroleum - Q&amp;V 1'!$I$11:$I$252,3)+
SUMIFS('Petroleum - Q&amp;V 1'!$E$11:$E$252,'Petroleum - Q&amp;V 1'!$H$11:$H$252,LEFT('Q&amp;V FY 2003-04 to Now'!O$9,4),'Petroleum - Q&amp;V 1'!$I$11:$I$252,4)+
SUMIFS('Petroleum - Q&amp;V 1'!$E$11:$E$252,'Petroleum - Q&amp;V 1'!$H$11:$H$252,CONCATENATE("20",RIGHT('Q&amp;V FY 2003-04 to Now'!O$9,2)),'Petroleum - Q&amp;V 1'!$I$11:$I$252,1)+
SUMIFS('Petroleum - Q&amp;V 1'!$E$11:$E$252,'Petroleum - Q&amp;V 1'!$H$11:$H$252,CONCATENATE("20",RIGHT('Q&amp;V FY 2003-04 to Now'!O$9,2)),'Petroleum - Q&amp;V 1'!$I$11:$I$252,2))*1000000</f>
        <v>3501186255</v>
      </c>
      <c r="Q74" s="325">
        <f>(SUMIFS('Petroleum - Q&amp;V 1'!$D$11:$D$252,'Petroleum - Q&amp;V 1'!$H$11:$H$252,LEFT('Q&amp;V FY 2003-04 to Now'!Q$9,4),'Petroleum - Q&amp;V 1'!$I$11:$I$252,3)+
SUMIFS('Petroleum - Q&amp;V 1'!$D$11:$D$252,'Petroleum - Q&amp;V 1'!$H$11:$H$252,LEFT('Q&amp;V FY 2003-04 to Now'!Q$9,4),'Petroleum - Q&amp;V 1'!$I$11:$I$252,4)+
SUMIFS('Petroleum - Q&amp;V 1'!$D$11:$D$252,'Petroleum - Q&amp;V 1'!$H$11:$H$252,CONCATENATE("20",RIGHT('Q&amp;V FY 2003-04 to Now'!Q$9,2)),'Petroleum - Q&amp;V 1'!$I$11:$I$252,1)+
SUMIFS('Petroleum - Q&amp;V 1'!$D$11:$D$252,'Petroleum - Q&amp;V 1'!$H$11:$H$252,CONCATENATE("20",RIGHT('Q&amp;V FY 2003-04 to Now'!Q$9,2)),'Petroleum - Q&amp;V 1'!$I$11:$I$252,2))*1000000</f>
        <v>6881791</v>
      </c>
      <c r="R74" s="325">
        <f>(SUMIFS('Petroleum - Q&amp;V 1'!$E$11:$E$252,'Petroleum - Q&amp;V 1'!$H$11:$H$252,LEFT('Q&amp;V FY 2003-04 to Now'!Q$9,4),'Petroleum - Q&amp;V 1'!$I$11:$I$252,3)+
SUMIFS('Petroleum - Q&amp;V 1'!$E$11:$E$252,'Petroleum - Q&amp;V 1'!$H$11:$H$252,LEFT('Q&amp;V FY 2003-04 to Now'!Q$9,4),'Petroleum - Q&amp;V 1'!$I$11:$I$252,4)+
SUMIFS('Petroleum - Q&amp;V 1'!$E$11:$E$252,'Petroleum - Q&amp;V 1'!$H$11:$H$252,CONCATENATE("20",RIGHT('Q&amp;V FY 2003-04 to Now'!Q$9,2)),'Petroleum - Q&amp;V 1'!$I$11:$I$252,1)+
SUMIFS('Petroleum - Q&amp;V 1'!$E$11:$E$252,'Petroleum - Q&amp;V 1'!$H$11:$H$252,CONCATENATE("20",RIGHT('Q&amp;V FY 2003-04 to Now'!Q$9,2)),'Petroleum - Q&amp;V 1'!$I$11:$I$252,2))*1000000</f>
        <v>3988524336</v>
      </c>
      <c r="S74" s="325">
        <f>(SUMIFS('Petroleum - Q&amp;V 1'!$D$11:$D$252,'Petroleum - Q&amp;V 1'!$H$11:$H$252,LEFT('Q&amp;V FY 2003-04 to Now'!S$9,4),'Petroleum - Q&amp;V 1'!$I$11:$I$252,3)+
SUMIFS('Petroleum - Q&amp;V 1'!$D$11:$D$252,'Petroleum - Q&amp;V 1'!$H$11:$H$252,LEFT('Q&amp;V FY 2003-04 to Now'!S$9,4),'Petroleum - Q&amp;V 1'!$I$11:$I$252,4)+
SUMIFS('Petroleum - Q&amp;V 1'!$D$11:$D$252,'Petroleum - Q&amp;V 1'!$H$11:$H$252,CONCATENATE("20",RIGHT('Q&amp;V FY 2003-04 to Now'!S$9,2)),'Petroleum - Q&amp;V 1'!$I$11:$I$252,1)+
SUMIFS('Petroleum - Q&amp;V 1'!$D$11:$D$252,'Petroleum - Q&amp;V 1'!$H$11:$H$252,CONCATENATE("20",RIGHT('Q&amp;V FY 2003-04 to Now'!S$9,2)),'Petroleum - Q&amp;V 1'!$I$11:$I$252,2))*1000000</f>
        <v>5888608</v>
      </c>
      <c r="T74" s="325">
        <f>(SUMIFS('Petroleum - Q&amp;V 1'!$E$11:$E$252,'Petroleum - Q&amp;V 1'!$H$11:$H$252,LEFT('Q&amp;V FY 2003-04 to Now'!S$9,4),'Petroleum - Q&amp;V 1'!$I$11:$I$252,3)+
SUMIFS('Petroleum - Q&amp;V 1'!$E$11:$E$252,'Petroleum - Q&amp;V 1'!$H$11:$H$252,LEFT('Q&amp;V FY 2003-04 to Now'!S$9,4),'Petroleum - Q&amp;V 1'!$I$11:$I$252,4)+
SUMIFS('Petroleum - Q&amp;V 1'!$E$11:$E$252,'Petroleum - Q&amp;V 1'!$H$11:$H$252,CONCATENATE("20",RIGHT('Q&amp;V FY 2003-04 to Now'!S$9,2)),'Petroleum - Q&amp;V 1'!$I$11:$I$252,1)+
SUMIFS('Petroleum - Q&amp;V 1'!$E$11:$E$252,'Petroleum - Q&amp;V 1'!$H$11:$H$252,CONCATENATE("20",RIGHT('Q&amp;V FY 2003-04 to Now'!S$9,2)),'Petroleum - Q&amp;V 1'!$I$11:$I$252,2))*1000000</f>
        <v>3842111571.0000005</v>
      </c>
      <c r="U74" s="325">
        <f>(SUMIFS('Petroleum - Q&amp;V 1'!$D$11:$D$252,'Petroleum - Q&amp;V 1'!$H$11:$H$252,LEFT('Q&amp;V FY 2003-04 to Now'!U$9,4),'Petroleum - Q&amp;V 1'!$I$11:$I$252,3)+
SUMIFS('Petroleum - Q&amp;V 1'!$D$11:$D$252,'Petroleum - Q&amp;V 1'!$H$11:$H$252,LEFT('Q&amp;V FY 2003-04 to Now'!U$9,4),'Petroleum - Q&amp;V 1'!$I$11:$I$252,4)+
SUMIFS('Petroleum - Q&amp;V 1'!$D$11:$D$252,'Petroleum - Q&amp;V 1'!$H$11:$H$252,CONCATENATE("20",RIGHT('Q&amp;V FY 2003-04 to Now'!U$9,2)),'Petroleum - Q&amp;V 1'!$I$11:$I$252,1)+
SUMIFS('Petroleum - Q&amp;V 1'!$D$11:$D$252,'Petroleum - Q&amp;V 1'!$H$11:$H$252,CONCATENATE("20",RIGHT('Q&amp;V FY 2003-04 to Now'!U$9,2)),'Petroleum - Q&amp;V 1'!$I$11:$I$252,2))*1000000</f>
        <v>6116968</v>
      </c>
      <c r="V74" s="325">
        <f>(SUMIFS('Petroleum - Q&amp;V 1'!$E$11:$E$252,'Petroleum - Q&amp;V 1'!$H$11:$H$252,LEFT('Q&amp;V FY 2003-04 to Now'!U$9,4),'Petroleum - Q&amp;V 1'!$I$11:$I$252,3)+
SUMIFS('Petroleum - Q&amp;V 1'!$E$11:$E$252,'Petroleum - Q&amp;V 1'!$H$11:$H$252,LEFT('Q&amp;V FY 2003-04 to Now'!U$9,4),'Petroleum - Q&amp;V 1'!$I$11:$I$252,4)+
SUMIFS('Petroleum - Q&amp;V 1'!$E$11:$E$252,'Petroleum - Q&amp;V 1'!$H$11:$H$252,CONCATENATE("20",RIGHT('Q&amp;V FY 2003-04 to Now'!U$9,2)),'Petroleum - Q&amp;V 1'!$I$11:$I$252,1)+
SUMIFS('Petroleum - Q&amp;V 1'!$E$11:$E$252,'Petroleum - Q&amp;V 1'!$H$11:$H$252,CONCATENATE("20",RIGHT('Q&amp;V FY 2003-04 to Now'!U$9,2)),'Petroleum - Q&amp;V 1'!$I$11:$I$252,2))*1000000</f>
        <v>3922032524</v>
      </c>
      <c r="W74" s="325">
        <f>(SUMIFS('Petroleum - Q&amp;V 1'!$D$11:$D$252,'Petroleum - Q&amp;V 1'!$H$11:$H$252,LEFT('Q&amp;V FY 2003-04 to Now'!W$9,4),'Petroleum - Q&amp;V 1'!$I$11:$I$252,3)+
SUMIFS('Petroleum - Q&amp;V 1'!$D$11:$D$252,'Petroleum - Q&amp;V 1'!$H$11:$H$252,LEFT('Q&amp;V FY 2003-04 to Now'!W$9,4),'Petroleum - Q&amp;V 1'!$I$11:$I$252,4)+
SUMIFS('Petroleum - Q&amp;V 1'!$D$11:$D$252,'Petroleum - Q&amp;V 1'!$H$11:$H$252,CONCATENATE("20",RIGHT('Q&amp;V FY 2003-04 to Now'!W$9,2)),'Petroleum - Q&amp;V 1'!$I$11:$I$252,1)+
SUMIFS('Petroleum - Q&amp;V 1'!$D$11:$D$252,'Petroleum - Q&amp;V 1'!$H$11:$H$252,CONCATENATE("20",RIGHT('Q&amp;V FY 2003-04 to Now'!W$9,2)),'Petroleum - Q&amp;V 1'!$I$11:$I$252,2))*1000000</f>
        <v>4399263.2069999995</v>
      </c>
      <c r="X74" s="325">
        <f>(SUMIFS('Petroleum - Q&amp;V 1'!$E$11:$E$252,'Petroleum - Q&amp;V 1'!$H$11:$H$252,LEFT('Q&amp;V FY 2003-04 to Now'!W$9,4),'Petroleum - Q&amp;V 1'!$I$11:$I$252,3)+
SUMIFS('Petroleum - Q&amp;V 1'!$E$11:$E$252,'Petroleum - Q&amp;V 1'!$H$11:$H$252,LEFT('Q&amp;V FY 2003-04 to Now'!W$9,4),'Petroleum - Q&amp;V 1'!$I$11:$I$252,4)+
SUMIFS('Petroleum - Q&amp;V 1'!$E$11:$E$252,'Petroleum - Q&amp;V 1'!$H$11:$H$252,CONCATENATE("20",RIGHT('Q&amp;V FY 2003-04 to Now'!W$9,2)),'Petroleum - Q&amp;V 1'!$I$11:$I$252,1)+
SUMIFS('Petroleum - Q&amp;V 1'!$E$11:$E$252,'Petroleum - Q&amp;V 1'!$H$11:$H$252,CONCATENATE("20",RIGHT('Q&amp;V FY 2003-04 to Now'!W$9,2)),'Petroleum - Q&amp;V 1'!$I$11:$I$252,2))*1000000</f>
        <v>3199879402.0108123</v>
      </c>
      <c r="Y74" s="325">
        <f>(SUMIFS('Petroleum - Q&amp;V 1'!$D$11:$D$252,'Petroleum - Q&amp;V 1'!$H$11:$H$252,LEFT('Q&amp;V FY 2003-04 to Now'!Y$9,4),'Petroleum - Q&amp;V 1'!$I$11:$I$252,3)+
SUMIFS('Petroleum - Q&amp;V 1'!$D$11:$D$252,'Petroleum - Q&amp;V 1'!$H$11:$H$252,LEFT('Q&amp;V FY 2003-04 to Now'!Y$9,4),'Petroleum - Q&amp;V 1'!$I$11:$I$252,4)+
SUMIFS('Petroleum - Q&amp;V 1'!$D$11:$D$252,'Petroleum - Q&amp;V 1'!$H$11:$H$252,CONCATENATE("20",RIGHT('Q&amp;V FY 2003-04 to Now'!Y$9,2)),'Petroleum - Q&amp;V 1'!$I$11:$I$252,1)+
SUMIFS('Petroleum - Q&amp;V 1'!$D$11:$D$252,'Petroleum - Q&amp;V 1'!$H$11:$H$252,CONCATENATE("20",RIGHT('Q&amp;V FY 2003-04 to Now'!Y$9,2)),'Petroleum - Q&amp;V 1'!$I$11:$I$252,2))*1000000</f>
        <v>6753213.4489999991</v>
      </c>
      <c r="Z74" s="325">
        <f>(SUMIFS('Petroleum - Q&amp;V 1'!$E$11:$E$252,'Petroleum - Q&amp;V 1'!$H$11:$H$252,LEFT('Q&amp;V FY 2003-04 to Now'!Y$9,4),'Petroleum - Q&amp;V 1'!$I$11:$I$252,3)+
SUMIFS('Petroleum - Q&amp;V 1'!$E$11:$E$252,'Petroleum - Q&amp;V 1'!$H$11:$H$252,LEFT('Q&amp;V FY 2003-04 to Now'!Y$9,4),'Petroleum - Q&amp;V 1'!$I$11:$I$252,4)+
SUMIFS('Petroleum - Q&amp;V 1'!$E$11:$E$252,'Petroleum - Q&amp;V 1'!$H$11:$H$252,CONCATENATE("20",RIGHT('Q&amp;V FY 2003-04 to Now'!Y$9,2)),'Petroleum - Q&amp;V 1'!$I$11:$I$252,1)+
SUMIFS('Petroleum - Q&amp;V 1'!$E$11:$E$252,'Petroleum - Q&amp;V 1'!$H$11:$H$252,CONCATENATE("20",RIGHT('Q&amp;V FY 2003-04 to Now'!Y$9,2)),'Petroleum - Q&amp;V 1'!$I$11:$I$252,2))*1000000</f>
        <v>3528826230.5219269</v>
      </c>
      <c r="AA74" s="325">
        <f>(SUMIFS('Petroleum - Q&amp;V 1'!$D$11:$D$252,'Petroleum - Q&amp;V 1'!$H$11:$H$252,LEFT('Q&amp;V FY 2003-04 to Now'!AA$9,4),'Petroleum - Q&amp;V 1'!$I$11:$I$252,3)+
SUMIFS('Petroleum - Q&amp;V 1'!$D$11:$D$252,'Petroleum - Q&amp;V 1'!$H$11:$H$252,LEFT('Q&amp;V FY 2003-04 to Now'!AA$9,4),'Petroleum - Q&amp;V 1'!$I$11:$I$252,4)+
SUMIFS('Petroleum - Q&amp;V 1'!$D$11:$D$252,'Petroleum - Q&amp;V 1'!$H$11:$H$252,CONCATENATE("20",RIGHT('Q&amp;V FY 2003-04 to Now'!AA$9,2)),'Petroleum - Q&amp;V 1'!$I$11:$I$252,1)+
SUMIFS('Petroleum - Q&amp;V 1'!$D$11:$D$252,'Petroleum - Q&amp;V 1'!$H$11:$H$252,CONCATENATE("20",RIGHT('Q&amp;V FY 2003-04 to Now'!AA$9,2)),'Petroleum - Q&amp;V 1'!$I$11:$I$252,2))*1000000</f>
        <v>6775141.6115060011</v>
      </c>
      <c r="AB74" s="325">
        <f>(SUMIFS('Petroleum - Q&amp;V 1'!$E$11:$E$252,'Petroleum - Q&amp;V 1'!$H$11:$H$252,LEFT('Q&amp;V FY 2003-04 to Now'!AA$9,4),'Petroleum - Q&amp;V 1'!$I$11:$I$252,3)+
SUMIFS('Petroleum - Q&amp;V 1'!$E$11:$E$252,'Petroleum - Q&amp;V 1'!$H$11:$H$252,LEFT('Q&amp;V FY 2003-04 to Now'!AA$9,4),'Petroleum - Q&amp;V 1'!$I$11:$I$252,4)+
SUMIFS('Petroleum - Q&amp;V 1'!$E$11:$E$252,'Petroleum - Q&amp;V 1'!$H$11:$H$252,CONCATENATE("20",RIGHT('Q&amp;V FY 2003-04 to Now'!AA$9,2)),'Petroleum - Q&amp;V 1'!$I$11:$I$252,1)+
SUMIFS('Petroleum - Q&amp;V 1'!$E$11:$E$252,'Petroleum - Q&amp;V 1'!$H$11:$H$252,CONCATENATE("20",RIGHT('Q&amp;V FY 2003-04 to Now'!AA$9,2)),'Petroleum - Q&amp;V 1'!$I$11:$I$252,2))*1000000</f>
        <v>2214239599.3627396</v>
      </c>
      <c r="AC74" s="325">
        <f>(SUMIFS('Petroleum - Q&amp;V 1'!$D$11:$D$252,'Petroleum - Q&amp;V 1'!$H$11:$H$252,LEFT('Q&amp;V FY 2003-04 to Now'!AC$9,4),'Petroleum - Q&amp;V 1'!$I$11:$I$252,3)+
SUMIFS('Petroleum - Q&amp;V 1'!$D$11:$D$252,'Petroleum - Q&amp;V 1'!$H$11:$H$252,LEFT('Q&amp;V FY 2003-04 to Now'!AC$9,4),'Petroleum - Q&amp;V 1'!$I$11:$I$252,4)+
SUMIFS('Petroleum - Q&amp;V 1'!$D$11:$D$252,'Petroleum - Q&amp;V 1'!$H$11:$H$252,CONCATENATE("20",RIGHT('Q&amp;V FY 2003-04 to Now'!AC$9,2)),'Petroleum - Q&amp;V 1'!$I$11:$I$252,1)+
SUMIFS('Petroleum - Q&amp;V 1'!$D$11:$D$252,'Petroleum - Q&amp;V 1'!$H$11:$H$252,CONCATENATE("20",RIGHT('Q&amp;V FY 2003-04 to Now'!AC$9,2)),'Petroleum - Q&amp;V 1'!$I$11:$I$252,2))*1000000</f>
        <v>6037603.2539301543</v>
      </c>
      <c r="AD74" s="325">
        <f>(SUMIFS('Petroleum - Q&amp;V 1'!$E$11:$E$252,'Petroleum - Q&amp;V 1'!$H$11:$H$252,LEFT('Q&amp;V FY 2003-04 to Now'!AC$9,4),'Petroleum - Q&amp;V 1'!$I$11:$I$252,3)+
SUMIFS('Petroleum - Q&amp;V 1'!$E$11:$E$252,'Petroleum - Q&amp;V 1'!$H$11:$H$252,LEFT('Q&amp;V FY 2003-04 to Now'!AC$9,4),'Petroleum - Q&amp;V 1'!$I$11:$I$252,4)+
SUMIFS('Petroleum - Q&amp;V 1'!$E$11:$E$252,'Petroleum - Q&amp;V 1'!$H$11:$H$252,CONCATENATE("20",RIGHT('Q&amp;V FY 2003-04 to Now'!AC$9,2)),'Petroleum - Q&amp;V 1'!$I$11:$I$252,1)+
SUMIFS('Petroleum - Q&amp;V 1'!$E$11:$E$252,'Petroleum - Q&amp;V 1'!$H$11:$H$252,CONCATENATE("20",RIGHT('Q&amp;V FY 2003-04 to Now'!AC$9,2)),'Petroleum - Q&amp;V 1'!$I$11:$I$252,2))*1000000</f>
        <v>2229580156.2793059</v>
      </c>
      <c r="AE74" s="325">
        <f>(SUMIFS('Petroleum - Q&amp;V 1'!$D$11:$D$252,'Petroleum - Q&amp;V 1'!$H$11:$H$252,LEFT('Q&amp;V FY 2003-04 to Now'!AE$9,4),'Petroleum - Q&amp;V 1'!$I$11:$I$252,3)+
SUMIFS('Petroleum - Q&amp;V 1'!$D$11:$D$252,'Petroleum - Q&amp;V 1'!$H$11:$H$252,LEFT('Q&amp;V FY 2003-04 to Now'!AE$9,4),'Petroleum - Q&amp;V 1'!$I$11:$I$252,4)+
SUMIFS('Petroleum - Q&amp;V 1'!$D$11:$D$252,'Petroleum - Q&amp;V 1'!$H$11:$H$252,CONCATENATE("20",RIGHT('Q&amp;V FY 2003-04 to Now'!AE$9,2)),'Petroleum - Q&amp;V 1'!$I$11:$I$252,1)+
SUMIFS('Petroleum - Q&amp;V 1'!$D$11:$D$252,'Petroleum - Q&amp;V 1'!$H$11:$H$252,CONCATENATE("20",RIGHT('Q&amp;V FY 2003-04 to Now'!AE$9,2)),'Petroleum - Q&amp;V 1'!$I$11:$I$252,2))*1000000</f>
        <v>7112793.482270821</v>
      </c>
      <c r="AF74" s="325">
        <f>(SUMIFS('Petroleum - Q&amp;V 1'!$E$11:$E$252,'Petroleum - Q&amp;V 1'!$H$11:$H$252,LEFT('Q&amp;V FY 2003-04 to Now'!AE$9,4),'Petroleum - Q&amp;V 1'!$I$11:$I$252,3)+
SUMIFS('Petroleum - Q&amp;V 1'!$E$11:$E$252,'Petroleum - Q&amp;V 1'!$H$11:$H$252,LEFT('Q&amp;V FY 2003-04 to Now'!AE$9,4),'Petroleum - Q&amp;V 1'!$I$11:$I$252,4)+
SUMIFS('Petroleum - Q&amp;V 1'!$E$11:$E$252,'Petroleum - Q&amp;V 1'!$H$11:$H$252,CONCATENATE("20",RIGHT('Q&amp;V FY 2003-04 to Now'!AE$9,2)),'Petroleum - Q&amp;V 1'!$I$11:$I$252,1)+
SUMIFS('Petroleum - Q&amp;V 1'!$E$11:$E$252,'Petroleum - Q&amp;V 1'!$H$11:$H$252,CONCATENATE("20",RIGHT('Q&amp;V FY 2003-04 to Now'!AE$9,2)),'Petroleum - Q&amp;V 1'!$I$11:$I$252,2))*1000000</f>
        <v>3300952798.3132472</v>
      </c>
      <c r="AG74" s="325">
        <f>(SUMIFS('Petroleum - Q&amp;V 1'!$D$11:$D$252,'Petroleum - Q&amp;V 1'!$H$11:$H$252,LEFT('Q&amp;V FY 2003-04 to Now'!AG$9,4),'Petroleum - Q&amp;V 1'!$I$11:$I$252,3)+
SUMIFS('Petroleum - Q&amp;V 1'!$D$11:$D$252,'Petroleum - Q&amp;V 1'!$H$11:$H$252,LEFT('Q&amp;V FY 2003-04 to Now'!AG$9,4),'Petroleum - Q&amp;V 1'!$I$11:$I$252,4)+
SUMIFS('Petroleum - Q&amp;V 1'!$D$11:$D$252,'Petroleum - Q&amp;V 1'!$H$11:$H$252,CONCATENATE("20",RIGHT('Q&amp;V FY 2003-04 to Now'!AG$9,2)),'Petroleum - Q&amp;V 1'!$I$11:$I$252,1)+
SUMIFS('Petroleum - Q&amp;V 1'!$D$11:$D$252,'Petroleum - Q&amp;V 1'!$H$11:$H$252,CONCATENATE("20",RIGHT('Q&amp;V FY 2003-04 to Now'!AG$9,2)),'Petroleum - Q&amp;V 1'!$I$11:$I$252,2))*1000000</f>
        <v>11150616.921658192</v>
      </c>
      <c r="AH74" s="326">
        <f>(SUMIFS('Petroleum - Q&amp;V 1'!$E$11:$E$252,'Petroleum - Q&amp;V 1'!$H$11:$H$252,LEFT('Q&amp;V FY 2003-04 to Now'!AG$9,4),'Petroleum - Q&amp;V 1'!$I$11:$I$252,3)+
SUMIFS('Petroleum - Q&amp;V 1'!$E$11:$E$252,'Petroleum - Q&amp;V 1'!$H$11:$H$252,LEFT('Q&amp;V FY 2003-04 to Now'!AG$9,4),'Petroleum - Q&amp;V 1'!$I$11:$I$252,4)+
SUMIFS('Petroleum - Q&amp;V 1'!$E$11:$E$252,'Petroleum - Q&amp;V 1'!$H$11:$H$252,CONCATENATE("20",RIGHT('Q&amp;V FY 2003-04 to Now'!AG$9,2)),'Petroleum - Q&amp;V 1'!$I$11:$I$252,1)+
SUMIFS('Petroleum - Q&amp;V 1'!$E$11:$E$252,'Petroleum - Q&amp;V 1'!$H$11:$H$252,CONCATENATE("20",RIGHT('Q&amp;V FY 2003-04 to Now'!AG$9,2)),'Petroleum - Q&amp;V 1'!$I$11:$I$252,2))*1000000</f>
        <v>6165034398.467</v>
      </c>
      <c r="AI74" s="326">
        <f>(SUMIFS('Petroleum - Q&amp;V 1'!$D$11:$D$252,'Petroleum - Q&amp;V 1'!$H$11:$H$252,LEFT('Q&amp;V FY 2003-04 to Now'!AI$9,4),'Petroleum - Q&amp;V 1'!$I$11:$I$252,3)+
SUMIFS('Petroleum - Q&amp;V 1'!$D$11:$D$252,'Petroleum - Q&amp;V 1'!$H$11:$H$252,LEFT('Q&amp;V FY 2003-04 to Now'!AI$9,4),'Petroleum - Q&amp;V 1'!$I$11:$I$252,4)+
SUMIFS('Petroleum - Q&amp;V 1'!$D$11:$D$252,'Petroleum - Q&amp;V 1'!$H$11:$H$252,CONCATENATE("20",RIGHT('Q&amp;V FY 2003-04 to Now'!AI$9,2)),'Petroleum - Q&amp;V 1'!$I$11:$I$252,1)+
SUMIFS('Petroleum - Q&amp;V 1'!$D$11:$D$252,'Petroleum - Q&amp;V 1'!$H$11:$H$252,CONCATENATE("20",RIGHT('Q&amp;V FY 2003-04 to Now'!AI$9,2)),'Petroleum - Q&amp;V 1'!$I$11:$I$252,2))*1000000</f>
        <v>11782814.192958601</v>
      </c>
      <c r="AJ74" s="326">
        <f>(SUMIFS('Petroleum - Q&amp;V 1'!$E$11:$E$252,'Petroleum - Q&amp;V 1'!$H$11:$H$252,LEFT('Q&amp;V FY 2003-04 to Now'!AI$9,4),'Petroleum - Q&amp;V 1'!$I$11:$I$252,3)+
SUMIFS('Petroleum - Q&amp;V 1'!$E$11:$E$252,'Petroleum - Q&amp;V 1'!$H$11:$H$252,LEFT('Q&amp;V FY 2003-04 to Now'!AI$9,4),'Petroleum - Q&amp;V 1'!$I$11:$I$252,4)+
SUMIFS('Petroleum - Q&amp;V 1'!$E$11:$E$252,'Petroleum - Q&amp;V 1'!$H$11:$H$252,CONCATENATE("20",RIGHT('Q&amp;V FY 2003-04 to Now'!AI$9,2)),'Petroleum - Q&amp;V 1'!$I$11:$I$252,1)+
SUMIFS('Petroleum - Q&amp;V 1'!$E$11:$E$252,'Petroleum - Q&amp;V 1'!$H$11:$H$252,CONCATENATE("20",RIGHT('Q&amp;V FY 2003-04 to Now'!AI$9,2)),'Petroleum - Q&amp;V 1'!$I$11:$I$252,2))*1000000</f>
        <v>5101699578.9852877</v>
      </c>
      <c r="AK74" s="326">
        <f>(SUMIFS('Petroleum - Q&amp;V 1'!$D$11:$D$252,'Petroleum - Q&amp;V 1'!$H$11:$H$252,LEFT('Q&amp;V FY 2003-04 to Now'!AK$9,4),'Petroleum - Q&amp;V 1'!$I$11:$I$252,3)+
SUMIFS('Petroleum - Q&amp;V 1'!$D$11:$D$252,'Petroleum - Q&amp;V 1'!$H$11:$H$252,LEFT('Q&amp;V FY 2003-04 to Now'!AK$9,4),'Petroleum - Q&amp;V 1'!$I$11:$I$252,4)+
SUMIFS('Petroleum - Q&amp;V 1'!$D$11:$D$252,'Petroleum - Q&amp;V 1'!$H$11:$H$252,CONCATENATE("20",RIGHT('Q&amp;V FY 2003-04 to Now'!AK$9,2)),'Petroleum - Q&amp;V 1'!$I$11:$I$252,1)+
SUMIFS('Petroleum - Q&amp;V 1'!$D$11:$D$252,'Petroleum - Q&amp;V 1'!$H$11:$H$252,CONCATENATE("20",RIGHT('Q&amp;V FY 2003-04 to Now'!AK$9,2)),'Petroleum - Q&amp;V 1'!$I$11:$I$252,2))*1000000</f>
        <v>11123091.85566739</v>
      </c>
      <c r="AL74" s="326">
        <f>(SUMIFS('Petroleum - Q&amp;V 1'!$E$11:$E$252,'Petroleum - Q&amp;V 1'!$H$11:$H$252,LEFT('Q&amp;V FY 2003-04 to Now'!AK$9,4),'Petroleum - Q&amp;V 1'!$I$11:$I$252,3)+
SUMIFS('Petroleum - Q&amp;V 1'!$E$11:$E$252,'Petroleum - Q&amp;V 1'!$H$11:$H$252,LEFT('Q&amp;V FY 2003-04 to Now'!AK$9,4),'Petroleum - Q&amp;V 1'!$I$11:$I$252,4)+
SUMIFS('Petroleum - Q&amp;V 1'!$E$11:$E$252,'Petroleum - Q&amp;V 1'!$H$11:$H$252,CONCATENATE("20",RIGHT('Q&amp;V FY 2003-04 to Now'!AK$9,2)),'Petroleum - Q&amp;V 1'!$I$11:$I$252,1)+
SUMIFS('Petroleum - Q&amp;V 1'!$E$11:$E$252,'Petroleum - Q&amp;V 1'!$H$11:$H$252,CONCATENATE("20",RIGHT('Q&amp;V FY 2003-04 to Now'!AK$9,2)),'Petroleum - Q&amp;V 1'!$I$11:$I$252,2))*1000000</f>
        <v>4280359358.4895415</v>
      </c>
      <c r="AM74" s="326">
        <f>(SUMIFS('Petroleum - Q&amp;V 1'!$D$11:$D$252,'Petroleum - Q&amp;V 1'!$H$11:$H$252,LEFT('Q&amp;V FY 2003-04 to Now'!AM$9,4),'Petroleum - Q&amp;V 1'!$I$11:$I$252,3)+
SUMIFS('Petroleum - Q&amp;V 1'!$D$11:$D$252,'Petroleum - Q&amp;V 1'!$H$11:$H$252,LEFT('Q&amp;V FY 2003-04 to Now'!AM$9,4),'Petroleum - Q&amp;V 1'!$I$11:$I$252,4)+
SUMIFS('Petroleum - Q&amp;V 1'!$D$11:$D$252,'Petroleum - Q&amp;V 1'!$H$11:$H$252,CONCATENATE("20",RIGHT('Q&amp;V FY 2003-04 to Now'!AM$9,2)),'Petroleum - Q&amp;V 1'!$I$11:$I$252,1)+
SUMIFS('Petroleum - Q&amp;V 1'!$D$11:$D$252,'Petroleum - Q&amp;V 1'!$H$11:$H$252,CONCATENATE("20",RIGHT('Q&amp;V FY 2003-04 to Now'!AM$9,2)),'Petroleum - Q&amp;V 1'!$I$11:$I$252,2))*1000000</f>
        <v>12084692.355954338</v>
      </c>
      <c r="AN74" s="326">
        <f>(SUMIFS('Petroleum - Q&amp;V 1'!$E$11:$E$252,'Petroleum - Q&amp;V 1'!$H$11:$H$252,LEFT('Q&amp;V FY 2003-04 to Now'!AM$9,4),'Petroleum - Q&amp;V 1'!$I$11:$I$252,3)+
SUMIFS('Petroleum - Q&amp;V 1'!$E$11:$E$252,'Petroleum - Q&amp;V 1'!$H$11:$H$252,LEFT('Q&amp;V FY 2003-04 to Now'!AM$9,4),'Petroleum - Q&amp;V 1'!$I$11:$I$252,4)+
SUMIFS('Petroleum - Q&amp;V 1'!$E$11:$E$252,'Petroleum - Q&amp;V 1'!$H$11:$H$252,CONCATENATE("20",RIGHT('Q&amp;V FY 2003-04 to Now'!AM$9,2)),'Petroleum - Q&amp;V 1'!$I$11:$I$252,1)+
SUMIFS('Petroleum - Q&amp;V 1'!$E$11:$E$252,'Petroleum - Q&amp;V 1'!$H$11:$H$252,CONCATENATE("20",RIGHT('Q&amp;V FY 2003-04 to Now'!AM$9,2)),'Petroleum - Q&amp;V 1'!$I$11:$I$252,2))*1000000</f>
        <v>8622204231.1468258</v>
      </c>
      <c r="AO74" s="326">
        <f>(SUMIFS('Petroleum - Q&amp;V 1'!$D$11:$D$252,'Petroleum - Q&amp;V 1'!$H$11:$H$252,LEFT('Q&amp;V FY 2003-04 to Now'!AO$9,4),'Petroleum - Q&amp;V 1'!$I$11:$I$252,3)+
SUMIFS('Petroleum - Q&amp;V 1'!$D$11:$D$252,'Petroleum - Q&amp;V 1'!$H$11:$H$252,LEFT('Q&amp;V FY 2003-04 to Now'!AO$9,4),'Petroleum - Q&amp;V 1'!$I$11:$I$252,4)+
SUMIFS('Petroleum - Q&amp;V 1'!$D$11:$D$252,'Petroleum - Q&amp;V 1'!$H$11:$H$252,CONCATENATE("20",RIGHT('Q&amp;V FY 2003-04 to Now'!AO$9,2)),'Petroleum - Q&amp;V 1'!$I$11:$I$252,1)+
SUMIFS('Petroleum - Q&amp;V 1'!$D$11:$D$252,'Petroleum - Q&amp;V 1'!$H$11:$H$252,CONCATENATE("20",RIGHT('Q&amp;V FY 2003-04 to Now'!AO$9,2)),'Petroleum - Q&amp;V 1'!$I$11:$I$252,2))*1000000</f>
        <v>11833974.03324846</v>
      </c>
      <c r="AP74" s="326">
        <f>(SUMIFS('Petroleum - Q&amp;V 1'!$E$11:$E$252,'Petroleum - Q&amp;V 1'!$H$11:$H$252,LEFT('Q&amp;V FY 2003-04 to Now'!AO$9,4),'Petroleum - Q&amp;V 1'!$I$11:$I$252,3)+
SUMIFS('Petroleum - Q&amp;V 1'!$E$11:$E$252,'Petroleum - Q&amp;V 1'!$H$11:$H$252,LEFT('Q&amp;V FY 2003-04 to Now'!AO$9,4),'Petroleum - Q&amp;V 1'!$I$11:$I$252,4)+
SUMIFS('Petroleum - Q&amp;V 1'!$E$11:$E$252,'Petroleum - Q&amp;V 1'!$H$11:$H$252,CONCATENATE("20",RIGHT('Q&amp;V FY 2003-04 to Now'!AO$9,2)),'Petroleum - Q&amp;V 1'!$I$11:$I$252,1)+
SUMIFS('Petroleum - Q&amp;V 1'!$E$11:$E$252,'Petroleum - Q&amp;V 1'!$H$11:$H$252,CONCATENATE("20",RIGHT('Q&amp;V FY 2003-04 to Now'!AO$9,2)),'Petroleum - Q&amp;V 1'!$I$11:$I$252,2))*1000000</f>
        <v>8743621082.4230957</v>
      </c>
      <c r="AQ74" s="326">
        <f>(SUMIFS('Petroleum - Q&amp;V 1'!$D$11:$D$252,'Petroleum - Q&amp;V 1'!$H$11:$H$252,LEFT('Q&amp;V FY 2003-04 to Now'!AQ$9,4),'Petroleum - Q&amp;V 1'!$I$11:$I$252,3)+
SUMIFS('Petroleum - Q&amp;V 1'!$D$11:$D$252,'Petroleum - Q&amp;V 1'!$H$11:$H$252,LEFT('Q&amp;V FY 2003-04 to Now'!AQ$9,4),'Petroleum - Q&amp;V 1'!$I$11:$I$252,4)+
SUMIFS('Petroleum - Q&amp;V 1'!$D$11:$D$252,'Petroleum - Q&amp;V 1'!$H$11:$H$252,CONCATENATE("20",RIGHT('Q&amp;V FY 2003-04 to Now'!AQ$9,2)),'Petroleum - Q&amp;V 1'!$I$11:$I$252,1)+
SUMIFS('Petroleum - Q&amp;V 1'!$D$11:$D$252,'Petroleum - Q&amp;V 1'!$H$11:$H$252,CONCATENATE("20",RIGHT('Q&amp;V FY 2003-04 to Now'!AQ$9,2)),'Petroleum - Q&amp;V 1'!$I$11:$I$252,2))*1000000</f>
        <v>11336053.789772846</v>
      </c>
      <c r="AR74" s="326">
        <f>(SUMIFS('Petroleum - Q&amp;V 1'!$E$11:$E$252,'Petroleum - Q&amp;V 1'!$H$11:$H$252,LEFT('Q&amp;V FY 2003-04 to Now'!AQ$9,4),'Petroleum - Q&amp;V 1'!$I$11:$I$252,3)+
SUMIFS('Petroleum - Q&amp;V 1'!$E$11:$E$252,'Petroleum - Q&amp;V 1'!$H$11:$H$252,LEFT('Q&amp;V FY 2003-04 to Now'!AQ$9,4),'Petroleum - Q&amp;V 1'!$I$11:$I$252,4)+
SUMIFS('Petroleum - Q&amp;V 1'!$E$11:$E$252,'Petroleum - Q&amp;V 1'!$H$11:$H$252,CONCATENATE("20",RIGHT('Q&amp;V FY 2003-04 to Now'!AQ$9,2)),'Petroleum - Q&amp;V 1'!$I$11:$I$252,1)+
SUMIFS('Petroleum - Q&amp;V 1'!$E$11:$E$252,'Petroleum - Q&amp;V 1'!$H$11:$H$252,CONCATENATE("20",RIGHT('Q&amp;V FY 2003-04 to Now'!AQ$9,2)),'Petroleum - Q&amp;V 1'!$I$11:$I$252,2))*1000000</f>
        <v>8130205212.3408298</v>
      </c>
      <c r="AS74" s="326">
        <f>(SUMIFS('Petroleum - Q&amp;V 1'!$D$11:$D$252,'Petroleum - Q&amp;V 1'!$H$11:$H$252,LEFT('Q&amp;V FY 2003-04 to Now'!AS$9,4),'Petroleum - Q&amp;V 1'!$I$11:$I$252,3)+
SUMIFS('Petroleum - Q&amp;V 1'!$D$11:$D$252,'Petroleum - Q&amp;V 1'!$H$11:$H$252,LEFT('Q&amp;V FY 2003-04 to Now'!AS$9,4),'Petroleum - Q&amp;V 1'!$I$11:$I$252,4)+
SUMIFS('Petroleum - Q&amp;V 1'!$D$11:$D$252,'Petroleum - Q&amp;V 1'!$H$11:$H$252,CONCATENATE("20",RIGHT('Q&amp;V FY 2003-04 to Now'!AS$9,2)),'Petroleum - Q&amp;V 1'!$I$11:$I$252,1)+
SUMIFS('Petroleum - Q&amp;V 1'!$D$11:$D$252,'Petroleum - Q&amp;V 1'!$H$11:$H$252,CONCATENATE("20",RIGHT('Q&amp;V FY 2003-04 to Now'!AS$9,2)),'Petroleum - Q&amp;V 1'!$I$11:$I$252,2))*1000000</f>
        <v>10741382.506214404</v>
      </c>
      <c r="AT74" s="326">
        <f>(SUMIFS('Petroleum - Q&amp;V 1'!$E$11:$E$252,'Petroleum - Q&amp;V 1'!$H$11:$H$252,LEFT('Q&amp;V FY 2003-04 to Now'!AS$9,4),'Petroleum - Q&amp;V 1'!$I$11:$I$252,3)+
SUMIFS('Petroleum - Q&amp;V 1'!$E$11:$E$252,'Petroleum - Q&amp;V 1'!$H$11:$H$252,LEFT('Q&amp;V FY 2003-04 to Now'!AS$9,4),'Petroleum - Q&amp;V 1'!$I$11:$I$252,4)+
SUMIFS('Petroleum - Q&amp;V 1'!$E$11:$E$252,'Petroleum - Q&amp;V 1'!$H$11:$H$252,CONCATENATE("20",RIGHT('Q&amp;V FY 2003-04 to Now'!AS$9,2)),'Petroleum - Q&amp;V 1'!$I$11:$I$252,1)+
SUMIFS('Petroleum - Q&amp;V 1'!$E$11:$E$252,'Petroleum - Q&amp;V 1'!$H$11:$H$252,CONCATENATE("20",RIGHT('Q&amp;V FY 2003-04 to Now'!AS$9,2)),'Petroleum - Q&amp;V 1'!$I$11:$I$252,2))*1000000</f>
        <v>7487906090.75457</v>
      </c>
      <c r="AU74" s="358">
        <f>SUMIF($C$11:AT$11,1,$C74:AT74)</f>
        <v>172698365.65918121</v>
      </c>
      <c r="AV74" s="325">
        <f>IF(COUNTIF($C74:AT74, "nfp")=0, SUMIF($C$11:AT$11,0,$C74:AT74), "nfp")</f>
        <v>94776484501.095184</v>
      </c>
    </row>
    <row r="75" spans="1:48" x14ac:dyDescent="0.25">
      <c r="A75" s="327" t="s">
        <v>196</v>
      </c>
      <c r="B75" s="324" t="s">
        <v>233</v>
      </c>
      <c r="C75" s="325">
        <f>(SUMIFS('Petroleum - Q&amp;V 1'!$B$11:$B$252,'Petroleum - Q&amp;V 1'!$H$11:$H$252,LEFT('Q&amp;V FY 2003-04 to Now'!C$9,4),'Petroleum - Q&amp;V 1'!$I$11:$I$252,3)+
SUMIFS('Petroleum - Q&amp;V 1'!$B$11:$B$252,'Petroleum - Q&amp;V 1'!$H$11:$H$252,LEFT('Q&amp;V FY 2003-04 to Now'!C$9,4),'Petroleum - Q&amp;V 1'!$I$11:$I$252,4)+
SUMIFS('Petroleum - Q&amp;V 1'!$B$11:$B$252,'Petroleum - Q&amp;V 1'!$H$11:$H$252,CONCATENATE("20",RIGHT('Q&amp;V FY 2003-04 to Now'!C$9,2)),'Petroleum - Q&amp;V 1'!$I$11:$I$252,1)+
SUMIFS('Petroleum - Q&amp;V 1'!$B$11:$B$252,'Petroleum - Q&amp;V 1'!$H$11:$H$252,CONCATENATE("20",RIGHT('Q&amp;V FY 2003-04 to Now'!C$9,2)),'Petroleum - Q&amp;V 1'!$I$11:$I$252,2))*1000000</f>
        <v>13223116</v>
      </c>
      <c r="D75" s="325">
        <f>(SUMIFS('Petroleum - Q&amp;V 1'!$C$11:$C$252,'Petroleum - Q&amp;V 1'!$H$11:$H$252,LEFT('Q&amp;V FY 2003-04 to Now'!C$9,4),'Petroleum - Q&amp;V 1'!$I$11:$I$252,3)+
SUMIFS('Petroleum - Q&amp;V 1'!$C$11:$C$252,'Petroleum - Q&amp;V 1'!$H$11:$H$252,LEFT('Q&amp;V FY 2003-04 to Now'!C$9,4),'Petroleum - Q&amp;V 1'!$I$11:$I$252,4)+
SUMIFS('Petroleum - Q&amp;V 1'!$C$11:$C$252,'Petroleum - Q&amp;V 1'!$H$11:$H$252,CONCATENATE("20",RIGHT('Q&amp;V FY 2003-04 to Now'!C$9,2)),'Petroleum - Q&amp;V 1'!$I$11:$I$252,1)+
SUMIFS('Petroleum - Q&amp;V 1'!$C$11:$C$252,'Petroleum - Q&amp;V 1'!$H$11:$H$252,CONCATENATE("20",RIGHT('Q&amp;V FY 2003-04 to Now'!C$9,2)),'Petroleum - Q&amp;V 1'!$I$11:$I$252,2))*1000000</f>
        <v>3773641187.9999995</v>
      </c>
      <c r="E75" s="325">
        <f>(SUMIFS('Petroleum - Q&amp;V 1'!$B$11:$B$252,'Petroleum - Q&amp;V 1'!$H$11:$H$252,LEFT('Q&amp;V FY 2003-04 to Now'!E$9,4),'Petroleum - Q&amp;V 1'!$I$11:$I$252,3)+
SUMIFS('Petroleum - Q&amp;V 1'!$B$11:$B$252,'Petroleum - Q&amp;V 1'!$H$11:$H$252,LEFT('Q&amp;V FY 2003-04 to Now'!E$9,4),'Petroleum - Q&amp;V 1'!$I$11:$I$252,4)+
SUMIFS('Petroleum - Q&amp;V 1'!$B$11:$B$252,'Petroleum - Q&amp;V 1'!$H$11:$H$252,CONCATENATE("20",RIGHT('Q&amp;V FY 2003-04 to Now'!E$9,2)),'Petroleum - Q&amp;V 1'!$I$11:$I$252,1)+
SUMIFS('Petroleum - Q&amp;V 1'!$B$11:$B$252,'Petroleum - Q&amp;V 1'!$H$11:$H$252,CONCATENATE("20",RIGHT('Q&amp;V FY 2003-04 to Now'!E$9,2)),'Petroleum - Q&amp;V 1'!$I$11:$I$252,2))*1000000</f>
        <v>12773028</v>
      </c>
      <c r="F75" s="325">
        <f>(SUMIFS('Petroleum - Q&amp;V 1'!$C$11:$C$252,'Petroleum - Q&amp;V 1'!$H$11:$H$252,LEFT('Q&amp;V FY 2003-04 to Now'!E$9,4),'Petroleum - Q&amp;V 1'!$I$11:$I$252,3)+
SUMIFS('Petroleum - Q&amp;V 1'!$C$11:$C$252,'Petroleum - Q&amp;V 1'!$H$11:$H$252,LEFT('Q&amp;V FY 2003-04 to Now'!E$9,4),'Petroleum - Q&amp;V 1'!$I$11:$I$252,4)+
SUMIFS('Petroleum - Q&amp;V 1'!$C$11:$C$252,'Petroleum - Q&amp;V 1'!$H$11:$H$252,CONCATENATE("20",RIGHT('Q&amp;V FY 2003-04 to Now'!E$9,2)),'Petroleum - Q&amp;V 1'!$I$11:$I$252,1)+
SUMIFS('Petroleum - Q&amp;V 1'!$C$11:$C$252,'Petroleum - Q&amp;V 1'!$H$11:$H$252,CONCATENATE("20",RIGHT('Q&amp;V FY 2003-04 to Now'!E$9,2)),'Petroleum - Q&amp;V 1'!$I$11:$I$252,2))*1000000</f>
        <v>5176845195</v>
      </c>
      <c r="G75" s="325">
        <f>(SUMIFS('Petroleum - Q&amp;V 1'!$B$11:$B$252,'Petroleum - Q&amp;V 1'!$H$11:$H$252,LEFT('Q&amp;V FY 2003-04 to Now'!G$9,4),'Petroleum - Q&amp;V 1'!$I$11:$I$252,3)+
SUMIFS('Petroleum - Q&amp;V 1'!$B$11:$B$252,'Petroleum - Q&amp;V 1'!$H$11:$H$252,LEFT('Q&amp;V FY 2003-04 to Now'!G$9,4),'Petroleum - Q&amp;V 1'!$I$11:$I$252,4)+
SUMIFS('Petroleum - Q&amp;V 1'!$B$11:$B$252,'Petroleum - Q&amp;V 1'!$H$11:$H$252,CONCATENATE("20",RIGHT('Q&amp;V FY 2003-04 to Now'!G$9,2)),'Petroleum - Q&amp;V 1'!$I$11:$I$252,1)+
SUMIFS('Petroleum - Q&amp;V 1'!$B$11:$B$252,'Petroleum - Q&amp;V 1'!$H$11:$H$252,CONCATENATE("20",RIGHT('Q&amp;V FY 2003-04 to Now'!G$9,2)),'Petroleum - Q&amp;V 1'!$I$11:$I$252,2))*1000000</f>
        <v>11142978</v>
      </c>
      <c r="H75" s="325">
        <f>(SUMIFS('Petroleum - Q&amp;V 1'!$C$11:$C$252,'Petroleum - Q&amp;V 1'!$H$11:$H$252,LEFT('Q&amp;V FY 2003-04 to Now'!G$9,4),'Petroleum - Q&amp;V 1'!$I$11:$I$252,3)+
SUMIFS('Petroleum - Q&amp;V 1'!$C$11:$C$252,'Petroleum - Q&amp;V 1'!$H$11:$H$252,LEFT('Q&amp;V FY 2003-04 to Now'!G$9,4),'Petroleum - Q&amp;V 1'!$I$11:$I$252,4)+
SUMIFS('Petroleum - Q&amp;V 1'!$C$11:$C$252,'Petroleum - Q&amp;V 1'!$H$11:$H$252,CONCATENATE("20",RIGHT('Q&amp;V FY 2003-04 to Now'!G$9,2)),'Petroleum - Q&amp;V 1'!$I$11:$I$252,1)+
SUMIFS('Petroleum - Q&amp;V 1'!$C$11:$C$252,'Petroleum - Q&amp;V 1'!$H$11:$H$252,CONCATENATE("20",RIGHT('Q&amp;V FY 2003-04 to Now'!G$9,2)),'Petroleum - Q&amp;V 1'!$I$11:$I$252,2))*1000000</f>
        <v>5901291387</v>
      </c>
      <c r="I75" s="325">
        <f>(SUMIFS('Petroleum - Q&amp;V 1'!$B$11:$B$252,'Petroleum - Q&amp;V 1'!$H$11:$H$252,LEFT('Q&amp;V FY 2003-04 to Now'!I$9,4),'Petroleum - Q&amp;V 1'!$I$11:$I$252,3)+
SUMIFS('Petroleum - Q&amp;V 1'!$B$11:$B$252,'Petroleum - Q&amp;V 1'!$H$11:$H$252,LEFT('Q&amp;V FY 2003-04 to Now'!I$9,4),'Petroleum - Q&amp;V 1'!$I$11:$I$252,4)+
SUMIFS('Petroleum - Q&amp;V 1'!$B$11:$B$252,'Petroleum - Q&amp;V 1'!$H$11:$H$252,CONCATENATE("20",RIGHT('Q&amp;V FY 2003-04 to Now'!I$9,2)),'Petroleum - Q&amp;V 1'!$I$11:$I$252,1)+
SUMIFS('Petroleum - Q&amp;V 1'!$B$11:$B$252,'Petroleum - Q&amp;V 1'!$H$11:$H$252,CONCATENATE("20",RIGHT('Q&amp;V FY 2003-04 to Now'!I$9,2)),'Petroleum - Q&amp;V 1'!$I$11:$I$252,2))*1000000</f>
        <v>14255543.999999998</v>
      </c>
      <c r="J75" s="325">
        <f>(SUMIFS('Petroleum - Q&amp;V 1'!$C$11:$C$252,'Petroleum - Q&amp;V 1'!$H$11:$H$252,LEFT('Q&amp;V FY 2003-04 to Now'!I$9,4),'Petroleum - Q&amp;V 1'!$I$11:$I$252,3)+
SUMIFS('Petroleum - Q&amp;V 1'!$C$11:$C$252,'Petroleum - Q&amp;V 1'!$H$11:$H$252,LEFT('Q&amp;V FY 2003-04 to Now'!I$9,4),'Petroleum - Q&amp;V 1'!$I$11:$I$252,4)+
SUMIFS('Petroleum - Q&amp;V 1'!$C$11:$C$252,'Petroleum - Q&amp;V 1'!$H$11:$H$252,CONCATENATE("20",RIGHT('Q&amp;V FY 2003-04 to Now'!I$9,2)),'Petroleum - Q&amp;V 1'!$I$11:$I$252,1)+
SUMIFS('Petroleum - Q&amp;V 1'!$C$11:$C$252,'Petroleum - Q&amp;V 1'!$H$11:$H$252,CONCATENATE("20",RIGHT('Q&amp;V FY 2003-04 to Now'!I$9,2)),'Petroleum - Q&amp;V 1'!$I$11:$I$252,2))*1000000</f>
        <v>7529594341.999999</v>
      </c>
      <c r="K75" s="325">
        <f>(SUMIFS('Petroleum - Q&amp;V 1'!$B$11:$B$252,'Petroleum - Q&amp;V 1'!$H$11:$H$252,LEFT('Q&amp;V FY 2003-04 to Now'!K$9,4),'Petroleum - Q&amp;V 1'!$I$11:$I$252,3)+
SUMIFS('Petroleum - Q&amp;V 1'!$B$11:$B$252,'Petroleum - Q&amp;V 1'!$H$11:$H$252,LEFT('Q&amp;V FY 2003-04 to Now'!K$9,4),'Petroleum - Q&amp;V 1'!$I$11:$I$252,4)+
SUMIFS('Petroleum - Q&amp;V 1'!$B$11:$B$252,'Petroleum - Q&amp;V 1'!$H$11:$H$252,CONCATENATE("20",RIGHT('Q&amp;V FY 2003-04 to Now'!K$9,2)),'Petroleum - Q&amp;V 1'!$I$11:$I$252,1)+
SUMIFS('Petroleum - Q&amp;V 1'!$B$11:$B$252,'Petroleum - Q&amp;V 1'!$H$11:$H$252,CONCATENATE("20",RIGHT('Q&amp;V FY 2003-04 to Now'!K$9,2)),'Petroleum - Q&amp;V 1'!$I$11:$I$252,2))*1000000</f>
        <v>12647526</v>
      </c>
      <c r="L75" s="325">
        <f>(SUMIFS('Petroleum - Q&amp;V 1'!$C$11:$C$252,'Petroleum - Q&amp;V 1'!$H$11:$H$252,LEFT('Q&amp;V FY 2003-04 to Now'!K$9,4),'Petroleum - Q&amp;V 1'!$I$11:$I$252,3)+
SUMIFS('Petroleum - Q&amp;V 1'!$C$11:$C$252,'Petroleum - Q&amp;V 1'!$H$11:$H$252,LEFT('Q&amp;V FY 2003-04 to Now'!K$9,4),'Petroleum - Q&amp;V 1'!$I$11:$I$252,4)+
SUMIFS('Petroleum - Q&amp;V 1'!$C$11:$C$252,'Petroleum - Q&amp;V 1'!$H$11:$H$252,CONCATENATE("20",RIGHT('Q&amp;V FY 2003-04 to Now'!K$9,2)),'Petroleum - Q&amp;V 1'!$I$11:$I$252,1)+
SUMIFS('Petroleum - Q&amp;V 1'!$C$11:$C$252,'Petroleum - Q&amp;V 1'!$H$11:$H$252,CONCATENATE("20",RIGHT('Q&amp;V FY 2003-04 to Now'!K$9,2)),'Petroleum - Q&amp;V 1'!$I$11:$I$252,2))*1000000</f>
        <v>8666217288</v>
      </c>
      <c r="M75" s="325">
        <f>(SUMIFS('Petroleum - Q&amp;V 1'!$B$11:$B$252,'Petroleum - Q&amp;V 1'!$H$11:$H$252,LEFT('Q&amp;V FY 2003-04 to Now'!M$9,4),'Petroleum - Q&amp;V 1'!$I$11:$I$252,3)+
SUMIFS('Petroleum - Q&amp;V 1'!$B$11:$B$252,'Petroleum - Q&amp;V 1'!$H$11:$H$252,LEFT('Q&amp;V FY 2003-04 to Now'!M$9,4),'Petroleum - Q&amp;V 1'!$I$11:$I$252,4)+
SUMIFS('Petroleum - Q&amp;V 1'!$B$11:$B$252,'Petroleum - Q&amp;V 1'!$H$11:$H$252,CONCATENATE("20",RIGHT('Q&amp;V FY 2003-04 to Now'!M$9,2)),'Petroleum - Q&amp;V 1'!$I$11:$I$252,1)+
SUMIFS('Petroleum - Q&amp;V 1'!$B$11:$B$252,'Petroleum - Q&amp;V 1'!$H$11:$H$252,CONCATENATE("20",RIGHT('Q&amp;V FY 2003-04 to Now'!M$9,2)),'Petroleum - Q&amp;V 1'!$I$11:$I$252,2))*1000000</f>
        <v>13036933.000000002</v>
      </c>
      <c r="N75" s="325">
        <f>(SUMIFS('Petroleum - Q&amp;V 1'!$C$11:$C$252,'Petroleum - Q&amp;V 1'!$H$11:$H$252,LEFT('Q&amp;V FY 2003-04 to Now'!M$9,4),'Petroleum - Q&amp;V 1'!$I$11:$I$252,3)+
SUMIFS('Petroleum - Q&amp;V 1'!$C$11:$C$252,'Petroleum - Q&amp;V 1'!$H$11:$H$252,LEFT('Q&amp;V FY 2003-04 to Now'!M$9,4),'Petroleum - Q&amp;V 1'!$I$11:$I$252,4)+
SUMIFS('Petroleum - Q&amp;V 1'!$C$11:$C$252,'Petroleum - Q&amp;V 1'!$H$11:$H$252,CONCATENATE("20",RIGHT('Q&amp;V FY 2003-04 to Now'!M$9,2)),'Petroleum - Q&amp;V 1'!$I$11:$I$252,1)+
SUMIFS('Petroleum - Q&amp;V 1'!$C$11:$C$252,'Petroleum - Q&amp;V 1'!$H$11:$H$252,CONCATENATE("20",RIGHT('Q&amp;V FY 2003-04 to Now'!M$9,2)),'Petroleum - Q&amp;V 1'!$I$11:$I$252,2))*1000000</f>
        <v>7710496697.000001</v>
      </c>
      <c r="O75" s="325">
        <f>(SUMIFS('Petroleum - Q&amp;V 1'!$B$11:$B$252,'Petroleum - Q&amp;V 1'!$H$11:$H$252,LEFT('Q&amp;V FY 2003-04 to Now'!O$9,4),'Petroleum - Q&amp;V 1'!$I$11:$I$252,3)+
SUMIFS('Petroleum - Q&amp;V 1'!$B$11:$B$252,'Petroleum - Q&amp;V 1'!$H$11:$H$252,LEFT('Q&amp;V FY 2003-04 to Now'!O$9,4),'Petroleum - Q&amp;V 1'!$I$11:$I$252,4)+
SUMIFS('Petroleum - Q&amp;V 1'!$B$11:$B$252,'Petroleum - Q&amp;V 1'!$H$11:$H$252,CONCATENATE("20",RIGHT('Q&amp;V FY 2003-04 to Now'!O$9,2)),'Petroleum - Q&amp;V 1'!$I$11:$I$252,1)+
SUMIFS('Petroleum - Q&amp;V 1'!$B$11:$B$252,'Petroleum - Q&amp;V 1'!$H$11:$H$252,CONCATENATE("20",RIGHT('Q&amp;V FY 2003-04 to Now'!O$9,2)),'Petroleum - Q&amp;V 1'!$I$11:$I$252,2))*1000000</f>
        <v>11842075</v>
      </c>
      <c r="P75" s="325">
        <f>(SUMIFS('Petroleum - Q&amp;V 1'!$C$11:$C$252,'Petroleum - Q&amp;V 1'!$H$11:$H$252,LEFT('Q&amp;V FY 2003-04 to Now'!O$9,4),'Petroleum - Q&amp;V 1'!$I$11:$I$252,3)+
SUMIFS('Petroleum - Q&amp;V 1'!$C$11:$C$252,'Petroleum - Q&amp;V 1'!$H$11:$H$252,LEFT('Q&amp;V FY 2003-04 to Now'!O$9,4),'Petroleum - Q&amp;V 1'!$I$11:$I$252,4)+
SUMIFS('Petroleum - Q&amp;V 1'!$C$11:$C$252,'Petroleum - Q&amp;V 1'!$H$11:$H$252,CONCATENATE("20",RIGHT('Q&amp;V FY 2003-04 to Now'!O$9,2)),'Petroleum - Q&amp;V 1'!$I$11:$I$252,1)+
SUMIFS('Petroleum - Q&amp;V 1'!$C$11:$C$252,'Petroleum - Q&amp;V 1'!$H$11:$H$252,CONCATENATE("20",RIGHT('Q&amp;V FY 2003-04 to Now'!O$9,2)),'Petroleum - Q&amp;V 1'!$I$11:$I$252,2))*1000000</f>
        <v>6385071844</v>
      </c>
      <c r="Q75" s="325">
        <f>(SUMIFS('Petroleum - Q&amp;V 1'!$B$11:$B$252,'Petroleum - Q&amp;V 1'!$H$11:$H$252,LEFT('Q&amp;V FY 2003-04 to Now'!Q$9,4),'Petroleum - Q&amp;V 1'!$I$11:$I$252,3)+
SUMIFS('Petroleum - Q&amp;V 1'!$B$11:$B$252,'Petroleum - Q&amp;V 1'!$H$11:$H$252,LEFT('Q&amp;V FY 2003-04 to Now'!Q$9,4),'Petroleum - Q&amp;V 1'!$I$11:$I$252,4)+
SUMIFS('Petroleum - Q&amp;V 1'!$B$11:$B$252,'Petroleum - Q&amp;V 1'!$H$11:$H$252,CONCATENATE("20",RIGHT('Q&amp;V FY 2003-04 to Now'!Q$9,2)),'Petroleum - Q&amp;V 1'!$I$11:$I$252,1)+
SUMIFS('Petroleum - Q&amp;V 1'!$B$11:$B$252,'Petroleum - Q&amp;V 1'!$H$11:$H$252,CONCATENATE("20",RIGHT('Q&amp;V FY 2003-04 to Now'!Q$9,2)),'Petroleum - Q&amp;V 1'!$I$11:$I$252,2))*1000000</f>
        <v>13924847</v>
      </c>
      <c r="R75" s="325">
        <f>(SUMIFS('Petroleum - Q&amp;V 1'!$C$11:$C$252,'Petroleum - Q&amp;V 1'!$H$11:$H$252,LEFT('Q&amp;V FY 2003-04 to Now'!Q$9,4),'Petroleum - Q&amp;V 1'!$I$11:$I$252,3)+
SUMIFS('Petroleum - Q&amp;V 1'!$C$11:$C$252,'Petroleum - Q&amp;V 1'!$H$11:$H$252,LEFT('Q&amp;V FY 2003-04 to Now'!Q$9,4),'Petroleum - Q&amp;V 1'!$I$11:$I$252,4)+
SUMIFS('Petroleum - Q&amp;V 1'!$C$11:$C$252,'Petroleum - Q&amp;V 1'!$H$11:$H$252,CONCATENATE("20",RIGHT('Q&amp;V FY 2003-04 to Now'!Q$9,2)),'Petroleum - Q&amp;V 1'!$I$11:$I$252,1)+
SUMIFS('Petroleum - Q&amp;V 1'!$C$11:$C$252,'Petroleum - Q&amp;V 1'!$H$11:$H$252,CONCATENATE("20",RIGHT('Q&amp;V FY 2003-04 to Now'!Q$9,2)),'Petroleum - Q&amp;V 1'!$I$11:$I$252,2))*1000000</f>
        <v>8528862520.999999</v>
      </c>
      <c r="S75" s="325">
        <f>(SUMIFS('Petroleum - Q&amp;V 1'!$B$11:$B$252,'Petroleum - Q&amp;V 1'!$H$11:$H$252,LEFT('Q&amp;V FY 2003-04 to Now'!S$9,4),'Petroleum - Q&amp;V 1'!$I$11:$I$252,3)+
SUMIFS('Petroleum - Q&amp;V 1'!$B$11:$B$252,'Petroleum - Q&amp;V 1'!$H$11:$H$252,LEFT('Q&amp;V FY 2003-04 to Now'!S$9,4),'Petroleum - Q&amp;V 1'!$I$11:$I$252,4)+
SUMIFS('Petroleum - Q&amp;V 1'!$B$11:$B$252,'Petroleum - Q&amp;V 1'!$H$11:$H$252,CONCATENATE("20",RIGHT('Q&amp;V FY 2003-04 to Now'!S$9,2)),'Petroleum - Q&amp;V 1'!$I$11:$I$252,1)+
SUMIFS('Petroleum - Q&amp;V 1'!$B$11:$B$252,'Petroleum - Q&amp;V 1'!$H$11:$H$252,CONCATENATE("20",RIGHT('Q&amp;V FY 2003-04 to Now'!S$9,2)),'Petroleum - Q&amp;V 1'!$I$11:$I$252,2))*1000000</f>
        <v>11121616</v>
      </c>
      <c r="T75" s="325">
        <f>(SUMIFS('Petroleum - Q&amp;V 1'!$C$11:$C$252,'Petroleum - Q&amp;V 1'!$H$11:$H$252,LEFT('Q&amp;V FY 2003-04 to Now'!S$9,4),'Petroleum - Q&amp;V 1'!$I$11:$I$252,3)+
SUMIFS('Petroleum - Q&amp;V 1'!$C$11:$C$252,'Petroleum - Q&amp;V 1'!$H$11:$H$252,LEFT('Q&amp;V FY 2003-04 to Now'!S$9,4),'Petroleum - Q&amp;V 1'!$I$11:$I$252,4)+
SUMIFS('Petroleum - Q&amp;V 1'!$C$11:$C$252,'Petroleum - Q&amp;V 1'!$H$11:$H$252,CONCATENATE("20",RIGHT('Q&amp;V FY 2003-04 to Now'!S$9,2)),'Petroleum - Q&amp;V 1'!$I$11:$I$252,1)+
SUMIFS('Petroleum - Q&amp;V 1'!$C$11:$C$252,'Petroleum - Q&amp;V 1'!$H$11:$H$252,CONCATENATE("20",RIGHT('Q&amp;V FY 2003-04 to Now'!S$9,2)),'Petroleum - Q&amp;V 1'!$I$11:$I$252,2))*1000000</f>
        <v>7676633458.999999</v>
      </c>
      <c r="U75" s="325">
        <f>(SUMIFS('Petroleum - Q&amp;V 1'!$B$11:$B$252,'Petroleum - Q&amp;V 1'!$H$11:$H$252,LEFT('Q&amp;V FY 2003-04 to Now'!U$9,4),'Petroleum - Q&amp;V 1'!$I$11:$I$252,3)+
SUMIFS('Petroleum - Q&amp;V 1'!$B$11:$B$252,'Petroleum - Q&amp;V 1'!$H$11:$H$252,LEFT('Q&amp;V FY 2003-04 to Now'!U$9,4),'Petroleum - Q&amp;V 1'!$I$11:$I$252,4)+
SUMIFS('Petroleum - Q&amp;V 1'!$B$11:$B$252,'Petroleum - Q&amp;V 1'!$H$11:$H$252,CONCATENATE("20",RIGHT('Q&amp;V FY 2003-04 to Now'!U$9,2)),'Petroleum - Q&amp;V 1'!$I$11:$I$252,1)+
SUMIFS('Petroleum - Q&amp;V 1'!$B$11:$B$252,'Petroleum - Q&amp;V 1'!$H$11:$H$252,CONCATENATE("20",RIGHT('Q&amp;V FY 2003-04 to Now'!U$9,2)),'Petroleum - Q&amp;V 1'!$I$11:$I$252,2))*1000000</f>
        <v>8609425</v>
      </c>
      <c r="V75" s="325">
        <f>(SUMIFS('Petroleum - Q&amp;V 1'!$C$11:$C$252,'Petroleum - Q&amp;V 1'!$H$11:$H$252,LEFT('Q&amp;V FY 2003-04 to Now'!U$9,4),'Petroleum - Q&amp;V 1'!$I$11:$I$252,3)+
SUMIFS('Petroleum - Q&amp;V 1'!$C$11:$C$252,'Petroleum - Q&amp;V 1'!$H$11:$H$252,LEFT('Q&amp;V FY 2003-04 to Now'!U$9,4),'Petroleum - Q&amp;V 1'!$I$11:$I$252,4)+
SUMIFS('Petroleum - Q&amp;V 1'!$C$11:$C$252,'Petroleum - Q&amp;V 1'!$H$11:$H$252,CONCATENATE("20",RIGHT('Q&amp;V FY 2003-04 to Now'!U$9,2)),'Petroleum - Q&amp;V 1'!$I$11:$I$252,1)+
SUMIFS('Petroleum - Q&amp;V 1'!$C$11:$C$252,'Petroleum - Q&amp;V 1'!$H$11:$H$252,CONCATENATE("20",RIGHT('Q&amp;V FY 2003-04 to Now'!U$9,2)),'Petroleum - Q&amp;V 1'!$I$11:$I$252,2))*1000000</f>
        <v>5972058199.999999</v>
      </c>
      <c r="W75" s="325">
        <f>(SUMIFS('Petroleum - Q&amp;V 1'!$B$11:$B$252,'Petroleum - Q&amp;V 1'!$H$11:$H$252,LEFT('Q&amp;V FY 2003-04 to Now'!W$9,4),'Petroleum - Q&amp;V 1'!$I$11:$I$252,3)+
SUMIFS('Petroleum - Q&amp;V 1'!$B$11:$B$252,'Petroleum - Q&amp;V 1'!$H$11:$H$252,LEFT('Q&amp;V FY 2003-04 to Now'!W$9,4),'Petroleum - Q&amp;V 1'!$I$11:$I$252,4)+
SUMIFS('Petroleum - Q&amp;V 1'!$B$11:$B$252,'Petroleum - Q&amp;V 1'!$H$11:$H$252,CONCATENATE("20",RIGHT('Q&amp;V FY 2003-04 to Now'!W$9,2)),'Petroleum - Q&amp;V 1'!$I$11:$I$252,1)+
SUMIFS('Petroleum - Q&amp;V 1'!$B$11:$B$252,'Petroleum - Q&amp;V 1'!$H$11:$H$252,CONCATENATE("20",RIGHT('Q&amp;V FY 2003-04 to Now'!W$9,2)),'Petroleum - Q&amp;V 1'!$I$11:$I$252,2))*1000000</f>
        <v>6867302.1770000011</v>
      </c>
      <c r="X75" s="325">
        <f>(SUMIFS('Petroleum - Q&amp;V 1'!$C$11:$C$252,'Petroleum - Q&amp;V 1'!$H$11:$H$252,LEFT('Q&amp;V FY 2003-04 to Now'!W$9,4),'Petroleum - Q&amp;V 1'!$I$11:$I$252,3)+
SUMIFS('Petroleum - Q&amp;V 1'!$C$11:$C$252,'Petroleum - Q&amp;V 1'!$H$11:$H$252,LEFT('Q&amp;V FY 2003-04 to Now'!W$9,4),'Petroleum - Q&amp;V 1'!$I$11:$I$252,4)+
SUMIFS('Petroleum - Q&amp;V 1'!$C$11:$C$252,'Petroleum - Q&amp;V 1'!$H$11:$H$252,CONCATENATE("20",RIGHT('Q&amp;V FY 2003-04 to Now'!W$9,2)),'Petroleum - Q&amp;V 1'!$I$11:$I$252,1)+
SUMIFS('Petroleum - Q&amp;V 1'!$C$11:$C$252,'Petroleum - Q&amp;V 1'!$H$11:$H$252,CONCATENATE("20",RIGHT('Q&amp;V FY 2003-04 to Now'!W$9,2)),'Petroleum - Q&amp;V 1'!$I$11:$I$252,2))*1000000</f>
        <v>5385519963.8664455</v>
      </c>
      <c r="Y75" s="325">
        <f>(SUMIFS('Petroleum - Q&amp;V 1'!$B$11:$B$252,'Petroleum - Q&amp;V 1'!$H$11:$H$252,LEFT('Q&amp;V FY 2003-04 to Now'!Y$9,4),'Petroleum - Q&amp;V 1'!$I$11:$I$252,3)+
SUMIFS('Petroleum - Q&amp;V 1'!$B$11:$B$252,'Petroleum - Q&amp;V 1'!$H$11:$H$252,LEFT('Q&amp;V FY 2003-04 to Now'!Y$9,4),'Petroleum - Q&amp;V 1'!$I$11:$I$252,4)+
SUMIFS('Petroleum - Q&amp;V 1'!$B$11:$B$252,'Petroleum - Q&amp;V 1'!$H$11:$H$252,CONCATENATE("20",RIGHT('Q&amp;V FY 2003-04 to Now'!Y$9,2)),'Petroleum - Q&amp;V 1'!$I$11:$I$252,1)+
SUMIFS('Petroleum - Q&amp;V 1'!$B$11:$B$252,'Petroleum - Q&amp;V 1'!$H$11:$H$252,CONCATENATE("20",RIGHT('Q&amp;V FY 2003-04 to Now'!Y$9,2)),'Petroleum - Q&amp;V 1'!$I$11:$I$252,2))*1000000</f>
        <v>7952477.9160000002</v>
      </c>
      <c r="Z75" s="325">
        <f>(SUMIFS('Petroleum - Q&amp;V 1'!$C$11:$C$252,'Petroleum - Q&amp;V 1'!$H$11:$H$252,LEFT('Q&amp;V FY 2003-04 to Now'!Y$9,4),'Petroleum - Q&amp;V 1'!$I$11:$I$252,3)+
SUMIFS('Petroleum - Q&amp;V 1'!$C$11:$C$252,'Petroleum - Q&amp;V 1'!$H$11:$H$252,LEFT('Q&amp;V FY 2003-04 to Now'!Y$9,4),'Petroleum - Q&amp;V 1'!$I$11:$I$252,4)+
SUMIFS('Petroleum - Q&amp;V 1'!$C$11:$C$252,'Petroleum - Q&amp;V 1'!$H$11:$H$252,CONCATENATE("20",RIGHT('Q&amp;V FY 2003-04 to Now'!Y$9,2)),'Petroleum - Q&amp;V 1'!$I$11:$I$252,1)+
SUMIFS('Petroleum - Q&amp;V 1'!$C$11:$C$252,'Petroleum - Q&amp;V 1'!$H$11:$H$252,CONCATENATE("20",RIGHT('Q&amp;V FY 2003-04 to Now'!Y$9,2)),'Petroleum - Q&amp;V 1'!$I$11:$I$252,2))*1000000</f>
        <v>4567638160.7099228</v>
      </c>
      <c r="AA75" s="325">
        <f>(SUMIFS('Petroleum - Q&amp;V 1'!$B$11:$B$252,'Petroleum - Q&amp;V 1'!$H$11:$H$252,LEFT('Q&amp;V FY 2003-04 to Now'!AA$9,4),'Petroleum - Q&amp;V 1'!$I$11:$I$252,3)+
SUMIFS('Petroleum - Q&amp;V 1'!$B$11:$B$252,'Petroleum - Q&amp;V 1'!$H$11:$H$252,LEFT('Q&amp;V FY 2003-04 to Now'!AA$9,4),'Petroleum - Q&amp;V 1'!$I$11:$I$252,4)+
SUMIFS('Petroleum - Q&amp;V 1'!$B$11:$B$252,'Petroleum - Q&amp;V 1'!$H$11:$H$252,CONCATENATE("20",RIGHT('Q&amp;V FY 2003-04 to Now'!AA$9,2)),'Petroleum - Q&amp;V 1'!$I$11:$I$252,1)+
SUMIFS('Petroleum - Q&amp;V 1'!$B$11:$B$252,'Petroleum - Q&amp;V 1'!$H$11:$H$252,CONCATENATE("20",RIGHT('Q&amp;V FY 2003-04 to Now'!AA$9,2)),'Petroleum - Q&amp;V 1'!$I$11:$I$252,2))*1000000</f>
        <v>7685921.9885160001</v>
      </c>
      <c r="AB75" s="325">
        <f>(SUMIFS('Petroleum - Q&amp;V 1'!$C$11:$C$252,'Petroleum - Q&amp;V 1'!$H$11:$H$252,LEFT('Q&amp;V FY 2003-04 to Now'!AA$9,4),'Petroleum - Q&amp;V 1'!$I$11:$I$252,3)+
SUMIFS('Petroleum - Q&amp;V 1'!$C$11:$C$252,'Petroleum - Q&amp;V 1'!$H$11:$H$252,LEFT('Q&amp;V FY 2003-04 to Now'!AA$9,4),'Petroleum - Q&amp;V 1'!$I$11:$I$252,4)+
SUMIFS('Petroleum - Q&amp;V 1'!$C$11:$C$252,'Petroleum - Q&amp;V 1'!$H$11:$H$252,CONCATENATE("20",RIGHT('Q&amp;V FY 2003-04 to Now'!AA$9,2)),'Petroleum - Q&amp;V 1'!$I$11:$I$252,1)+
SUMIFS('Petroleum - Q&amp;V 1'!$C$11:$C$252,'Petroleum - Q&amp;V 1'!$H$11:$H$252,CONCATENATE("20",RIGHT('Q&amp;V FY 2003-04 to Now'!AA$9,2)),'Petroleum - Q&amp;V 1'!$I$11:$I$252,2))*1000000</f>
        <v>3044532696.2173352</v>
      </c>
      <c r="AC75" s="325">
        <f>(SUMIFS('Petroleum - Q&amp;V 1'!$B$11:$B$252,'Petroleum - Q&amp;V 1'!$H$11:$H$252,LEFT('Q&amp;V FY 2003-04 to Now'!AC$9,4),'Petroleum - Q&amp;V 1'!$I$11:$I$252,3)+
SUMIFS('Petroleum - Q&amp;V 1'!$B$11:$B$252,'Petroleum - Q&amp;V 1'!$H$11:$H$252,LEFT('Q&amp;V FY 2003-04 to Now'!AC$9,4),'Petroleum - Q&amp;V 1'!$I$11:$I$252,4)+
SUMIFS('Petroleum - Q&amp;V 1'!$B$11:$B$252,'Petroleum - Q&amp;V 1'!$H$11:$H$252,CONCATENATE("20",RIGHT('Q&amp;V FY 2003-04 to Now'!AC$9,2)),'Petroleum - Q&amp;V 1'!$I$11:$I$252,1)+
SUMIFS('Petroleum - Q&amp;V 1'!$B$11:$B$252,'Petroleum - Q&amp;V 1'!$H$11:$H$252,CONCATENATE("20",RIGHT('Q&amp;V FY 2003-04 to Now'!AC$9,2)),'Petroleum - Q&amp;V 1'!$I$11:$I$252,2))*1000000</f>
        <v>5404294.1809121389</v>
      </c>
      <c r="AD75" s="325">
        <f>(SUMIFS('Petroleum - Q&amp;V 1'!$C$11:$C$252,'Petroleum - Q&amp;V 1'!$H$11:$H$252,LEFT('Q&amp;V FY 2003-04 to Now'!AC$9,4),'Petroleum - Q&amp;V 1'!$I$11:$I$252,3)+
SUMIFS('Petroleum - Q&amp;V 1'!$C$11:$C$252,'Petroleum - Q&amp;V 1'!$H$11:$H$252,LEFT('Q&amp;V FY 2003-04 to Now'!AC$9,4),'Petroleum - Q&amp;V 1'!$I$11:$I$252,4)+
SUMIFS('Petroleum - Q&amp;V 1'!$C$11:$C$252,'Petroleum - Q&amp;V 1'!$H$11:$H$252,CONCATENATE("20",RIGHT('Q&amp;V FY 2003-04 to Now'!AC$9,2)),'Petroleum - Q&amp;V 1'!$I$11:$I$252,1)+
SUMIFS('Petroleum - Q&amp;V 1'!$C$11:$C$252,'Petroleum - Q&amp;V 1'!$H$11:$H$252,CONCATENATE("20",RIGHT('Q&amp;V FY 2003-04 to Now'!AC$9,2)),'Petroleum - Q&amp;V 1'!$I$11:$I$252,2))*1000000</f>
        <v>2128234935.4383104</v>
      </c>
      <c r="AE75" s="325">
        <f>(SUMIFS('Petroleum - Q&amp;V 1'!$B$11:$B$252,'Petroleum - Q&amp;V 1'!$H$11:$H$252,LEFT('Q&amp;V FY 2003-04 to Now'!AE$9,4),'Petroleum - Q&amp;V 1'!$I$11:$I$252,3)+
SUMIFS('Petroleum - Q&amp;V 1'!$B$11:$B$252,'Petroleum - Q&amp;V 1'!$H$11:$H$252,LEFT('Q&amp;V FY 2003-04 to Now'!AE$9,4),'Petroleum - Q&amp;V 1'!$I$11:$I$252,4)+
SUMIFS('Petroleum - Q&amp;V 1'!$B$11:$B$252,'Petroleum - Q&amp;V 1'!$H$11:$H$252,CONCATENATE("20",RIGHT('Q&amp;V FY 2003-04 to Now'!AE$9,2)),'Petroleum - Q&amp;V 1'!$I$11:$I$252,1)+
SUMIFS('Petroleum - Q&amp;V 1'!$B$11:$B$252,'Petroleum - Q&amp;V 1'!$H$11:$H$252,CONCATENATE("20",RIGHT('Q&amp;V FY 2003-04 to Now'!AE$9,2)),'Petroleum - Q&amp;V 1'!$I$11:$I$252,2))*1000000</f>
        <v>4877411.1944294954</v>
      </c>
      <c r="AF75" s="325">
        <f>(SUMIFS('Petroleum - Q&amp;V 1'!$C$11:$C$252,'Petroleum - Q&amp;V 1'!$H$11:$H$252,LEFT('Q&amp;V FY 2003-04 to Now'!AE$9,4),'Petroleum - Q&amp;V 1'!$I$11:$I$252,3)+
SUMIFS('Petroleum - Q&amp;V 1'!$C$11:$C$252,'Petroleum - Q&amp;V 1'!$H$11:$H$252,LEFT('Q&amp;V FY 2003-04 to Now'!AE$9,4),'Petroleum - Q&amp;V 1'!$I$11:$I$252,4)+
SUMIFS('Petroleum - Q&amp;V 1'!$C$11:$C$252,'Petroleum - Q&amp;V 1'!$H$11:$H$252,CONCATENATE("20",RIGHT('Q&amp;V FY 2003-04 to Now'!AE$9,2)),'Petroleum - Q&amp;V 1'!$I$11:$I$252,1)+
SUMIFS('Petroleum - Q&amp;V 1'!$C$11:$C$252,'Petroleum - Q&amp;V 1'!$H$11:$H$252,CONCATENATE("20",RIGHT('Q&amp;V FY 2003-04 to Now'!AE$9,2)),'Petroleum - Q&amp;V 1'!$I$11:$I$252,2))*1000000</f>
        <v>2322425588.4325037</v>
      </c>
      <c r="AG75" s="325">
        <f>(SUMIFS('Petroleum - Q&amp;V 1'!$B$11:$B$252,'Petroleum - Q&amp;V 1'!$H$11:$H$252,LEFT('Q&amp;V FY 2003-04 to Now'!AG$9,4),'Petroleum - Q&amp;V 1'!$I$11:$I$252,3)+
SUMIFS('Petroleum - Q&amp;V 1'!$B$11:$B$252,'Petroleum - Q&amp;V 1'!$H$11:$H$252,LEFT('Q&amp;V FY 2003-04 to Now'!AG$9,4),'Petroleum - Q&amp;V 1'!$I$11:$I$252,4)+
SUMIFS('Petroleum - Q&amp;V 1'!$B$11:$B$252,'Petroleum - Q&amp;V 1'!$H$11:$H$252,CONCATENATE("20",RIGHT('Q&amp;V FY 2003-04 to Now'!AG$9,2)),'Petroleum - Q&amp;V 1'!$I$11:$I$252,1)+
SUMIFS('Petroleum - Q&amp;V 1'!$B$11:$B$252,'Petroleum - Q&amp;V 1'!$H$11:$H$252,CONCATENATE("20",RIGHT('Q&amp;V FY 2003-04 to Now'!AG$9,2)),'Petroleum - Q&amp;V 1'!$I$11:$I$252,2))*1000000</f>
        <v>3231894.4492808487</v>
      </c>
      <c r="AH75" s="326">
        <f>(SUMIFS('Petroleum - Q&amp;V 1'!$C$11:$C$252,'Petroleum - Q&amp;V 1'!$H$11:$H$252,LEFT('Q&amp;V FY 2003-04 to Now'!AG$9,4),'Petroleum - Q&amp;V 1'!$I$11:$I$252,3)+
SUMIFS('Petroleum - Q&amp;V 1'!$C$11:$C$252,'Petroleum - Q&amp;V 1'!$H$11:$H$252,LEFT('Q&amp;V FY 2003-04 to Now'!AG$9,4),'Petroleum - Q&amp;V 1'!$I$11:$I$252,4)+
SUMIFS('Petroleum - Q&amp;V 1'!$C$11:$C$252,'Petroleum - Q&amp;V 1'!$H$11:$H$252,CONCATENATE("20",RIGHT('Q&amp;V FY 2003-04 to Now'!AG$9,2)),'Petroleum - Q&amp;V 1'!$I$11:$I$252,1)+
SUMIFS('Petroleum - Q&amp;V 1'!$C$11:$C$252,'Petroleum - Q&amp;V 1'!$H$11:$H$252,CONCATENATE("20",RIGHT('Q&amp;V FY 2003-04 to Now'!AG$9,2)),'Petroleum - Q&amp;V 1'!$I$11:$I$252,2))*1000000</f>
        <v>1937156469.5405495</v>
      </c>
      <c r="AI75" s="326">
        <f>(SUMIFS('Petroleum - Q&amp;V 1'!$B$11:$B$252,'Petroleum - Q&amp;V 1'!$H$11:$H$252,LEFT('Q&amp;V FY 2003-04 to Now'!AI$9,4),'Petroleum - Q&amp;V 1'!$I$11:$I$252,3)+
SUMIFS('Petroleum - Q&amp;V 1'!$B$11:$B$252,'Petroleum - Q&amp;V 1'!$H$11:$H$252,LEFT('Q&amp;V FY 2003-04 to Now'!AI$9,4),'Petroleum - Q&amp;V 1'!$I$11:$I$252,4)+
SUMIFS('Petroleum - Q&amp;V 1'!$B$11:$B$252,'Petroleum - Q&amp;V 1'!$H$11:$H$252,CONCATENATE("20",RIGHT('Q&amp;V FY 2003-04 to Now'!AI$9,2)),'Petroleum - Q&amp;V 1'!$I$11:$I$252,1)+
SUMIFS('Petroleum - Q&amp;V 1'!$B$11:$B$252,'Petroleum - Q&amp;V 1'!$H$11:$H$252,CONCATENATE("20",RIGHT('Q&amp;V FY 2003-04 to Now'!AI$9,2)),'Petroleum - Q&amp;V 1'!$I$11:$I$252,2))*1000000</f>
        <v>4977762.8533454305</v>
      </c>
      <c r="AJ75" s="326">
        <f>(SUMIFS('Petroleum - Q&amp;V 1'!$C$11:$C$252,'Petroleum - Q&amp;V 1'!$H$11:$H$252,LEFT('Q&amp;V FY 2003-04 to Now'!AI$9,4),'Petroleum - Q&amp;V 1'!$I$11:$I$252,3)+
SUMIFS('Petroleum - Q&amp;V 1'!$C$11:$C$252,'Petroleum - Q&amp;V 1'!$H$11:$H$252,LEFT('Q&amp;V FY 2003-04 to Now'!AI$9,4),'Petroleum - Q&amp;V 1'!$I$11:$I$252,4)+
SUMIFS('Petroleum - Q&amp;V 1'!$C$11:$C$252,'Petroleum - Q&amp;V 1'!$H$11:$H$252,CONCATENATE("20",RIGHT('Q&amp;V FY 2003-04 to Now'!AI$9,2)),'Petroleum - Q&amp;V 1'!$I$11:$I$252,1)+
SUMIFS('Petroleum - Q&amp;V 1'!$C$11:$C$252,'Petroleum - Q&amp;V 1'!$H$11:$H$252,CONCATENATE("20",RIGHT('Q&amp;V FY 2003-04 to Now'!AI$9,2)),'Petroleum - Q&amp;V 1'!$I$11:$I$252,2))*1000000</f>
        <v>2610778092.0127535</v>
      </c>
      <c r="AK75" s="326">
        <f>(SUMIFS('Petroleum - Q&amp;V 1'!$B$11:$B$252,'Petroleum - Q&amp;V 1'!$H$11:$H$252,LEFT('Q&amp;V FY 2003-04 to Now'!AK$9,4),'Petroleum - Q&amp;V 1'!$I$11:$I$252,3)+
SUMIFS('Petroleum - Q&amp;V 1'!$B$11:$B$252,'Petroleum - Q&amp;V 1'!$H$11:$H$252,LEFT('Q&amp;V FY 2003-04 to Now'!AK$9,4),'Petroleum - Q&amp;V 1'!$I$11:$I$252,4)+
SUMIFS('Petroleum - Q&amp;V 1'!$B$11:$B$252,'Petroleum - Q&amp;V 1'!$H$11:$H$252,CONCATENATE("20",RIGHT('Q&amp;V FY 2003-04 to Now'!AK$9,2)),'Petroleum - Q&amp;V 1'!$I$11:$I$252,1)+
SUMIFS('Petroleum - Q&amp;V 1'!$B$11:$B$252,'Petroleum - Q&amp;V 1'!$H$11:$H$252,CONCATENATE("20",RIGHT('Q&amp;V FY 2003-04 to Now'!AK$9,2)),'Petroleum - Q&amp;V 1'!$I$11:$I$252,2))*1000000</f>
        <v>4345602.0265451074</v>
      </c>
      <c r="AL75" s="326">
        <f>(SUMIFS('Petroleum - Q&amp;V 1'!$C$11:$C$252,'Petroleum - Q&amp;V 1'!$H$11:$H$252,LEFT('Q&amp;V FY 2003-04 to Now'!AK$9,4),'Petroleum - Q&amp;V 1'!$I$11:$I$252,3)+
SUMIFS('Petroleum - Q&amp;V 1'!$C$11:$C$252,'Petroleum - Q&amp;V 1'!$H$11:$H$252,LEFT('Q&amp;V FY 2003-04 to Now'!AK$9,4),'Petroleum - Q&amp;V 1'!$I$11:$I$252,4)+
SUMIFS('Petroleum - Q&amp;V 1'!$C$11:$C$252,'Petroleum - Q&amp;V 1'!$H$11:$H$252,CONCATENATE("20",RIGHT('Q&amp;V FY 2003-04 to Now'!AK$9,2)),'Petroleum - Q&amp;V 1'!$I$11:$I$252,1)+
SUMIFS('Petroleum - Q&amp;V 1'!$C$11:$C$252,'Petroleum - Q&amp;V 1'!$H$11:$H$252,CONCATENATE("20",RIGHT('Q&amp;V FY 2003-04 to Now'!AK$9,2)),'Petroleum - Q&amp;V 1'!$I$11:$I$252,2))*1000000</f>
        <v>1678184360.2723329</v>
      </c>
      <c r="AM75" s="326">
        <f>(SUMIFS('Petroleum - Q&amp;V 1'!$B$11:$B$252,'Petroleum - Q&amp;V 1'!$H$11:$H$252,LEFT('Q&amp;V FY 2003-04 to Now'!AM$9,4),'Petroleum - Q&amp;V 1'!$I$11:$I$252,3)+
SUMIFS('Petroleum - Q&amp;V 1'!$B$11:$B$252,'Petroleum - Q&amp;V 1'!$H$11:$H$252,LEFT('Q&amp;V FY 2003-04 to Now'!AM$9,4),'Petroleum - Q&amp;V 1'!$I$11:$I$252,4)+
SUMIFS('Petroleum - Q&amp;V 1'!$B$11:$B$252,'Petroleum - Q&amp;V 1'!$H$11:$H$252,CONCATENATE("20",RIGHT('Q&amp;V FY 2003-04 to Now'!AM$9,2)),'Petroleum - Q&amp;V 1'!$I$11:$I$252,1)+
SUMIFS('Petroleum - Q&amp;V 1'!$B$11:$B$252,'Petroleum - Q&amp;V 1'!$H$11:$H$252,CONCATENATE("20",RIGHT('Q&amp;V FY 2003-04 to Now'!AM$9,2)),'Petroleum - Q&amp;V 1'!$I$11:$I$252,2))*1000000</f>
        <v>4819442.569135882</v>
      </c>
      <c r="AN75" s="326">
        <f>(SUMIFS('Petroleum - Q&amp;V 1'!$C$11:$C$252,'Petroleum - Q&amp;V 1'!$H$11:$H$252,LEFT('Q&amp;V FY 2003-04 to Now'!AM$9,4),'Petroleum - Q&amp;V 1'!$I$11:$I$252,3)+
SUMIFS('Petroleum - Q&amp;V 1'!$C$11:$C$252,'Petroleum - Q&amp;V 1'!$H$11:$H$252,LEFT('Q&amp;V FY 2003-04 to Now'!AM$9,4),'Petroleum - Q&amp;V 1'!$I$11:$I$252,4)+
SUMIFS('Petroleum - Q&amp;V 1'!$C$11:$C$252,'Petroleum - Q&amp;V 1'!$H$11:$H$252,CONCATENATE("20",RIGHT('Q&amp;V FY 2003-04 to Now'!AM$9,2)),'Petroleum - Q&amp;V 1'!$I$11:$I$252,1)+
SUMIFS('Petroleum - Q&amp;V 1'!$C$11:$C$252,'Petroleum - Q&amp;V 1'!$H$11:$H$252,CONCATENATE("20",RIGHT('Q&amp;V FY 2003-04 to Now'!AM$9,2)),'Petroleum - Q&amp;V 1'!$I$11:$I$252,2))*1000000</f>
        <v>3569013769.4970617</v>
      </c>
      <c r="AO75" s="326">
        <f>(SUMIFS('Petroleum - Q&amp;V 1'!$B$11:$B$252,'Petroleum - Q&amp;V 1'!$H$11:$H$252,LEFT('Q&amp;V FY 2003-04 to Now'!AO$9,4),'Petroleum - Q&amp;V 1'!$I$11:$I$252,3)+
SUMIFS('Petroleum - Q&amp;V 1'!$B$11:$B$252,'Petroleum - Q&amp;V 1'!$H$11:$H$252,LEFT('Q&amp;V FY 2003-04 to Now'!AO$9,4),'Petroleum - Q&amp;V 1'!$I$11:$I$252,4)+
SUMIFS('Petroleum - Q&amp;V 1'!$B$11:$B$252,'Petroleum - Q&amp;V 1'!$H$11:$H$252,CONCATENATE("20",RIGHT('Q&amp;V FY 2003-04 to Now'!AO$9,2)),'Petroleum - Q&amp;V 1'!$I$11:$I$252,1)+
SUMIFS('Petroleum - Q&amp;V 1'!$B$11:$B$252,'Petroleum - Q&amp;V 1'!$H$11:$H$252,CONCATENATE("20",RIGHT('Q&amp;V FY 2003-04 to Now'!AO$9,2)),'Petroleum - Q&amp;V 1'!$I$11:$I$252,2))*1000000</f>
        <v>3475981.0649433802</v>
      </c>
      <c r="AP75" s="326">
        <f>(SUMIFS('Petroleum - Q&amp;V 1'!$C$11:$C$252,'Petroleum - Q&amp;V 1'!$H$11:$H$252,LEFT('Q&amp;V FY 2003-04 to Now'!AO$9,4),'Petroleum - Q&amp;V 1'!$I$11:$I$252,3)+
SUMIFS('Petroleum - Q&amp;V 1'!$C$11:$C$252,'Petroleum - Q&amp;V 1'!$H$11:$H$252,LEFT('Q&amp;V FY 2003-04 to Now'!AO$9,4),'Petroleum - Q&amp;V 1'!$I$11:$I$252,4)+
SUMIFS('Petroleum - Q&amp;V 1'!$C$11:$C$252,'Petroleum - Q&amp;V 1'!$H$11:$H$252,CONCATENATE("20",RIGHT('Q&amp;V FY 2003-04 to Now'!AO$9,2)),'Petroleum - Q&amp;V 1'!$I$11:$I$252,1)+
SUMIFS('Petroleum - Q&amp;V 1'!$C$11:$C$252,'Petroleum - Q&amp;V 1'!$H$11:$H$252,CONCATENATE("20",RIGHT('Q&amp;V FY 2003-04 to Now'!AO$9,2)),'Petroleum - Q&amp;V 1'!$I$11:$I$252,2))*1000000</f>
        <v>3153460040.1879196</v>
      </c>
      <c r="AQ75" s="326">
        <f>(SUMIFS('Petroleum - Q&amp;V 1'!$B$11:$B$252,'Petroleum - Q&amp;V 1'!$H$11:$H$252,LEFT('Q&amp;V FY 2003-04 to Now'!AQ$9,4),'Petroleum - Q&amp;V 1'!$I$11:$I$252,3)+
SUMIFS('Petroleum - Q&amp;V 1'!$B$11:$B$252,'Petroleum - Q&amp;V 1'!$H$11:$H$252,LEFT('Q&amp;V FY 2003-04 to Now'!AQ$9,4),'Petroleum - Q&amp;V 1'!$I$11:$I$252,4)+
SUMIFS('Petroleum - Q&amp;V 1'!$B$11:$B$252,'Petroleum - Q&amp;V 1'!$H$11:$H$252,CONCATENATE("20",RIGHT('Q&amp;V FY 2003-04 to Now'!AQ$9,2)),'Petroleum - Q&amp;V 1'!$I$11:$I$252,1)+
SUMIFS('Petroleum - Q&amp;V 1'!$B$11:$B$252,'Petroleum - Q&amp;V 1'!$H$11:$H$252,CONCATENATE("20",RIGHT('Q&amp;V FY 2003-04 to Now'!AQ$9,2)),'Petroleum - Q&amp;V 1'!$I$11:$I$252,2))*1000000</f>
        <v>3215462.8151232493</v>
      </c>
      <c r="AR75" s="326">
        <f>(SUMIFS('Petroleum - Q&amp;V 1'!$C$11:$C$252,'Petroleum - Q&amp;V 1'!$H$11:$H$252,LEFT('Q&amp;V FY 2003-04 to Now'!AQ$9,4),'Petroleum - Q&amp;V 1'!$I$11:$I$252,3)+
SUMIFS('Petroleum - Q&amp;V 1'!$C$11:$C$252,'Petroleum - Q&amp;V 1'!$H$11:$H$252,LEFT('Q&amp;V FY 2003-04 to Now'!AQ$9,4),'Petroleum - Q&amp;V 1'!$I$11:$I$252,4)+
SUMIFS('Petroleum - Q&amp;V 1'!$C$11:$C$252,'Petroleum - Q&amp;V 1'!$H$11:$H$252,CONCATENATE("20",RIGHT('Q&amp;V FY 2003-04 to Now'!AQ$9,2)),'Petroleum - Q&amp;V 1'!$I$11:$I$252,1)+
SUMIFS('Petroleum - Q&amp;V 1'!$C$11:$C$252,'Petroleum - Q&amp;V 1'!$H$11:$H$252,CONCATENATE("20",RIGHT('Q&amp;V FY 2003-04 to Now'!AQ$9,2)),'Petroleum - Q&amp;V 1'!$I$11:$I$252,2))*1000000</f>
        <v>2529484678.0334454</v>
      </c>
      <c r="AS75" s="326">
        <f>(SUMIFS('Petroleum - Q&amp;V 1'!$B$11:$B$252,'Petroleum - Q&amp;V 1'!$H$11:$H$252,LEFT('Q&amp;V FY 2003-04 to Now'!AS$9,4),'Petroleum - Q&amp;V 1'!$I$11:$I$252,3)+
SUMIFS('Petroleum - Q&amp;V 1'!$B$11:$B$252,'Petroleum - Q&amp;V 1'!$H$11:$H$252,LEFT('Q&amp;V FY 2003-04 to Now'!AS$9,4),'Petroleum - Q&amp;V 1'!$I$11:$I$252,4)+
SUMIFS('Petroleum - Q&amp;V 1'!$B$11:$B$252,'Petroleum - Q&amp;V 1'!$H$11:$H$252,CONCATENATE("20",RIGHT('Q&amp;V FY 2003-04 to Now'!AS$9,2)),'Petroleum - Q&amp;V 1'!$I$11:$I$252,1)+
SUMIFS('Petroleum - Q&amp;V 1'!$B$11:$B$252,'Petroleum - Q&amp;V 1'!$H$11:$H$252,CONCATENATE("20",RIGHT('Q&amp;V FY 2003-04 to Now'!AS$9,2)),'Petroleum - Q&amp;V 1'!$I$11:$I$252,2))*1000000</f>
        <v>3080464.2761667874</v>
      </c>
      <c r="AT75" s="326">
        <f>(SUMIFS('Petroleum - Q&amp;V 1'!$C$11:$C$252,'Petroleum - Q&amp;V 1'!$H$11:$H$252,LEFT('Q&amp;V FY 2003-04 to Now'!AS$9,4),'Petroleum - Q&amp;V 1'!$I$11:$I$252,3)+
SUMIFS('Petroleum - Q&amp;V 1'!$C$11:$C$252,'Petroleum - Q&amp;V 1'!$H$11:$H$252,LEFT('Q&amp;V FY 2003-04 to Now'!AS$9,4),'Petroleum - Q&amp;V 1'!$I$11:$I$252,4)+
SUMIFS('Petroleum - Q&amp;V 1'!$C$11:$C$252,'Petroleum - Q&amp;V 1'!$H$11:$H$252,CONCATENATE("20",RIGHT('Q&amp;V FY 2003-04 to Now'!AS$9,2)),'Petroleum - Q&amp;V 1'!$I$11:$I$252,1)+
SUMIFS('Petroleum - Q&amp;V 1'!$C$11:$C$252,'Petroleum - Q&amp;V 1'!$H$11:$H$252,CONCATENATE("20",RIGHT('Q&amp;V FY 2003-04 to Now'!AS$9,2)),'Petroleum - Q&amp;V 1'!$I$11:$I$252,2))*1000000</f>
        <v>2300917867.9770617</v>
      </c>
      <c r="AU75" s="358">
        <f>SUMIF($C$11:AT$11,1,$C75:AT75)</f>
        <v>182511105.51139832</v>
      </c>
      <c r="AV75" s="325">
        <f>IF(COUNTIF($C75:AT75, "nfp")=0, SUMIF($C$11:AT$11,0,$C75:AT75), "nfp")</f>
        <v>102548058743.18562</v>
      </c>
    </row>
    <row r="76" spans="1:48" x14ac:dyDescent="0.25">
      <c r="A76" s="327" t="s">
        <v>189</v>
      </c>
      <c r="B76" s="324" t="s">
        <v>166</v>
      </c>
      <c r="C76" s="325">
        <f>(SUMIFS('Petroleum - Q&amp;V 2'!$C$11:$C$252,'Petroleum - Q&amp;V 2'!$L$11:$L$252,LEFT('Q&amp;V FY 2003-04 to Now'!C$9,4),'Petroleum - Q&amp;V 2'!$M$11:$M$252,3)+
SUMIFS('Petroleum - Q&amp;V 2'!$C$11:$C$252,'Petroleum - Q&amp;V 2'!$L$11:$L$252,LEFT('Q&amp;V FY 2003-04 to Now'!C$9,4),'Petroleum - Q&amp;V 2'!$M$11:$M$252,4)+
SUMIFS('Petroleum - Q&amp;V 2'!$C$11:$C$252,'Petroleum - Q&amp;V 2'!$L$11:$L$252,CONCATENATE("20",RIGHT('Q&amp;V FY 2003-04 to Now'!C$9,2)),'Petroleum - Q&amp;V 2'!$M$11:$M$252,1)+
SUMIFS('Petroleum - Q&amp;V 2'!$C$11:$C$252,'Petroleum - Q&amp;V 2'!$L$11:$L$252,CONCATENATE("20",RIGHT('Q&amp;V FY 2003-04 to Now'!C$9,2)),'Petroleum - Q&amp;V 2'!$M$11:$M$252,2))</f>
        <v>8220764.5200752914</v>
      </c>
      <c r="D76" s="325">
        <f>(SUMIFS('Petroleum - Q&amp;V 2'!$E$11:$E$252,'Petroleum - Q&amp;V 2'!$L$11:$L$252,LEFT('Q&amp;V FY 2003-04 to Now'!C$9,4),'Petroleum - Q&amp;V 2'!$M$11:$M$252,3)+
SUMIFS('Petroleum - Q&amp;V 2'!$E$11:$E$252,'Petroleum - Q&amp;V 2'!$L$11:$L$252,LEFT('Q&amp;V FY 2003-04 to Now'!C$9,4),'Petroleum - Q&amp;V 2'!$M$11:$M$252,4)+
SUMIFS('Petroleum - Q&amp;V 2'!$E$11:$E$252,'Petroleum - Q&amp;V 2'!$L$11:$L$252,CONCATENATE("20",RIGHT('Q&amp;V FY 2003-04 to Now'!C$9,2)),'Petroleum - Q&amp;V 2'!$M$11:$M$252,1)+
SUMIFS('Petroleum - Q&amp;V 2'!$E$11:$E$252,'Petroleum - Q&amp;V 2'!$L$11:$L$252,CONCATENATE("20",RIGHT('Q&amp;V FY 2003-04 to Now'!C$9,2)),'Petroleum - Q&amp;V 2'!$M$11:$M$252,2))*1000000</f>
        <v>2775881491.9999995</v>
      </c>
      <c r="E76" s="325">
        <f>(SUMIFS('Petroleum - Q&amp;V 2'!$C$11:$C$252,'Petroleum - Q&amp;V 2'!$L$11:$L$252,LEFT('Q&amp;V FY 2003-04 to Now'!E$9,4),'Petroleum - Q&amp;V 2'!$M$11:$M$252,3)+
SUMIFS('Petroleum - Q&amp;V 2'!$C$11:$C$252,'Petroleum - Q&amp;V 2'!$L$11:$L$252,LEFT('Q&amp;V FY 2003-04 to Now'!E$9,4),'Petroleum - Q&amp;V 2'!$M$11:$M$252,4)+
SUMIFS('Petroleum - Q&amp;V 2'!$C$11:$C$252,'Petroleum - Q&amp;V 2'!$L$11:$L$252,CONCATENATE("20",RIGHT('Q&amp;V FY 2003-04 to Now'!E$9,2)),'Petroleum - Q&amp;V 2'!$M$11:$M$252,1)+
SUMIFS('Petroleum - Q&amp;V 2'!$C$11:$C$252,'Petroleum - Q&amp;V 2'!$L$11:$L$252,CONCATENATE("20",RIGHT('Q&amp;V FY 2003-04 to Now'!E$9,2)),'Petroleum - Q&amp;V 2'!$M$11:$M$252,2))</f>
        <v>10929023.235157391</v>
      </c>
      <c r="F76" s="325">
        <f>(SUMIFS('Petroleum - Q&amp;V 2'!$E$11:$E$252,'Petroleum - Q&amp;V 2'!$L$11:$L$252,LEFT('Q&amp;V FY 2003-04 to Now'!E$9,4),'Petroleum - Q&amp;V 2'!$M$11:$M$252,3)+
SUMIFS('Petroleum - Q&amp;V 2'!$E$11:$E$252,'Petroleum - Q&amp;V 2'!$L$11:$L$252,LEFT('Q&amp;V FY 2003-04 to Now'!E$9,4),'Petroleum - Q&amp;V 2'!$M$11:$M$252,4)+
SUMIFS('Petroleum - Q&amp;V 2'!$E$11:$E$252,'Petroleum - Q&amp;V 2'!$L$11:$L$252,CONCATENATE("20",RIGHT('Q&amp;V FY 2003-04 to Now'!E$9,2)),'Petroleum - Q&amp;V 2'!$M$11:$M$252,1)+
SUMIFS('Petroleum - Q&amp;V 2'!$E$11:$E$252,'Petroleum - Q&amp;V 2'!$L$11:$L$252,CONCATENATE("20",RIGHT('Q&amp;V FY 2003-04 to Now'!E$9,2)),'Petroleum - Q&amp;V 2'!$M$11:$M$252,2))*1000000</f>
        <v>3794805393.6174865</v>
      </c>
      <c r="G76" s="325">
        <f>(SUMIFS('Petroleum - Q&amp;V 2'!$C$11:$C$252,'Petroleum - Q&amp;V 2'!$L$11:$L$252,LEFT('Q&amp;V FY 2003-04 to Now'!G$9,4),'Petroleum - Q&amp;V 2'!$M$11:$M$252,3)+
SUMIFS('Petroleum - Q&amp;V 2'!$C$11:$C$252,'Petroleum - Q&amp;V 2'!$L$11:$L$252,LEFT('Q&amp;V FY 2003-04 to Now'!G$9,4),'Petroleum - Q&amp;V 2'!$M$11:$M$252,4)+
SUMIFS('Petroleum - Q&amp;V 2'!$C$11:$C$252,'Petroleum - Q&amp;V 2'!$L$11:$L$252,CONCATENATE("20",RIGHT('Q&amp;V FY 2003-04 to Now'!G$9,2)),'Petroleum - Q&amp;V 2'!$M$11:$M$252,1)+
SUMIFS('Petroleum - Q&amp;V 2'!$C$11:$C$252,'Petroleum - Q&amp;V 2'!$L$11:$L$252,CONCATENATE("20",RIGHT('Q&amp;V FY 2003-04 to Now'!G$9,2)),'Petroleum - Q&amp;V 2'!$M$11:$M$252,2))</f>
        <v>11679836</v>
      </c>
      <c r="H76" s="325">
        <f>(SUMIFS('Petroleum - Q&amp;V 2'!$E$11:$E$252,'Petroleum - Q&amp;V 2'!$L$11:$L$252,LEFT('Q&amp;V FY 2003-04 to Now'!G$9,4),'Petroleum - Q&amp;V 2'!$M$11:$M$252,3)+
SUMIFS('Petroleum - Q&amp;V 2'!$E$11:$E$252,'Petroleum - Q&amp;V 2'!$L$11:$L$252,LEFT('Q&amp;V FY 2003-04 to Now'!G$9,4),'Petroleum - Q&amp;V 2'!$M$11:$M$252,4)+
SUMIFS('Petroleum - Q&amp;V 2'!$E$11:$E$252,'Petroleum - Q&amp;V 2'!$L$11:$L$252,CONCATENATE("20",RIGHT('Q&amp;V FY 2003-04 to Now'!G$9,2)),'Petroleum - Q&amp;V 2'!$M$11:$M$252,1)+
SUMIFS('Petroleum - Q&amp;V 2'!$E$11:$E$252,'Petroleum - Q&amp;V 2'!$L$11:$L$252,CONCATENATE("20",RIGHT('Q&amp;V FY 2003-04 to Now'!G$9,2)),'Petroleum - Q&amp;V 2'!$M$11:$M$252,2))*1000000</f>
        <v>4648959532.6157494</v>
      </c>
      <c r="I76" s="325">
        <f>(SUMIFS('Petroleum - Q&amp;V 2'!$C$11:$C$252,'Petroleum - Q&amp;V 2'!$L$11:$L$252,LEFT('Q&amp;V FY 2003-04 to Now'!I$9,4),'Petroleum - Q&amp;V 2'!$M$11:$M$252,3)+
SUMIFS('Petroleum - Q&amp;V 2'!$C$11:$C$252,'Petroleum - Q&amp;V 2'!$L$11:$L$252,LEFT('Q&amp;V FY 2003-04 to Now'!I$9,4),'Petroleum - Q&amp;V 2'!$M$11:$M$252,4)+
SUMIFS('Petroleum - Q&amp;V 2'!$C$11:$C$252,'Petroleum - Q&amp;V 2'!$L$11:$L$252,CONCATENATE("20",RIGHT('Q&amp;V FY 2003-04 to Now'!I$9,2)),'Petroleum - Q&amp;V 2'!$M$11:$M$252,1)+
SUMIFS('Petroleum - Q&amp;V 2'!$C$11:$C$252,'Petroleum - Q&amp;V 2'!$L$11:$L$252,CONCATENATE("20",RIGHT('Q&amp;V FY 2003-04 to Now'!I$9,2)),'Petroleum - Q&amp;V 2'!$M$11:$M$252,2))</f>
        <v>12211051</v>
      </c>
      <c r="J76" s="325">
        <f>(SUMIFS('Petroleum - Q&amp;V 2'!$E$11:$E$252,'Petroleum - Q&amp;V 2'!$L$11:$L$252,LEFT('Q&amp;V FY 2003-04 to Now'!I$9,4),'Petroleum - Q&amp;V 2'!$M$11:$M$252,3)+
SUMIFS('Petroleum - Q&amp;V 2'!$E$11:$E$252,'Petroleum - Q&amp;V 2'!$L$11:$L$252,LEFT('Q&amp;V FY 2003-04 to Now'!I$9,4),'Petroleum - Q&amp;V 2'!$M$11:$M$252,4)+
SUMIFS('Petroleum - Q&amp;V 2'!$E$11:$E$252,'Petroleum - Q&amp;V 2'!$L$11:$L$252,CONCATENATE("20",RIGHT('Q&amp;V FY 2003-04 to Now'!I$9,2)),'Petroleum - Q&amp;V 2'!$M$11:$M$252,1)+
SUMIFS('Petroleum - Q&amp;V 2'!$E$11:$E$252,'Petroleum - Q&amp;V 2'!$L$11:$L$252,CONCATENATE("20",RIGHT('Q&amp;V FY 2003-04 to Now'!I$9,2)),'Petroleum - Q&amp;V 2'!$M$11:$M$252,2))*1000000</f>
        <v>4434359354.079917</v>
      </c>
      <c r="K76" s="325">
        <f>(SUMIFS('Petroleum - Q&amp;V 2'!$C$11:$C$252,'Petroleum - Q&amp;V 2'!$L$11:$L$252,LEFT('Q&amp;V FY 2003-04 to Now'!K$9,4),'Petroleum - Q&amp;V 2'!$M$11:$M$252,3)+
SUMIFS('Petroleum - Q&amp;V 2'!$C$11:$C$252,'Petroleum - Q&amp;V 2'!$L$11:$L$252,LEFT('Q&amp;V FY 2003-04 to Now'!K$9,4),'Petroleum - Q&amp;V 2'!$M$11:$M$252,4)+
SUMIFS('Petroleum - Q&amp;V 2'!$C$11:$C$252,'Petroleum - Q&amp;V 2'!$L$11:$L$252,CONCATENATE("20",RIGHT('Q&amp;V FY 2003-04 to Now'!K$9,2)),'Petroleum - Q&amp;V 2'!$M$11:$M$252,1)+
SUMIFS('Petroleum - Q&amp;V 2'!$C$11:$C$252,'Petroleum - Q&amp;V 2'!$L$11:$L$252,CONCATENATE("20",RIGHT('Q&amp;V FY 2003-04 to Now'!K$9,2)),'Petroleum - Q&amp;V 2'!$M$11:$M$252,2))</f>
        <v>12148060</v>
      </c>
      <c r="L76" s="325">
        <f>(SUMIFS('Petroleum - Q&amp;V 2'!$E$11:$E$252,'Petroleum - Q&amp;V 2'!$L$11:$L$252,LEFT('Q&amp;V FY 2003-04 to Now'!K$9,4),'Petroleum - Q&amp;V 2'!$M$11:$M$252,3)+
SUMIFS('Petroleum - Q&amp;V 2'!$E$11:$E$252,'Petroleum - Q&amp;V 2'!$L$11:$L$252,LEFT('Q&amp;V FY 2003-04 to Now'!K$9,4),'Petroleum - Q&amp;V 2'!$M$11:$M$252,4)+
SUMIFS('Petroleum - Q&amp;V 2'!$E$11:$E$252,'Petroleum - Q&amp;V 2'!$L$11:$L$252,CONCATENATE("20",RIGHT('Q&amp;V FY 2003-04 to Now'!K$9,2)),'Petroleum - Q&amp;V 2'!$M$11:$M$252,1)+
SUMIFS('Petroleum - Q&amp;V 2'!$E$11:$E$252,'Petroleum - Q&amp;V 2'!$L$11:$L$252,CONCATENATE("20",RIGHT('Q&amp;V FY 2003-04 to Now'!K$9,2)),'Petroleum - Q&amp;V 2'!$M$11:$M$252,2))*1000000</f>
        <v>5219684764.7091255</v>
      </c>
      <c r="M76" s="325">
        <f>(SUMIFS('Petroleum - Q&amp;V 2'!$C$11:$C$252,'Petroleum - Q&amp;V 2'!$L$11:$L$252,LEFT('Q&amp;V FY 2003-04 to Now'!M$9,4),'Petroleum - Q&amp;V 2'!$M$11:$M$252,3)+
SUMIFS('Petroleum - Q&amp;V 2'!$C$11:$C$252,'Petroleum - Q&amp;V 2'!$L$11:$L$252,LEFT('Q&amp;V FY 2003-04 to Now'!M$9,4),'Petroleum - Q&amp;V 2'!$M$11:$M$252,4)+
SUMIFS('Petroleum - Q&amp;V 2'!$C$11:$C$252,'Petroleum - Q&amp;V 2'!$L$11:$L$252,CONCATENATE("20",RIGHT('Q&amp;V FY 2003-04 to Now'!M$9,2)),'Petroleum - Q&amp;V 2'!$M$11:$M$252,1)+
SUMIFS('Petroleum - Q&amp;V 2'!$C$11:$C$252,'Petroleum - Q&amp;V 2'!$L$11:$L$252,CONCATENATE("20",RIGHT('Q&amp;V FY 2003-04 to Now'!M$9,2)),'Petroleum - Q&amp;V 2'!$M$11:$M$252,2))</f>
        <v>13943724</v>
      </c>
      <c r="N76" s="325">
        <f>(SUMIFS('Petroleum - Q&amp;V 2'!$E$11:$E$252,'Petroleum - Q&amp;V 2'!$L$11:$L$252,LEFT('Q&amp;V FY 2003-04 to Now'!M$9,4),'Petroleum - Q&amp;V 2'!$M$11:$M$252,3)+
SUMIFS('Petroleum - Q&amp;V 2'!$E$11:$E$252,'Petroleum - Q&amp;V 2'!$L$11:$L$252,LEFT('Q&amp;V FY 2003-04 to Now'!M$9,4),'Petroleum - Q&amp;V 2'!$M$11:$M$252,4)+
SUMIFS('Petroleum - Q&amp;V 2'!$E$11:$E$252,'Petroleum - Q&amp;V 2'!$L$11:$L$252,CONCATENATE("20",RIGHT('Q&amp;V FY 2003-04 to Now'!M$9,2)),'Petroleum - Q&amp;V 2'!$M$11:$M$252,1)+
SUMIFS('Petroleum - Q&amp;V 2'!$E$11:$E$252,'Petroleum - Q&amp;V 2'!$L$11:$L$252,CONCATENATE("20",RIGHT('Q&amp;V FY 2003-04 to Now'!M$9,2)),'Petroleum - Q&amp;V 2'!$M$11:$M$252,2))*1000000</f>
        <v>8517503874.1467543</v>
      </c>
      <c r="O76" s="325">
        <f>(SUMIFS('Petroleum - Q&amp;V 2'!$C$11:$C$252,'Petroleum - Q&amp;V 2'!$L$11:$L$252,LEFT('Q&amp;V FY 2003-04 to Now'!O$9,4),'Petroleum - Q&amp;V 2'!$M$11:$M$252,3)+
SUMIFS('Petroleum - Q&amp;V 2'!$C$11:$C$252,'Petroleum - Q&amp;V 2'!$L$11:$L$252,LEFT('Q&amp;V FY 2003-04 to Now'!O$9,4),'Petroleum - Q&amp;V 2'!$M$11:$M$252,4)+
SUMIFS('Petroleum - Q&amp;V 2'!$C$11:$C$252,'Petroleum - Q&amp;V 2'!$L$11:$L$252,CONCATENATE("20",RIGHT('Q&amp;V FY 2003-04 to Now'!O$9,2)),'Petroleum - Q&amp;V 2'!$M$11:$M$252,1)+
SUMIFS('Petroleum - Q&amp;V 2'!$C$11:$C$252,'Petroleum - Q&amp;V 2'!$L$11:$L$252,CONCATENATE("20",RIGHT('Q&amp;V FY 2003-04 to Now'!O$9,2)),'Petroleum - Q&amp;V 2'!$M$11:$M$252,2))</f>
        <v>15717041</v>
      </c>
      <c r="P76" s="325">
        <f>(SUMIFS('Petroleum - Q&amp;V 2'!$E$11:$E$252,'Petroleum - Q&amp;V 2'!$L$11:$L$252,LEFT('Q&amp;V FY 2003-04 to Now'!O$9,4),'Petroleum - Q&amp;V 2'!$M$11:$M$252,3)+
SUMIFS('Petroleum - Q&amp;V 2'!$E$11:$E$252,'Petroleum - Q&amp;V 2'!$L$11:$L$252,LEFT('Q&amp;V FY 2003-04 to Now'!O$9,4),'Petroleum - Q&amp;V 2'!$M$11:$M$252,4)+
SUMIFS('Petroleum - Q&amp;V 2'!$E$11:$E$252,'Petroleum - Q&amp;V 2'!$L$11:$L$252,CONCATENATE("20",RIGHT('Q&amp;V FY 2003-04 to Now'!O$9,2)),'Petroleum - Q&amp;V 2'!$M$11:$M$252,1)+
SUMIFS('Petroleum - Q&amp;V 2'!$E$11:$E$252,'Petroleum - Q&amp;V 2'!$L$11:$L$252,CONCATENATE("20",RIGHT('Q&amp;V FY 2003-04 to Now'!O$9,2)),'Petroleum - Q&amp;V 2'!$M$11:$M$252,2))*1000000</f>
        <v>7494248320.3693314</v>
      </c>
      <c r="Q76" s="325">
        <f>(SUMIFS('Petroleum - Q&amp;V 2'!$C$11:$C$252,'Petroleum - Q&amp;V 2'!$L$11:$L$252,LEFT('Q&amp;V FY 2003-04 to Now'!Q$9,4),'Petroleum - Q&amp;V 2'!$M$11:$M$252,3)+
SUMIFS('Petroleum - Q&amp;V 2'!$C$11:$C$252,'Petroleum - Q&amp;V 2'!$L$11:$L$252,LEFT('Q&amp;V FY 2003-04 to Now'!Q$9,4),'Petroleum - Q&amp;V 2'!$M$11:$M$252,4)+
SUMIFS('Petroleum - Q&amp;V 2'!$C$11:$C$252,'Petroleum - Q&amp;V 2'!$L$11:$L$252,CONCATENATE("20",RIGHT('Q&amp;V FY 2003-04 to Now'!Q$9,2)),'Petroleum - Q&amp;V 2'!$M$11:$M$252,1)+
SUMIFS('Petroleum - Q&amp;V 2'!$C$11:$C$252,'Petroleum - Q&amp;V 2'!$L$11:$L$252,CONCATENATE("20",RIGHT('Q&amp;V FY 2003-04 to Now'!Q$9,2)),'Petroleum - Q&amp;V 2'!$M$11:$M$252,2))</f>
        <v>17290205.198225208</v>
      </c>
      <c r="R76" s="325">
        <f>(SUMIFS('Petroleum - Q&amp;V 2'!$E$11:$E$252,'Petroleum - Q&amp;V 2'!$L$11:$L$252,LEFT('Q&amp;V FY 2003-04 to Now'!Q$9,4),'Petroleum - Q&amp;V 2'!$M$11:$M$252,3)+
SUMIFS('Petroleum - Q&amp;V 2'!$E$11:$E$252,'Petroleum - Q&amp;V 2'!$L$11:$L$252,LEFT('Q&amp;V FY 2003-04 to Now'!Q$9,4),'Petroleum - Q&amp;V 2'!$M$11:$M$252,4)+
SUMIFS('Petroleum - Q&amp;V 2'!$E$11:$E$252,'Petroleum - Q&amp;V 2'!$L$11:$L$252,CONCATENATE("20",RIGHT('Q&amp;V FY 2003-04 to Now'!Q$9,2)),'Petroleum - Q&amp;V 2'!$M$11:$M$252,1)+
SUMIFS('Petroleum - Q&amp;V 2'!$E$11:$E$252,'Petroleum - Q&amp;V 2'!$L$11:$L$252,CONCATENATE("20",RIGHT('Q&amp;V FY 2003-04 to Now'!Q$9,2)),'Petroleum - Q&amp;V 2'!$M$11:$M$252,2))*1000000</f>
        <v>8328719117.9769068</v>
      </c>
      <c r="S76" s="325">
        <f>(SUMIFS('Petroleum - Q&amp;V 2'!$C$11:$C$252,'Petroleum - Q&amp;V 2'!$L$11:$L$252,LEFT('Q&amp;V FY 2003-04 to Now'!S$9,4),'Petroleum - Q&amp;V 2'!$M$11:$M$252,3)+
SUMIFS('Petroleum - Q&amp;V 2'!$C$11:$C$252,'Petroleum - Q&amp;V 2'!$L$11:$L$252,LEFT('Q&amp;V FY 2003-04 to Now'!S$9,4),'Petroleum - Q&amp;V 2'!$M$11:$M$252,4)+
SUMIFS('Petroleum - Q&amp;V 2'!$C$11:$C$252,'Petroleum - Q&amp;V 2'!$L$11:$L$252,CONCATENATE("20",RIGHT('Q&amp;V FY 2003-04 to Now'!S$9,2)),'Petroleum - Q&amp;V 2'!$M$11:$M$252,1)+
SUMIFS('Petroleum - Q&amp;V 2'!$C$11:$C$252,'Petroleum - Q&amp;V 2'!$L$11:$L$252,CONCATENATE("20",RIGHT('Q&amp;V FY 2003-04 to Now'!S$9,2)),'Petroleum - Q&amp;V 2'!$M$11:$M$252,2))</f>
        <v>15610569.721008768</v>
      </c>
      <c r="T76" s="325">
        <f>(SUMIFS('Petroleum - Q&amp;V 2'!$E$11:$E$252,'Petroleum - Q&amp;V 2'!$L$11:$L$252,LEFT('Q&amp;V FY 2003-04 to Now'!S$9,4),'Petroleum - Q&amp;V 2'!$M$11:$M$252,3)+
SUMIFS('Petroleum - Q&amp;V 2'!$E$11:$E$252,'Petroleum - Q&amp;V 2'!$L$11:$L$252,LEFT('Q&amp;V FY 2003-04 to Now'!S$9,4),'Petroleum - Q&amp;V 2'!$M$11:$M$252,4)+
SUMIFS('Petroleum - Q&amp;V 2'!$E$11:$E$252,'Petroleum - Q&amp;V 2'!$L$11:$L$252,CONCATENATE("20",RIGHT('Q&amp;V FY 2003-04 to Now'!S$9,2)),'Petroleum - Q&amp;V 2'!$M$11:$M$252,1)+
SUMIFS('Petroleum - Q&amp;V 2'!$E$11:$E$252,'Petroleum - Q&amp;V 2'!$L$11:$L$252,CONCATENATE("20",RIGHT('Q&amp;V FY 2003-04 to Now'!S$9,2)),'Petroleum - Q&amp;V 2'!$M$11:$M$252,2))*1000000</f>
        <v>9495543132.4315643</v>
      </c>
      <c r="U76" s="325">
        <f>(SUMIFS('Petroleum - Q&amp;V 2'!$C$11:$C$252,'Petroleum - Q&amp;V 2'!$L$11:$L$252,LEFT('Q&amp;V FY 2003-04 to Now'!U$9,4),'Petroleum - Q&amp;V 2'!$M$11:$M$252,3)+
SUMIFS('Petroleum - Q&amp;V 2'!$C$11:$C$252,'Petroleum - Q&amp;V 2'!$L$11:$L$252,LEFT('Q&amp;V FY 2003-04 to Now'!U$9,4),'Petroleum - Q&amp;V 2'!$M$11:$M$252,4)+
SUMIFS('Petroleum - Q&amp;V 2'!$C$11:$C$252,'Petroleum - Q&amp;V 2'!$L$11:$L$252,CONCATENATE("20",RIGHT('Q&amp;V FY 2003-04 to Now'!U$9,2)),'Petroleum - Q&amp;V 2'!$M$11:$M$252,1)+
SUMIFS('Petroleum - Q&amp;V 2'!$C$11:$C$252,'Petroleum - Q&amp;V 2'!$L$11:$L$252,CONCATENATE("20",RIGHT('Q&amp;V FY 2003-04 to Now'!U$9,2)),'Petroleum - Q&amp;V 2'!$M$11:$M$252,2))</f>
        <v>19804919</v>
      </c>
      <c r="V76" s="325">
        <f>(SUMIFS('Petroleum - Q&amp;V 2'!$E$11:$E$252,'Petroleum - Q&amp;V 2'!$L$11:$L$252,LEFT('Q&amp;V FY 2003-04 to Now'!U$9,4),'Petroleum - Q&amp;V 2'!$M$11:$M$252,3)+
SUMIFS('Petroleum - Q&amp;V 2'!$E$11:$E$252,'Petroleum - Q&amp;V 2'!$L$11:$L$252,LEFT('Q&amp;V FY 2003-04 to Now'!U$9,4),'Petroleum - Q&amp;V 2'!$M$11:$M$252,4)+
SUMIFS('Petroleum - Q&amp;V 2'!$E$11:$E$252,'Petroleum - Q&amp;V 2'!$L$11:$L$252,CONCATENATE("20",RIGHT('Q&amp;V FY 2003-04 to Now'!U$9,2)),'Petroleum - Q&amp;V 2'!$M$11:$M$252,1)+
SUMIFS('Petroleum - Q&amp;V 2'!$E$11:$E$252,'Petroleum - Q&amp;V 2'!$L$11:$L$252,CONCATENATE("20",RIGHT('Q&amp;V FY 2003-04 to Now'!U$9,2)),'Petroleum - Q&amp;V 2'!$M$11:$M$252,2))*1000000</f>
        <v>12147214397.2318</v>
      </c>
      <c r="W76" s="325">
        <f>(SUMIFS('Petroleum - Q&amp;V 2'!$C$11:$C$252,'Petroleum - Q&amp;V 2'!$L$11:$L$252,LEFT('Q&amp;V FY 2003-04 to Now'!W$9,4),'Petroleum - Q&amp;V 2'!$M$11:$M$252,3)+
SUMIFS('Petroleum - Q&amp;V 2'!$C$11:$C$252,'Petroleum - Q&amp;V 2'!$L$11:$L$252,LEFT('Q&amp;V FY 2003-04 to Now'!W$9,4),'Petroleum - Q&amp;V 2'!$M$11:$M$252,4)+
SUMIFS('Petroleum - Q&amp;V 2'!$C$11:$C$252,'Petroleum - Q&amp;V 2'!$L$11:$L$252,CONCATENATE("20",RIGHT('Q&amp;V FY 2003-04 to Now'!W$9,2)),'Petroleum - Q&amp;V 2'!$M$11:$M$252,1)+
SUMIFS('Petroleum - Q&amp;V 2'!$C$11:$C$252,'Petroleum - Q&amp;V 2'!$L$11:$L$252,CONCATENATE("20",RIGHT('Q&amp;V FY 2003-04 to Now'!W$9,2)),'Petroleum - Q&amp;V 2'!$M$11:$M$252,2))</f>
        <v>19826065</v>
      </c>
      <c r="X76" s="325">
        <f>(SUMIFS('Petroleum - Q&amp;V 2'!$E$11:$E$252,'Petroleum - Q&amp;V 2'!$L$11:$L$252,LEFT('Q&amp;V FY 2003-04 to Now'!W$9,4),'Petroleum - Q&amp;V 2'!$M$11:$M$252,3)+
SUMIFS('Petroleum - Q&amp;V 2'!$E$11:$E$252,'Petroleum - Q&amp;V 2'!$L$11:$L$252,LEFT('Q&amp;V FY 2003-04 to Now'!W$9,4),'Petroleum - Q&amp;V 2'!$M$11:$M$252,4)+
SUMIFS('Petroleum - Q&amp;V 2'!$E$11:$E$252,'Petroleum - Q&amp;V 2'!$L$11:$L$252,CONCATENATE("20",RIGHT('Q&amp;V FY 2003-04 to Now'!W$9,2)),'Petroleum - Q&amp;V 2'!$M$11:$M$252,1)+
SUMIFS('Petroleum - Q&amp;V 2'!$E$11:$E$252,'Petroleum - Q&amp;V 2'!$L$11:$L$252,CONCATENATE("20",RIGHT('Q&amp;V FY 2003-04 to Now'!W$9,2)),'Petroleum - Q&amp;V 2'!$M$11:$M$252,2))*1000000</f>
        <v>14651522773.511284</v>
      </c>
      <c r="Y76" s="325">
        <f>(SUMIFS('Petroleum - Q&amp;V 2'!$C$11:$C$252,'Petroleum - Q&amp;V 2'!$L$11:$L$252,LEFT('Q&amp;V FY 2003-04 to Now'!Y$9,4),'Petroleum - Q&amp;V 2'!$M$11:$M$252,3)+
SUMIFS('Petroleum - Q&amp;V 2'!$C$11:$C$252,'Petroleum - Q&amp;V 2'!$L$11:$L$252,LEFT('Q&amp;V FY 2003-04 to Now'!Y$9,4),'Petroleum - Q&amp;V 2'!$M$11:$M$252,4)+
SUMIFS('Petroleum - Q&amp;V 2'!$C$11:$C$252,'Petroleum - Q&amp;V 2'!$L$11:$L$252,CONCATENATE("20",RIGHT('Q&amp;V FY 2003-04 to Now'!Y$9,2)),'Petroleum - Q&amp;V 2'!$M$11:$M$252,1)+
SUMIFS('Petroleum - Q&amp;V 2'!$C$11:$C$252,'Petroleum - Q&amp;V 2'!$L$11:$L$252,CONCATENATE("20",RIGHT('Q&amp;V FY 2003-04 to Now'!Y$9,2)),'Petroleum - Q&amp;V 2'!$M$11:$M$252,2))</f>
        <v>20447845</v>
      </c>
      <c r="Z76" s="325">
        <f>(SUMIFS('Petroleum - Q&amp;V 2'!$E$11:$E$252,'Petroleum - Q&amp;V 2'!$L$11:$L$252,LEFT('Q&amp;V FY 2003-04 to Now'!Y$9,4),'Petroleum - Q&amp;V 2'!$M$11:$M$252,3)+
SUMIFS('Petroleum - Q&amp;V 2'!$E$11:$E$252,'Petroleum - Q&amp;V 2'!$L$11:$L$252,LEFT('Q&amp;V FY 2003-04 to Now'!Y$9,4),'Petroleum - Q&amp;V 2'!$M$11:$M$252,4)+
SUMIFS('Petroleum - Q&amp;V 2'!$E$11:$E$252,'Petroleum - Q&amp;V 2'!$L$11:$L$252,CONCATENATE("20",RIGHT('Q&amp;V FY 2003-04 to Now'!Y$9,2)),'Petroleum - Q&amp;V 2'!$M$11:$M$252,1)+
SUMIFS('Petroleum - Q&amp;V 2'!$E$11:$E$252,'Petroleum - Q&amp;V 2'!$L$11:$L$252,CONCATENATE("20",RIGHT('Q&amp;V FY 2003-04 to Now'!Y$9,2)),'Petroleum - Q&amp;V 2'!$M$11:$M$252,2))*1000000</f>
        <v>13817042486.841991</v>
      </c>
      <c r="AA76" s="325">
        <f>(SUMIFS('Petroleum - Q&amp;V 2'!$C$11:$C$252,'Petroleum - Q&amp;V 2'!$L$11:$L$252,LEFT('Q&amp;V FY 2003-04 to Now'!AA$9,4),'Petroleum - Q&amp;V 2'!$M$11:$M$252,3)+
SUMIFS('Petroleum - Q&amp;V 2'!$C$11:$C$252,'Petroleum - Q&amp;V 2'!$L$11:$L$252,LEFT('Q&amp;V FY 2003-04 to Now'!AA$9,4),'Petroleum - Q&amp;V 2'!$M$11:$M$252,4)+
SUMIFS('Petroleum - Q&amp;V 2'!$C$11:$C$252,'Petroleum - Q&amp;V 2'!$L$11:$L$252,CONCATENATE("20",RIGHT('Q&amp;V FY 2003-04 to Now'!AA$9,2)),'Petroleum - Q&amp;V 2'!$M$11:$M$252,1)+
SUMIFS('Petroleum - Q&amp;V 2'!$C$11:$C$252,'Petroleum - Q&amp;V 2'!$L$11:$L$252,CONCATENATE("20",RIGHT('Q&amp;V FY 2003-04 to Now'!AA$9,2)),'Petroleum - Q&amp;V 2'!$M$11:$M$252,2))</f>
        <v>20955641</v>
      </c>
      <c r="AB76" s="325">
        <f>(SUMIFS('Petroleum - Q&amp;V 2'!$E$11:$E$252,'Petroleum - Q&amp;V 2'!$L$11:$L$252,LEFT('Q&amp;V FY 2003-04 to Now'!AA$9,4),'Petroleum - Q&amp;V 2'!$M$11:$M$252,3)+
SUMIFS('Petroleum - Q&amp;V 2'!$E$11:$E$252,'Petroleum - Q&amp;V 2'!$L$11:$L$252,LEFT('Q&amp;V FY 2003-04 to Now'!AA$9,4),'Petroleum - Q&amp;V 2'!$M$11:$M$252,4)+
SUMIFS('Petroleum - Q&amp;V 2'!$E$11:$E$252,'Petroleum - Q&amp;V 2'!$L$11:$L$252,CONCATENATE("20",RIGHT('Q&amp;V FY 2003-04 to Now'!AA$9,2)),'Petroleum - Q&amp;V 2'!$M$11:$M$252,1)+
SUMIFS('Petroleum - Q&amp;V 2'!$E$11:$E$252,'Petroleum - Q&amp;V 2'!$L$11:$L$252,CONCATENATE("20",RIGHT('Q&amp;V FY 2003-04 to Now'!AA$9,2)),'Petroleum - Q&amp;V 2'!$M$11:$M$252,2))*1000000</f>
        <v>10764545352.932775</v>
      </c>
      <c r="AC76" s="325">
        <f>(SUMIFS('Petroleum - Q&amp;V 2'!$C$11:$C$252,'Petroleum - Q&amp;V 2'!$L$11:$L$252,LEFT('Q&amp;V FY 2003-04 to Now'!AC$9,4),'Petroleum - Q&amp;V 2'!$M$11:$M$252,3)+
SUMIFS('Petroleum - Q&amp;V 2'!$C$11:$C$252,'Petroleum - Q&amp;V 2'!$L$11:$L$252,LEFT('Q&amp;V FY 2003-04 to Now'!AC$9,4),'Petroleum - Q&amp;V 2'!$M$11:$M$252,4)+
SUMIFS('Petroleum - Q&amp;V 2'!$C$11:$C$252,'Petroleum - Q&amp;V 2'!$L$11:$L$252,CONCATENATE("20",RIGHT('Q&amp;V FY 2003-04 to Now'!AC$9,2)),'Petroleum - Q&amp;V 2'!$M$11:$M$252,1)+
SUMIFS('Petroleum - Q&amp;V 2'!$C$11:$C$252,'Petroleum - Q&amp;V 2'!$L$11:$L$252,CONCATENATE("20",RIGHT('Q&amp;V FY 2003-04 to Now'!AC$9,2)),'Petroleum - Q&amp;V 2'!$M$11:$M$252,2))</f>
        <v>28685476.682250001</v>
      </c>
      <c r="AD76" s="325">
        <f>(SUMIFS('Petroleum - Q&amp;V 2'!$E$11:$E$252,'Petroleum - Q&amp;V 2'!$L$11:$L$252,LEFT('Q&amp;V FY 2003-04 to Now'!AC$9,4),'Petroleum - Q&amp;V 2'!$M$11:$M$252,3)+
SUMIFS('Petroleum - Q&amp;V 2'!$E$11:$E$252,'Petroleum - Q&amp;V 2'!$L$11:$L$252,LEFT('Q&amp;V FY 2003-04 to Now'!AC$9,4),'Petroleum - Q&amp;V 2'!$M$11:$M$252,4)+
SUMIFS('Petroleum - Q&amp;V 2'!$E$11:$E$252,'Petroleum - Q&amp;V 2'!$L$11:$L$252,CONCATENATE("20",RIGHT('Q&amp;V FY 2003-04 to Now'!AC$9,2)),'Petroleum - Q&amp;V 2'!$M$11:$M$252,1)+
SUMIFS('Petroleum - Q&amp;V 2'!$E$11:$E$252,'Petroleum - Q&amp;V 2'!$L$11:$L$252,CONCATENATE("20",RIGHT('Q&amp;V FY 2003-04 to Now'!AC$9,2)),'Petroleum - Q&amp;V 2'!$M$11:$M$252,2))*1000000</f>
        <v>12728310038.06987</v>
      </c>
      <c r="AE76" s="358">
        <f>(SUMIFS('Petroleum - Q&amp;V 2'!$C$11:$C$252,'Petroleum - Q&amp;V 2'!$L$11:$L$252,LEFT('Q&amp;V FY 2003-04 to Now'!AE$9,4),'Petroleum - Q&amp;V 2'!$M$11:$M$252,3)+
SUMIFS('Petroleum - Q&amp;V 2'!$C$11:$C$252,'Petroleum - Q&amp;V 2'!$L$11:$L$252,LEFT('Q&amp;V FY 2003-04 to Now'!AE$9,4),'Petroleum - Q&amp;V 2'!$M$11:$M$252,4)+
SUMIFS('Petroleum - Q&amp;V 2'!$C$11:$C$252,'Petroleum - Q&amp;V 2'!$L$11:$L$252,CONCATENATE("20",RIGHT('Q&amp;V FY 2003-04 to Now'!AE$9,2)),'Petroleum - Q&amp;V 2'!$M$11:$M$252,1)+
SUMIFS('Petroleum - Q&amp;V 2'!$C$11:$C$252,'Petroleum - Q&amp;V 2'!$L$11:$L$252,CONCATENATE("20",RIGHT('Q&amp;V FY 2003-04 to Now'!AE$9,2)),'Petroleum - Q&amp;V 2'!$M$11:$M$252,2))</f>
        <v>37982978.576625004</v>
      </c>
      <c r="AF76" s="325">
        <f>(SUMIFS('Petroleum - Q&amp;V 2'!$E$11:$E$252,'Petroleum - Q&amp;V 2'!$L$11:$L$252,LEFT('Q&amp;V FY 2003-04 to Now'!AE$9,4),'Petroleum - Q&amp;V 2'!$M$11:$M$252,3)+
SUMIFS('Petroleum - Q&amp;V 2'!$E$11:$E$252,'Petroleum - Q&amp;V 2'!$L$11:$L$252,LEFT('Q&amp;V FY 2003-04 to Now'!AE$9,4),'Petroleum - Q&amp;V 2'!$M$11:$M$252,4)+
SUMIFS('Petroleum - Q&amp;V 2'!$E$11:$E$252,'Petroleum - Q&amp;V 2'!$L$11:$L$252,CONCATENATE("20",RIGHT('Q&amp;V FY 2003-04 to Now'!AE$9,2)),'Petroleum - Q&amp;V 2'!$M$11:$M$252,1)+
SUMIFS('Petroleum - Q&amp;V 2'!$E$11:$E$252,'Petroleum - Q&amp;V 2'!$L$11:$L$252,CONCATENATE("20",RIGHT('Q&amp;V FY 2003-04 to Now'!AE$9,2)),'Petroleum - Q&amp;V 2'!$M$11:$M$252,2))*1000000</f>
        <v>18958473226.249874</v>
      </c>
      <c r="AG76" s="358">
        <f>(SUMIFS('Petroleum - Q&amp;V 2'!$C$11:$C$252,'Petroleum - Q&amp;V 2'!$L$11:$L$252,LEFT('Q&amp;V FY 2003-04 to Now'!AG$9,4),'Petroleum - Q&amp;V 2'!$M$11:$M$252,3)+
SUMIFS('Petroleum - Q&amp;V 2'!$C$11:$C$252,'Petroleum - Q&amp;V 2'!$L$11:$L$252,LEFT('Q&amp;V FY 2003-04 to Now'!AG$9,4),'Petroleum - Q&amp;V 2'!$M$11:$M$252,4)+
SUMIFS('Petroleum - Q&amp;V 2'!$C$11:$C$252,'Petroleum - Q&amp;V 2'!$L$11:$L$252,CONCATENATE("20",RIGHT('Q&amp;V FY 2003-04 to Now'!AG$9,2)),'Petroleum - Q&amp;V 2'!$M$11:$M$252,1)+
SUMIFS('Petroleum - Q&amp;V 2'!$C$11:$C$252,'Petroleum - Q&amp;V 2'!$L$11:$L$252,CONCATENATE("20",RIGHT('Q&amp;V FY 2003-04 to Now'!AG$9,2)),'Petroleum - Q&amp;V 2'!$M$11:$M$252,2))</f>
        <v>45883598.08570341</v>
      </c>
      <c r="AH76" s="326">
        <f>(SUMIFS('Petroleum - Q&amp;V 2'!$E$11:$E$252,'Petroleum - Q&amp;V 2'!$L$11:$L$252,LEFT('Q&amp;V FY 2003-04 to Now'!AG$9,4),'Petroleum - Q&amp;V 2'!$M$11:$M$252,3)+
SUMIFS('Petroleum - Q&amp;V 2'!$E$11:$E$252,'Petroleum - Q&amp;V 2'!$L$11:$L$252,LEFT('Q&amp;V FY 2003-04 to Now'!AG$9,4),'Petroleum - Q&amp;V 2'!$M$11:$M$252,4)+
SUMIFS('Petroleum - Q&amp;V 2'!$E$11:$E$252,'Petroleum - Q&amp;V 2'!$L$11:$L$252,CONCATENATE("20",RIGHT('Q&amp;V FY 2003-04 to Now'!AG$9,2)),'Petroleum - Q&amp;V 2'!$M$11:$M$252,1)+
SUMIFS('Petroleum - Q&amp;V 2'!$E$11:$E$252,'Petroleum - Q&amp;V 2'!$L$11:$L$252,CONCATENATE("20",RIGHT('Q&amp;V FY 2003-04 to Now'!AG$9,2)),'Petroleum - Q&amp;V 2'!$M$11:$M$252,2))*1000000</f>
        <v>29958411314.462112</v>
      </c>
      <c r="AI76" s="367">
        <f>(SUMIFS('Petroleum - Q&amp;V 2'!$C$11:$C$252,'Petroleum - Q&amp;V 2'!$L$11:$L$252,LEFT('Q&amp;V FY 2003-04 to Now'!AI$9,4),'Petroleum - Q&amp;V 2'!$M$11:$M$252,3)+
SUMIFS('Petroleum - Q&amp;V 2'!$C$11:$C$252,'Petroleum - Q&amp;V 2'!$L$11:$L$252,LEFT('Q&amp;V FY 2003-04 to Now'!AI$9,4),'Petroleum - Q&amp;V 2'!$M$11:$M$252,4)+
SUMIFS('Petroleum - Q&amp;V 2'!$C$11:$C$252,'Petroleum - Q&amp;V 2'!$L$11:$L$252,CONCATENATE("20",RIGHT('Q&amp;V FY 2003-04 to Now'!AI$9,2)),'Petroleum - Q&amp;V 2'!$M$11:$M$252,1)+
SUMIFS('Petroleum - Q&amp;V 2'!$C$11:$C$252,'Petroleum - Q&amp;V 2'!$L$11:$L$252,CONCATENATE("20",RIGHT('Q&amp;V FY 2003-04 to Now'!AI$9,2)),'Petroleum - Q&amp;V 2'!$M$11:$M$252,2))</f>
        <v>45953943.965365022</v>
      </c>
      <c r="AJ76" s="326">
        <f>(SUMIFS('Petroleum - Q&amp;V 2'!$E$11:$E$252,'Petroleum - Q&amp;V 2'!$L$11:$L$252,LEFT('Q&amp;V FY 2003-04 to Now'!AI$9,4),'Petroleum - Q&amp;V 2'!$M$11:$M$252,3)+
SUMIFS('Petroleum - Q&amp;V 2'!$E$11:$E$252,'Petroleum - Q&amp;V 2'!$L$11:$L$252,LEFT('Q&amp;V FY 2003-04 to Now'!AI$9,4),'Petroleum - Q&amp;V 2'!$M$11:$M$252,4)+
SUMIFS('Petroleum - Q&amp;V 2'!$E$11:$E$252,'Petroleum - Q&amp;V 2'!$L$11:$L$252,CONCATENATE("20",RIGHT('Q&amp;V FY 2003-04 to Now'!AI$9,2)),'Petroleum - Q&amp;V 2'!$M$11:$M$252,1)+
SUMIFS('Petroleum - Q&amp;V 2'!$E$11:$E$252,'Petroleum - Q&amp;V 2'!$L$11:$L$252,CONCATENATE("20",RIGHT('Q&amp;V FY 2003-04 to Now'!AI$9,2)),'Petroleum - Q&amp;V 2'!$M$11:$M$252,2))*1000000</f>
        <v>25846500127.661209</v>
      </c>
      <c r="AK76" s="326">
        <f>(SUMIFS('Petroleum - Q&amp;V 2'!$C$11:$C$252,'Petroleum - Q&amp;V 2'!$L$11:$L$252,LEFT('Q&amp;V FY 2003-04 to Now'!AK$9,4),'Petroleum - Q&amp;V 2'!$M$11:$M$252,3)+
SUMIFS('Petroleum - Q&amp;V 2'!$C$11:$C$252,'Petroleum - Q&amp;V 2'!$L$11:$L$252,LEFT('Q&amp;V FY 2003-04 to Now'!AK$9,4),'Petroleum - Q&amp;V 2'!$M$11:$M$252,4)+
SUMIFS('Petroleum - Q&amp;V 2'!$C$11:$C$252,'Petroleum - Q&amp;V 2'!$L$11:$L$252,CONCATENATE("20",RIGHT('Q&amp;V FY 2003-04 to Now'!AK$9,2)),'Petroleum - Q&amp;V 2'!$M$11:$M$252,1)+
SUMIFS('Petroleum - Q&amp;V 2'!$C$11:$C$252,'Petroleum - Q&amp;V 2'!$L$11:$L$252,CONCATENATE("20",RIGHT('Q&amp;V FY 2003-04 to Now'!AK$9,2)),'Petroleum - Q&amp;V 2'!$M$11:$M$252,2))</f>
        <v>43247419.749138936</v>
      </c>
      <c r="AL76" s="326">
        <f>(SUMIFS('Petroleum - Q&amp;V 2'!$E$11:$E$252,'Petroleum - Q&amp;V 2'!$L$11:$L$252,LEFT('Q&amp;V FY 2003-04 to Now'!AK$9,4),'Petroleum - Q&amp;V 2'!$M$11:$M$252,3)+
SUMIFS('Petroleum - Q&amp;V 2'!$E$11:$E$252,'Petroleum - Q&amp;V 2'!$L$11:$L$252,LEFT('Q&amp;V FY 2003-04 to Now'!AK$9,4),'Petroleum - Q&amp;V 2'!$M$11:$M$252,4)+
SUMIFS('Petroleum - Q&amp;V 2'!$E$11:$E$252,'Petroleum - Q&amp;V 2'!$L$11:$L$252,CONCATENATE("20",RIGHT('Q&amp;V FY 2003-04 to Now'!AK$9,2)),'Petroleum - Q&amp;V 2'!$M$11:$M$252,1)+
SUMIFS('Petroleum - Q&amp;V 2'!$E$11:$E$252,'Petroleum - Q&amp;V 2'!$L$11:$L$252,CONCATENATE("20",RIGHT('Q&amp;V FY 2003-04 to Now'!AK$9,2)),'Petroleum - Q&amp;V 2'!$M$11:$M$252,2))*1000000</f>
        <v>16454743703.168413</v>
      </c>
      <c r="AM76" s="326">
        <f>(SUMIFS('Petroleum - Q&amp;V 2'!$C$11:$C$252,'Petroleum - Q&amp;V 2'!$L$11:$L$252,LEFT('Q&amp;V FY 2003-04 to Now'!AM$9,4),'Petroleum - Q&amp;V 2'!$M$11:$M$252,3)+
SUMIFS('Petroleum - Q&amp;V 2'!$C$11:$C$252,'Petroleum - Q&amp;V 2'!$L$11:$L$252,LEFT('Q&amp;V FY 2003-04 to Now'!AM$9,4),'Petroleum - Q&amp;V 2'!$M$11:$M$252,4)+
SUMIFS('Petroleum - Q&amp;V 2'!$C$11:$C$252,'Petroleum - Q&amp;V 2'!$L$11:$L$252,CONCATENATE("20",RIGHT('Q&amp;V FY 2003-04 to Now'!AM$9,2)),'Petroleum - Q&amp;V 2'!$M$11:$M$252,1)+
SUMIFS('Petroleum - Q&amp;V 2'!$C$11:$C$252,'Petroleum - Q&amp;V 2'!$L$11:$L$252,CONCATENATE("20",RIGHT('Q&amp;V FY 2003-04 to Now'!AM$9,2)),'Petroleum - Q&amp;V 2'!$M$11:$M$252,2))</f>
        <v>46604533.221515805</v>
      </c>
      <c r="AN76" s="326">
        <f>(SUMIFS('Petroleum - Q&amp;V 2'!$E$11:$E$252,'Petroleum - Q&amp;V 2'!$L$11:$L$252,LEFT('Q&amp;V FY 2003-04 to Now'!AM$9,4),'Petroleum - Q&amp;V 2'!$M$11:$M$252,3)+
SUMIFS('Petroleum - Q&amp;V 2'!$E$11:$E$252,'Petroleum - Q&amp;V 2'!$L$11:$L$252,LEFT('Q&amp;V FY 2003-04 to Now'!AM$9,4),'Petroleum - Q&amp;V 2'!$M$11:$M$252,4)+
SUMIFS('Petroleum - Q&amp;V 2'!$E$11:$E$252,'Petroleum - Q&amp;V 2'!$L$11:$L$252,CONCATENATE("20",RIGHT('Q&amp;V FY 2003-04 to Now'!AM$9,2)),'Petroleum - Q&amp;V 2'!$M$11:$M$252,1)+
SUMIFS('Petroleum - Q&amp;V 2'!$E$11:$E$252,'Petroleum - Q&amp;V 2'!$L$11:$L$252,CONCATENATE("20",RIGHT('Q&amp;V FY 2003-04 to Now'!AM$9,2)),'Petroleum - Q&amp;V 2'!$M$11:$M$252,2))*1000000</f>
        <v>38398197276.479248</v>
      </c>
      <c r="AO76" s="326">
        <f>(SUMIFS('Petroleum - Q&amp;V 2'!$C$11:$C$252,'Petroleum - Q&amp;V 2'!$L$11:$L$252,LEFT('Q&amp;V FY 2003-04 to Now'!AO$9,4),'Petroleum - Q&amp;V 2'!$M$11:$M$252,3)+
SUMIFS('Petroleum - Q&amp;V 2'!$C$11:$C$252,'Petroleum - Q&amp;V 2'!$L$11:$L$252,LEFT('Q&amp;V FY 2003-04 to Now'!AO$9,4),'Petroleum - Q&amp;V 2'!$M$11:$M$252,4)+
SUMIFS('Petroleum - Q&amp;V 2'!$C$11:$C$252,'Petroleum - Q&amp;V 2'!$L$11:$L$252,CONCATENATE("20",RIGHT('Q&amp;V FY 2003-04 to Now'!AO$9,2)),'Petroleum - Q&amp;V 2'!$M$11:$M$252,1)+
SUMIFS('Petroleum - Q&amp;V 2'!$C$11:$C$252,'Petroleum - Q&amp;V 2'!$L$11:$L$252,CONCATENATE("20",RIGHT('Q&amp;V FY 2003-04 to Now'!AO$9,2)),'Petroleum - Q&amp;V 2'!$M$11:$M$252,2))</f>
        <v>50341173.900927275</v>
      </c>
      <c r="AP76" s="326">
        <f>(SUMIFS('Petroleum - Q&amp;V 2'!$E$11:$E$252,'Petroleum - Q&amp;V 2'!$L$11:$L$252,LEFT('Q&amp;V FY 2003-04 to Now'!AO$9,4),'Petroleum - Q&amp;V 2'!$M$11:$M$252,3)+
SUMIFS('Petroleum - Q&amp;V 2'!$E$11:$E$252,'Petroleum - Q&amp;V 2'!$L$11:$L$252,LEFT('Q&amp;V FY 2003-04 to Now'!AO$9,4),'Petroleum - Q&amp;V 2'!$M$11:$M$252,4)+
SUMIFS('Petroleum - Q&amp;V 2'!$E$11:$E$252,'Petroleum - Q&amp;V 2'!$L$11:$L$252,CONCATENATE("20",RIGHT('Q&amp;V FY 2003-04 to Now'!AO$9,2)),'Petroleum - Q&amp;V 2'!$M$11:$M$252,1)+
SUMIFS('Petroleum - Q&amp;V 2'!$E$11:$E$252,'Petroleum - Q&amp;V 2'!$L$11:$L$252,CONCATENATE("20",RIGHT('Q&amp;V FY 2003-04 to Now'!AO$9,2)),'Petroleum - Q&amp;V 2'!$M$11:$M$252,2))*1000000</f>
        <v>57064537328.384995</v>
      </c>
      <c r="AQ76" s="326">
        <f>(SUMIFS('Petroleum - Q&amp;V 2'!$C$11:$C$252,'Petroleum - Q&amp;V 2'!$L$11:$L$252,LEFT('Q&amp;V FY 2003-04 to Now'!AQ$9,4),'Petroleum - Q&amp;V 2'!$M$11:$M$252,3)+
SUMIFS('Petroleum - Q&amp;V 2'!$C$11:$C$252,'Petroleum - Q&amp;V 2'!$L$11:$L$252,LEFT('Q&amp;V FY 2003-04 to Now'!AQ$9,4),'Petroleum - Q&amp;V 2'!$M$11:$M$252,4)+
SUMIFS('Petroleum - Q&amp;V 2'!$C$11:$C$252,'Petroleum - Q&amp;V 2'!$L$11:$L$252,CONCATENATE("20",RIGHT('Q&amp;V FY 2003-04 to Now'!AQ$9,2)),'Petroleum - Q&amp;V 2'!$M$11:$M$252,1)+
SUMIFS('Petroleum - Q&amp;V 2'!$C$11:$C$252,'Petroleum - Q&amp;V 2'!$L$11:$L$252,CONCATENATE("20",RIGHT('Q&amp;V FY 2003-04 to Now'!AQ$9,2)),'Petroleum - Q&amp;V 2'!$M$11:$M$252,2))</f>
        <v>47281307.343309268</v>
      </c>
      <c r="AR76" s="326">
        <f>(SUMIFS('Petroleum - Q&amp;V 2'!$E$11:$E$252,'Petroleum - Q&amp;V 2'!$L$11:$L$252,LEFT('Q&amp;V FY 2003-04 to Now'!AQ$9,4),'Petroleum - Q&amp;V 2'!$M$11:$M$252,3)+
SUMIFS('Petroleum - Q&amp;V 2'!$E$11:$E$252,'Petroleum - Q&amp;V 2'!$L$11:$L$252,LEFT('Q&amp;V FY 2003-04 to Now'!AQ$9,4),'Petroleum - Q&amp;V 2'!$M$11:$M$252,4)+
SUMIFS('Petroleum - Q&amp;V 2'!$E$11:$E$252,'Petroleum - Q&amp;V 2'!$L$11:$L$252,CONCATENATE("20",RIGHT('Q&amp;V FY 2003-04 to Now'!AQ$9,2)),'Petroleum - Q&amp;V 2'!$M$11:$M$252,1)+
SUMIFS('Petroleum - Q&amp;V 2'!$E$11:$E$252,'Petroleum - Q&amp;V 2'!$L$11:$L$252,CONCATENATE("20",RIGHT('Q&amp;V FY 2003-04 to Now'!AQ$9,2)),'Petroleum - Q&amp;V 2'!$M$11:$M$252,2))*1000000</f>
        <v>36435469389.411674</v>
      </c>
      <c r="AS76" s="326">
        <f>(SUMIFS('Petroleum - Q&amp;V 2'!$C$11:$C$252,'Petroleum - Q&amp;V 2'!$L$11:$L$252,LEFT('Q&amp;V FY 2003-04 to Now'!AS$9,4),'Petroleum - Q&amp;V 2'!$M$11:$M$252,3)+
SUMIFS('Petroleum - Q&amp;V 2'!$C$11:$C$252,'Petroleum - Q&amp;V 2'!$L$11:$L$252,LEFT('Q&amp;V FY 2003-04 to Now'!AS$9,4),'Petroleum - Q&amp;V 2'!$M$11:$M$252,4)+
SUMIFS('Petroleum - Q&amp;V 2'!$C$11:$C$252,'Petroleum - Q&amp;V 2'!$L$11:$L$252,CONCATENATE("20",RIGHT('Q&amp;V FY 2003-04 to Now'!AS$9,2)),'Petroleum - Q&amp;V 2'!$M$11:$M$252,1)+
SUMIFS('Petroleum - Q&amp;V 2'!$C$11:$C$252,'Petroleum - Q&amp;V 2'!$L$11:$L$252,CONCATENATE("20",RIGHT('Q&amp;V FY 2003-04 to Now'!AS$9,2)),'Petroleum - Q&amp;V 2'!$M$11:$M$252,2))</f>
        <v>45941539.395555191</v>
      </c>
      <c r="AT76" s="326">
        <f>(SUMIFS('Petroleum - Q&amp;V 2'!$E$11:$E$252,'Petroleum - Q&amp;V 2'!$L$11:$L$252,LEFT('Q&amp;V FY 2003-04 to Now'!AS$9,4),'Petroleum - Q&amp;V 2'!$M$11:$M$252,3)+
SUMIFS('Petroleum - Q&amp;V 2'!$E$11:$E$252,'Petroleum - Q&amp;V 2'!$L$11:$L$252,LEFT('Q&amp;V FY 2003-04 to Now'!AS$9,4),'Petroleum - Q&amp;V 2'!$M$11:$M$252,4)+
SUMIFS('Petroleum - Q&amp;V 2'!$E$11:$E$252,'Petroleum - Q&amp;V 2'!$L$11:$L$252,CONCATENATE("20",RIGHT('Q&amp;V FY 2003-04 to Now'!AS$9,2)),'Petroleum - Q&amp;V 2'!$M$11:$M$252,1)+
SUMIFS('Petroleum - Q&amp;V 2'!$E$11:$E$252,'Petroleum - Q&amp;V 2'!$L$11:$L$252,CONCATENATE("20",RIGHT('Q&amp;V FY 2003-04 to Now'!AS$9,2)),'Petroleum - Q&amp;V 2'!$M$11:$M$252,2))*1000000</f>
        <v>34704752945.861862</v>
      </c>
      <c r="AU76" s="358">
        <f>SUMIF($C$11:AT$11,1,$C76:AT76)</f>
        <v>590706715.59485662</v>
      </c>
      <c r="AV76" s="325">
        <f>IF(COUNTIF($C76:AT76, "nfp")=0, SUMIF($C$11:AT$11,0,$C76:AT76), "nfp")</f>
        <v>376639425342.21393</v>
      </c>
    </row>
    <row r="77" spans="1:48" x14ac:dyDescent="0.25">
      <c r="A77" s="327" t="s">
        <v>234</v>
      </c>
      <c r="B77" s="324" t="s">
        <v>166</v>
      </c>
      <c r="C77" s="325">
        <f>(SUMIFS('Petroleum - Q&amp;V 2'!$F$11:$F$252,'Petroleum - Q&amp;V 2'!$L$11:$L$252,LEFT('Q&amp;V FY 2003-04 to Now'!C$9,4),'Petroleum - Q&amp;V 2'!$M$11:$M$252,3)+
SUMIFS('Petroleum - Q&amp;V 2'!$F$11:$F$252,'Petroleum - Q&amp;V 2'!$L$11:$L$252,LEFT('Q&amp;V FY 2003-04 to Now'!C$9,4),'Petroleum - Q&amp;V 2'!$M$11:$M$252,4)+
SUMIFS('Petroleum - Q&amp;V 2'!$F$11:$F$252,'Petroleum - Q&amp;V 2'!$L$11:$L$252,CONCATENATE("20",RIGHT('Q&amp;V FY 2003-04 to Now'!C$9,2)),'Petroleum - Q&amp;V 2'!$M$11:$M$252,1)+
SUMIFS('Petroleum - Q&amp;V 2'!$F$11:$F$252,'Petroleum - Q&amp;V 2'!$L$11:$L$252,CONCATENATE("20",RIGHT('Q&amp;V FY 2003-04 to Now'!C$9,2)),'Petroleum - Q&amp;V 2'!$M$11:$M$252,2))</f>
        <v>695262</v>
      </c>
      <c r="D77" s="325">
        <f>(SUMIFS('Petroleum - Q&amp;V 2'!$H$11:$H$252,'Petroleum - Q&amp;V 2'!$L$11:$L$252,LEFT('Q&amp;V FY 2003-04 to Now'!C$9,4),'Petroleum - Q&amp;V 2'!$M$11:$M$252,3)+
SUMIFS('Petroleum - Q&amp;V 2'!$H$11:$H$252,'Petroleum - Q&amp;V 2'!$L$11:$L$252,LEFT('Q&amp;V FY 2003-04 to Now'!C$9,4),'Petroleum - Q&amp;V 2'!$M$11:$M$252,4)+
SUMIFS('Petroleum - Q&amp;V 2'!$H$11:$H$252,'Petroleum - Q&amp;V 2'!$L$11:$L$252,CONCATENATE("20",RIGHT('Q&amp;V FY 2003-04 to Now'!C$9,2)),'Petroleum - Q&amp;V 2'!$M$11:$M$252,1)+
SUMIFS('Petroleum - Q&amp;V 2'!$H$11:$H$252,'Petroleum - Q&amp;V 2'!$L$11:$L$252,CONCATENATE("20",RIGHT('Q&amp;V FY 2003-04 to Now'!C$9,2)),'Petroleum - Q&amp;V 2'!$M$11:$M$252,2))*1000000</f>
        <v>282150682</v>
      </c>
      <c r="E77" s="325">
        <f>(SUMIFS('Petroleum - Q&amp;V 2'!$F$11:$F$252,'Petroleum - Q&amp;V 2'!$L$11:$L$252,LEFT('Q&amp;V FY 2003-04 to Now'!E$9,4),'Petroleum - Q&amp;V 2'!$M$11:$M$252,3)+
SUMIFS('Petroleum - Q&amp;V 2'!$F$11:$F$252,'Petroleum - Q&amp;V 2'!$L$11:$L$252,LEFT('Q&amp;V FY 2003-04 to Now'!E$9,4),'Petroleum - Q&amp;V 2'!$M$11:$M$252,4)+
SUMIFS('Petroleum - Q&amp;V 2'!$F$11:$F$252,'Petroleum - Q&amp;V 2'!$L$11:$L$252,CONCATENATE("20",RIGHT('Q&amp;V FY 2003-04 to Now'!E$9,2)),'Petroleum - Q&amp;V 2'!$M$11:$M$252,1)+
SUMIFS('Petroleum - Q&amp;V 2'!$F$11:$F$252,'Petroleum - Q&amp;V 2'!$L$11:$L$252,CONCATENATE("20",RIGHT('Q&amp;V FY 2003-04 to Now'!E$9,2)),'Petroleum - Q&amp;V 2'!$M$11:$M$252,2))</f>
        <v>764186</v>
      </c>
      <c r="F77" s="325">
        <f>(SUMIFS('Petroleum - Q&amp;V 2'!$H$11:$H$252,'Petroleum - Q&amp;V 2'!$L$11:$L$252,LEFT('Q&amp;V FY 2003-04 to Now'!E$9,4),'Petroleum - Q&amp;V 2'!$M$11:$M$252,3)+
SUMIFS('Petroleum - Q&amp;V 2'!$H$11:$H$252,'Petroleum - Q&amp;V 2'!$L$11:$L$252,LEFT('Q&amp;V FY 2003-04 to Now'!E$9,4),'Petroleum - Q&amp;V 2'!$M$11:$M$252,4)+
SUMIFS('Petroleum - Q&amp;V 2'!$H$11:$H$252,'Petroleum - Q&amp;V 2'!$L$11:$L$252,CONCATENATE("20",RIGHT('Q&amp;V FY 2003-04 to Now'!E$9,2)),'Petroleum - Q&amp;V 2'!$M$11:$M$252,1)+
SUMIFS('Petroleum - Q&amp;V 2'!$H$11:$H$252,'Petroleum - Q&amp;V 2'!$L$11:$L$252,CONCATENATE("20",RIGHT('Q&amp;V FY 2003-04 to Now'!E$9,2)),'Petroleum - Q&amp;V 2'!$M$11:$M$252,2))*1000000</f>
        <v>403501753.31283003</v>
      </c>
      <c r="G77" s="325">
        <f>(SUMIFS('Petroleum - Q&amp;V 2'!$F$11:$F$252,'Petroleum - Q&amp;V 2'!$L$11:$L$252,LEFT('Q&amp;V FY 2003-04 to Now'!G$9,4),'Petroleum - Q&amp;V 2'!$M$11:$M$252,3)+
SUMIFS('Petroleum - Q&amp;V 2'!$F$11:$F$252,'Petroleum - Q&amp;V 2'!$L$11:$L$252,LEFT('Q&amp;V FY 2003-04 to Now'!G$9,4),'Petroleum - Q&amp;V 2'!$M$11:$M$252,4)+
SUMIFS('Petroleum - Q&amp;V 2'!$F$11:$F$252,'Petroleum - Q&amp;V 2'!$L$11:$L$252,CONCATENATE("20",RIGHT('Q&amp;V FY 2003-04 to Now'!G$9,2)),'Petroleum - Q&amp;V 2'!$M$11:$M$252,1)+
SUMIFS('Petroleum - Q&amp;V 2'!$F$11:$F$252,'Petroleum - Q&amp;V 2'!$L$11:$L$252,CONCATENATE("20",RIGHT('Q&amp;V FY 2003-04 to Now'!G$9,2)),'Petroleum - Q&amp;V 2'!$M$11:$M$252,2))</f>
        <v>871983</v>
      </c>
      <c r="H77" s="325">
        <f>(SUMIFS('Petroleum - Q&amp;V 2'!$H$11:$H$252,'Petroleum - Q&amp;V 2'!$L$11:$L$252,LEFT('Q&amp;V FY 2003-04 to Now'!G$9,4),'Petroleum - Q&amp;V 2'!$M$11:$M$252,3)+
SUMIFS('Petroleum - Q&amp;V 2'!$H$11:$H$252,'Petroleum - Q&amp;V 2'!$L$11:$L$252,LEFT('Q&amp;V FY 2003-04 to Now'!G$9,4),'Petroleum - Q&amp;V 2'!$M$11:$M$252,4)+
SUMIFS('Petroleum - Q&amp;V 2'!$H$11:$H$252,'Petroleum - Q&amp;V 2'!$L$11:$L$252,CONCATENATE("20",RIGHT('Q&amp;V FY 2003-04 to Now'!G$9,2)),'Petroleum - Q&amp;V 2'!$M$11:$M$252,1)+
SUMIFS('Petroleum - Q&amp;V 2'!$H$11:$H$252,'Petroleum - Q&amp;V 2'!$L$11:$L$252,CONCATENATE("20",RIGHT('Q&amp;V FY 2003-04 to Now'!G$9,2)),'Petroleum - Q&amp;V 2'!$M$11:$M$252,2))*1000000</f>
        <v>654423834.39349914</v>
      </c>
      <c r="I77" s="325">
        <f>(SUMIFS('Petroleum - Q&amp;V 2'!$F$11:$F$252,'Petroleum - Q&amp;V 2'!$L$11:$L$252,LEFT('Q&amp;V FY 2003-04 to Now'!I$9,4),'Petroleum - Q&amp;V 2'!$M$11:$M$252,3)+
SUMIFS('Petroleum - Q&amp;V 2'!$F$11:$F$252,'Petroleum - Q&amp;V 2'!$L$11:$L$252,LEFT('Q&amp;V FY 2003-04 to Now'!I$9,4),'Petroleum - Q&amp;V 2'!$M$11:$M$252,4)+
SUMIFS('Petroleum - Q&amp;V 2'!$F$11:$F$252,'Petroleum - Q&amp;V 2'!$L$11:$L$252,CONCATENATE("20",RIGHT('Q&amp;V FY 2003-04 to Now'!I$9,2)),'Petroleum - Q&amp;V 2'!$M$11:$M$252,1)+
SUMIFS('Petroleum - Q&amp;V 2'!$F$11:$F$252,'Petroleum - Q&amp;V 2'!$L$11:$L$252,CONCATENATE("20",RIGHT('Q&amp;V FY 2003-04 to Now'!I$9,2)),'Petroleum - Q&amp;V 2'!$M$11:$M$252,2))</f>
        <v>898606</v>
      </c>
      <c r="J77" s="325">
        <f>(SUMIFS('Petroleum - Q&amp;V 2'!$H$11:$H$252,'Petroleum - Q&amp;V 2'!$L$11:$L$252,LEFT('Q&amp;V FY 2003-04 to Now'!I$9,4),'Petroleum - Q&amp;V 2'!$M$11:$M$252,3)+
SUMIFS('Petroleum - Q&amp;V 2'!$H$11:$H$252,'Petroleum - Q&amp;V 2'!$L$11:$L$252,LEFT('Q&amp;V FY 2003-04 to Now'!I$9,4),'Petroleum - Q&amp;V 2'!$M$11:$M$252,4)+
SUMIFS('Petroleum - Q&amp;V 2'!$H$11:$H$252,'Petroleum - Q&amp;V 2'!$L$11:$L$252,CONCATENATE("20",RIGHT('Q&amp;V FY 2003-04 to Now'!I$9,2)),'Petroleum - Q&amp;V 2'!$M$11:$M$252,1)+
SUMIFS('Petroleum - Q&amp;V 2'!$H$11:$H$252,'Petroleum - Q&amp;V 2'!$L$11:$L$252,CONCATENATE("20",RIGHT('Q&amp;V FY 2003-04 to Now'!I$9,2)),'Petroleum - Q&amp;V 2'!$M$11:$M$252,2))*1000000</f>
        <v>605084727.42592239</v>
      </c>
      <c r="K77" s="325">
        <f>(SUMIFS('Petroleum - Q&amp;V 2'!$F$11:$F$252,'Petroleum - Q&amp;V 2'!$L$11:$L$252,LEFT('Q&amp;V FY 2003-04 to Now'!K$9,4),'Petroleum - Q&amp;V 2'!$M$11:$M$252,3)+
SUMIFS('Petroleum - Q&amp;V 2'!$F$11:$F$252,'Petroleum - Q&amp;V 2'!$L$11:$L$252,LEFT('Q&amp;V FY 2003-04 to Now'!K$9,4),'Petroleum - Q&amp;V 2'!$M$11:$M$252,4)+
SUMIFS('Petroleum - Q&amp;V 2'!$F$11:$F$252,'Petroleum - Q&amp;V 2'!$L$11:$L$252,CONCATENATE("20",RIGHT('Q&amp;V FY 2003-04 to Now'!K$9,2)),'Petroleum - Q&amp;V 2'!$M$11:$M$252,1)+
SUMIFS('Petroleum - Q&amp;V 2'!$F$11:$F$252,'Petroleum - Q&amp;V 2'!$L$11:$L$252,CONCATENATE("20",RIGHT('Q&amp;V FY 2003-04 to Now'!K$9,2)),'Petroleum - Q&amp;V 2'!$M$11:$M$252,2))</f>
        <v>818390</v>
      </c>
      <c r="L77" s="325">
        <f>(SUMIFS('Petroleum - Q&amp;V 2'!$H$11:$H$252,'Petroleum - Q&amp;V 2'!$L$11:$L$252,LEFT('Q&amp;V FY 2003-04 to Now'!K$9,4),'Petroleum - Q&amp;V 2'!$M$11:$M$252,3)+
SUMIFS('Petroleum - Q&amp;V 2'!$H$11:$H$252,'Petroleum - Q&amp;V 2'!$L$11:$L$252,LEFT('Q&amp;V FY 2003-04 to Now'!K$9,4),'Petroleum - Q&amp;V 2'!$M$11:$M$252,4)+
SUMIFS('Petroleum - Q&amp;V 2'!$H$11:$H$252,'Petroleum - Q&amp;V 2'!$L$11:$L$252,CONCATENATE("20",RIGHT('Q&amp;V FY 2003-04 to Now'!K$9,2)),'Petroleum - Q&amp;V 2'!$M$11:$M$252,1)+
SUMIFS('Petroleum - Q&amp;V 2'!$H$11:$H$252,'Petroleum - Q&amp;V 2'!$L$11:$L$252,CONCATENATE("20",RIGHT('Q&amp;V FY 2003-04 to Now'!K$9,2)),'Petroleum - Q&amp;V 2'!$M$11:$M$252,2))*1000000</f>
        <v>683352216.99510252</v>
      </c>
      <c r="M77" s="325">
        <f>(SUMIFS('Petroleum - Q&amp;V 2'!$F$11:$F$252,'Petroleum - Q&amp;V 2'!$L$11:$L$252,LEFT('Q&amp;V FY 2003-04 to Now'!M$9,4),'Petroleum - Q&amp;V 2'!$M$11:$M$252,3)+
SUMIFS('Petroleum - Q&amp;V 2'!$F$11:$F$252,'Petroleum - Q&amp;V 2'!$L$11:$L$252,LEFT('Q&amp;V FY 2003-04 to Now'!M$9,4),'Petroleum - Q&amp;V 2'!$M$11:$M$252,4)+
SUMIFS('Petroleum - Q&amp;V 2'!$F$11:$F$252,'Petroleum - Q&amp;V 2'!$L$11:$L$252,CONCATENATE("20",RIGHT('Q&amp;V FY 2003-04 to Now'!M$9,2)),'Petroleum - Q&amp;V 2'!$M$11:$M$252,1)+
SUMIFS('Petroleum - Q&amp;V 2'!$F$11:$F$252,'Petroleum - Q&amp;V 2'!$L$11:$L$252,CONCATENATE("20",RIGHT('Q&amp;V FY 2003-04 to Now'!M$9,2)),'Petroleum - Q&amp;V 2'!$M$11:$M$252,2))</f>
        <v>866534</v>
      </c>
      <c r="N77" s="325">
        <f>(SUMIFS('Petroleum - Q&amp;V 2'!$H$11:$H$252,'Petroleum - Q&amp;V 2'!$L$11:$L$252,LEFT('Q&amp;V FY 2003-04 to Now'!M$9,4),'Petroleum - Q&amp;V 2'!$M$11:$M$252,3)+
SUMIFS('Petroleum - Q&amp;V 2'!$H$11:$H$252,'Petroleum - Q&amp;V 2'!$L$11:$L$252,LEFT('Q&amp;V FY 2003-04 to Now'!M$9,4),'Petroleum - Q&amp;V 2'!$M$11:$M$252,4)+
SUMIFS('Petroleum - Q&amp;V 2'!$H$11:$H$252,'Petroleum - Q&amp;V 2'!$L$11:$L$252,CONCATENATE("20",RIGHT('Q&amp;V FY 2003-04 to Now'!M$9,2)),'Petroleum - Q&amp;V 2'!$M$11:$M$252,1)+
SUMIFS('Petroleum - Q&amp;V 2'!$H$11:$H$252,'Petroleum - Q&amp;V 2'!$L$11:$L$252,CONCATENATE("20",RIGHT('Q&amp;V FY 2003-04 to Now'!M$9,2)),'Petroleum - Q&amp;V 2'!$M$11:$M$252,2))*1000000</f>
        <v>750825345.81660795</v>
      </c>
      <c r="O77" s="325">
        <f>(SUMIFS('Petroleum - Q&amp;V 2'!$F$11:$F$252,'Petroleum - Q&amp;V 2'!$L$11:$L$252,LEFT('Q&amp;V FY 2003-04 to Now'!O$9,4),'Petroleum - Q&amp;V 2'!$M$11:$M$252,3)+
SUMIFS('Petroleum - Q&amp;V 2'!$F$11:$F$252,'Petroleum - Q&amp;V 2'!$L$11:$L$252,LEFT('Q&amp;V FY 2003-04 to Now'!O$9,4),'Petroleum - Q&amp;V 2'!$M$11:$M$252,4)+
SUMIFS('Petroleum - Q&amp;V 2'!$F$11:$F$252,'Petroleum - Q&amp;V 2'!$L$11:$L$252,CONCATENATE("20",RIGHT('Q&amp;V FY 2003-04 to Now'!O$9,2)),'Petroleum - Q&amp;V 2'!$M$11:$M$252,1)+
SUMIFS('Petroleum - Q&amp;V 2'!$F$11:$F$252,'Petroleum - Q&amp;V 2'!$L$11:$L$252,CONCATENATE("20",RIGHT('Q&amp;V FY 2003-04 to Now'!O$9,2)),'Petroleum - Q&amp;V 2'!$M$11:$M$252,2))</f>
        <v>987896</v>
      </c>
      <c r="P77" s="325">
        <f>(SUMIFS('Petroleum - Q&amp;V 2'!$H$11:$H$252,'Petroleum - Q&amp;V 2'!$L$11:$L$252,LEFT('Q&amp;V FY 2003-04 to Now'!O$9,4),'Petroleum - Q&amp;V 2'!$M$11:$M$252,3)+
SUMIFS('Petroleum - Q&amp;V 2'!$H$11:$H$252,'Petroleum - Q&amp;V 2'!$L$11:$L$252,LEFT('Q&amp;V FY 2003-04 to Now'!O$9,4),'Petroleum - Q&amp;V 2'!$M$11:$M$252,4)+
SUMIFS('Petroleum - Q&amp;V 2'!$H$11:$H$252,'Petroleum - Q&amp;V 2'!$L$11:$L$252,CONCATENATE("20",RIGHT('Q&amp;V FY 2003-04 to Now'!O$9,2)),'Petroleum - Q&amp;V 2'!$M$11:$M$252,1)+
SUMIFS('Petroleum - Q&amp;V 2'!$H$11:$H$252,'Petroleum - Q&amp;V 2'!$L$11:$L$252,CONCATENATE("20",RIGHT('Q&amp;V FY 2003-04 to Now'!O$9,2)),'Petroleum - Q&amp;V 2'!$M$11:$M$252,2))*1000000</f>
        <v>696901992.19554532</v>
      </c>
      <c r="Q77" s="325">
        <f>(SUMIFS('Petroleum - Q&amp;V 2'!$F$11:$F$252,'Petroleum - Q&amp;V 2'!$L$11:$L$252,LEFT('Q&amp;V FY 2003-04 to Now'!Q$9,4),'Petroleum - Q&amp;V 2'!$M$11:$M$252,3)+
SUMIFS('Petroleum - Q&amp;V 2'!$F$11:$F$252,'Petroleum - Q&amp;V 2'!$L$11:$L$252,LEFT('Q&amp;V FY 2003-04 to Now'!Q$9,4),'Petroleum - Q&amp;V 2'!$M$11:$M$252,4)+
SUMIFS('Petroleum - Q&amp;V 2'!$F$11:$F$252,'Petroleum - Q&amp;V 2'!$L$11:$L$252,CONCATENATE("20",RIGHT('Q&amp;V FY 2003-04 to Now'!Q$9,2)),'Petroleum - Q&amp;V 2'!$M$11:$M$252,1)+
SUMIFS('Petroleum - Q&amp;V 2'!$F$11:$F$252,'Petroleum - Q&amp;V 2'!$L$11:$L$252,CONCATENATE("20",RIGHT('Q&amp;V FY 2003-04 to Now'!Q$9,2)),'Petroleum - Q&amp;V 2'!$M$11:$M$252,2))</f>
        <v>923763</v>
      </c>
      <c r="R77" s="325">
        <f>(SUMIFS('Petroleum - Q&amp;V 2'!$H$11:$H$252,'Petroleum - Q&amp;V 2'!$L$11:$L$252,LEFT('Q&amp;V FY 2003-04 to Now'!Q$9,4),'Petroleum - Q&amp;V 2'!$M$11:$M$252,3)+
SUMIFS('Petroleum - Q&amp;V 2'!$H$11:$H$252,'Petroleum - Q&amp;V 2'!$L$11:$L$252,LEFT('Q&amp;V FY 2003-04 to Now'!Q$9,4),'Petroleum - Q&amp;V 2'!$M$11:$M$252,4)+
SUMIFS('Petroleum - Q&amp;V 2'!$H$11:$H$252,'Petroleum - Q&amp;V 2'!$L$11:$L$252,CONCATENATE("20",RIGHT('Q&amp;V FY 2003-04 to Now'!Q$9,2)),'Petroleum - Q&amp;V 2'!$M$11:$M$252,1)+
SUMIFS('Petroleum - Q&amp;V 2'!$H$11:$H$252,'Petroleum - Q&amp;V 2'!$L$11:$L$252,CONCATENATE("20",RIGHT('Q&amp;V FY 2003-04 to Now'!Q$9,2)),'Petroleum - Q&amp;V 2'!$M$11:$M$252,2))*1000000</f>
        <v>774197459.00998545</v>
      </c>
      <c r="S77" s="325">
        <f>(SUMIFS('Petroleum - Q&amp;V 2'!$F$11:$F$252,'Petroleum - Q&amp;V 2'!$L$11:$L$252,LEFT('Q&amp;V FY 2003-04 to Now'!S$9,4),'Petroleum - Q&amp;V 2'!$M$11:$M$252,3)+
SUMIFS('Petroleum - Q&amp;V 2'!$F$11:$F$252,'Petroleum - Q&amp;V 2'!$L$11:$L$252,LEFT('Q&amp;V FY 2003-04 to Now'!S$9,4),'Petroleum - Q&amp;V 2'!$M$11:$M$252,4)+
SUMIFS('Petroleum - Q&amp;V 2'!$F$11:$F$252,'Petroleum - Q&amp;V 2'!$L$11:$L$252,CONCATENATE("20",RIGHT('Q&amp;V FY 2003-04 to Now'!S$9,2)),'Petroleum - Q&amp;V 2'!$M$11:$M$252,1)+
SUMIFS('Petroleum - Q&amp;V 2'!$F$11:$F$252,'Petroleum - Q&amp;V 2'!$L$11:$L$252,CONCATENATE("20",RIGHT('Q&amp;V FY 2003-04 to Now'!S$9,2)),'Petroleum - Q&amp;V 2'!$M$11:$M$252,2))</f>
        <v>835271</v>
      </c>
      <c r="T77" s="325">
        <f>(SUMIFS('Petroleum - Q&amp;V 2'!$H$11:$H$252,'Petroleum - Q&amp;V 2'!$L$11:$L$252,LEFT('Q&amp;V FY 2003-04 to Now'!S$9,4),'Petroleum - Q&amp;V 2'!$M$11:$M$252,3)+
SUMIFS('Petroleum - Q&amp;V 2'!$H$11:$H$252,'Petroleum - Q&amp;V 2'!$L$11:$L$252,LEFT('Q&amp;V FY 2003-04 to Now'!S$9,4),'Petroleum - Q&amp;V 2'!$M$11:$M$252,4)+
SUMIFS('Petroleum - Q&amp;V 2'!$H$11:$H$252,'Petroleum - Q&amp;V 2'!$L$11:$L$252,CONCATENATE("20",RIGHT('Q&amp;V FY 2003-04 to Now'!S$9,2)),'Petroleum - Q&amp;V 2'!$M$11:$M$252,1)+
SUMIFS('Petroleum - Q&amp;V 2'!$H$11:$H$252,'Petroleum - Q&amp;V 2'!$L$11:$L$252,CONCATENATE("20",RIGHT('Q&amp;V FY 2003-04 to Now'!S$9,2)),'Petroleum - Q&amp;V 2'!$M$11:$M$252,2))*1000000</f>
        <v>734484653.28098297</v>
      </c>
      <c r="U77" s="325">
        <f>(SUMIFS('Petroleum - Q&amp;V 2'!$F$11:$F$252,'Petroleum - Q&amp;V 2'!$L$11:$L$252,LEFT('Q&amp;V FY 2003-04 to Now'!U$9,4),'Petroleum - Q&amp;V 2'!$M$11:$M$252,3)+
SUMIFS('Petroleum - Q&amp;V 2'!$F$11:$F$252,'Petroleum - Q&amp;V 2'!$L$11:$L$252,LEFT('Q&amp;V FY 2003-04 to Now'!U$9,4),'Petroleum - Q&amp;V 2'!$M$11:$M$252,4)+
SUMIFS('Petroleum - Q&amp;V 2'!$F$11:$F$252,'Petroleum - Q&amp;V 2'!$L$11:$L$252,CONCATENATE("20",RIGHT('Q&amp;V FY 2003-04 to Now'!U$9,2)),'Petroleum - Q&amp;V 2'!$M$11:$M$252,1)+
SUMIFS('Petroleum - Q&amp;V 2'!$F$11:$F$252,'Petroleum - Q&amp;V 2'!$L$11:$L$252,CONCATENATE("20",RIGHT('Q&amp;V FY 2003-04 to Now'!U$9,2)),'Petroleum - Q&amp;V 2'!$M$11:$M$252,2))</f>
        <v>752910</v>
      </c>
      <c r="V77" s="325">
        <f>(SUMIFS('Petroleum - Q&amp;V 2'!$H$11:$H$252,'Petroleum - Q&amp;V 2'!$L$11:$L$252,LEFT('Q&amp;V FY 2003-04 to Now'!U$9,4),'Petroleum - Q&amp;V 2'!$M$11:$M$252,3)+
SUMIFS('Petroleum - Q&amp;V 2'!$H$11:$H$252,'Petroleum - Q&amp;V 2'!$L$11:$L$252,LEFT('Q&amp;V FY 2003-04 to Now'!U$9,4),'Petroleum - Q&amp;V 2'!$M$11:$M$252,4)+
SUMIFS('Petroleum - Q&amp;V 2'!$H$11:$H$252,'Petroleum - Q&amp;V 2'!$L$11:$L$252,CONCATENATE("20",RIGHT('Q&amp;V FY 2003-04 to Now'!U$9,2)),'Petroleum - Q&amp;V 2'!$M$11:$M$252,1)+
SUMIFS('Petroleum - Q&amp;V 2'!$H$11:$H$252,'Petroleum - Q&amp;V 2'!$L$11:$L$252,CONCATENATE("20",RIGHT('Q&amp;V FY 2003-04 to Now'!U$9,2)),'Petroleum - Q&amp;V 2'!$M$11:$M$252,2))*1000000</f>
        <v>634052634.91956651</v>
      </c>
      <c r="W77" s="325">
        <f>(SUMIFS('Petroleum - Q&amp;V 2'!$F$11:$F$252,'Petroleum - Q&amp;V 2'!$L$11:$L$252,LEFT('Q&amp;V FY 2003-04 to Now'!W$9,4),'Petroleum - Q&amp;V 2'!$M$11:$M$252,3)+
SUMIFS('Petroleum - Q&amp;V 2'!$F$11:$F$252,'Petroleum - Q&amp;V 2'!$L$11:$L$252,LEFT('Q&amp;V FY 2003-04 to Now'!W$9,4),'Petroleum - Q&amp;V 2'!$M$11:$M$252,4)+
SUMIFS('Petroleum - Q&amp;V 2'!$F$11:$F$252,'Petroleum - Q&amp;V 2'!$L$11:$L$252,CONCATENATE("20",RIGHT('Q&amp;V FY 2003-04 to Now'!W$9,2)),'Petroleum - Q&amp;V 2'!$M$11:$M$252,1)+
SUMIFS('Petroleum - Q&amp;V 2'!$F$11:$F$252,'Petroleum - Q&amp;V 2'!$L$11:$L$252,CONCATENATE("20",RIGHT('Q&amp;V FY 2003-04 to Now'!W$9,2)),'Petroleum - Q&amp;V 2'!$M$11:$M$252,2))</f>
        <v>389533</v>
      </c>
      <c r="X77" s="325">
        <f>(SUMIFS('Petroleum - Q&amp;V 2'!$H$11:$H$252,'Petroleum - Q&amp;V 2'!$L$11:$L$252,LEFT('Q&amp;V FY 2003-04 to Now'!W$9,4),'Petroleum - Q&amp;V 2'!$M$11:$M$252,3)+
SUMIFS('Petroleum - Q&amp;V 2'!$H$11:$H$252,'Petroleum - Q&amp;V 2'!$L$11:$L$252,LEFT('Q&amp;V FY 2003-04 to Now'!W$9,4),'Petroleum - Q&amp;V 2'!$M$11:$M$252,4)+
SUMIFS('Petroleum - Q&amp;V 2'!$H$11:$H$252,'Petroleum - Q&amp;V 2'!$L$11:$L$252,CONCATENATE("20",RIGHT('Q&amp;V FY 2003-04 to Now'!W$9,2)),'Petroleum - Q&amp;V 2'!$M$11:$M$252,1)+
SUMIFS('Petroleum - Q&amp;V 2'!$H$11:$H$252,'Petroleum - Q&amp;V 2'!$L$11:$L$252,CONCATENATE("20",RIGHT('Q&amp;V FY 2003-04 to Now'!W$9,2)),'Petroleum - Q&amp;V 2'!$M$11:$M$252,2))*1000000</f>
        <v>353541333.75915879</v>
      </c>
      <c r="Y77" s="325">
        <f>(SUMIFS('Petroleum - Q&amp;V 2'!$F$11:$F$252,'Petroleum - Q&amp;V 2'!$L$11:$L$252,LEFT('Q&amp;V FY 2003-04 to Now'!Y$9,4),'Petroleum - Q&amp;V 2'!$M$11:$M$252,3)+
SUMIFS('Petroleum - Q&amp;V 2'!$F$11:$F$252,'Petroleum - Q&amp;V 2'!$L$11:$L$252,LEFT('Q&amp;V FY 2003-04 to Now'!Y$9,4),'Petroleum - Q&amp;V 2'!$M$11:$M$252,4)+
SUMIFS('Petroleum - Q&amp;V 2'!$F$11:$F$252,'Petroleum - Q&amp;V 2'!$L$11:$L$252,CONCATENATE("20",RIGHT('Q&amp;V FY 2003-04 to Now'!Y$9,2)),'Petroleum - Q&amp;V 2'!$M$11:$M$252,1)+
SUMIFS('Petroleum - Q&amp;V 2'!$F$11:$F$252,'Petroleum - Q&amp;V 2'!$L$11:$L$252,CONCATENATE("20",RIGHT('Q&amp;V FY 2003-04 to Now'!Y$9,2)),'Petroleum - Q&amp;V 2'!$M$11:$M$252,2))</f>
        <v>553055</v>
      </c>
      <c r="Z77" s="325">
        <f>(SUMIFS('Petroleum - Q&amp;V 2'!$H$11:$H$252,'Petroleum - Q&amp;V 2'!$L$11:$L$252,LEFT('Q&amp;V FY 2003-04 to Now'!Y$9,4),'Petroleum - Q&amp;V 2'!$M$11:$M$252,3)+
SUMIFS('Petroleum - Q&amp;V 2'!$H$11:$H$252,'Petroleum - Q&amp;V 2'!$L$11:$L$252,LEFT('Q&amp;V FY 2003-04 to Now'!Y$9,4),'Petroleum - Q&amp;V 2'!$M$11:$M$252,4)+
SUMIFS('Petroleum - Q&amp;V 2'!$H$11:$H$252,'Petroleum - Q&amp;V 2'!$L$11:$L$252,CONCATENATE("20",RIGHT('Q&amp;V FY 2003-04 to Now'!Y$9,2)),'Petroleum - Q&amp;V 2'!$M$11:$M$252,1)+
SUMIFS('Petroleum - Q&amp;V 2'!$H$11:$H$252,'Petroleum - Q&amp;V 2'!$L$11:$L$252,CONCATENATE("20",RIGHT('Q&amp;V FY 2003-04 to Now'!Y$9,2)),'Petroleum - Q&amp;V 2'!$M$11:$M$252,2))*1000000</f>
        <v>405565515.87200266</v>
      </c>
      <c r="AA77" s="325">
        <f>(SUMIFS('Petroleum - Q&amp;V 2'!$F$11:$F$252,'Petroleum - Q&amp;V 2'!$L$11:$L$252,LEFT('Q&amp;V FY 2003-04 to Now'!AA$9,4),'Petroleum - Q&amp;V 2'!$M$11:$M$252,3)+
SUMIFS('Petroleum - Q&amp;V 2'!$F$11:$F$252,'Petroleum - Q&amp;V 2'!$L$11:$L$252,LEFT('Q&amp;V FY 2003-04 to Now'!AA$9,4),'Petroleum - Q&amp;V 2'!$M$11:$M$252,4)+
SUMIFS('Petroleum - Q&amp;V 2'!$F$11:$F$252,'Petroleum - Q&amp;V 2'!$L$11:$L$252,CONCATENATE("20",RIGHT('Q&amp;V FY 2003-04 to Now'!AA$9,2)),'Petroleum - Q&amp;V 2'!$M$11:$M$252,1)+
SUMIFS('Petroleum - Q&amp;V 2'!$F$11:$F$252,'Petroleum - Q&amp;V 2'!$L$11:$L$252,CONCATENATE("20",RIGHT('Q&amp;V FY 2003-04 to Now'!AA$9,2)),'Petroleum - Q&amp;V 2'!$M$11:$M$252,2))</f>
        <v>531595</v>
      </c>
      <c r="AB77" s="325">
        <f>(SUMIFS('Petroleum - Q&amp;V 2'!$H$11:$H$252,'Petroleum - Q&amp;V 2'!$L$11:$L$252,LEFT('Q&amp;V FY 2003-04 to Now'!AA$9,4),'Petroleum - Q&amp;V 2'!$M$11:$M$252,3)+
SUMIFS('Petroleum - Q&amp;V 2'!$H$11:$H$252,'Petroleum - Q&amp;V 2'!$L$11:$L$252,LEFT('Q&amp;V FY 2003-04 to Now'!AA$9,4),'Petroleum - Q&amp;V 2'!$M$11:$M$252,4)+
SUMIFS('Petroleum - Q&amp;V 2'!$H$11:$H$252,'Petroleum - Q&amp;V 2'!$L$11:$L$252,CONCATENATE("20",RIGHT('Q&amp;V FY 2003-04 to Now'!AA$9,2)),'Petroleum - Q&amp;V 2'!$M$11:$M$252,1)+
SUMIFS('Petroleum - Q&amp;V 2'!$H$11:$H$252,'Petroleum - Q&amp;V 2'!$L$11:$L$252,CONCATENATE("20",RIGHT('Q&amp;V FY 2003-04 to Now'!AA$9,2)),'Petroleum - Q&amp;V 2'!$M$11:$M$252,2))*1000000</f>
        <v>249059072.52354428</v>
      </c>
      <c r="AC77" s="325">
        <f>(SUMIFS('Petroleum - Q&amp;V 2'!$F$11:$F$252,'Petroleum - Q&amp;V 2'!$L$11:$L$252,LEFT('Q&amp;V FY 2003-04 to Now'!AC$9,4),'Petroleum - Q&amp;V 2'!$M$11:$M$252,3)+
SUMIFS('Petroleum - Q&amp;V 2'!$F$11:$F$252,'Petroleum - Q&amp;V 2'!$L$11:$L$252,LEFT('Q&amp;V FY 2003-04 to Now'!AC$9,4),'Petroleum - Q&amp;V 2'!$M$11:$M$252,4)+
SUMIFS('Petroleum - Q&amp;V 2'!$F$11:$F$252,'Petroleum - Q&amp;V 2'!$L$11:$L$252,CONCATENATE("20",RIGHT('Q&amp;V FY 2003-04 to Now'!AC$9,2)),'Petroleum - Q&amp;V 2'!$M$11:$M$252,1)+
SUMIFS('Petroleum - Q&amp;V 2'!$F$11:$F$252,'Petroleum - Q&amp;V 2'!$L$11:$L$252,CONCATENATE("20",RIGHT('Q&amp;V FY 2003-04 to Now'!AC$9,2)),'Petroleum - Q&amp;V 2'!$M$11:$M$252,2))</f>
        <v>527391</v>
      </c>
      <c r="AD77" s="325">
        <f>(SUMIFS('Petroleum - Q&amp;V 2'!$H$11:$H$252,'Petroleum - Q&amp;V 2'!$L$11:$L$252,LEFT('Q&amp;V FY 2003-04 to Now'!AC$9,4),'Petroleum - Q&amp;V 2'!$M$11:$M$252,3)+
SUMIFS('Petroleum - Q&amp;V 2'!$H$11:$H$252,'Petroleum - Q&amp;V 2'!$L$11:$L$252,LEFT('Q&amp;V FY 2003-04 to Now'!AC$9,4),'Petroleum - Q&amp;V 2'!$M$11:$M$252,4)+
SUMIFS('Petroleum - Q&amp;V 2'!$H$11:$H$252,'Petroleum - Q&amp;V 2'!$L$11:$L$252,CONCATENATE("20",RIGHT('Q&amp;V FY 2003-04 to Now'!AC$9,2)),'Petroleum - Q&amp;V 2'!$M$11:$M$252,1)+
SUMIFS('Petroleum - Q&amp;V 2'!$H$11:$H$252,'Petroleum - Q&amp;V 2'!$L$11:$L$252,CONCATENATE("20",RIGHT('Q&amp;V FY 2003-04 to Now'!AC$9,2)),'Petroleum - Q&amp;V 2'!$M$11:$M$252,2))*1000000</f>
        <v>273097308.20693642</v>
      </c>
      <c r="AE77" s="358">
        <f>(SUMIFS('Petroleum - Q&amp;V 2'!$F$11:$F$252,'Petroleum - Q&amp;V 2'!$L$11:$L$252,LEFT('Q&amp;V FY 2003-04 to Now'!AE$9,4),'Petroleum - Q&amp;V 2'!$M$11:$M$252,3)+
SUMIFS('Petroleum - Q&amp;V 2'!$F$11:$F$252,'Petroleum - Q&amp;V 2'!$L$11:$L$252,LEFT('Q&amp;V FY 2003-04 to Now'!AE$9,4),'Petroleum - Q&amp;V 2'!$M$11:$M$252,4)+
SUMIFS('Petroleum - Q&amp;V 2'!$F$11:$F$252,'Petroleum - Q&amp;V 2'!$L$11:$L$252,CONCATENATE("20",RIGHT('Q&amp;V FY 2003-04 to Now'!AE$9,2)),'Petroleum - Q&amp;V 2'!$M$11:$M$252,1)+
SUMIFS('Petroleum - Q&amp;V 2'!$F$11:$F$252,'Petroleum - Q&amp;V 2'!$L$11:$L$252,CONCATENATE("20",RIGHT('Q&amp;V FY 2003-04 to Now'!AE$9,2)),'Petroleum - Q&amp;V 2'!$M$11:$M$252,2))</f>
        <v>451242</v>
      </c>
      <c r="AF77" s="325">
        <f>(SUMIFS('Petroleum - Q&amp;V 2'!$H$11:$H$252,'Petroleum - Q&amp;V 2'!$L$11:$L$252,LEFT('Q&amp;V FY 2003-04 to Now'!AE$9,4),'Petroleum - Q&amp;V 2'!$M$11:$M$252,3)+
SUMIFS('Petroleum - Q&amp;V 2'!$H$11:$H$252,'Petroleum - Q&amp;V 2'!$L$11:$L$252,LEFT('Q&amp;V FY 2003-04 to Now'!AE$9,4),'Petroleum - Q&amp;V 2'!$M$11:$M$252,4)+
SUMIFS('Petroleum - Q&amp;V 2'!$H$11:$H$252,'Petroleum - Q&amp;V 2'!$L$11:$L$252,CONCATENATE("20",RIGHT('Q&amp;V FY 2003-04 to Now'!AE$9,2)),'Petroleum - Q&amp;V 2'!$M$11:$M$252,1)+
SUMIFS('Petroleum - Q&amp;V 2'!$H$11:$H$252,'Petroleum - Q&amp;V 2'!$L$11:$L$252,CONCATENATE("20",RIGHT('Q&amp;V FY 2003-04 to Now'!AE$9,2)),'Petroleum - Q&amp;V 2'!$M$11:$M$252,2))*1000000</f>
        <v>331271410.26354462</v>
      </c>
      <c r="AG77" s="358">
        <f>(SUMIFS('Petroleum - Q&amp;V 2'!$F$11:$F$252,'Petroleum - Q&amp;V 2'!$L$11:$L$252,LEFT('Q&amp;V FY 2003-04 to Now'!AG$9,4),'Petroleum - Q&amp;V 2'!$M$11:$M$252,3)+
SUMIFS('Petroleum - Q&amp;V 2'!$F$11:$F$252,'Petroleum - Q&amp;V 2'!$L$11:$L$252,LEFT('Q&amp;V FY 2003-04 to Now'!AG$9,4),'Petroleum - Q&amp;V 2'!$M$11:$M$252,4)+
SUMIFS('Petroleum - Q&amp;V 2'!$F$11:$F$252,'Petroleum - Q&amp;V 2'!$L$11:$L$252,CONCATENATE("20",RIGHT('Q&amp;V FY 2003-04 to Now'!AG$9,2)),'Petroleum - Q&amp;V 2'!$M$11:$M$252,1)+
SUMIFS('Petroleum - Q&amp;V 2'!$F$11:$F$252,'Petroleum - Q&amp;V 2'!$L$11:$L$252,CONCATENATE("20",RIGHT('Q&amp;V FY 2003-04 to Now'!AG$9,2)),'Petroleum - Q&amp;V 2'!$M$11:$M$252,2))</f>
        <v>447229</v>
      </c>
      <c r="AH77" s="326">
        <f>(SUMIFS('Petroleum - Q&amp;V 2'!$H$11:$H$252,'Petroleum - Q&amp;V 2'!$L$11:$L$252,LEFT('Q&amp;V FY 2003-04 to Now'!AG$9,4),'Petroleum - Q&amp;V 2'!$M$11:$M$252,3)+
SUMIFS('Petroleum - Q&amp;V 2'!$H$11:$H$252,'Petroleum - Q&amp;V 2'!$L$11:$L$252,LEFT('Q&amp;V FY 2003-04 to Now'!AG$9,4),'Petroleum - Q&amp;V 2'!$M$11:$M$252,4)+
SUMIFS('Petroleum - Q&amp;V 2'!$H$11:$H$252,'Petroleum - Q&amp;V 2'!$L$11:$L$252,CONCATENATE("20",RIGHT('Q&amp;V FY 2003-04 to Now'!AG$9,2)),'Petroleum - Q&amp;V 2'!$M$11:$M$252,1)+
SUMIFS('Petroleum - Q&amp;V 2'!$H$11:$H$252,'Petroleum - Q&amp;V 2'!$L$11:$L$252,CONCATENATE("20",RIGHT('Q&amp;V FY 2003-04 to Now'!AG$9,2)),'Petroleum - Q&amp;V 2'!$M$11:$M$252,2))*1000000</f>
        <v>317512583.16484815</v>
      </c>
      <c r="AI77" s="367">
        <f>(SUMIFS('Petroleum - Q&amp;V 2'!$F$11:$F$252,'Petroleum - Q&amp;V 2'!$L$11:$L$252,LEFT('Q&amp;V FY 2003-04 to Now'!AI$9,4),'Petroleum - Q&amp;V 2'!$M$11:$M$252,3)+
SUMIFS('Petroleum - Q&amp;V 2'!$F$11:$F$252,'Petroleum - Q&amp;V 2'!$L$11:$L$252,LEFT('Q&amp;V FY 2003-04 to Now'!AI$9,4),'Petroleum - Q&amp;V 2'!$M$11:$M$252,4)+
SUMIFS('Petroleum - Q&amp;V 2'!$F$11:$F$252,'Petroleum - Q&amp;V 2'!$L$11:$L$252,CONCATENATE("20",RIGHT('Q&amp;V FY 2003-04 to Now'!AI$9,2)),'Petroleum - Q&amp;V 2'!$M$11:$M$252,1)+
SUMIFS('Petroleum - Q&amp;V 2'!$F$11:$F$252,'Petroleum - Q&amp;V 2'!$L$11:$L$252,CONCATENATE("20",RIGHT('Q&amp;V FY 2003-04 to Now'!AI$9,2)),'Petroleum - Q&amp;V 2'!$M$11:$M$252,2))</f>
        <v>583369.22891566262</v>
      </c>
      <c r="AJ77" s="326">
        <f>(SUMIFS('Petroleum - Q&amp;V 2'!$H$11:$H$252,'Petroleum - Q&amp;V 2'!$L$11:$L$252,LEFT('Q&amp;V FY 2003-04 to Now'!AI$9,4),'Petroleum - Q&amp;V 2'!$M$11:$M$252,3)+
SUMIFS('Petroleum - Q&amp;V 2'!$H$11:$H$252,'Petroleum - Q&amp;V 2'!$L$11:$L$252,LEFT('Q&amp;V FY 2003-04 to Now'!AI$9,4),'Petroleum - Q&amp;V 2'!$M$11:$M$252,4)+
SUMIFS('Petroleum - Q&amp;V 2'!$H$11:$H$252,'Petroleum - Q&amp;V 2'!$L$11:$L$252,CONCATENATE("20",RIGHT('Q&amp;V FY 2003-04 to Now'!AI$9,2)),'Petroleum - Q&amp;V 2'!$M$11:$M$252,1)+
SUMIFS('Petroleum - Q&amp;V 2'!$H$11:$H$252,'Petroleum - Q&amp;V 2'!$L$11:$L$252,CONCATENATE("20",RIGHT('Q&amp;V FY 2003-04 to Now'!AI$9,2)),'Petroleum - Q&amp;V 2'!$M$11:$M$252,2))*1000000</f>
        <v>391396515.29339665</v>
      </c>
      <c r="AK77" s="326">
        <f>(SUMIFS('Petroleum - Q&amp;V 2'!$F$11:$F$252,'Petroleum - Q&amp;V 2'!$L$11:$L$252,LEFT('Q&amp;V FY 2003-04 to Now'!AK$9,4),'Petroleum - Q&amp;V 2'!$M$11:$M$252,3)+
SUMIFS('Petroleum - Q&amp;V 2'!$F$11:$F$252,'Petroleum - Q&amp;V 2'!$L$11:$L$252,LEFT('Q&amp;V FY 2003-04 to Now'!AK$9,4),'Petroleum - Q&amp;V 2'!$M$11:$M$252,4)+
SUMIFS('Petroleum - Q&amp;V 2'!$F$11:$F$252,'Petroleum - Q&amp;V 2'!$L$11:$L$252,CONCATENATE("20",RIGHT('Q&amp;V FY 2003-04 to Now'!AK$9,2)),'Petroleum - Q&amp;V 2'!$M$11:$M$252,1)+
SUMIFS('Petroleum - Q&amp;V 2'!$F$11:$F$252,'Petroleum - Q&amp;V 2'!$L$11:$L$252,CONCATENATE("20",RIGHT('Q&amp;V FY 2003-04 to Now'!AK$9,2)),'Petroleum - Q&amp;V 2'!$M$11:$M$252,2))</f>
        <v>480855.81927710841</v>
      </c>
      <c r="AL77" s="326">
        <f>(SUMIFS('Petroleum - Q&amp;V 2'!$H$11:$H$252,'Petroleum - Q&amp;V 2'!$L$11:$L$252,LEFT('Q&amp;V FY 2003-04 to Now'!AK$9,4),'Petroleum - Q&amp;V 2'!$M$11:$M$252,3)+
SUMIFS('Petroleum - Q&amp;V 2'!$H$11:$H$252,'Petroleum - Q&amp;V 2'!$L$11:$L$252,LEFT('Q&amp;V FY 2003-04 to Now'!AK$9,4),'Petroleum - Q&amp;V 2'!$M$11:$M$252,4)+
SUMIFS('Petroleum - Q&amp;V 2'!$H$11:$H$252,'Petroleum - Q&amp;V 2'!$L$11:$L$252,CONCATENATE("20",RIGHT('Q&amp;V FY 2003-04 to Now'!AK$9,2)),'Petroleum - Q&amp;V 2'!$M$11:$M$252,1)+
SUMIFS('Petroleum - Q&amp;V 2'!$H$11:$H$252,'Petroleum - Q&amp;V 2'!$L$11:$L$252,CONCATENATE("20",RIGHT('Q&amp;V FY 2003-04 to Now'!AK$9,2)),'Petroleum - Q&amp;V 2'!$M$11:$M$252,2))*1000000</f>
        <v>301751585.56815988</v>
      </c>
      <c r="AM77" s="326">
        <f>(SUMIFS('Petroleum - Q&amp;V 2'!$F$11:$F$252,'Petroleum - Q&amp;V 2'!$L$11:$L$252,LEFT('Q&amp;V FY 2003-04 to Now'!AM$9,4),'Petroleum - Q&amp;V 2'!$M$11:$M$252,3)+
SUMIFS('Petroleum - Q&amp;V 2'!$F$11:$F$252,'Petroleum - Q&amp;V 2'!$L$11:$L$252,LEFT('Q&amp;V FY 2003-04 to Now'!AM$9,4),'Petroleum - Q&amp;V 2'!$M$11:$M$252,4)+
SUMIFS('Petroleum - Q&amp;V 2'!$F$11:$F$252,'Petroleum - Q&amp;V 2'!$L$11:$L$252,CONCATENATE("20",RIGHT('Q&amp;V FY 2003-04 to Now'!AM$9,2)),'Petroleum - Q&amp;V 2'!$M$11:$M$252,1)+
SUMIFS('Petroleum - Q&amp;V 2'!$F$11:$F$252,'Petroleum - Q&amp;V 2'!$L$11:$L$252,CONCATENATE("20",RIGHT('Q&amp;V FY 2003-04 to Now'!AM$9,2)),'Petroleum - Q&amp;V 2'!$M$11:$M$252,2))</f>
        <v>687493.1738447278</v>
      </c>
      <c r="AN77" s="326">
        <f>(SUMIFS('Petroleum - Q&amp;V 2'!$H$11:$H$252,'Petroleum - Q&amp;V 2'!$L$11:$L$252,LEFT('Q&amp;V FY 2003-04 to Now'!AM$9,4),'Petroleum - Q&amp;V 2'!$M$11:$M$252,3)+
SUMIFS('Petroleum - Q&amp;V 2'!$H$11:$H$252,'Petroleum - Q&amp;V 2'!$L$11:$L$252,LEFT('Q&amp;V FY 2003-04 to Now'!AM$9,4),'Petroleum - Q&amp;V 2'!$M$11:$M$252,4)+
SUMIFS('Petroleum - Q&amp;V 2'!$H$11:$H$252,'Petroleum - Q&amp;V 2'!$L$11:$L$252,CONCATENATE("20",RIGHT('Q&amp;V FY 2003-04 to Now'!AM$9,2)),'Petroleum - Q&amp;V 2'!$M$11:$M$252,1)+
SUMIFS('Petroleum - Q&amp;V 2'!$H$11:$H$252,'Petroleum - Q&amp;V 2'!$L$11:$L$252,CONCATENATE("20",RIGHT('Q&amp;V FY 2003-04 to Now'!AM$9,2)),'Petroleum - Q&amp;V 2'!$M$11:$M$252,2))*1000000</f>
        <v>712672852.68453634</v>
      </c>
      <c r="AO77" s="326">
        <f>(SUMIFS('Petroleum - Q&amp;V 2'!$F$11:$F$252,'Petroleum - Q&amp;V 2'!$L$11:$L$252,LEFT('Q&amp;V FY 2003-04 to Now'!AO$9,4),'Petroleum - Q&amp;V 2'!$M$11:$M$252,3)+
SUMIFS('Petroleum - Q&amp;V 2'!$F$11:$F$252,'Petroleum - Q&amp;V 2'!$L$11:$L$252,LEFT('Q&amp;V FY 2003-04 to Now'!AO$9,4),'Petroleum - Q&amp;V 2'!$M$11:$M$252,4)+
SUMIFS('Petroleum - Q&amp;V 2'!$F$11:$F$252,'Petroleum - Q&amp;V 2'!$L$11:$L$252,CONCATENATE("20",RIGHT('Q&amp;V FY 2003-04 to Now'!AO$9,2)),'Petroleum - Q&amp;V 2'!$M$11:$M$252,1)+
SUMIFS('Petroleum - Q&amp;V 2'!$F$11:$F$252,'Petroleum - Q&amp;V 2'!$L$11:$L$252,CONCATENATE("20",RIGHT('Q&amp;V FY 2003-04 to Now'!AO$9,2)),'Petroleum - Q&amp;V 2'!$M$11:$M$252,2))</f>
        <v>760518.72936795664</v>
      </c>
      <c r="AP77" s="326">
        <f>(SUMIFS('Petroleum - Q&amp;V 2'!$H$11:$H$252,'Petroleum - Q&amp;V 2'!$L$11:$L$252,LEFT('Q&amp;V FY 2003-04 to Now'!AO$9,4),'Petroleum - Q&amp;V 2'!$M$11:$M$252,3)+
SUMIFS('Petroleum - Q&amp;V 2'!$H$11:$H$252,'Petroleum - Q&amp;V 2'!$L$11:$L$252,LEFT('Q&amp;V FY 2003-04 to Now'!AO$9,4),'Petroleum - Q&amp;V 2'!$M$11:$M$252,4)+
SUMIFS('Petroleum - Q&amp;V 2'!$H$11:$H$252,'Petroleum - Q&amp;V 2'!$L$11:$L$252,CONCATENATE("20",RIGHT('Q&amp;V FY 2003-04 to Now'!AO$9,2)),'Petroleum - Q&amp;V 2'!$M$11:$M$252,1)+
SUMIFS('Petroleum - Q&amp;V 2'!$H$11:$H$252,'Petroleum - Q&amp;V 2'!$L$11:$L$252,CONCATENATE("20",RIGHT('Q&amp;V FY 2003-04 to Now'!AO$9,2)),'Petroleum - Q&amp;V 2'!$M$11:$M$252,2))*1000000</f>
        <v>751076805.18412852</v>
      </c>
      <c r="AQ77" s="326">
        <f>(SUMIFS('Petroleum - Q&amp;V 2'!$F$11:$F$252,'Petroleum - Q&amp;V 2'!$L$11:$L$252,LEFT('Q&amp;V FY 2003-04 to Now'!AQ$9,4),'Petroleum - Q&amp;V 2'!$M$11:$M$252,3)+
SUMIFS('Petroleum - Q&amp;V 2'!$F$11:$F$252,'Petroleum - Q&amp;V 2'!$L$11:$L$252,LEFT('Q&amp;V FY 2003-04 to Now'!AQ$9,4),'Petroleum - Q&amp;V 2'!$M$11:$M$252,4)+
SUMIFS('Petroleum - Q&amp;V 2'!$F$11:$F$252,'Petroleum - Q&amp;V 2'!$L$11:$L$252,CONCATENATE("20",RIGHT('Q&amp;V FY 2003-04 to Now'!AQ$9,2)),'Petroleum - Q&amp;V 2'!$M$11:$M$252,1)+
SUMIFS('Petroleum - Q&amp;V 2'!$F$11:$F$252,'Petroleum - Q&amp;V 2'!$L$11:$L$252,CONCATENATE("20",RIGHT('Q&amp;V FY 2003-04 to Now'!AQ$9,2)),'Petroleum - Q&amp;V 2'!$M$11:$M$252,2))</f>
        <v>664382.01679734292</v>
      </c>
      <c r="AR77" s="326">
        <f>(SUMIFS('Petroleum - Q&amp;V 2'!$H$11:$H$252,'Petroleum - Q&amp;V 2'!$L$11:$L$252,LEFT('Q&amp;V FY 2003-04 to Now'!AQ$9,4),'Petroleum - Q&amp;V 2'!$M$11:$M$252,3)+
SUMIFS('Petroleum - Q&amp;V 2'!$H$11:$H$252,'Petroleum - Q&amp;V 2'!$L$11:$L$252,LEFT('Q&amp;V FY 2003-04 to Now'!AQ$9,4),'Petroleum - Q&amp;V 2'!$M$11:$M$252,4)+
SUMIFS('Petroleum - Q&amp;V 2'!$H$11:$H$252,'Petroleum - Q&amp;V 2'!$L$11:$L$252,CONCATENATE("20",RIGHT('Q&amp;V FY 2003-04 to Now'!AQ$9,2)),'Petroleum - Q&amp;V 2'!$M$11:$M$252,1)+
SUMIFS('Petroleum - Q&amp;V 2'!$H$11:$H$252,'Petroleum - Q&amp;V 2'!$L$11:$L$252,CONCATENATE("20",RIGHT('Q&amp;V FY 2003-04 to Now'!AQ$9,2)),'Petroleum - Q&amp;V 2'!$M$11:$M$252,2))*1000000</f>
        <v>551643202.72009492</v>
      </c>
      <c r="AS77" s="326">
        <f>(SUMIFS('Petroleum - Q&amp;V 2'!$F$11:$F$252,'Petroleum - Q&amp;V 2'!$L$11:$L$252,LEFT('Q&amp;V FY 2003-04 to Now'!AS$9,4),'Petroleum - Q&amp;V 2'!$M$11:$M$252,3)+
SUMIFS('Petroleum - Q&amp;V 2'!$F$11:$F$252,'Petroleum - Q&amp;V 2'!$L$11:$L$252,LEFT('Q&amp;V FY 2003-04 to Now'!AS$9,4),'Petroleum - Q&amp;V 2'!$M$11:$M$252,4)+
SUMIFS('Petroleum - Q&amp;V 2'!$F$11:$F$252,'Petroleum - Q&amp;V 2'!$L$11:$L$252,CONCATENATE("20",RIGHT('Q&amp;V FY 2003-04 to Now'!AS$9,2)),'Petroleum - Q&amp;V 2'!$M$11:$M$252,1)+
SUMIFS('Petroleum - Q&amp;V 2'!$F$11:$F$252,'Petroleum - Q&amp;V 2'!$L$11:$L$252,CONCATENATE("20",RIGHT('Q&amp;V FY 2003-04 to Now'!AS$9,2)),'Petroleum - Q&amp;V 2'!$M$11:$M$252,2))</f>
        <v>793302.37637902866</v>
      </c>
      <c r="AT77" s="326">
        <f>(SUMIFS('Petroleum - Q&amp;V 2'!$H$11:$H$252,'Petroleum - Q&amp;V 2'!$L$11:$L$252,LEFT('Q&amp;V FY 2003-04 to Now'!AS$9,4),'Petroleum - Q&amp;V 2'!$M$11:$M$252,3)+
SUMIFS('Petroleum - Q&amp;V 2'!$H$11:$H$252,'Petroleum - Q&amp;V 2'!$L$11:$L$252,LEFT('Q&amp;V FY 2003-04 to Now'!AS$9,4),'Petroleum - Q&amp;V 2'!$M$11:$M$252,4)+
SUMIFS('Petroleum - Q&amp;V 2'!$H$11:$H$252,'Petroleum - Q&amp;V 2'!$L$11:$L$252,CONCATENATE("20",RIGHT('Q&amp;V FY 2003-04 to Now'!AS$9,2)),'Petroleum - Q&amp;V 2'!$M$11:$M$252,1)+
SUMIFS('Petroleum - Q&amp;V 2'!$H$11:$H$252,'Petroleum - Q&amp;V 2'!$L$11:$L$252,CONCATENATE("20",RIGHT('Q&amp;V FY 2003-04 to Now'!AS$9,2)),'Petroleum - Q&amp;V 2'!$M$11:$M$252,2))*1000000</f>
        <v>618303158.4690063</v>
      </c>
      <c r="AU77" s="358">
        <f>SUMIF($C$11:AT$11,1,$C77:AT77)</f>
        <v>15284767.344581828</v>
      </c>
      <c r="AV77" s="325">
        <f>IF(COUNTIF($C77:AT77, "nfp")=0, SUMIF($C$11:AT$11,0,$C77:AT77), "nfp")</f>
        <v>11475866643.059399</v>
      </c>
    </row>
    <row r="78" spans="1:48" x14ac:dyDescent="0.25">
      <c r="A78" s="327" t="s">
        <v>170</v>
      </c>
      <c r="B78" s="379" t="s">
        <v>235</v>
      </c>
      <c r="C78" s="325">
        <f>(SUMIFS('Petroleum - Q&amp;V 2'!$I$11:$I$252,'Petroleum - Q&amp;V 2'!$L$11:$L$252,LEFT('Q&amp;V FY 2003-04 to Now'!C$9,4),'Petroleum - Q&amp;V 2'!$M$11:$M$252,3)+
SUMIFS('Petroleum - Q&amp;V 2'!$I$11:$I$252,'Petroleum - Q&amp;V 2'!$L$11:$L$252,LEFT('Q&amp;V FY 2003-04 to Now'!C$9,4),'Petroleum - Q&amp;V 2'!$M$11:$M$252,4)+
SUMIFS('Petroleum - Q&amp;V 2'!$I$11:$I$252,'Petroleum - Q&amp;V 2'!$L$11:$L$252,CONCATENATE("20",RIGHT('Q&amp;V FY 2003-04 to Now'!C$9,2)),'Petroleum - Q&amp;V 2'!$M$11:$M$252,1)+
SUMIFS('Petroleum - Q&amp;V 2'!$I$11:$I$252,'Petroleum - Q&amp;V 2'!$L$11:$L$252,CONCATENATE("20",RIGHT('Q&amp;V FY 2003-04 to Now'!C$9,2)),'Petroleum - Q&amp;V 2'!$M$11:$M$252,2))</f>
        <v>8060810</v>
      </c>
      <c r="D78" s="325">
        <f>(SUMIFS('Petroleum - Q&amp;V 2'!$K$11:$K$252,'Petroleum - Q&amp;V 2'!$L$11:$L$252,LEFT('Q&amp;V FY 2003-04 to Now'!C$9,4),'Petroleum - Q&amp;V 2'!$M$11:$M$252,3)+
SUMIFS('Petroleum - Q&amp;V 2'!$K$11:$K$252,'Petroleum - Q&amp;V 2'!$L$11:$L$252,LEFT('Q&amp;V FY 2003-04 to Now'!C$9,4),'Petroleum - Q&amp;V 2'!$M$11:$M$252,4)+
SUMIFS('Petroleum - Q&amp;V 2'!$K$11:$K$252,'Petroleum - Q&amp;V 2'!$L$11:$L$252,CONCATENATE("20",RIGHT('Q&amp;V FY 2003-04 to Now'!C$9,2)),'Petroleum - Q&amp;V 2'!$M$11:$M$252,1)+
SUMIFS('Petroleum - Q&amp;V 2'!$K$11:$K$252,'Petroleum - Q&amp;V 2'!$L$11:$L$252,CONCATENATE("20",RIGHT('Q&amp;V FY 2003-04 to Now'!C$9,2)),'Petroleum - Q&amp;V 2'!$M$11:$M$252,2))*1000000</f>
        <v>681043656.99999988</v>
      </c>
      <c r="E78" s="325">
        <f>(SUMIFS('Petroleum - Q&amp;V 2'!$I$11:$I$252,'Petroleum - Q&amp;V 2'!$L$11:$L$252,LEFT('Q&amp;V FY 2003-04 to Now'!E$9,4),'Petroleum - Q&amp;V 2'!$M$11:$M$252,3)+
SUMIFS('Petroleum - Q&amp;V 2'!$I$11:$I$252,'Petroleum - Q&amp;V 2'!$L$11:$L$252,LEFT('Q&amp;V FY 2003-04 to Now'!E$9,4),'Petroleum - Q&amp;V 2'!$M$11:$M$252,4)+
SUMIFS('Petroleum - Q&amp;V 2'!$I$11:$I$252,'Petroleum - Q&amp;V 2'!$L$11:$L$252,CONCATENATE("20",RIGHT('Q&amp;V FY 2003-04 to Now'!E$9,2)),'Petroleum - Q&amp;V 2'!$M$11:$M$252,1)+
SUMIFS('Petroleum - Q&amp;V 2'!$I$11:$I$252,'Petroleum - Q&amp;V 2'!$L$11:$L$252,CONCATENATE("20",RIGHT('Q&amp;V FY 2003-04 to Now'!E$9,2)),'Petroleum - Q&amp;V 2'!$M$11:$M$252,2))</f>
        <v>7642801</v>
      </c>
      <c r="F78" s="325">
        <f>(SUMIFS('Petroleum - Q&amp;V 2'!$K$11:$K$252,'Petroleum - Q&amp;V 2'!$L$11:$L$252,LEFT('Q&amp;V FY 2003-04 to Now'!E$9,4),'Petroleum - Q&amp;V 2'!$M$11:$M$252,3)+
SUMIFS('Petroleum - Q&amp;V 2'!$K$11:$K$252,'Petroleum - Q&amp;V 2'!$L$11:$L$252,LEFT('Q&amp;V FY 2003-04 to Now'!E$9,4),'Petroleum - Q&amp;V 2'!$M$11:$M$252,4)+
SUMIFS('Petroleum - Q&amp;V 2'!$K$11:$K$252,'Petroleum - Q&amp;V 2'!$L$11:$L$252,CONCATENATE("20",RIGHT('Q&amp;V FY 2003-04 to Now'!E$9,2)),'Petroleum - Q&amp;V 2'!$M$11:$M$252,1)+
SUMIFS('Petroleum - Q&amp;V 2'!$K$11:$K$252,'Petroleum - Q&amp;V 2'!$L$11:$L$252,CONCATENATE("20",RIGHT('Q&amp;V FY 2003-04 to Now'!E$9,2)),'Petroleum - Q&amp;V 2'!$M$11:$M$252,2))*1000000</f>
        <v>678722971</v>
      </c>
      <c r="G78" s="325">
        <f>(SUMIFS('Petroleum - Q&amp;V 2'!$I$11:$I$252,'Petroleum - Q&amp;V 2'!$L$11:$L$252,LEFT('Q&amp;V FY 2003-04 to Now'!G$9,4),'Petroleum - Q&amp;V 2'!$M$11:$M$252,3)+
SUMIFS('Petroleum - Q&amp;V 2'!$I$11:$I$252,'Petroleum - Q&amp;V 2'!$L$11:$L$252,LEFT('Q&amp;V FY 2003-04 to Now'!G$9,4),'Petroleum - Q&amp;V 2'!$M$11:$M$252,4)+
SUMIFS('Petroleum - Q&amp;V 2'!$I$11:$I$252,'Petroleum - Q&amp;V 2'!$L$11:$L$252,CONCATENATE("20",RIGHT('Q&amp;V FY 2003-04 to Now'!G$9,2)),'Petroleum - Q&amp;V 2'!$M$11:$M$252,1)+
SUMIFS('Petroleum - Q&amp;V 2'!$I$11:$I$252,'Petroleum - Q&amp;V 2'!$L$11:$L$252,CONCATENATE("20",RIGHT('Q&amp;V FY 2003-04 to Now'!G$9,2)),'Petroleum - Q&amp;V 2'!$M$11:$M$252,2))</f>
        <v>7713414</v>
      </c>
      <c r="H78" s="325">
        <f>(SUMIFS('Petroleum - Q&amp;V 2'!$K$11:$K$252,'Petroleum - Q&amp;V 2'!$L$11:$L$252,LEFT('Q&amp;V FY 2003-04 to Now'!G$9,4),'Petroleum - Q&amp;V 2'!$M$11:$M$252,3)+
SUMIFS('Petroleum - Q&amp;V 2'!$K$11:$K$252,'Petroleum - Q&amp;V 2'!$L$11:$L$252,LEFT('Q&amp;V FY 2003-04 to Now'!G$9,4),'Petroleum - Q&amp;V 2'!$M$11:$M$252,4)+
SUMIFS('Petroleum - Q&amp;V 2'!$K$11:$K$252,'Petroleum - Q&amp;V 2'!$L$11:$L$252,CONCATENATE("20",RIGHT('Q&amp;V FY 2003-04 to Now'!G$9,2)),'Petroleum - Q&amp;V 2'!$M$11:$M$252,1)+
SUMIFS('Petroleum - Q&amp;V 2'!$K$11:$K$252,'Petroleum - Q&amp;V 2'!$L$11:$L$252,CONCATENATE("20",RIGHT('Q&amp;V FY 2003-04 to Now'!G$9,2)),'Petroleum - Q&amp;V 2'!$M$11:$M$252,2))*1000000</f>
        <v>700982811</v>
      </c>
      <c r="I78" s="325">
        <f>(SUMIFS('Petroleum - Q&amp;V 2'!$I$11:$I$252,'Petroleum - Q&amp;V 2'!$L$11:$L$252,LEFT('Q&amp;V FY 2003-04 to Now'!I$9,4),'Petroleum - Q&amp;V 2'!$M$11:$M$252,3)+
SUMIFS('Petroleum - Q&amp;V 2'!$I$11:$I$252,'Petroleum - Q&amp;V 2'!$L$11:$L$252,LEFT('Q&amp;V FY 2003-04 to Now'!I$9,4),'Petroleum - Q&amp;V 2'!$M$11:$M$252,4)+
SUMIFS('Petroleum - Q&amp;V 2'!$I$11:$I$252,'Petroleum - Q&amp;V 2'!$L$11:$L$252,CONCATENATE("20",RIGHT('Q&amp;V FY 2003-04 to Now'!I$9,2)),'Petroleum - Q&amp;V 2'!$M$11:$M$252,1)+
SUMIFS('Petroleum - Q&amp;V 2'!$I$11:$I$252,'Petroleum - Q&amp;V 2'!$L$11:$L$252,CONCATENATE("20",RIGHT('Q&amp;V FY 2003-04 to Now'!I$9,2)),'Petroleum - Q&amp;V 2'!$M$11:$M$252,2))</f>
        <v>8714911</v>
      </c>
      <c r="J78" s="325">
        <f>(SUMIFS('Petroleum - Q&amp;V 2'!$K$11:$K$252,'Petroleum - Q&amp;V 2'!$L$11:$L$252,LEFT('Q&amp;V FY 2003-04 to Now'!I$9,4),'Petroleum - Q&amp;V 2'!$M$11:$M$252,3)+
SUMIFS('Petroleum - Q&amp;V 2'!$K$11:$K$252,'Petroleum - Q&amp;V 2'!$L$11:$L$252,LEFT('Q&amp;V FY 2003-04 to Now'!I$9,4),'Petroleum - Q&amp;V 2'!$M$11:$M$252,4)+
SUMIFS('Petroleum - Q&amp;V 2'!$K$11:$K$252,'Petroleum - Q&amp;V 2'!$L$11:$L$252,CONCATENATE("20",RIGHT('Q&amp;V FY 2003-04 to Now'!I$9,2)),'Petroleum - Q&amp;V 2'!$M$11:$M$252,1)+
SUMIFS('Petroleum - Q&amp;V 2'!$K$11:$K$252,'Petroleum - Q&amp;V 2'!$L$11:$L$252,CONCATENATE("20",RIGHT('Q&amp;V FY 2003-04 to Now'!I$9,2)),'Petroleum - Q&amp;V 2'!$M$11:$M$252,2))*1000000</f>
        <v>918022034</v>
      </c>
      <c r="K78" s="325">
        <f>(SUMIFS('Petroleum - Q&amp;V 2'!$I$11:$I$252,'Petroleum - Q&amp;V 2'!$L$11:$L$252,LEFT('Q&amp;V FY 2003-04 to Now'!K$9,4),'Petroleum - Q&amp;V 2'!$M$11:$M$252,3)+
SUMIFS('Petroleum - Q&amp;V 2'!$I$11:$I$252,'Petroleum - Q&amp;V 2'!$L$11:$L$252,LEFT('Q&amp;V FY 2003-04 to Now'!K$9,4),'Petroleum - Q&amp;V 2'!$M$11:$M$252,4)+
SUMIFS('Petroleum - Q&amp;V 2'!$I$11:$I$252,'Petroleum - Q&amp;V 2'!$L$11:$L$252,CONCATENATE("20",RIGHT('Q&amp;V FY 2003-04 to Now'!K$9,2)),'Petroleum - Q&amp;V 2'!$M$11:$M$252,1)+
SUMIFS('Petroleum - Q&amp;V 2'!$I$11:$I$252,'Petroleum - Q&amp;V 2'!$L$11:$L$252,CONCATENATE("20",RIGHT('Q&amp;V FY 2003-04 to Now'!K$9,2)),'Petroleum - Q&amp;V 2'!$M$11:$M$252,2))</f>
        <v>9159073</v>
      </c>
      <c r="L78" s="325">
        <f>(SUMIFS('Petroleum - Q&amp;V 2'!$K$11:$K$252,'Petroleum - Q&amp;V 2'!$L$11:$L$252,LEFT('Q&amp;V FY 2003-04 to Now'!K$9,4),'Petroleum - Q&amp;V 2'!$M$11:$M$252,3)+
SUMIFS('Petroleum - Q&amp;V 2'!$K$11:$K$252,'Petroleum - Q&amp;V 2'!$L$11:$L$252,LEFT('Q&amp;V FY 2003-04 to Now'!K$9,4),'Petroleum - Q&amp;V 2'!$M$11:$M$252,4)+
SUMIFS('Petroleum - Q&amp;V 2'!$K$11:$K$252,'Petroleum - Q&amp;V 2'!$L$11:$L$252,CONCATENATE("20",RIGHT('Q&amp;V FY 2003-04 to Now'!K$9,2)),'Petroleum - Q&amp;V 2'!$M$11:$M$252,1)+
SUMIFS('Petroleum - Q&amp;V 2'!$K$11:$K$252,'Petroleum - Q&amp;V 2'!$L$11:$L$252,CONCATENATE("20",RIGHT('Q&amp;V FY 2003-04 to Now'!K$9,2)),'Petroleum - Q&amp;V 2'!$M$11:$M$252,2))*1000000</f>
        <v>1054018227.9999999</v>
      </c>
      <c r="M78" s="325">
        <f>(SUMIFS('Petroleum - Q&amp;V 2'!$I$11:$I$252,'Petroleum - Q&amp;V 2'!$L$11:$L$252,LEFT('Q&amp;V FY 2003-04 to Now'!M$9,4),'Petroleum - Q&amp;V 2'!$M$11:$M$252,3)+
SUMIFS('Petroleum - Q&amp;V 2'!$I$11:$I$252,'Petroleum - Q&amp;V 2'!$L$11:$L$252,LEFT('Q&amp;V FY 2003-04 to Now'!M$9,4),'Petroleum - Q&amp;V 2'!$M$11:$M$252,4)+
SUMIFS('Petroleum - Q&amp;V 2'!$I$11:$I$252,'Petroleum - Q&amp;V 2'!$L$11:$L$252,CONCATENATE("20",RIGHT('Q&amp;V FY 2003-04 to Now'!M$9,2)),'Petroleum - Q&amp;V 2'!$M$11:$M$252,1)+
SUMIFS('Petroleum - Q&amp;V 2'!$I$11:$I$252,'Petroleum - Q&amp;V 2'!$L$11:$L$252,CONCATENATE("20",RIGHT('Q&amp;V FY 2003-04 to Now'!M$9,2)),'Petroleum - Q&amp;V 2'!$M$11:$M$252,2))</f>
        <v>8598035</v>
      </c>
      <c r="N78" s="325">
        <f>(SUMIFS('Petroleum - Q&amp;V 2'!$K$11:$K$252,'Petroleum - Q&amp;V 2'!$L$11:$L$252,LEFT('Q&amp;V FY 2003-04 to Now'!M$9,4),'Petroleum - Q&amp;V 2'!$M$11:$M$252,3)+
SUMIFS('Petroleum - Q&amp;V 2'!$K$11:$K$252,'Petroleum - Q&amp;V 2'!$L$11:$L$252,LEFT('Q&amp;V FY 2003-04 to Now'!M$9,4),'Petroleum - Q&amp;V 2'!$M$11:$M$252,4)+
SUMIFS('Petroleum - Q&amp;V 2'!$K$11:$K$252,'Petroleum - Q&amp;V 2'!$L$11:$L$252,CONCATENATE("20",RIGHT('Q&amp;V FY 2003-04 to Now'!M$9,2)),'Petroleum - Q&amp;V 2'!$M$11:$M$252,1)+
SUMIFS('Petroleum - Q&amp;V 2'!$K$11:$K$252,'Petroleum - Q&amp;V 2'!$L$11:$L$252,CONCATENATE("20",RIGHT('Q&amp;V FY 2003-04 to Now'!M$9,2)),'Petroleum - Q&amp;V 2'!$M$11:$M$252,2))*1000000</f>
        <v>1232208987.9999998</v>
      </c>
      <c r="O78" s="325">
        <f>(SUMIFS('Petroleum - Q&amp;V 2'!$I$11:$I$252,'Petroleum - Q&amp;V 2'!$L$11:$L$252,LEFT('Q&amp;V FY 2003-04 to Now'!O$9,4),'Petroleum - Q&amp;V 2'!$M$11:$M$252,3)+
SUMIFS('Petroleum - Q&amp;V 2'!$I$11:$I$252,'Petroleum - Q&amp;V 2'!$L$11:$L$252,LEFT('Q&amp;V FY 2003-04 to Now'!O$9,4),'Petroleum - Q&amp;V 2'!$M$11:$M$252,4)+
SUMIFS('Petroleum - Q&amp;V 2'!$I$11:$I$252,'Petroleum - Q&amp;V 2'!$L$11:$L$252,CONCATENATE("20",RIGHT('Q&amp;V FY 2003-04 to Now'!O$9,2)),'Petroleum - Q&amp;V 2'!$M$11:$M$252,1)+
SUMIFS('Petroleum - Q&amp;V 2'!$I$11:$I$252,'Petroleum - Q&amp;V 2'!$L$11:$L$252,CONCATENATE("20",RIGHT('Q&amp;V FY 2003-04 to Now'!O$9,2)),'Petroleum - Q&amp;V 2'!$M$11:$M$252,2))</f>
        <v>9357026</v>
      </c>
      <c r="P78" s="325">
        <f>(SUMIFS('Petroleum - Q&amp;V 2'!$K$11:$K$252,'Petroleum - Q&amp;V 2'!$L$11:$L$252,LEFT('Q&amp;V FY 2003-04 to Now'!O$9,4),'Petroleum - Q&amp;V 2'!$M$11:$M$252,3)+
SUMIFS('Petroleum - Q&amp;V 2'!$K$11:$K$252,'Petroleum - Q&amp;V 2'!$L$11:$L$252,LEFT('Q&amp;V FY 2003-04 to Now'!O$9,4),'Petroleum - Q&amp;V 2'!$M$11:$M$252,4)+
SUMIFS('Petroleum - Q&amp;V 2'!$K$11:$K$252,'Petroleum - Q&amp;V 2'!$L$11:$L$252,CONCATENATE("20",RIGHT('Q&amp;V FY 2003-04 to Now'!O$9,2)),'Petroleum - Q&amp;V 2'!$M$11:$M$252,1)+
SUMIFS('Petroleum - Q&amp;V 2'!$K$11:$K$252,'Petroleum - Q&amp;V 2'!$L$11:$L$252,CONCATENATE("20",RIGHT('Q&amp;V FY 2003-04 to Now'!O$9,2)),'Petroleum - Q&amp;V 2'!$M$11:$M$252,2))*1000000</f>
        <v>1320801777.0000002</v>
      </c>
      <c r="Q78" s="325">
        <f>(SUMIFS('Petroleum - Q&amp;V 2'!$I$11:$I$252,'Petroleum - Q&amp;V 2'!$L$11:$L$252,LEFT('Q&amp;V FY 2003-04 to Now'!Q$9,4),'Petroleum - Q&amp;V 2'!$M$11:$M$252,3)+
SUMIFS('Petroleum - Q&amp;V 2'!$I$11:$I$252,'Petroleum - Q&amp;V 2'!$L$11:$L$252,LEFT('Q&amp;V FY 2003-04 to Now'!Q$9,4),'Petroleum - Q&amp;V 2'!$M$11:$M$252,4)+
SUMIFS('Petroleum - Q&amp;V 2'!$I$11:$I$252,'Petroleum - Q&amp;V 2'!$L$11:$L$252,CONCATENATE("20",RIGHT('Q&amp;V FY 2003-04 to Now'!Q$9,2)),'Petroleum - Q&amp;V 2'!$M$11:$M$252,1)+
SUMIFS('Petroleum - Q&amp;V 2'!$I$11:$I$252,'Petroleum - Q&amp;V 2'!$L$11:$L$252,CONCATENATE("20",RIGHT('Q&amp;V FY 2003-04 to Now'!Q$9,2)),'Petroleum - Q&amp;V 2'!$M$11:$M$252,2))</f>
        <v>8981495</v>
      </c>
      <c r="R78" s="325">
        <f>(SUMIFS('Petroleum - Q&amp;V 2'!$K$11:$K$252,'Petroleum - Q&amp;V 2'!$L$11:$L$252,LEFT('Q&amp;V FY 2003-04 to Now'!Q$9,4),'Petroleum - Q&amp;V 2'!$M$11:$M$252,3)+
SUMIFS('Petroleum - Q&amp;V 2'!$K$11:$K$252,'Petroleum - Q&amp;V 2'!$L$11:$L$252,LEFT('Q&amp;V FY 2003-04 to Now'!Q$9,4),'Petroleum - Q&amp;V 2'!$M$11:$M$252,4)+
SUMIFS('Petroleum - Q&amp;V 2'!$K$11:$K$252,'Petroleum - Q&amp;V 2'!$L$11:$L$252,CONCATENATE("20",RIGHT('Q&amp;V FY 2003-04 to Now'!Q$9,2)),'Petroleum - Q&amp;V 2'!$M$11:$M$252,1)+
SUMIFS('Petroleum - Q&amp;V 2'!$K$11:$K$252,'Petroleum - Q&amp;V 2'!$L$11:$L$252,CONCATENATE("20",RIGHT('Q&amp;V FY 2003-04 to Now'!Q$9,2)),'Petroleum - Q&amp;V 2'!$M$11:$M$252,2))*1000000</f>
        <v>1364589067</v>
      </c>
      <c r="S78" s="325">
        <f>(SUMIFS('Petroleum - Q&amp;V 2'!$I$11:$I$252,'Petroleum - Q&amp;V 2'!$L$11:$L$252,LEFT('Q&amp;V FY 2003-04 to Now'!S$9,4),'Petroleum - Q&amp;V 2'!$M$11:$M$252,3)+
SUMIFS('Petroleum - Q&amp;V 2'!$I$11:$I$252,'Petroleum - Q&amp;V 2'!$L$11:$L$252,LEFT('Q&amp;V FY 2003-04 to Now'!S$9,4),'Petroleum - Q&amp;V 2'!$M$11:$M$252,4)+
SUMIFS('Petroleum - Q&amp;V 2'!$I$11:$I$252,'Petroleum - Q&amp;V 2'!$L$11:$L$252,CONCATENATE("20",RIGHT('Q&amp;V FY 2003-04 to Now'!S$9,2)),'Petroleum - Q&amp;V 2'!$M$11:$M$252,1)+
SUMIFS('Petroleum - Q&amp;V 2'!$I$11:$I$252,'Petroleum - Q&amp;V 2'!$L$11:$L$252,CONCATENATE("20",RIGHT('Q&amp;V FY 2003-04 to Now'!S$9,2)),'Petroleum - Q&amp;V 2'!$M$11:$M$252,2))</f>
        <v>9080655</v>
      </c>
      <c r="T78" s="325">
        <f>(SUMIFS('Petroleum - Q&amp;V 2'!$K$11:$K$252,'Petroleum - Q&amp;V 2'!$L$11:$L$252,LEFT('Q&amp;V FY 2003-04 to Now'!S$9,4),'Petroleum - Q&amp;V 2'!$M$11:$M$252,3)+
SUMIFS('Petroleum - Q&amp;V 2'!$K$11:$K$252,'Petroleum - Q&amp;V 2'!$L$11:$L$252,LEFT('Q&amp;V FY 2003-04 to Now'!S$9,4),'Petroleum - Q&amp;V 2'!$M$11:$M$252,4)+
SUMIFS('Petroleum - Q&amp;V 2'!$K$11:$K$252,'Petroleum - Q&amp;V 2'!$L$11:$L$252,CONCATENATE("20",RIGHT('Q&amp;V FY 2003-04 to Now'!S$9,2)),'Petroleum - Q&amp;V 2'!$M$11:$M$252,1)+
SUMIFS('Petroleum - Q&amp;V 2'!$K$11:$K$252,'Petroleum - Q&amp;V 2'!$L$11:$L$252,CONCATENATE("20",RIGHT('Q&amp;V FY 2003-04 to Now'!S$9,2)),'Petroleum - Q&amp;V 2'!$M$11:$M$252,2))*1000000</f>
        <v>1449810229</v>
      </c>
      <c r="U78" s="325">
        <f>(SUMIFS('Petroleum - Q&amp;V 2'!$I$11:$I$252,'Petroleum - Q&amp;V 2'!$L$11:$L$252,LEFT('Q&amp;V FY 2003-04 to Now'!U$9,4),'Petroleum - Q&amp;V 2'!$M$11:$M$252,3)+
SUMIFS('Petroleum - Q&amp;V 2'!$I$11:$I$252,'Petroleum - Q&amp;V 2'!$L$11:$L$252,LEFT('Q&amp;V FY 2003-04 to Now'!U$9,4),'Petroleum - Q&amp;V 2'!$M$11:$M$252,4)+
SUMIFS('Petroleum - Q&amp;V 2'!$I$11:$I$252,'Petroleum - Q&amp;V 2'!$L$11:$L$252,CONCATENATE("20",RIGHT('Q&amp;V FY 2003-04 to Now'!U$9,2)),'Petroleum - Q&amp;V 2'!$M$11:$M$252,1)+
SUMIFS('Petroleum - Q&amp;V 2'!$I$11:$I$252,'Petroleum - Q&amp;V 2'!$L$11:$L$252,CONCATENATE("20",RIGHT('Q&amp;V FY 2003-04 to Now'!U$9,2)),'Petroleum - Q&amp;V 2'!$M$11:$M$252,2))</f>
        <v>8713949</v>
      </c>
      <c r="V78" s="325">
        <f>(SUMIFS('Petroleum - Q&amp;V 2'!$K$11:$K$252,'Petroleum - Q&amp;V 2'!$L$11:$L$252,LEFT('Q&amp;V FY 2003-04 to Now'!U$9,4),'Petroleum - Q&amp;V 2'!$M$11:$M$252,3)+
SUMIFS('Petroleum - Q&amp;V 2'!$K$11:$K$252,'Petroleum - Q&amp;V 2'!$L$11:$L$252,LEFT('Q&amp;V FY 2003-04 to Now'!U$9,4),'Petroleum - Q&amp;V 2'!$M$11:$M$252,4)+
SUMIFS('Petroleum - Q&amp;V 2'!$K$11:$K$252,'Petroleum - Q&amp;V 2'!$L$11:$L$252,CONCATENATE("20",RIGHT('Q&amp;V FY 2003-04 to Now'!U$9,2)),'Petroleum - Q&amp;V 2'!$M$11:$M$252,1)+
SUMIFS('Petroleum - Q&amp;V 2'!$K$11:$K$252,'Petroleum - Q&amp;V 2'!$L$11:$L$252,CONCATENATE("20",RIGHT('Q&amp;V FY 2003-04 to Now'!U$9,2)),'Petroleum - Q&amp;V 2'!$M$11:$M$252,2))*1000000</f>
        <v>1434550772</v>
      </c>
      <c r="W78" s="325">
        <f>(SUMIFS('Petroleum - Q&amp;V 2'!$I$11:$I$252,'Petroleum - Q&amp;V 2'!$L$11:$L$252,LEFT('Q&amp;V FY 2003-04 to Now'!W$9,4),'Petroleum - Q&amp;V 2'!$M$11:$M$252,3)+
SUMIFS('Petroleum - Q&amp;V 2'!$I$11:$I$252,'Petroleum - Q&amp;V 2'!$L$11:$L$252,LEFT('Q&amp;V FY 2003-04 to Now'!W$9,4),'Petroleum - Q&amp;V 2'!$M$11:$M$252,4)+
SUMIFS('Petroleum - Q&amp;V 2'!$I$11:$I$252,'Petroleum - Q&amp;V 2'!$L$11:$L$252,CONCATENATE("20",RIGHT('Q&amp;V FY 2003-04 to Now'!W$9,2)),'Petroleum - Q&amp;V 2'!$M$11:$M$252,1)+
SUMIFS('Petroleum - Q&amp;V 2'!$I$11:$I$252,'Petroleum - Q&amp;V 2'!$L$11:$L$252,CONCATENATE("20",RIGHT('Q&amp;V FY 2003-04 to Now'!W$9,2)),'Petroleum - Q&amp;V 2'!$M$11:$M$252,2))</f>
        <v>9736820</v>
      </c>
      <c r="X78" s="325">
        <f>(SUMIFS('Petroleum - Q&amp;V 2'!$K$11:$K$252,'Petroleum - Q&amp;V 2'!$L$11:$L$252,LEFT('Q&amp;V FY 2003-04 to Now'!W$9,4),'Petroleum - Q&amp;V 2'!$M$11:$M$252,3)+
SUMIFS('Petroleum - Q&amp;V 2'!$K$11:$K$252,'Petroleum - Q&amp;V 2'!$L$11:$L$252,LEFT('Q&amp;V FY 2003-04 to Now'!W$9,4),'Petroleum - Q&amp;V 2'!$M$11:$M$252,4)+
SUMIFS('Petroleum - Q&amp;V 2'!$K$11:$K$252,'Petroleum - Q&amp;V 2'!$L$11:$L$252,CONCATENATE("20",RIGHT('Q&amp;V FY 2003-04 to Now'!W$9,2)),'Petroleum - Q&amp;V 2'!$M$11:$M$252,1)+
SUMIFS('Petroleum - Q&amp;V 2'!$K$11:$K$252,'Petroleum - Q&amp;V 2'!$L$11:$L$252,CONCATENATE("20",RIGHT('Q&amp;V FY 2003-04 to Now'!W$9,2)),'Petroleum - Q&amp;V 2'!$M$11:$M$252,2))*1000000</f>
        <v>1734960459.0000002</v>
      </c>
      <c r="Y78" s="325">
        <f>(SUMIFS('Petroleum - Q&amp;V 2'!$I$11:$I$252,'Petroleum - Q&amp;V 2'!$L$11:$L$252,LEFT('Q&amp;V FY 2003-04 to Now'!Y$9,4),'Petroleum - Q&amp;V 2'!$M$11:$M$252,3)+
SUMIFS('Petroleum - Q&amp;V 2'!$I$11:$I$252,'Petroleum - Q&amp;V 2'!$L$11:$L$252,LEFT('Q&amp;V FY 2003-04 to Now'!Y$9,4),'Petroleum - Q&amp;V 2'!$M$11:$M$252,4)+
SUMIFS('Petroleum - Q&amp;V 2'!$I$11:$I$252,'Petroleum - Q&amp;V 2'!$L$11:$L$252,CONCATENATE("20",RIGHT('Q&amp;V FY 2003-04 to Now'!Y$9,2)),'Petroleum - Q&amp;V 2'!$M$11:$M$252,1)+
SUMIFS('Petroleum - Q&amp;V 2'!$I$11:$I$252,'Petroleum - Q&amp;V 2'!$L$11:$L$252,CONCATENATE("20",RIGHT('Q&amp;V FY 2003-04 to Now'!Y$9,2)),'Petroleum - Q&amp;V 2'!$M$11:$M$252,2))</f>
        <v>9875338.7119999994</v>
      </c>
      <c r="Z78" s="325">
        <f>(SUMIFS('Petroleum - Q&amp;V 2'!$K$11:$K$252,'Petroleum - Q&amp;V 2'!$L$11:$L$252,LEFT('Q&amp;V FY 2003-04 to Now'!Y$9,4),'Petroleum - Q&amp;V 2'!$M$11:$M$252,3)+
SUMIFS('Petroleum - Q&amp;V 2'!$K$11:$K$252,'Petroleum - Q&amp;V 2'!$L$11:$L$252,LEFT('Q&amp;V FY 2003-04 to Now'!Y$9,4),'Petroleum - Q&amp;V 2'!$M$11:$M$252,4)+
SUMIFS('Petroleum - Q&amp;V 2'!$K$11:$K$252,'Petroleum - Q&amp;V 2'!$L$11:$L$252,CONCATENATE("20",RIGHT('Q&amp;V FY 2003-04 to Now'!Y$9,2)),'Petroleum - Q&amp;V 2'!$M$11:$M$252,1)+
SUMIFS('Petroleum - Q&amp;V 2'!$K$11:$K$252,'Petroleum - Q&amp;V 2'!$L$11:$L$252,CONCATENATE("20",RIGHT('Q&amp;V FY 2003-04 to Now'!Y$9,2)),'Petroleum - Q&amp;V 2'!$M$11:$M$252,2))*1000000</f>
        <v>1820197055.1041887</v>
      </c>
      <c r="AA78" s="325">
        <f>(SUMIFS('Petroleum - Q&amp;V 2'!$I$11:$I$252,'Petroleum - Q&amp;V 2'!$L$11:$L$252,LEFT('Q&amp;V FY 2003-04 to Now'!AA$9,4),'Petroleum - Q&amp;V 2'!$M$11:$M$252,3)+
SUMIFS('Petroleum - Q&amp;V 2'!$I$11:$I$252,'Petroleum - Q&amp;V 2'!$L$11:$L$252,LEFT('Q&amp;V FY 2003-04 to Now'!AA$9,4),'Petroleum - Q&amp;V 2'!$M$11:$M$252,4)+
SUMIFS('Petroleum - Q&amp;V 2'!$I$11:$I$252,'Petroleum - Q&amp;V 2'!$L$11:$L$252,CONCATENATE("20",RIGHT('Q&amp;V FY 2003-04 to Now'!AA$9,2)),'Petroleum - Q&amp;V 2'!$M$11:$M$252,1)+
SUMIFS('Petroleum - Q&amp;V 2'!$I$11:$I$252,'Petroleum - Q&amp;V 2'!$L$11:$L$252,CONCATENATE("20",RIGHT('Q&amp;V FY 2003-04 to Now'!AA$9,2)),'Petroleum - Q&amp;V 2'!$M$11:$M$252,2))</f>
        <v>10057759.254619999</v>
      </c>
      <c r="AB78" s="325">
        <f>(SUMIFS('Petroleum - Q&amp;V 2'!$K$11:$K$252,'Petroleum - Q&amp;V 2'!$L$11:$L$252,LEFT('Q&amp;V FY 2003-04 to Now'!AA$9,4),'Petroleum - Q&amp;V 2'!$M$11:$M$252,3)+
SUMIFS('Petroleum - Q&amp;V 2'!$K$11:$K$252,'Petroleum - Q&amp;V 2'!$L$11:$L$252,LEFT('Q&amp;V FY 2003-04 to Now'!AA$9,4),'Petroleum - Q&amp;V 2'!$M$11:$M$252,4)+
SUMIFS('Petroleum - Q&amp;V 2'!$K$11:$K$252,'Petroleum - Q&amp;V 2'!$L$11:$L$252,CONCATENATE("20",RIGHT('Q&amp;V FY 2003-04 to Now'!AA$9,2)),'Petroleum - Q&amp;V 2'!$M$11:$M$252,1)+
SUMIFS('Petroleum - Q&amp;V 2'!$K$11:$K$252,'Petroleum - Q&amp;V 2'!$L$11:$L$252,CONCATENATE("20",RIGHT('Q&amp;V FY 2003-04 to Now'!AA$9,2)),'Petroleum - Q&amp;V 2'!$M$11:$M$252,2))*1000000</f>
        <v>1881466327.302</v>
      </c>
      <c r="AC78" s="325">
        <f>(SUMIFS('Petroleum - Q&amp;V 2'!$I$11:$I$252,'Petroleum - Q&amp;V 2'!$L$11:$L$252,LEFT('Q&amp;V FY 2003-04 to Now'!AC$9,4),'Petroleum - Q&amp;V 2'!$M$11:$M$252,3)+
SUMIFS('Petroleum - Q&amp;V 2'!$I$11:$I$252,'Petroleum - Q&amp;V 2'!$L$11:$L$252,LEFT('Q&amp;V FY 2003-04 to Now'!AC$9,4),'Petroleum - Q&amp;V 2'!$M$11:$M$252,4)+
SUMIFS('Petroleum - Q&amp;V 2'!$I$11:$I$252,'Petroleum - Q&amp;V 2'!$L$11:$L$252,CONCATENATE("20",RIGHT('Q&amp;V FY 2003-04 to Now'!AC$9,2)),'Petroleum - Q&amp;V 2'!$M$11:$M$252,1)+
SUMIFS('Petroleum - Q&amp;V 2'!$I$11:$I$252,'Petroleum - Q&amp;V 2'!$L$11:$L$252,CONCATENATE("20",RIGHT('Q&amp;V FY 2003-04 to Now'!AC$9,2)),'Petroleum - Q&amp;V 2'!$M$11:$M$252,2))</f>
        <v>9929854.7080100011</v>
      </c>
      <c r="AD78" s="325">
        <f>(SUMIFS('Petroleum - Q&amp;V 2'!$K$11:$K$252,'Petroleum - Q&amp;V 2'!$L$11:$L$252,LEFT('Q&amp;V FY 2003-04 to Now'!AC$9,4),'Petroleum - Q&amp;V 2'!$M$11:$M$252,3)+
SUMIFS('Petroleum - Q&amp;V 2'!$K$11:$K$252,'Petroleum - Q&amp;V 2'!$L$11:$L$252,LEFT('Q&amp;V FY 2003-04 to Now'!AC$9,4),'Petroleum - Q&amp;V 2'!$M$11:$M$252,4)+
SUMIFS('Petroleum - Q&amp;V 2'!$K$11:$K$252,'Petroleum - Q&amp;V 2'!$L$11:$L$252,CONCATENATE("20",RIGHT('Q&amp;V FY 2003-04 to Now'!AC$9,2)),'Petroleum - Q&amp;V 2'!$M$11:$M$252,1)+
SUMIFS('Petroleum - Q&amp;V 2'!$K$11:$K$252,'Petroleum - Q&amp;V 2'!$L$11:$L$252,CONCATENATE("20",RIGHT('Q&amp;V FY 2003-04 to Now'!AC$9,2)),'Petroleum - Q&amp;V 2'!$M$11:$M$252,2))*1000000</f>
        <v>1875630574.0849998</v>
      </c>
      <c r="AE78" s="358">
        <f>(SUMIFS('Petroleum - Q&amp;V 2'!$I$11:$I$252,'Petroleum - Q&amp;V 2'!$L$11:$L$252,LEFT('Q&amp;V FY 2003-04 to Now'!AE$9,4),'Petroleum - Q&amp;V 2'!$M$11:$M$252,3)+
SUMIFS('Petroleum - Q&amp;V 2'!$I$11:$I$252,'Petroleum - Q&amp;V 2'!$L$11:$L$252,LEFT('Q&amp;V FY 2003-04 to Now'!AE$9,4),'Petroleum - Q&amp;V 2'!$M$11:$M$252,4)+
SUMIFS('Petroleum - Q&amp;V 2'!$I$11:$I$252,'Petroleum - Q&amp;V 2'!$L$11:$L$252,CONCATENATE("20",RIGHT('Q&amp;V FY 2003-04 to Now'!AE$9,2)),'Petroleum - Q&amp;V 2'!$M$11:$M$252,1)+
SUMIFS('Petroleum - Q&amp;V 2'!$I$11:$I$252,'Petroleum - Q&amp;V 2'!$L$11:$L$252,CONCATENATE("20",RIGHT('Q&amp;V FY 2003-04 to Now'!AE$9,2)),'Petroleum - Q&amp;V 2'!$M$11:$M$252,2))</f>
        <v>10280157.705552999</v>
      </c>
      <c r="AF78" s="325">
        <f>(SUMIFS('Petroleum - Q&amp;V 2'!$K$11:$K$252,'Petroleum - Q&amp;V 2'!$L$11:$L$252,LEFT('Q&amp;V FY 2003-04 to Now'!AE$9,4),'Petroleum - Q&amp;V 2'!$M$11:$M$252,3)+
SUMIFS('Petroleum - Q&amp;V 2'!$K$11:$K$252,'Petroleum - Q&amp;V 2'!$L$11:$L$252,LEFT('Q&amp;V FY 2003-04 to Now'!AE$9,4),'Petroleum - Q&amp;V 2'!$M$11:$M$252,4)+
SUMIFS('Petroleum - Q&amp;V 2'!$K$11:$K$252,'Petroleum - Q&amp;V 2'!$L$11:$L$252,CONCATENATE("20",RIGHT('Q&amp;V FY 2003-04 to Now'!AE$9,2)),'Petroleum - Q&amp;V 2'!$M$11:$M$252,1)+
SUMIFS('Petroleum - Q&amp;V 2'!$K$11:$K$252,'Petroleum - Q&amp;V 2'!$L$11:$L$252,CONCATENATE("20",RIGHT('Q&amp;V FY 2003-04 to Now'!AE$9,2)),'Petroleum - Q&amp;V 2'!$M$11:$M$252,2))*1000000</f>
        <v>1675112388.5190001</v>
      </c>
      <c r="AG78" s="358">
        <f>(SUMIFS('Petroleum - Q&amp;V 2'!$I$11:$I$252,'Petroleum - Q&amp;V 2'!$L$11:$L$252,LEFT('Q&amp;V FY 2003-04 to Now'!AG$9,4),'Petroleum - Q&amp;V 2'!$M$11:$M$252,3)+
SUMIFS('Petroleum - Q&amp;V 2'!$I$11:$I$252,'Petroleum - Q&amp;V 2'!$L$11:$L$252,LEFT('Q&amp;V FY 2003-04 to Now'!AG$9,4),'Petroleum - Q&amp;V 2'!$M$11:$M$252,4)+
SUMIFS('Petroleum - Q&amp;V 2'!$I$11:$I$252,'Petroleum - Q&amp;V 2'!$L$11:$L$252,CONCATENATE("20",RIGHT('Q&amp;V FY 2003-04 to Now'!AG$9,2)),'Petroleum - Q&amp;V 2'!$M$11:$M$252,1)+
SUMIFS('Petroleum - Q&amp;V 2'!$I$11:$I$252,'Petroleum - Q&amp;V 2'!$L$11:$L$252,CONCATENATE("20",RIGHT('Q&amp;V FY 2003-04 to Now'!AG$9,2)),'Petroleum - Q&amp;V 2'!$M$11:$M$252,2))</f>
        <v>10613554.165018223</v>
      </c>
      <c r="AH78" s="326">
        <f>(SUMIFS('Petroleum - Q&amp;V 2'!$K$11:$K$252,'Petroleum - Q&amp;V 2'!$L$11:$L$252,LEFT('Q&amp;V FY 2003-04 to Now'!AG$9,4),'Petroleum - Q&amp;V 2'!$M$11:$M$252,3)+
SUMIFS('Petroleum - Q&amp;V 2'!$K$11:$K$252,'Petroleum - Q&amp;V 2'!$L$11:$L$252,LEFT('Q&amp;V FY 2003-04 to Now'!AG$9,4),'Petroleum - Q&amp;V 2'!$M$11:$M$252,4)+
SUMIFS('Petroleum - Q&amp;V 2'!$K$11:$K$252,'Petroleum - Q&amp;V 2'!$L$11:$L$252,CONCATENATE("20",RIGHT('Q&amp;V FY 2003-04 to Now'!AG$9,2)),'Petroleum - Q&amp;V 2'!$M$11:$M$252,1)+
SUMIFS('Petroleum - Q&amp;V 2'!$K$11:$K$252,'Petroleum - Q&amp;V 2'!$L$11:$L$252,CONCATENATE("20",RIGHT('Q&amp;V FY 2003-04 to Now'!AG$9,2)),'Petroleum - Q&amp;V 2'!$M$11:$M$252,2))*1000000</f>
        <v>1454018850.9410765</v>
      </c>
      <c r="AI78" s="367">
        <f>(SUMIFS('Petroleum - Q&amp;V 2'!$I$11:$I$252,'Petroleum - Q&amp;V 2'!$L$11:$L$252,LEFT('Q&amp;V FY 2003-04 to Now'!AI$9,4),'Petroleum - Q&amp;V 2'!$M$11:$M$252,3)+
SUMIFS('Petroleum - Q&amp;V 2'!$I$11:$I$252,'Petroleum - Q&amp;V 2'!$L$11:$L$252,LEFT('Q&amp;V FY 2003-04 to Now'!AI$9,4),'Petroleum - Q&amp;V 2'!$M$11:$M$252,4)+
SUMIFS('Petroleum - Q&amp;V 2'!$I$11:$I$252,'Petroleum - Q&amp;V 2'!$L$11:$L$252,CONCATENATE("20",RIGHT('Q&amp;V FY 2003-04 to Now'!AI$9,2)),'Petroleum - Q&amp;V 2'!$M$11:$M$252,1)+
SUMIFS('Petroleum - Q&amp;V 2'!$I$11:$I$252,'Petroleum - Q&amp;V 2'!$L$11:$L$252,CONCATENATE("20",RIGHT('Q&amp;V FY 2003-04 to Now'!AI$9,2)),'Petroleum - Q&amp;V 2'!$M$11:$M$252,2))</f>
        <v>11338669.924071383</v>
      </c>
      <c r="AJ78" s="326">
        <f>(SUMIFS('Petroleum - Q&amp;V 2'!$K$11:$K$252,'Petroleum - Q&amp;V 2'!$L$11:$L$252,LEFT('Q&amp;V FY 2003-04 to Now'!AI$9,4),'Petroleum - Q&amp;V 2'!$M$11:$M$252,3)+
SUMIFS('Petroleum - Q&amp;V 2'!$K$11:$K$252,'Petroleum - Q&amp;V 2'!$L$11:$L$252,LEFT('Q&amp;V FY 2003-04 to Now'!AI$9,4),'Petroleum - Q&amp;V 2'!$M$11:$M$252,4)+
SUMIFS('Petroleum - Q&amp;V 2'!$K$11:$K$252,'Petroleum - Q&amp;V 2'!$L$11:$L$252,CONCATENATE("20",RIGHT('Q&amp;V FY 2003-04 to Now'!AI$9,2)),'Petroleum - Q&amp;V 2'!$M$11:$M$252,1)+
SUMIFS('Petroleum - Q&amp;V 2'!$K$11:$K$252,'Petroleum - Q&amp;V 2'!$L$11:$L$252,CONCATENATE("20",RIGHT('Q&amp;V FY 2003-04 to Now'!AI$9,2)),'Petroleum - Q&amp;V 2'!$M$11:$M$252,2))*1000000</f>
        <v>1640553141.3876157</v>
      </c>
      <c r="AK78" s="326">
        <f>(SUMIFS('Petroleum - Q&amp;V 2'!$I$11:$I$252,'Petroleum - Q&amp;V 2'!$L$11:$L$252,LEFT('Q&amp;V FY 2003-04 to Now'!AK$9,4),'Petroleum - Q&amp;V 2'!$M$11:$M$252,3)+
SUMIFS('Petroleum - Q&amp;V 2'!$I$11:$I$252,'Petroleum - Q&amp;V 2'!$L$11:$L$252,LEFT('Q&amp;V FY 2003-04 to Now'!AK$9,4),'Petroleum - Q&amp;V 2'!$M$11:$M$252,4)+
SUMIFS('Petroleum - Q&amp;V 2'!$I$11:$I$252,'Petroleum - Q&amp;V 2'!$L$11:$L$252,CONCATENATE("20",RIGHT('Q&amp;V FY 2003-04 to Now'!AK$9,2)),'Petroleum - Q&amp;V 2'!$M$11:$M$252,1)+
SUMIFS('Petroleum - Q&amp;V 2'!$I$11:$I$252,'Petroleum - Q&amp;V 2'!$L$11:$L$252,CONCATENATE("20",RIGHT('Q&amp;V FY 2003-04 to Now'!AK$9,2)),'Petroleum - Q&amp;V 2'!$M$11:$M$252,2))</f>
        <v>10356217.551000001</v>
      </c>
      <c r="AL78" s="326">
        <f>(SUMIFS('Petroleum - Q&amp;V 2'!$K$11:$K$252,'Petroleum - Q&amp;V 2'!$L$11:$L$252,LEFT('Q&amp;V FY 2003-04 to Now'!AK$9,4),'Petroleum - Q&amp;V 2'!$M$11:$M$252,3)+
SUMIFS('Petroleum - Q&amp;V 2'!$K$11:$K$252,'Petroleum - Q&amp;V 2'!$L$11:$L$252,LEFT('Q&amp;V FY 2003-04 to Now'!AK$9,4),'Petroleum - Q&amp;V 2'!$M$11:$M$252,4)+
SUMIFS('Petroleum - Q&amp;V 2'!$K$11:$K$252,'Petroleum - Q&amp;V 2'!$L$11:$L$252,CONCATENATE("20",RIGHT('Q&amp;V FY 2003-04 to Now'!AK$9,2)),'Petroleum - Q&amp;V 2'!$M$11:$M$252,1)+
SUMIFS('Petroleum - Q&amp;V 2'!$K$11:$K$252,'Petroleum - Q&amp;V 2'!$L$11:$L$252,CONCATENATE("20",RIGHT('Q&amp;V FY 2003-04 to Now'!AK$9,2)),'Petroleum - Q&amp;V 2'!$M$11:$M$252,2))*1000000</f>
        <v>1797687095.1477394</v>
      </c>
      <c r="AM78" s="326">
        <f>(SUMIFS('Petroleum - Q&amp;V 2'!$I$11:$I$252,'Petroleum - Q&amp;V 2'!$L$11:$L$252,LEFT('Q&amp;V FY 2003-04 to Now'!AM$9,4),'Petroleum - Q&amp;V 2'!$M$11:$M$252,3)+
SUMIFS('Petroleum - Q&amp;V 2'!$I$11:$I$252,'Petroleum - Q&amp;V 2'!$L$11:$L$252,LEFT('Q&amp;V FY 2003-04 to Now'!AM$9,4),'Petroleum - Q&amp;V 2'!$M$11:$M$252,4)+
SUMIFS('Petroleum - Q&amp;V 2'!$I$11:$I$252,'Petroleum - Q&amp;V 2'!$L$11:$L$252,CONCATENATE("20",RIGHT('Q&amp;V FY 2003-04 to Now'!AM$9,2)),'Petroleum - Q&amp;V 2'!$M$11:$M$252,1)+
SUMIFS('Petroleum - Q&amp;V 2'!$I$11:$I$252,'Petroleum - Q&amp;V 2'!$L$11:$L$252,CONCATENATE("20",RIGHT('Q&amp;V FY 2003-04 to Now'!AM$9,2)),'Petroleum - Q&amp;V 2'!$M$11:$M$252,2))</f>
        <v>10154828.678345002</v>
      </c>
      <c r="AN78" s="326">
        <f>(SUMIFS('Petroleum - Q&amp;V 2'!$K$11:$K$252,'Petroleum - Q&amp;V 2'!$L$11:$L$252,LEFT('Q&amp;V FY 2003-04 to Now'!AM$9,4),'Petroleum - Q&amp;V 2'!$M$11:$M$252,3)+
SUMIFS('Petroleum - Q&amp;V 2'!$K$11:$K$252,'Petroleum - Q&amp;V 2'!$L$11:$L$252,LEFT('Q&amp;V FY 2003-04 to Now'!AM$9,4),'Petroleum - Q&amp;V 2'!$M$11:$M$252,4)+
SUMIFS('Petroleum - Q&amp;V 2'!$K$11:$K$252,'Petroleum - Q&amp;V 2'!$L$11:$L$252,CONCATENATE("20",RIGHT('Q&amp;V FY 2003-04 to Now'!AM$9,2)),'Petroleum - Q&amp;V 2'!$M$11:$M$252,1)+
SUMIFS('Petroleum - Q&amp;V 2'!$K$11:$K$252,'Petroleum - Q&amp;V 2'!$L$11:$L$252,CONCATENATE("20",RIGHT('Q&amp;V FY 2003-04 to Now'!AM$9,2)),'Petroleum - Q&amp;V 2'!$M$11:$M$252,2))*1000000</f>
        <v>2027394805.8017077</v>
      </c>
      <c r="AO78" s="326">
        <f>(SUMIFS('Petroleum - Q&amp;V 2'!$I$11:$I$252,'Petroleum - Q&amp;V 2'!$L$11:$L$252,LEFT('Q&amp;V FY 2003-04 to Now'!AO$9,4),'Petroleum - Q&amp;V 2'!$M$11:$M$252,3)+
SUMIFS('Petroleum - Q&amp;V 2'!$I$11:$I$252,'Petroleum - Q&amp;V 2'!$L$11:$L$252,LEFT('Q&amp;V FY 2003-04 to Now'!AO$9,4),'Petroleum - Q&amp;V 2'!$M$11:$M$252,4)+
SUMIFS('Petroleum - Q&amp;V 2'!$I$11:$I$252,'Petroleum - Q&amp;V 2'!$L$11:$L$252,CONCATENATE("20",RIGHT('Q&amp;V FY 2003-04 to Now'!AO$9,2)),'Petroleum - Q&amp;V 2'!$M$11:$M$252,1)+
SUMIFS('Petroleum - Q&amp;V 2'!$I$11:$I$252,'Petroleum - Q&amp;V 2'!$L$11:$L$252,CONCATENATE("20",RIGHT('Q&amp;V FY 2003-04 to Now'!AO$9,2)),'Petroleum - Q&amp;V 2'!$M$11:$M$252,2))</f>
        <v>10689276.8276</v>
      </c>
      <c r="AP78" s="326">
        <f>(SUMIFS('Petroleum - Q&amp;V 2'!$K$11:$K$252,'Petroleum - Q&amp;V 2'!$L$11:$L$252,LEFT('Q&amp;V FY 2003-04 to Now'!AO$9,4),'Petroleum - Q&amp;V 2'!$M$11:$M$252,3)+
SUMIFS('Petroleum - Q&amp;V 2'!$K$11:$K$252,'Petroleum - Q&amp;V 2'!$L$11:$L$252,LEFT('Q&amp;V FY 2003-04 to Now'!AO$9,4),'Petroleum - Q&amp;V 2'!$M$11:$M$252,4)+
SUMIFS('Petroleum - Q&amp;V 2'!$K$11:$K$252,'Petroleum - Q&amp;V 2'!$L$11:$L$252,CONCATENATE("20",RIGHT('Q&amp;V FY 2003-04 to Now'!AO$9,2)),'Petroleum - Q&amp;V 2'!$M$11:$M$252,1)+
SUMIFS('Petroleum - Q&amp;V 2'!$K$11:$K$252,'Petroleum - Q&amp;V 2'!$L$11:$L$252,CONCATENATE("20",RIGHT('Q&amp;V FY 2003-04 to Now'!AO$9,2)),'Petroleum - Q&amp;V 2'!$M$11:$M$252,2))*1000000</f>
        <v>2459657482.2966385</v>
      </c>
      <c r="AQ78" s="326">
        <f>(SUMIFS('Petroleum - Q&amp;V 2'!$I$11:$I$252,'Petroleum - Q&amp;V 2'!$L$11:$L$252,LEFT('Q&amp;V FY 2003-04 to Now'!AQ$9,4),'Petroleum - Q&amp;V 2'!$M$11:$M$252,3)+
SUMIFS('Petroleum - Q&amp;V 2'!$I$11:$I$252,'Petroleum - Q&amp;V 2'!$L$11:$L$252,LEFT('Q&amp;V FY 2003-04 to Now'!AQ$9,4),'Petroleum - Q&amp;V 2'!$M$11:$M$252,4)+
SUMIFS('Petroleum - Q&amp;V 2'!$I$11:$I$252,'Petroleum - Q&amp;V 2'!$L$11:$L$252,CONCATENATE("20",RIGHT('Q&amp;V FY 2003-04 to Now'!AQ$9,2)),'Petroleum - Q&amp;V 2'!$M$11:$M$252,1)+
SUMIFS('Petroleum - Q&amp;V 2'!$I$11:$I$252,'Petroleum - Q&amp;V 2'!$L$11:$L$252,CONCATENATE("20",RIGHT('Q&amp;V FY 2003-04 to Now'!AQ$9,2)),'Petroleum - Q&amp;V 2'!$M$11:$M$252,2))</f>
        <v>11187943.673234999</v>
      </c>
      <c r="AR78" s="326">
        <f>(SUMIFS('Petroleum - Q&amp;V 2'!$K$11:$K$252,'Petroleum - Q&amp;V 2'!$L$11:$L$252,LEFT('Q&amp;V FY 2003-04 to Now'!AQ$9,4),'Petroleum - Q&amp;V 2'!$M$11:$M$252,3)+
SUMIFS('Petroleum - Q&amp;V 2'!$K$11:$K$252,'Petroleum - Q&amp;V 2'!$L$11:$L$252,LEFT('Q&amp;V FY 2003-04 to Now'!AQ$9,4),'Petroleum - Q&amp;V 2'!$M$11:$M$252,4)+
SUMIFS('Petroleum - Q&amp;V 2'!$K$11:$K$252,'Petroleum - Q&amp;V 2'!$L$11:$L$252,CONCATENATE("20",RIGHT('Q&amp;V FY 2003-04 to Now'!AQ$9,2)),'Petroleum - Q&amp;V 2'!$M$11:$M$252,1)+
SUMIFS('Petroleum - Q&amp;V 2'!$K$11:$K$252,'Petroleum - Q&amp;V 2'!$L$11:$L$252,CONCATENATE("20",RIGHT('Q&amp;V FY 2003-04 to Now'!AQ$9,2)),'Petroleum - Q&amp;V 2'!$M$11:$M$252,2))*1000000</f>
        <v>2969260944.9222336</v>
      </c>
      <c r="AS78" s="326">
        <f>(SUMIFS('Petroleum - Q&amp;V 2'!$I$11:$I$252,'Petroleum - Q&amp;V 2'!$L$11:$L$252,LEFT('Q&amp;V FY 2003-04 to Now'!AS$9,4),'Petroleum - Q&amp;V 2'!$M$11:$M$252,3)+
SUMIFS('Petroleum - Q&amp;V 2'!$I$11:$I$252,'Petroleum - Q&amp;V 2'!$L$11:$L$252,LEFT('Q&amp;V FY 2003-04 to Now'!AS$9,4),'Petroleum - Q&amp;V 2'!$M$11:$M$252,4)+
SUMIFS('Petroleum - Q&amp;V 2'!$I$11:$I$252,'Petroleum - Q&amp;V 2'!$L$11:$L$252,CONCATENATE("20",RIGHT('Q&amp;V FY 2003-04 to Now'!AS$9,2)),'Petroleum - Q&amp;V 2'!$M$11:$M$252,1)+
SUMIFS('Petroleum - Q&amp;V 2'!$I$11:$I$252,'Petroleum - Q&amp;V 2'!$L$11:$L$252,CONCATENATE("20",RIGHT('Q&amp;V FY 2003-04 to Now'!AS$9,2)),'Petroleum - Q&amp;V 2'!$M$11:$M$252,2))</f>
        <v>11793387.977405</v>
      </c>
      <c r="AT78" s="326">
        <f>(SUMIFS('Petroleum - Q&amp;V 2'!$K$11:$K$252,'Petroleum - Q&amp;V 2'!$L$11:$L$252,LEFT('Q&amp;V FY 2003-04 to Now'!AS$9,4),'Petroleum - Q&amp;V 2'!$M$11:$M$252,3)+
SUMIFS('Petroleum - Q&amp;V 2'!$K$11:$K$252,'Petroleum - Q&amp;V 2'!$L$11:$L$252,LEFT('Q&amp;V FY 2003-04 to Now'!AS$9,4),'Petroleum - Q&amp;V 2'!$M$11:$M$252,4)+
SUMIFS('Petroleum - Q&amp;V 2'!$K$11:$K$252,'Petroleum - Q&amp;V 2'!$L$11:$L$252,CONCATENATE("20",RIGHT('Q&amp;V FY 2003-04 to Now'!AS$9,2)),'Petroleum - Q&amp;V 2'!$M$11:$M$252,1)+
SUMIFS('Petroleum - Q&amp;V 2'!$K$11:$K$252,'Petroleum - Q&amp;V 2'!$L$11:$L$252,CONCATENATE("20",RIGHT('Q&amp;V FY 2003-04 to Now'!AS$9,2)),'Petroleum - Q&amp;V 2'!$M$11:$M$252,2))*1000000</f>
        <v>3268675666.337801</v>
      </c>
      <c r="AU78" s="358">
        <f>SUMIF($C$11:AT$11,1,$C78:AT78)</f>
        <v>212035978.17685762</v>
      </c>
      <c r="AV78" s="325">
        <f>IF(COUNTIF($C78:AT78, "nfp")=0, SUMIF($C$11:AT$11,0,$C78:AT78), "nfp")</f>
        <v>35439365324.845001</v>
      </c>
    </row>
    <row r="79" spans="1:48" x14ac:dyDescent="0.25">
      <c r="A79" s="328" t="s">
        <v>236</v>
      </c>
      <c r="B79" s="324"/>
      <c r="C79" s="326"/>
      <c r="D79" s="325">
        <f>SUM(D74:D78)</f>
        <v>9260223608</v>
      </c>
      <c r="E79" s="326"/>
      <c r="F79" s="326">
        <f>SUM(F74:F78)</f>
        <v>12256998579.930317</v>
      </c>
      <c r="G79" s="326"/>
      <c r="H79" s="326">
        <f>SUM(H74:H78)</f>
        <v>14697284124.009249</v>
      </c>
      <c r="I79" s="326"/>
      <c r="J79" s="325">
        <f>SUM(J74:J78)</f>
        <v>16459468556.50584</v>
      </c>
      <c r="K79" s="326"/>
      <c r="L79" s="326">
        <f>SUM(L74:L78)</f>
        <v>19317942367.704227</v>
      </c>
      <c r="M79" s="326"/>
      <c r="N79" s="326">
        <f>SUM(N74:N78)</f>
        <v>21319822196.963364</v>
      </c>
      <c r="O79" s="326"/>
      <c r="P79" s="326">
        <f>SUM(P74:P78)</f>
        <v>19398210188.564877</v>
      </c>
      <c r="Q79" s="326"/>
      <c r="R79" s="326">
        <f>SUM(R74:R78)</f>
        <v>22984892500.986893</v>
      </c>
      <c r="S79" s="326"/>
      <c r="T79" s="325">
        <f>SUM(T74:T78)</f>
        <v>23198583044.712547</v>
      </c>
      <c r="U79" s="326"/>
      <c r="V79" s="326">
        <f>SUM(V74:V78)</f>
        <v>24109908528.151367</v>
      </c>
      <c r="W79" s="326"/>
      <c r="X79" s="326">
        <f>SUM(X74:X78)</f>
        <v>25325423932.147701</v>
      </c>
      <c r="Y79" s="326"/>
      <c r="Z79" s="326">
        <f>SUM(Z74:Z78)</f>
        <v>24139269449.05003</v>
      </c>
      <c r="AA79" s="326"/>
      <c r="AB79" s="326">
        <f>SUM(AB74:AB78)</f>
        <v>18153843048.338394</v>
      </c>
      <c r="AC79" s="326"/>
      <c r="AD79" s="326">
        <f>SUM(AD74:AD78)</f>
        <v>19234853012.079422</v>
      </c>
      <c r="AE79" s="357"/>
      <c r="AF79" s="326">
        <f>SUM(AF74:AF78)</f>
        <v>26588235411.778172</v>
      </c>
      <c r="AG79" s="368"/>
      <c r="AH79" s="326">
        <f>SUM(AH74:AH78)</f>
        <v>39832133616.575592</v>
      </c>
      <c r="AI79" s="357"/>
      <c r="AJ79" s="326">
        <f>SUM(AJ74:AJ78)</f>
        <v>35590927455.340263</v>
      </c>
      <c r="AK79" s="326"/>
      <c r="AL79" s="326">
        <f>SUM(AL74:AL78)</f>
        <v>24512726102.646187</v>
      </c>
      <c r="AM79" s="326"/>
      <c r="AN79" s="326">
        <f>SUM(AN74:AN78)</f>
        <v>53329482935.609383</v>
      </c>
      <c r="AO79" s="326"/>
      <c r="AP79" s="326">
        <f>SUM(AP74:AP78)</f>
        <v>72172352738.476776</v>
      </c>
      <c r="AQ79" s="326"/>
      <c r="AR79" s="326">
        <f>SUM(AR74:AR78)</f>
        <v>50616063427.428276</v>
      </c>
      <c r="AS79" s="326"/>
      <c r="AT79" s="326">
        <f>SUM(AT74:AT78)</f>
        <v>48380555729.400299</v>
      </c>
      <c r="AU79" s="358"/>
      <c r="AV79" s="325">
        <f>IF(COUNTIF($C79:AT79, "nfp")=0, SUMIF($C$11:AT$11,0,$C79:AT79), "nfp")</f>
        <v>620879200554.39917</v>
      </c>
    </row>
    <row r="80" spans="1:48" x14ac:dyDescent="0.25">
      <c r="A80" s="323"/>
      <c r="B80" s="324"/>
      <c r="C80" s="320"/>
      <c r="D80" s="320"/>
      <c r="E80" s="320"/>
      <c r="F80" s="320"/>
      <c r="G80" s="320"/>
      <c r="H80" s="320"/>
      <c r="I80" s="320"/>
      <c r="J80" s="320"/>
      <c r="K80" s="320"/>
      <c r="L80" s="320"/>
      <c r="M80" s="320"/>
      <c r="N80" s="320"/>
      <c r="O80" s="320"/>
      <c r="P80" s="320"/>
      <c r="Q80" s="320"/>
      <c r="R80" s="320"/>
      <c r="S80" s="320"/>
      <c r="T80" s="320"/>
      <c r="U80" s="320"/>
      <c r="V80" s="320"/>
      <c r="W80" s="320"/>
      <c r="X80" s="320"/>
      <c r="Y80" s="320"/>
      <c r="Z80" s="320"/>
      <c r="AA80" s="320"/>
      <c r="AB80" s="320"/>
      <c r="AC80" s="320"/>
      <c r="AD80" s="320"/>
      <c r="AE80" s="360"/>
      <c r="AF80" s="320"/>
      <c r="AG80" s="360"/>
      <c r="AH80" s="356"/>
      <c r="AI80" s="361"/>
      <c r="AJ80" s="356"/>
      <c r="AK80" s="356"/>
      <c r="AL80" s="356"/>
      <c r="AM80" s="356"/>
      <c r="AN80" s="356"/>
      <c r="AO80" s="356"/>
      <c r="AP80" s="356"/>
      <c r="AQ80" s="356"/>
      <c r="AR80" s="356"/>
      <c r="AS80" s="356"/>
      <c r="AT80" s="356"/>
      <c r="AU80" s="358"/>
      <c r="AV80" s="325"/>
    </row>
    <row r="81" spans="1:48" x14ac:dyDescent="0.25">
      <c r="A81" s="330" t="s">
        <v>237</v>
      </c>
      <c r="B81" s="216" t="s">
        <v>214</v>
      </c>
      <c r="C81" s="232">
        <f>SUMIFS('Other Minerals - Q&amp;V'!$L$11:$L$743, 'Other Minerals - Q&amp;V'!$A$11:$A$743, "&gt;=" &amp; DATE(LEFT(C$9, 4), 7, 1), 'Other Minerals - Q&amp;V'!$A$11:$A$743, "&lt;" &amp; DATE(LEFT(C$9, 4)+1, 7, 1))</f>
        <v>666.68599999999992</v>
      </c>
      <c r="D81" s="232">
        <f>SUMIFS('Other Minerals - Q&amp;V'!$M$11:$M$743, 'Other Minerals - Q&amp;V'!$A$11:$A$743, "&gt;=" &amp; DATE(LEFT(C$9, 4), 7, 1), 'Other Minerals - Q&amp;V'!$A$11:$A$743, "&lt;" &amp; DATE(LEFT(C$9, 4)+1, 7, 1))*10^6</f>
        <v>8205197</v>
      </c>
      <c r="E81" s="232">
        <f>SUMIFS('Other Minerals - Q&amp;V'!$L$11:$L$743, 'Other Minerals - Q&amp;V'!$A$11:$A$743, "&gt;=" &amp; DATE(LEFT(E$9, 4), 7, 1), 'Other Minerals - Q&amp;V'!$A$11:$A$743, "&lt;" &amp; DATE(LEFT(E$9, 4)+1, 7, 1))</f>
        <v>1051</v>
      </c>
      <c r="F81" s="232">
        <f>SUMIFS('Other Minerals - Q&amp;V'!$M$11:$M$743, 'Other Minerals - Q&amp;V'!$A$11:$A$743, "&gt;=" &amp; DATE(LEFT(E$9, 4), 7, 1), 'Other Minerals - Q&amp;V'!$A$11:$A$743, "&lt;" &amp; DATE(LEFT(E$9, 4)+1, 7, 1))*10^6</f>
        <v>9150844</v>
      </c>
      <c r="G81" s="232">
        <f>SUMIFS('Other Minerals - Q&amp;V'!$L$11:$L$743, 'Other Minerals - Q&amp;V'!$A$11:$A$743, "&gt;=" &amp; DATE(LEFT(G$9, 4), 7, 1), 'Other Minerals - Q&amp;V'!$A$11:$A$743, "&lt;" &amp; DATE(LEFT(G$9, 4)+1, 7, 1))</f>
        <v>859.63</v>
      </c>
      <c r="H81" s="232">
        <f>SUMIFS('Other Minerals - Q&amp;V'!$M$11:$M$743, 'Other Minerals - Q&amp;V'!$A$11:$A$743, "&gt;=" &amp; DATE(LEFT(G$9, 4), 7, 1), 'Other Minerals - Q&amp;V'!$A$11:$A$743, "&lt;" &amp; DATE(LEFT(G$9, 4)+1, 7, 1))*10^6</f>
        <v>9742690</v>
      </c>
      <c r="I81" s="232">
        <f>SUMIFS('Other Minerals - Q&amp;V'!$L$11:$L$743, 'Other Minerals - Q&amp;V'!$A$11:$A$743, "&gt;=" &amp; DATE(LEFT(I$9, 4), 7, 1), 'Other Minerals - Q&amp;V'!$A$11:$A$743, "&lt;" &amp; DATE(LEFT(I$9, 4)+1, 7, 1))</f>
        <v>713.59</v>
      </c>
      <c r="J81" s="232">
        <f>SUMIFS('Other Minerals - Q&amp;V'!$M$11:$M$743, 'Other Minerals - Q&amp;V'!$A$11:$A$743, "&gt;=" &amp; DATE(LEFT(I$9, 4), 7, 1), 'Other Minerals - Q&amp;V'!$A$11:$A$743, "&lt;" &amp; DATE(LEFT(I$9, 4)+1, 7, 1))*10^6</f>
        <v>9693188</v>
      </c>
      <c r="K81" s="232">
        <f>SUMIFS('Other Minerals - Q&amp;V'!$L$11:$L$743, 'Other Minerals - Q&amp;V'!$A$11:$A$743, "&gt;=" &amp; DATE(LEFT(K$9, 4), 7, 1), 'Other Minerals - Q&amp;V'!$A$11:$A$743, "&lt;" &amp; DATE(LEFT(K$9, 4)+1, 7, 1))</f>
        <v>947.76</v>
      </c>
      <c r="L81" s="232">
        <f>SUMIFS('Other Minerals - Q&amp;V'!$M$11:$M$743, 'Other Minerals - Q&amp;V'!$A$11:$A$743, "&gt;=" &amp; DATE(LEFT(K$9, 4), 7, 1), 'Other Minerals - Q&amp;V'!$A$11:$A$743, "&lt;" &amp; DATE(LEFT(K$9, 4)+1, 7, 1))*10^6</f>
        <v>13213845</v>
      </c>
      <c r="M81" s="232">
        <f>SUMIFS('Other Minerals - Q&amp;V'!$L$11:$L$743, 'Other Minerals - Q&amp;V'!$A$11:$A$743, "&gt;=" &amp; DATE(LEFT(M$9, 4), 7, 1), 'Other Minerals - Q&amp;V'!$A$11:$A$743, "&lt;" &amp; DATE(LEFT(M$9, 4)+1, 7, 1))</f>
        <v>642.19000000000005</v>
      </c>
      <c r="N81" s="232">
        <f>SUMIFS('Other Minerals - Q&amp;V'!$M$11:$M$743, 'Other Minerals - Q&amp;V'!$A$11:$A$743, "&gt;=" &amp; DATE(LEFT(M$9, 4), 7, 1), 'Other Minerals - Q&amp;V'!$A$11:$A$743, "&lt;" &amp; DATE(LEFT(M$9, 4)+1, 7, 1))*10^6</f>
        <v>5452602</v>
      </c>
      <c r="O81" s="232">
        <f>SUMIFS('Other Minerals - Q&amp;V'!$L$11:$L$743, 'Other Minerals - Q&amp;V'!$A$11:$A$743, "&gt;=" &amp; DATE(LEFT(O$9, 4), 7, 1), 'Other Minerals - Q&amp;V'!$A$11:$A$743, "&lt;" &amp; DATE(LEFT(O$9, 4)+1, 7, 1))</f>
        <v>1089.3499999999999</v>
      </c>
      <c r="P81" s="232">
        <f>SUMIFS('Other Minerals - Q&amp;V'!$M$11:$M$743, 'Other Minerals - Q&amp;V'!$A$11:$A$743, "&gt;=" &amp; DATE(LEFT(O$9, 4), 7, 1), 'Other Minerals - Q&amp;V'!$A$11:$A$743, "&lt;" &amp; DATE(LEFT(O$9, 4)+1, 7, 1))*10^6</f>
        <v>11101918.999999998</v>
      </c>
      <c r="Q81" s="232">
        <f>SUMIFS('Other Minerals - Q&amp;V'!$L$11:$L$743, 'Other Minerals - Q&amp;V'!$A$11:$A$743, "&gt;=" &amp; DATE(LEFT(Q$9, 4), 7, 1), 'Other Minerals - Q&amp;V'!$A$11:$A$743, "&lt;" &amp; DATE(LEFT(Q$9, 4)+1, 7, 1))</f>
        <v>440.23</v>
      </c>
      <c r="R81" s="232">
        <f>SUMIFS('Other Minerals - Q&amp;V'!$M$11:$M$743, 'Other Minerals - Q&amp;V'!$A$11:$A$743, "&gt;=" &amp; DATE(LEFT(Q$9, 4), 7, 1), 'Other Minerals - Q&amp;V'!$A$11:$A$743, "&lt;" &amp; DATE(LEFT(Q$9, 4)+1, 7, 1))*10^6</f>
        <v>7036097</v>
      </c>
      <c r="S81" s="232">
        <f>SUMIFS('Other Minerals - Q&amp;V'!$L$11:$L$743, 'Other Minerals - Q&amp;V'!$A$11:$A$743, "&gt;=" &amp; DATE(LEFT(S$9, 4), 7, 1), 'Other Minerals - Q&amp;V'!$A$11:$A$743, "&lt;" &amp; DATE(LEFT(S$9, 4)+1, 7, 1))</f>
        <v>626.08273703999998</v>
      </c>
      <c r="T81" s="232">
        <f>SUMIFS('Other Minerals - Q&amp;V'!$M$11:$M$743, 'Other Minerals - Q&amp;V'!$A$11:$A$743, "&gt;=" &amp; DATE(LEFT(S$9, 4), 7, 1), 'Other Minerals - Q&amp;V'!$A$11:$A$743, "&lt;" &amp; DATE(LEFT(S$9, 4)+1, 7, 1))*10^6</f>
        <v>14909443.16</v>
      </c>
      <c r="U81" s="232">
        <f>SUMIFS('Other Minerals - Q&amp;V'!$L$11:$L$743, 'Other Minerals - Q&amp;V'!$A$11:$A$743, "&gt;=" &amp; DATE(LEFT(U$9, 4), 7, 1), 'Other Minerals - Q&amp;V'!$A$11:$A$743, "&lt;" &amp; DATE(LEFT(U$9, 4)+1, 7, 1))</f>
        <v>657.73057080052808</v>
      </c>
      <c r="V81" s="232">
        <f>SUMIFS('Other Minerals - Q&amp;V'!$M$11:$M$743, 'Other Minerals - Q&amp;V'!$A$11:$A$743, "&gt;=" &amp; DATE(LEFT(U$9, 4), 7, 1), 'Other Minerals - Q&amp;V'!$A$11:$A$743, "&lt;" &amp; DATE(LEFT(U$9, 4)+1, 7, 1))*10^6</f>
        <v>13069162</v>
      </c>
      <c r="W81" s="232">
        <f>SUMIFS('Other Minerals - Q&amp;V'!$L$11:$L$743, 'Other Minerals - Q&amp;V'!$A$11:$A$743, "&gt;=" &amp; DATE(LEFT(W$9, 4), 7, 1), 'Other Minerals - Q&amp;V'!$A$11:$A$743, "&lt;" &amp; DATE(LEFT(W$9, 4)+1, 7, 1))</f>
        <v>1015.0205977438561</v>
      </c>
      <c r="X81" s="232">
        <f>SUMIFS('Other Minerals - Q&amp;V'!$M$11:$M$743, 'Other Minerals - Q&amp;V'!$A$11:$A$743, "&gt;=" &amp; DATE(LEFT(W$9, 4), 7, 1), 'Other Minerals - Q&amp;V'!$A$11:$A$743, "&lt;" &amp; DATE(LEFT(W$9, 4)+1, 7, 1))*10^6</f>
        <v>13051098</v>
      </c>
      <c r="Y81" s="232">
        <f>SUMIFS('Other Minerals - Q&amp;V'!$L$11:$L$743, 'Other Minerals - Q&amp;V'!$A$11:$A$743, "&gt;=" &amp; DATE(LEFT(Y$9, 4), 7, 1), 'Other Minerals - Q&amp;V'!$A$11:$A$743, "&lt;" &amp; DATE(LEFT(Y$9, 4)+1, 7, 1))</f>
        <v>463.58674652188802</v>
      </c>
      <c r="Z81" s="232">
        <f>SUMIFS('Other Minerals - Q&amp;V'!$M$11:$M$743, 'Other Minerals - Q&amp;V'!$A$11:$A$743, "&gt;=" &amp; DATE(LEFT(Y$9, 4), 7, 1), 'Other Minerals - Q&amp;V'!$A$11:$A$743, "&lt;" &amp; DATE(LEFT(Y$9, 4)+1, 7, 1))*10^6</f>
        <v>13380729.999999998</v>
      </c>
      <c r="AA81" s="232">
        <f>SUMIFS('Other Minerals - Q&amp;V'!$L$11:$L$743, 'Other Minerals - Q&amp;V'!$A$11:$A$743, "&gt;=" &amp; DATE(LEFT(AA$9, 4), 7, 1), 'Other Minerals - Q&amp;V'!$A$11:$A$743, "&lt;" &amp; DATE(LEFT(AA$9, 4)+1, 7, 1))</f>
        <v>686.91375339787214</v>
      </c>
      <c r="AB81" s="232">
        <f>SUMIFS('Other Minerals - Q&amp;V'!$M$11:$M$743, 'Other Minerals - Q&amp;V'!$A$11:$A$743, "&gt;=" &amp; DATE(LEFT(AA$9, 4), 7, 1), 'Other Minerals - Q&amp;V'!$A$11:$A$743, "&lt;" &amp; DATE(LEFT(AA$9, 4)+1, 7, 1))*10^6</f>
        <v>16656441.000000002</v>
      </c>
      <c r="AC81" s="232">
        <f>SUMIFS('Other Minerals - Q&amp;V'!$L$11:$L$743, 'Other Minerals - Q&amp;V'!$A$11:$A$743, "&gt;=" &amp; DATE(LEFT(AC$9, 4), 7, 1), 'Other Minerals - Q&amp;V'!$A$11:$A$743, "&lt;" &amp; DATE(LEFT(AC$9, 4)+1, 7, 1))</f>
        <v>783.08016724460174</v>
      </c>
      <c r="AD81" s="232">
        <f>SUMIFS('Other Minerals - Q&amp;V'!$M$11:$M$743, 'Other Minerals - Q&amp;V'!$A$11:$A$743, "&gt;=" &amp; DATE(LEFT(AC$9, 4), 7, 1), 'Other Minerals - Q&amp;V'!$A$11:$A$743, "&lt;" &amp; DATE(LEFT(AC$9, 4)+1, 7, 1))*10^6</f>
        <v>21808380.999999996</v>
      </c>
      <c r="AE81" s="366">
        <f>SUMIFS('Other Minerals - Q&amp;V'!$L$11:$L$743, 'Other Minerals - Q&amp;V'!$A$11:$A$743, "&gt;=" &amp; DATE(LEFT(AE$9, 4), 7, 1), 'Other Minerals - Q&amp;V'!$A$11:$A$743, "&lt;" &amp; DATE(LEFT(AE$9, 4)+1, 7, 1))</f>
        <v>645.47319160077598</v>
      </c>
      <c r="AF81" s="232">
        <f>SUMIFS('Other Minerals - Q&amp;V'!$M$11:$M$743, 'Other Minerals - Q&amp;V'!$A$11:$A$743, "&gt;=" &amp; DATE(LEFT(AE$9, 4), 7, 1), 'Other Minerals - Q&amp;V'!$A$11:$A$743, "&lt;" &amp; DATE(LEFT(AE$9, 4)+1, 7, 1))*10^6</f>
        <v>26219907.999999996</v>
      </c>
      <c r="AG81" s="201">
        <f>SUMIFS('Other Minerals - Q&amp;V'!$L$11:$L$743, 'Other Minerals - Q&amp;V'!$A$11:$A$743, "&gt;=" &amp; DATE(LEFT(AG$9, 4), 7, 1), 'Other Minerals - Q&amp;V'!$A$11:$A$743, "&lt;" &amp; DATE(LEFT(AG$9, 4)+1, 7, 1))</f>
        <v>512.37177229576798</v>
      </c>
      <c r="AH81" s="232">
        <f>SUMIFS('Other Minerals - Q&amp;V'!$M$11:$M$743, 'Other Minerals - Q&amp;V'!$A$11:$A$743, "&gt;=" &amp; DATE(LEFT(AG$9, 4), 7, 1), 'Other Minerals - Q&amp;V'!$A$11:$A$743, "&lt;" &amp; DATE(LEFT(AG$9, 4)+1, 7, 1))*10^6</f>
        <v>28075812.999999996</v>
      </c>
      <c r="AI81" s="232">
        <f>SUMIFS('Other Minerals - Q&amp;V'!$L$11:$L$743, 'Other Minerals - Q&amp;V'!$A$11:$A$743, "&gt;=" &amp; DATE(LEFT(AI$9, 4), 7, 1), 'Other Minerals - Q&amp;V'!$A$11:$A$743, "&lt;" &amp; DATE(LEFT(AI$9, 4)+1, 7, 1))</f>
        <v>481.90669435708799</v>
      </c>
      <c r="AJ81" s="232">
        <f>SUMIFS('Other Minerals - Q&amp;V'!$M$11:$M$743, 'Other Minerals - Q&amp;V'!$A$11:$A$743, "&gt;=" &amp; DATE(LEFT(AI$9, 4), 7, 1), 'Other Minerals - Q&amp;V'!$A$11:$A$743, "&lt;" &amp; DATE(LEFT(AI$9, 4)+1, 7, 1))*10^6</f>
        <v>39618801.999999993</v>
      </c>
      <c r="AK81" s="232">
        <f>SUMIFS('Other Minerals - Q&amp;V'!$L$11:$L$743, 'Other Minerals - Q&amp;V'!$A$11:$A$743, "&gt;=" &amp; DATE(LEFT(AK$9, 4), 7, 1), 'Other Minerals - Q&amp;V'!$A$11:$A$743, "&lt;" &amp; DATE(LEFT(AK$9, 4)+1, 7, 1))</f>
        <v>470.33215753550405</v>
      </c>
      <c r="AL81" s="232">
        <f>SUMIFS('Other Minerals - Q&amp;V'!$M$11:$M$743, 'Other Minerals - Q&amp;V'!$A$11:$A$743, "&gt;=" &amp; DATE(LEFT(AK$9, 4), 7, 1), 'Other Minerals - Q&amp;V'!$A$11:$A$743, "&lt;" &amp; DATE(LEFT(AK$9, 4)+1, 7, 1))*10^6</f>
        <v>40285878</v>
      </c>
      <c r="AM81" s="232">
        <f>SUMIFS('Other Minerals - Q&amp;V'!$L$11:$L$743, 'Other Minerals - Q&amp;V'!$A$11:$A$743, "&gt;=" &amp; DATE(LEFT(AM$9, 4), 7, 1), 'Other Minerals - Q&amp;V'!$A$11:$A$743, "&lt;" &amp; DATE(LEFT(AM$9, 4)+1, 7, 1))</f>
        <v>458.91096085454404</v>
      </c>
      <c r="AN81" s="232">
        <f>SUMIFS('Other Minerals - Q&amp;V'!$M$11:$M$743, 'Other Minerals - Q&amp;V'!$A$11:$A$743, "&gt;=" &amp; DATE(LEFT(AM$9, 4), 7, 1), 'Other Minerals - Q&amp;V'!$A$11:$A$743, "&lt;" &amp; DATE(LEFT(AM$9, 4)+1, 7, 1))*10^6</f>
        <v>38985834.999999993</v>
      </c>
      <c r="AO81" s="232">
        <f>SUMIFS('Other Minerals - Q&amp;V'!$L$11:$L$743, 'Other Minerals - Q&amp;V'!$A$11:$A$743, "&gt;=" &amp; DATE(LEFT(AO$9, 4), 7, 1), 'Other Minerals - Q&amp;V'!$A$11:$A$743, "&lt;" &amp; DATE(LEFT(AO$9, 4)+1, 7, 1))</f>
        <v>568.3420122452161</v>
      </c>
      <c r="AP81" s="232">
        <f>SUMIFS('Other Minerals - Q&amp;V'!$M$11:$M$743, 'Other Minerals - Q&amp;V'!$A$11:$A$743, "&gt;=" &amp; DATE(LEFT(AO$9, 4), 7, 1), 'Other Minerals - Q&amp;V'!$A$11:$A$743, "&lt;" &amp; DATE(LEFT(AO$9, 4)+1, 7, 1))*10^6</f>
        <v>41321184</v>
      </c>
      <c r="AQ81" s="232">
        <f>SUMIFS('Other Minerals - Q&amp;V'!$L$11:$L$743, 'Other Minerals - Q&amp;V'!$A$11:$A$743, "&gt;=" &amp; DATE(LEFT(AQ$9, 4), 7, 1), 'Other Minerals - Q&amp;V'!$A$11:$A$743, "&lt;" &amp; DATE(LEFT(AQ$9, 4)+1, 7, 1))</f>
        <v>518.72978950584002</v>
      </c>
      <c r="AR81" s="232">
        <f>SUMIFS('Other Minerals - Q&amp;V'!$M$11:$M$743, 'Other Minerals - Q&amp;V'!$A$11:$A$743, "&gt;=" &amp; DATE(LEFT(AQ$9, 4), 7, 1), 'Other Minerals - Q&amp;V'!$A$11:$A$743, "&lt;" &amp; DATE(LEFT(AQ$9, 4)+1, 7, 1))*10^6</f>
        <v>24450594</v>
      </c>
      <c r="AS81" s="232">
        <f>SUMIFS('Other Minerals - Q&amp;V'!$L$11:$L$743, 'Other Minerals - Q&amp;V'!$A$11:$A$743, "&gt;=" &amp; DATE(LEFT(AS$9, 4), 7, 1), 'Other Minerals - Q&amp;V'!$A$11:$A$743, "&lt;" &amp; DATE(LEFT(AS$9, 4)+1, 7, 1))</f>
        <v>278.24268344452798</v>
      </c>
      <c r="AT81" s="232">
        <f>SUMIFS('Other Minerals - Q&amp;V'!$M$11:$M$743, 'Other Minerals - Q&amp;V'!$A$11:$A$743, "&gt;=" &amp; DATE(LEFT(AS$9, 4), 7, 1), 'Other Minerals - Q&amp;V'!$A$11:$A$743, "&lt;" &amp; DATE(LEFT(AS$9, 4)+1, 7, 1))*10^6</f>
        <v>11485429</v>
      </c>
      <c r="AU81" s="272">
        <f>SUMIF($C$11:AT$11,1,$C81:AT81)</f>
        <v>14577.15983458801</v>
      </c>
      <c r="AV81" s="201">
        <f>IF(COUNTIF($C81:AT81, "nfp")=0, SUMIF($C$11:AT$11,0,$C81:AT81), "nfp")</f>
        <v>416915080.15999997</v>
      </c>
    </row>
    <row r="83" spans="1:48" x14ac:dyDescent="0.25">
      <c r="A83" s="323" t="s">
        <v>239</v>
      </c>
      <c r="B83" s="324" t="s">
        <v>166</v>
      </c>
      <c r="C83" s="325">
        <v>0</v>
      </c>
      <c r="D83" s="325">
        <v>0</v>
      </c>
      <c r="E83" s="325">
        <v>0</v>
      </c>
      <c r="F83" s="325">
        <v>0</v>
      </c>
      <c r="G83" s="325">
        <v>0</v>
      </c>
      <c r="H83" s="325">
        <v>0</v>
      </c>
      <c r="I83" s="325">
        <v>0</v>
      </c>
      <c r="J83" s="325">
        <v>0</v>
      </c>
      <c r="K83" s="325">
        <v>0</v>
      </c>
      <c r="L83" s="325">
        <v>0</v>
      </c>
      <c r="M83" s="325">
        <v>0</v>
      </c>
      <c r="N83" s="325">
        <v>0</v>
      </c>
      <c r="O83" s="325">
        <v>0</v>
      </c>
      <c r="P83" s="325">
        <v>0</v>
      </c>
      <c r="Q83" s="325">
        <v>0</v>
      </c>
      <c r="R83" s="325">
        <v>0</v>
      </c>
      <c r="S83" s="325">
        <v>0</v>
      </c>
      <c r="T83" s="325">
        <v>0</v>
      </c>
      <c r="U83" s="325">
        <v>0</v>
      </c>
      <c r="V83" s="325">
        <v>0</v>
      </c>
      <c r="W83" s="325">
        <v>0</v>
      </c>
      <c r="X83" s="325">
        <v>0</v>
      </c>
      <c r="Y83" s="325">
        <v>0</v>
      </c>
      <c r="Z83" s="325">
        <v>0</v>
      </c>
      <c r="AA83" s="325">
        <v>0</v>
      </c>
      <c r="AB83" s="325">
        <v>0</v>
      </c>
      <c r="AC83" s="325">
        <v>0</v>
      </c>
      <c r="AD83" s="325">
        <v>0</v>
      </c>
      <c r="AE83" s="325">
        <v>0</v>
      </c>
      <c r="AF83" s="325">
        <v>0</v>
      </c>
      <c r="AG83" s="325">
        <v>0</v>
      </c>
      <c r="AH83" s="326">
        <v>0</v>
      </c>
      <c r="AI83" s="326">
        <v>0</v>
      </c>
      <c r="AJ83" s="326">
        <v>0</v>
      </c>
      <c r="AK83" s="326">
        <v>0</v>
      </c>
      <c r="AL83" s="326">
        <v>0</v>
      </c>
      <c r="AM83" s="326">
        <v>0</v>
      </c>
      <c r="AN83" s="326">
        <v>0</v>
      </c>
      <c r="AO83" s="326">
        <v>5954</v>
      </c>
      <c r="AP83" s="326" t="s">
        <v>509</v>
      </c>
      <c r="AQ83" s="326">
        <v>1967.46</v>
      </c>
      <c r="AR83" s="326" t="s">
        <v>509</v>
      </c>
      <c r="AS83" s="326">
        <v>331.87</v>
      </c>
      <c r="AT83" s="326" t="s">
        <v>509</v>
      </c>
      <c r="AU83" s="358">
        <f>SUMIF($C$11:AT$11,1,$C83:AT83)</f>
        <v>8253.33</v>
      </c>
      <c r="AV83" s="325" t="str">
        <f>IF(COUNTIF($C83:AT83, "nfp")=0, SUMIF($C$11:AT$11,0,$C83:AT83), "nfp")</f>
        <v>nfp</v>
      </c>
    </row>
    <row r="84" spans="1:48" x14ac:dyDescent="0.25">
      <c r="A84" s="380"/>
      <c r="B84" s="324"/>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320"/>
      <c r="AE84" s="360"/>
      <c r="AF84" s="320"/>
      <c r="AG84" s="360"/>
      <c r="AH84" s="356"/>
      <c r="AI84" s="361"/>
      <c r="AJ84" s="356"/>
      <c r="AK84" s="356"/>
      <c r="AL84" s="356"/>
      <c r="AM84" s="356"/>
      <c r="AN84" s="356"/>
      <c r="AO84" s="356"/>
      <c r="AP84" s="356"/>
      <c r="AQ84" s="356"/>
      <c r="AR84" s="356"/>
      <c r="AS84" s="356"/>
      <c r="AT84" s="356"/>
      <c r="AU84" s="358"/>
      <c r="AV84" s="325"/>
    </row>
    <row r="85" spans="1:48" x14ac:dyDescent="0.25">
      <c r="A85" s="330" t="s">
        <v>240</v>
      </c>
      <c r="B85" s="216" t="s">
        <v>214</v>
      </c>
      <c r="C85" s="201">
        <v>0</v>
      </c>
      <c r="D85" s="201">
        <v>0</v>
      </c>
      <c r="E85" s="201">
        <v>0</v>
      </c>
      <c r="F85" s="201">
        <v>0</v>
      </c>
      <c r="G85" s="201">
        <v>0</v>
      </c>
      <c r="H85" s="201">
        <v>0</v>
      </c>
      <c r="I85" s="201">
        <v>0</v>
      </c>
      <c r="J85" s="201">
        <v>0</v>
      </c>
      <c r="K85" s="201">
        <v>0</v>
      </c>
      <c r="L85" s="201">
        <v>0</v>
      </c>
      <c r="M85" s="201">
        <v>0</v>
      </c>
      <c r="N85" s="201">
        <v>0</v>
      </c>
      <c r="O85" s="201">
        <v>0</v>
      </c>
      <c r="P85" s="201">
        <v>0</v>
      </c>
      <c r="Q85" s="201">
        <v>0</v>
      </c>
      <c r="R85" s="201">
        <v>0</v>
      </c>
      <c r="S85" s="201">
        <v>0</v>
      </c>
      <c r="T85" s="201">
        <v>0</v>
      </c>
      <c r="U85" s="201">
        <v>1403906.4219999998</v>
      </c>
      <c r="V85" s="201" t="s">
        <v>509</v>
      </c>
      <c r="W85" s="201">
        <v>7653061.3399999999</v>
      </c>
      <c r="X85" s="201" t="s">
        <v>509</v>
      </c>
      <c r="Y85" s="201">
        <v>13762327</v>
      </c>
      <c r="Z85" s="201" t="s">
        <v>509</v>
      </c>
      <c r="AA85" s="201">
        <v>18773690</v>
      </c>
      <c r="AB85" s="201" t="s">
        <v>509</v>
      </c>
      <c r="AC85" s="201">
        <v>26829585</v>
      </c>
      <c r="AD85" s="201" t="s">
        <v>509</v>
      </c>
      <c r="AE85" s="278">
        <v>29676877</v>
      </c>
      <c r="AF85" s="201" t="s">
        <v>509</v>
      </c>
      <c r="AG85" s="278">
        <v>29044627</v>
      </c>
      <c r="AH85" s="381">
        <v>345763141</v>
      </c>
      <c r="AI85" s="281">
        <v>22149793.859999999</v>
      </c>
      <c r="AJ85" s="281">
        <v>258964205</v>
      </c>
      <c r="AK85" s="232">
        <v>27103719</v>
      </c>
      <c r="AL85" s="232" t="s">
        <v>509</v>
      </c>
      <c r="AM85" s="232">
        <v>29977164.25</v>
      </c>
      <c r="AN85" s="232">
        <v>778672985</v>
      </c>
      <c r="AO85" s="232">
        <v>30591770</v>
      </c>
      <c r="AP85" s="232" t="s">
        <v>509</v>
      </c>
      <c r="AQ85" s="232">
        <v>27651858</v>
      </c>
      <c r="AR85" s="232" t="s">
        <v>509</v>
      </c>
      <c r="AS85" s="232">
        <v>33850444.810000002</v>
      </c>
      <c r="AT85" s="232" t="s">
        <v>509</v>
      </c>
      <c r="AU85" s="201">
        <f>SUMIF($C$11:AT$11,1,$C85:AT85)</f>
        <v>298468823.68199998</v>
      </c>
      <c r="AV85" s="201" t="str">
        <f>IF(COUNTIF($C85:AT85, "nfp")=0, SUMIF($C$11:AT$11,0,$C85:AT85), "nfp")</f>
        <v>nfp</v>
      </c>
    </row>
    <row r="86" spans="1:48" x14ac:dyDescent="0.25">
      <c r="A86" s="241"/>
      <c r="C86" s="227"/>
      <c r="D86" s="227"/>
      <c r="E86" s="227"/>
      <c r="F86" s="227"/>
      <c r="G86" s="227"/>
      <c r="H86" s="227"/>
      <c r="I86" s="227"/>
      <c r="J86" s="227"/>
      <c r="K86" s="227"/>
      <c r="L86" s="227"/>
      <c r="M86" s="227"/>
      <c r="N86" s="227"/>
      <c r="O86" s="227"/>
      <c r="P86" s="227"/>
      <c r="Q86" s="227"/>
      <c r="R86" s="227"/>
      <c r="S86" s="227"/>
      <c r="T86" s="227"/>
      <c r="U86" s="227"/>
      <c r="V86" s="227"/>
      <c r="W86" s="227"/>
      <c r="X86" s="227"/>
      <c r="Y86" s="227"/>
      <c r="Z86" s="227"/>
      <c r="AA86" s="227"/>
      <c r="AB86" s="227"/>
      <c r="AC86" s="227"/>
      <c r="AD86" s="227"/>
      <c r="AE86" s="373"/>
      <c r="AF86" s="227"/>
      <c r="AG86" s="373"/>
      <c r="AH86" s="374"/>
      <c r="AI86" s="375"/>
      <c r="AJ86" s="374"/>
      <c r="AK86" s="374"/>
      <c r="AL86" s="374"/>
      <c r="AM86" s="374"/>
      <c r="AN86" s="374"/>
      <c r="AO86" s="374"/>
      <c r="AP86" s="374"/>
      <c r="AQ86" s="374"/>
      <c r="AR86" s="374"/>
      <c r="AS86" s="374"/>
      <c r="AT86" s="374"/>
      <c r="AU86" s="278"/>
      <c r="AV86" s="201"/>
    </row>
    <row r="87" spans="1:48" x14ac:dyDescent="0.25">
      <c r="A87" s="323" t="s">
        <v>241</v>
      </c>
      <c r="B87" s="324" t="s">
        <v>166</v>
      </c>
      <c r="C87" s="326">
        <f>SUMIFS('Other Minerals - Q&amp;V'!$F$11:$F$743, 'Other Minerals - Q&amp;V'!$A$11:$A$743, "&gt;=" &amp; DATE(LEFT(C$9, 4), 7, 1), 'Other Minerals - Q&amp;V'!$A$11:$A$743, "&lt;" &amp; DATE(LEFT(C$9, 4)+1, 7, 1))*10^6</f>
        <v>9956080.9799999986</v>
      </c>
      <c r="D87" s="326">
        <f>SUMIFS('Other Minerals - Q&amp;V'!$G$11:$G$743, 'Other Minerals - Q&amp;V'!$A$11:$A$743, "&gt;=" &amp; DATE(LEFT(C$9, 4), 7, 1), 'Other Minerals - Q&amp;V'!$A$11:$A$743, "&lt;" &amp; DATE(LEFT(C$9, 4)+1, 7, 1))*10^6</f>
        <v>180920778.64000002</v>
      </c>
      <c r="E87" s="326">
        <f>SUMIFS('Other Minerals - Q&amp;V'!$F$11:$F$743, 'Other Minerals - Q&amp;V'!$A$11:$A$743, "&gt;=" &amp; DATE(LEFT(E$9, 4), 7, 1), 'Other Minerals - Q&amp;V'!$A$11:$A$743, "&lt;" &amp; DATE(LEFT(E$9, 4)+1, 7, 1))*10^6</f>
        <v>11506549.146000002</v>
      </c>
      <c r="F87" s="326">
        <f>SUMIFS('Other Minerals - Q&amp;V'!$G$11:$G$743, 'Other Minerals - Q&amp;V'!$A$11:$A$743, "&gt;=" &amp; DATE(LEFT(E$9, 4), 7, 1), 'Other Minerals - Q&amp;V'!$A$11:$A$743, "&lt;" &amp; DATE(LEFT(E$9, 4)+1, 7, 1))*10^6</f>
        <v>203797623.59999999</v>
      </c>
      <c r="G87" s="326">
        <f>SUMIFS('Other Minerals - Q&amp;V'!$F$11:$F$743, 'Other Minerals - Q&amp;V'!$A$11:$A$743, "&gt;=" &amp; DATE(LEFT(G$9, 4), 7, 1), 'Other Minerals - Q&amp;V'!$A$11:$A$743, "&lt;" &amp; DATE(LEFT(G$9, 4)+1, 7, 1))*10^6</f>
        <v>10834196.379999999</v>
      </c>
      <c r="H87" s="326">
        <f>SUMIFS('Other Minerals - Q&amp;V'!$G$11:$G$743, 'Other Minerals - Q&amp;V'!$A$11:$A$743, "&gt;=" &amp; DATE(LEFT(G$9, 4), 7, 1), 'Other Minerals - Q&amp;V'!$A$11:$A$743, "&lt;" &amp; DATE(LEFT(G$9, 4)+1, 7, 1))*10^6</f>
        <v>229850353.84</v>
      </c>
      <c r="I87" s="326">
        <f>SUMIFS('Other Minerals - Q&amp;V'!$F$11:$F$743, 'Other Minerals - Q&amp;V'!$A$11:$A$743, "&gt;=" &amp; DATE(LEFT(I$9, 4), 7, 1), 'Other Minerals - Q&amp;V'!$A$11:$A$743, "&lt;" &amp; DATE(LEFT(I$9, 4)+1, 7, 1))*10^6</f>
        <v>10423588.002999999</v>
      </c>
      <c r="J87" s="326">
        <f>SUMIFS('Other Minerals - Q&amp;V'!$G$11:$G$743, 'Other Minerals - Q&amp;V'!$A$11:$A$743, "&gt;=" &amp; DATE(LEFT(I$9, 4), 7, 1), 'Other Minerals - Q&amp;V'!$A$11:$A$743, "&lt;" &amp; DATE(LEFT(I$9, 4)+1, 7, 1))*10^6</f>
        <v>236151568.72999999</v>
      </c>
      <c r="K87" s="326">
        <f>SUMIFS('Other Minerals - Q&amp;V'!$F$11:$F$743, 'Other Minerals - Q&amp;V'!$A$11:$A$743, "&gt;=" &amp; DATE(LEFT(K$9, 4), 7, 1), 'Other Minerals - Q&amp;V'!$A$11:$A$743, "&lt;" &amp; DATE(LEFT(K$9, 4)+1, 7, 1))*10^6</f>
        <v>10589164.411999999</v>
      </c>
      <c r="L87" s="326">
        <f>SUMIFS('Other Minerals - Q&amp;V'!$G$11:$G$743, 'Other Minerals - Q&amp;V'!$A$11:$A$743, "&gt;=" &amp; DATE(LEFT(K$9, 4), 7, 1), 'Other Minerals - Q&amp;V'!$A$11:$A$743, "&lt;" &amp; DATE(LEFT(K$9, 4)+1, 7, 1))*10^6</f>
        <v>232929068.66000003</v>
      </c>
      <c r="M87" s="326">
        <f>SUMIFS('Other Minerals - Q&amp;V'!$F$11:$F$743, 'Other Minerals - Q&amp;V'!$A$11:$A$743, "&gt;=" &amp; DATE(LEFT(M$9, 4), 7, 1), 'Other Minerals - Q&amp;V'!$A$11:$A$743, "&lt;" &amp; DATE(LEFT(M$9, 4)+1, 7, 1))*10^6</f>
        <v>10519491.383999998</v>
      </c>
      <c r="N87" s="326">
        <f>SUMIFS('Other Minerals - Q&amp;V'!$G$11:$G$743, 'Other Minerals - Q&amp;V'!$A$11:$A$743, "&gt;=" &amp; DATE(LEFT(M$9, 4), 7, 1), 'Other Minerals - Q&amp;V'!$A$11:$A$743, "&lt;" &amp; DATE(LEFT(M$9, 4)+1, 7, 1))*10^6</f>
        <v>386254379.48000002</v>
      </c>
      <c r="O87" s="326">
        <f>SUMIFS('Other Minerals - Q&amp;V'!$F$11:$F$743, 'Other Minerals - Q&amp;V'!$A$11:$A$743, "&gt;=" &amp; DATE(LEFT(O$9, 4), 7, 1), 'Other Minerals - Q&amp;V'!$A$11:$A$743, "&lt;" &amp; DATE(LEFT(O$9, 4)+1, 7, 1))*10^6</f>
        <v>10969478.647</v>
      </c>
      <c r="P87" s="326">
        <f>SUMIFS('Other Minerals - Q&amp;V'!$G$11:$G$743, 'Other Minerals - Q&amp;V'!$A$11:$A$743, "&gt;=" &amp; DATE(LEFT(O$9, 4), 7, 1), 'Other Minerals - Q&amp;V'!$A$11:$A$743, "&lt;" &amp; DATE(LEFT(O$9, 4)+1, 7, 1))*10^6</f>
        <v>417460428.33000004</v>
      </c>
      <c r="Q87" s="326">
        <f>SUMIFS('Other Minerals - Q&amp;V'!$F$11:$F$743, 'Other Minerals - Q&amp;V'!$A$11:$A$743, "&gt;=" &amp; DATE(LEFT(Q$9, 4), 7, 1), 'Other Minerals - Q&amp;V'!$A$11:$A$743, "&lt;" &amp; DATE(LEFT(Q$9, 4)+1, 7, 1))*10^6</f>
        <v>12246504.290000001</v>
      </c>
      <c r="R87" s="326">
        <f>SUMIFS('Other Minerals - Q&amp;V'!$G$11:$G$743, 'Other Minerals - Q&amp;V'!$A$11:$A$743, "&gt;=" &amp; DATE(LEFT(Q$9, 4), 7, 1), 'Other Minerals - Q&amp;V'!$A$11:$A$743, "&lt;" &amp; DATE(LEFT(Q$9, 4)+1, 7, 1))*10^6</f>
        <v>366935890.44999999</v>
      </c>
      <c r="S87" s="326">
        <f>SUMIFS('Other Minerals - Q&amp;V'!$F$11:$F$743, 'Other Minerals - Q&amp;V'!$A$11:$A$743, "&gt;=" &amp; DATE(LEFT(S$9, 4), 7, 1), 'Other Minerals - Q&amp;V'!$A$11:$A$743, "&lt;" &amp; DATE(LEFT(S$9, 4)+1, 7, 1))*10^6</f>
        <v>12807461.35</v>
      </c>
      <c r="T87" s="326">
        <f>SUMIFS('Other Minerals - Q&amp;V'!$G$11:$G$743, 'Other Minerals - Q&amp;V'!$A$11:$A$743, "&gt;=" &amp; DATE(LEFT(S$9, 4), 7, 1), 'Other Minerals - Q&amp;V'!$A$11:$A$743, "&lt;" &amp; DATE(LEFT(S$9, 4)+1, 7, 1))*10^6</f>
        <v>353776446.97000003</v>
      </c>
      <c r="U87" s="326">
        <f>SUMIFS('Other Minerals - Q&amp;V'!$F$11:$F$743, 'Other Minerals - Q&amp;V'!$A$11:$A$743, "&gt;=" &amp; DATE(LEFT(U$9, 4), 7, 1), 'Other Minerals - Q&amp;V'!$A$11:$A$743, "&lt;" &amp; DATE(LEFT(U$9, 4)+1, 7, 1))*10^6</f>
        <v>12389642.682</v>
      </c>
      <c r="V87" s="326">
        <f>SUMIFS('Other Minerals - Q&amp;V'!$G$11:$G$743, 'Other Minerals - Q&amp;V'!$A$11:$A$743, "&gt;=" &amp; DATE(LEFT(U$9, 4), 7, 1), 'Other Minerals - Q&amp;V'!$A$11:$A$743, "&lt;" &amp; DATE(LEFT(U$9, 4)+1, 7, 1))*10^6</f>
        <v>381652888.95000005</v>
      </c>
      <c r="W87" s="326">
        <f>SUMIFS('Other Minerals - Q&amp;V'!$F$11:$F$743, 'Other Minerals - Q&amp;V'!$A$11:$A$743, "&gt;=" &amp; DATE(LEFT(W$9, 4), 7, 1), 'Other Minerals - Q&amp;V'!$A$11:$A$743, "&lt;" &amp; DATE(LEFT(W$9, 4)+1, 7, 1))*10^6</f>
        <v>12992041.549999999</v>
      </c>
      <c r="X87" s="326">
        <f>SUMIFS('Other Minerals - Q&amp;V'!$G$11:$G$743, 'Other Minerals - Q&amp;V'!$A$11:$A$743, "&gt;=" &amp; DATE(LEFT(W$9, 4), 7, 1), 'Other Minerals - Q&amp;V'!$A$11:$A$743, "&lt;" &amp; DATE(LEFT(W$9, 4)+1, 7, 1))*10^6</f>
        <v>412341655.52396971</v>
      </c>
      <c r="Y87" s="326">
        <f>SUMIFS('Other Minerals - Q&amp;V'!$F$11:$F$743, 'Other Minerals - Q&amp;V'!$A$11:$A$743, "&gt;=" &amp; DATE(LEFT(Y$9, 4), 7, 1), 'Other Minerals - Q&amp;V'!$A$11:$A$743, "&lt;" &amp; DATE(LEFT(Y$9, 4)+1, 7, 1))*10^6</f>
        <v>11726606.300000001</v>
      </c>
      <c r="Z87" s="326">
        <f>SUMIFS('Other Minerals - Q&amp;V'!$G$11:$G$743, 'Other Minerals - Q&amp;V'!$A$11:$A$743, "&gt;=" &amp; DATE(LEFT(Y$9, 4), 7, 1), 'Other Minerals - Q&amp;V'!$A$11:$A$743, "&lt;" &amp; DATE(LEFT(Y$9, 4)+1, 7, 1))*10^6</f>
        <v>374622314.99999994</v>
      </c>
      <c r="AA87" s="326">
        <f>SUMIFS('Other Minerals - Q&amp;V'!$F$11:$F$743, 'Other Minerals - Q&amp;V'!$A$11:$A$743, "&gt;=" &amp; DATE(LEFT(AA$9, 4), 7, 1), 'Other Minerals - Q&amp;V'!$A$11:$A$743, "&lt;" &amp; DATE(LEFT(AA$9, 4)+1, 7, 1))*10^6</f>
        <v>10974721.49</v>
      </c>
      <c r="AB87" s="326">
        <f>SUMIFS('Other Minerals - Q&amp;V'!$G$11:$G$743, 'Other Minerals - Q&amp;V'!$A$11:$A$743, "&gt;=" &amp; DATE(LEFT(AA$9, 4), 7, 1), 'Other Minerals - Q&amp;V'!$A$11:$A$743, "&lt;" &amp; DATE(LEFT(AA$9, 4)+1, 7, 1))*10^6</f>
        <v>337271040.1522364</v>
      </c>
      <c r="AC87" s="357">
        <f>SUMIFS('Other Minerals - Q&amp;V'!$F$11:$F$743, 'Other Minerals - Q&amp;V'!$A$11:$A$743, "&gt;=" &amp; DATE(LEFT(AC$9, 4), 7, 1), 'Other Minerals - Q&amp;V'!$A$11:$A$743, "&lt;" &amp; DATE(LEFT(AC$9, 4)+1, 7, 1))*10^6</f>
        <v>10874278.82</v>
      </c>
      <c r="AD87" s="326">
        <f>SUMIFS('Other Minerals - Q&amp;V'!$G$11:$G$743, 'Other Minerals - Q&amp;V'!$A$11:$A$743, "&gt;=" &amp; DATE(LEFT(AC$9, 4), 7, 1), 'Other Minerals - Q&amp;V'!$A$11:$A$743, "&lt;" &amp; DATE(LEFT(AC$9, 4)+1, 7, 1))*10^6</f>
        <v>293218503.58566737</v>
      </c>
      <c r="AE87" s="357">
        <f>SUMIFS('Other Minerals - Q&amp;V'!$F$11:$F$743, 'Other Minerals - Q&amp;V'!$A$11:$A$743, "&gt;=" &amp; DATE(LEFT(AE$9, 4), 7, 1), 'Other Minerals - Q&amp;V'!$A$11:$A$743, "&lt;" &amp; DATE(LEFT(AE$9, 4)+1, 7, 1))*10^6</f>
        <v>12963777.649999997</v>
      </c>
      <c r="AF87" s="326">
        <f>SUMIFS('Other Minerals - Q&amp;V'!$G$11:$G$743, 'Other Minerals - Q&amp;V'!$A$11:$A$743, "&gt;=" &amp; DATE(LEFT(AE$9, 4), 7, 1), 'Other Minerals - Q&amp;V'!$A$11:$A$743, "&lt;" &amp; DATE(LEFT(AE$9, 4)+1, 7, 1))*10^6</f>
        <v>302945027.51501292</v>
      </c>
      <c r="AG87" s="368">
        <f>SUMIFS('Other Minerals - Q&amp;V'!$F$11:$F$743, 'Other Minerals - Q&amp;V'!$A$11:$A$743, "&gt;=" &amp; DATE(LEFT(AG$9, 4), 7, 1), 'Other Minerals - Q&amp;V'!$A$11:$A$743, "&lt;" &amp; DATE(LEFT(AG$9, 4)+1, 7, 1))*10^6</f>
        <v>11729482.380000001</v>
      </c>
      <c r="AH87" s="326">
        <f>SUMIFS('Other Minerals - Q&amp;V'!$G$11:$G$743, 'Other Minerals - Q&amp;V'!$A$11:$A$743, "&gt;=" &amp; DATE(LEFT(AG$9, 4), 7, 1), 'Other Minerals - Q&amp;V'!$A$11:$A$743, "&lt;" &amp; DATE(LEFT(AG$9, 4)+1, 7, 1))*10^6</f>
        <v>303317868.9654907</v>
      </c>
      <c r="AI87" s="357">
        <f>SUMIFS('Other Minerals - Q&amp;V'!$F$11:$F$743, 'Other Minerals - Q&amp;V'!$A$11:$A$743, "&gt;=" &amp; DATE(LEFT(AI$9, 4), 7, 1), 'Other Minerals - Q&amp;V'!$A$11:$A$743, "&lt;" &amp; DATE(LEFT(AI$9, 4)+1, 7, 1))*10^6</f>
        <v>11266385.219999999</v>
      </c>
      <c r="AJ87" s="326">
        <f>SUMIFS('Other Minerals - Q&amp;V'!$G$11:$G$743, 'Other Minerals - Q&amp;V'!$A$11:$A$743, "&gt;=" &amp; DATE(LEFT(AI$9, 4), 7, 1), 'Other Minerals - Q&amp;V'!$A$11:$A$743, "&lt;" &amp; DATE(LEFT(AI$9, 4)+1, 7, 1))*10^6</f>
        <v>375123938.99999994</v>
      </c>
      <c r="AK87" s="326">
        <f>SUMIFS('Other Minerals - Q&amp;V'!$F$11:$F$743, 'Other Minerals - Q&amp;V'!$A$11:$A$743, "&gt;=" &amp; DATE(LEFT(AK$9, 4), 7, 1), 'Other Minerals - Q&amp;V'!$A$11:$A$743, "&lt;" &amp; DATE(LEFT(AK$9, 4)+1, 7, 1))*10^6</f>
        <v>12498613.345000001</v>
      </c>
      <c r="AL87" s="326">
        <f>SUMIFS('Other Minerals - Q&amp;V'!$G$11:$G$743, 'Other Minerals - Q&amp;V'!$A$11:$A$743, "&gt;=" &amp; DATE(LEFT(AK$9, 4), 7, 1), 'Other Minerals - Q&amp;V'!$A$11:$A$743, "&lt;" &amp; DATE(LEFT(AK$9, 4)+1, 7, 1))*10^6</f>
        <v>553359887</v>
      </c>
      <c r="AM87" s="326">
        <f>SUMIFS('Other Minerals - Q&amp;V'!$F$11:$F$743, 'Other Minerals - Q&amp;V'!$A$11:$A$743, "&gt;=" &amp; DATE(LEFT(AM$9, 4), 7, 1), 'Other Minerals - Q&amp;V'!$A$11:$A$743, "&lt;" &amp; DATE(LEFT(AM$9, 4)+1, 7, 1))*10^6</f>
        <v>11646039.539000001</v>
      </c>
      <c r="AN87" s="326">
        <f>SUMIFS('Other Minerals - Q&amp;V'!$G$11:$G$743, 'Other Minerals - Q&amp;V'!$A$11:$A$743, "&gt;=" &amp; DATE(LEFT(AM$9, 4), 7, 1), 'Other Minerals - Q&amp;V'!$A$11:$A$743, "&lt;" &amp; DATE(LEFT(AM$9, 4)+1, 7, 1))*10^6</f>
        <v>557545399</v>
      </c>
      <c r="AO87" s="326">
        <f>SUMIFS('Other Minerals - Q&amp;V'!$F$11:$F$743, 'Other Minerals - Q&amp;V'!$A$11:$A$743, "&gt;=" &amp; DATE(LEFT(AO$9, 4), 7, 1), 'Other Minerals - Q&amp;V'!$A$11:$A$743, "&lt;" &amp; DATE(LEFT(AO$9, 4)+1, 7, 1))*10^6</f>
        <v>11593858.07</v>
      </c>
      <c r="AP87" s="326">
        <f>SUMIFS('Other Minerals - Q&amp;V'!$G$11:$G$743, 'Other Minerals - Q&amp;V'!$A$11:$A$743, "&gt;=" &amp; DATE(LEFT(AO$9, 4), 7, 1), 'Other Minerals - Q&amp;V'!$A$11:$A$743, "&lt;" &amp; DATE(LEFT(AO$9, 4)+1, 7, 1))*10^6</f>
        <v>715420730</v>
      </c>
      <c r="AQ87" s="326">
        <f>SUMIFS('Other Minerals - Q&amp;V'!$F$11:$F$743, 'Other Minerals - Q&amp;V'!$A$11:$A$743, "&gt;=" &amp; DATE(LEFT(AQ$9, 4), 7, 1), 'Other Minerals - Q&amp;V'!$A$11:$A$743, "&lt;" &amp; DATE(LEFT(AQ$9, 4)+1, 7, 1))*10^6</f>
        <v>11872075.713</v>
      </c>
      <c r="AR87" s="326">
        <f>SUMIFS('Other Minerals - Q&amp;V'!$G$11:$G$743, 'Other Minerals - Q&amp;V'!$A$11:$A$743, "&gt;=" &amp; DATE(LEFT(AQ$9, 4), 7, 1), 'Other Minerals - Q&amp;V'!$A$11:$A$743, "&lt;" &amp; DATE(LEFT(AQ$9, 4)+1, 7, 1))*10^6</f>
        <v>814814273</v>
      </c>
      <c r="AS87" s="326">
        <f>SUMIFS('Other Minerals - Q&amp;V'!$F$11:$F$743, 'Other Minerals - Q&amp;V'!$A$11:$A$743, "&gt;=" &amp; DATE(LEFT(AS$9, 4), 7, 1), 'Other Minerals - Q&amp;V'!$A$11:$A$743, "&lt;" &amp; DATE(LEFT(AS$9, 4)+1, 7, 1))*10^6</f>
        <v>11684353.293</v>
      </c>
      <c r="AT87" s="326">
        <f>SUMIFS('Other Minerals - Q&amp;V'!$G$11:$G$743, 'Other Minerals - Q&amp;V'!$A$11:$A$743, "&gt;=" &amp; DATE(LEFT(AS$9, 4), 7, 1), 'Other Minerals - Q&amp;V'!$A$11:$A$743, "&lt;" &amp; DATE(LEFT(AS$9, 4)+1, 7, 1))*10^6</f>
        <v>760112992.17922282</v>
      </c>
      <c r="AU87" s="370">
        <f>SUMIF($C$11:AT$11,1,$C87:AT87)</f>
        <v>254064390.64399999</v>
      </c>
      <c r="AV87" s="325">
        <f>IF(COUNTIF($C87:AT87, "nfp")=0, SUMIF($C$11:AT$11,0,$C87:AT87), "nfp")</f>
        <v>8789823058.5715981</v>
      </c>
    </row>
    <row r="88" spans="1:48" x14ac:dyDescent="0.25">
      <c r="A88" s="338"/>
      <c r="B88" s="324"/>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57"/>
      <c r="AD88" s="326"/>
      <c r="AE88" s="357"/>
      <c r="AF88" s="326"/>
      <c r="AG88" s="368"/>
      <c r="AH88" s="326"/>
      <c r="AI88" s="357"/>
      <c r="AJ88" s="326"/>
      <c r="AK88" s="326"/>
      <c r="AL88" s="326"/>
      <c r="AM88" s="326"/>
      <c r="AN88" s="326"/>
      <c r="AO88" s="326"/>
      <c r="AP88" s="326"/>
      <c r="AQ88" s="326"/>
      <c r="AR88" s="326"/>
      <c r="AS88" s="326"/>
      <c r="AT88" s="326"/>
      <c r="AU88" s="370"/>
      <c r="AV88" s="325"/>
    </row>
    <row r="89" spans="1:48" x14ac:dyDescent="0.25">
      <c r="A89" s="330" t="s">
        <v>242</v>
      </c>
      <c r="B89" s="216" t="s">
        <v>166</v>
      </c>
      <c r="C89" s="201">
        <v>644205</v>
      </c>
      <c r="D89" s="201">
        <v>6759618</v>
      </c>
      <c r="E89" s="201">
        <v>700239.7</v>
      </c>
      <c r="F89" s="201">
        <v>6155323</v>
      </c>
      <c r="G89" s="201">
        <v>778115</v>
      </c>
      <c r="H89" s="201">
        <v>7779625</v>
      </c>
      <c r="I89" s="201">
        <v>630536.47</v>
      </c>
      <c r="J89" s="201">
        <v>6016582</v>
      </c>
      <c r="K89" s="201">
        <v>675112.38</v>
      </c>
      <c r="L89" s="201">
        <v>11283531</v>
      </c>
      <c r="M89" s="201">
        <v>446024.99</v>
      </c>
      <c r="N89" s="201">
        <v>7615823</v>
      </c>
      <c r="O89" s="201">
        <v>442340.3</v>
      </c>
      <c r="P89" s="201">
        <v>12402030</v>
      </c>
      <c r="Q89" s="201">
        <v>430363.1</v>
      </c>
      <c r="R89" s="201">
        <v>13304556</v>
      </c>
      <c r="S89" s="201">
        <v>452638.3</v>
      </c>
      <c r="T89" s="201">
        <v>14742316</v>
      </c>
      <c r="U89" s="201">
        <v>498232.2</v>
      </c>
      <c r="V89" s="201">
        <v>16886756</v>
      </c>
      <c r="W89" s="201">
        <v>449586.68</v>
      </c>
      <c r="X89" s="201">
        <v>15847051</v>
      </c>
      <c r="Y89" s="201">
        <v>483809.31000000006</v>
      </c>
      <c r="Z89" s="201">
        <v>17927564</v>
      </c>
      <c r="AA89" s="201">
        <v>581965.53299999994</v>
      </c>
      <c r="AB89" s="201">
        <v>18072793</v>
      </c>
      <c r="AC89" s="278">
        <v>728858.92699999991</v>
      </c>
      <c r="AD89" s="201">
        <v>20364867</v>
      </c>
      <c r="AE89" s="278">
        <v>974445.34799999988</v>
      </c>
      <c r="AF89" s="201">
        <v>18775811</v>
      </c>
      <c r="AG89" s="278">
        <v>992208.3559999998</v>
      </c>
      <c r="AH89" s="232">
        <v>21269502</v>
      </c>
      <c r="AI89" s="281">
        <v>991234.98099999991</v>
      </c>
      <c r="AJ89" s="232">
        <v>19657513</v>
      </c>
      <c r="AK89" s="232">
        <v>849508.21400000004</v>
      </c>
      <c r="AL89" s="232">
        <v>16833496</v>
      </c>
      <c r="AM89" s="232">
        <v>952775.95499999996</v>
      </c>
      <c r="AN89" s="232">
        <v>17760841</v>
      </c>
      <c r="AO89" s="232">
        <v>1224712.5959999999</v>
      </c>
      <c r="AP89" s="232">
        <v>23945891</v>
      </c>
      <c r="AQ89" s="232">
        <v>954661.80300000007</v>
      </c>
      <c r="AR89" s="232">
        <v>21512652</v>
      </c>
      <c r="AS89" s="232">
        <v>795741.42300000007</v>
      </c>
      <c r="AT89" s="232">
        <v>22190950</v>
      </c>
      <c r="AU89" s="278">
        <f>SUMIF($C$11:AT$11,1,$C89:AT89)</f>
        <v>15677316.566</v>
      </c>
      <c r="AV89" s="201">
        <f>IF(COUNTIF($C89:AT89, "nfp")=0, SUMIF($C$11:AT$11,0,$C89:AT89), "nfp")</f>
        <v>337105091</v>
      </c>
    </row>
    <row r="90" spans="1:48" x14ac:dyDescent="0.25">
      <c r="A90" s="231"/>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373"/>
      <c r="AD90" s="227"/>
      <c r="AE90" s="373"/>
      <c r="AF90" s="227"/>
      <c r="AG90" s="373"/>
      <c r="AH90" s="374"/>
      <c r="AI90" s="375"/>
      <c r="AJ90" s="374"/>
      <c r="AK90" s="374"/>
      <c r="AL90" s="374"/>
      <c r="AM90" s="374"/>
      <c r="AN90" s="374"/>
      <c r="AO90" s="374"/>
      <c r="AP90" s="374"/>
      <c r="AQ90" s="374"/>
      <c r="AR90" s="374"/>
      <c r="AS90" s="374"/>
      <c r="AT90" s="374"/>
      <c r="AU90" s="278"/>
      <c r="AV90" s="201"/>
    </row>
    <row r="91" spans="1:48" x14ac:dyDescent="0.25">
      <c r="A91" s="323" t="s">
        <v>243</v>
      </c>
      <c r="B91" s="324" t="s">
        <v>214</v>
      </c>
      <c r="C91" s="326">
        <f>SUMIFS('Other Minerals - Q&amp;V'!$B$11:$B$743, 'Other Minerals - Q&amp;V'!$A$11:$A$743, "&gt;=" &amp; DATE(LEFT(C$9, 4), 7, 1), 'Other Minerals - Q&amp;V'!$A$11:$A$743, "&lt;" &amp; DATE(LEFT(C$9, 4)+1, 7, 1))*10^3</f>
        <v>98060</v>
      </c>
      <c r="D91" s="326">
        <f>SUMIFS('Other Minerals - Q&amp;V'!$C$11:$C$743, 'Other Minerals - Q&amp;V'!$A$11:$A$743, "&gt;=" &amp; DATE(LEFT(C$9, 4), 7, 1), 'Other Minerals - Q&amp;V'!$A$11:$A$743, "&lt;" &amp; DATE(LEFT(C$9, 4)+1, 7, 1))*10^6</f>
        <v>13101927.68</v>
      </c>
      <c r="E91" s="326">
        <f>SUMIFS('Other Minerals - Q&amp;V'!$B$11:$B$743, 'Other Minerals - Q&amp;V'!$A$11:$A$743, "&gt;=" &amp; DATE(LEFT(E$9, 4), 7, 1), 'Other Minerals - Q&amp;V'!$A$11:$A$743, "&lt;" &amp; DATE(LEFT(E$9, 4)+1, 7, 1))*10^3</f>
        <v>142400</v>
      </c>
      <c r="F91" s="326">
        <f>SUMIFS('Other Minerals - Q&amp;V'!$C$11:$C$743, 'Other Minerals - Q&amp;V'!$A$11:$A$743, "&gt;=" &amp; DATE(LEFT(E$9, 4), 7, 1), 'Other Minerals - Q&amp;V'!$A$11:$A$743, "&lt;" &amp; DATE(LEFT(E$9, 4)+1, 7, 1))*10^6</f>
        <v>40037387.249999993</v>
      </c>
      <c r="G91" s="326">
        <f>SUMIFS('Other Minerals - Q&amp;V'!$B$11:$B$743, 'Other Minerals - Q&amp;V'!$A$11:$A$743, "&gt;=" &amp; DATE(LEFT(G$9, 4), 7, 1), 'Other Minerals - Q&amp;V'!$A$11:$A$743, "&lt;" &amp; DATE(LEFT(G$9, 4)+1, 7, 1))*10^3</f>
        <v>94500</v>
      </c>
      <c r="H91" s="326">
        <f>SUMIFS('Other Minerals - Q&amp;V'!$C$11:$C$743, 'Other Minerals - Q&amp;V'!$A$11:$A$743, "&gt;=" &amp; DATE(LEFT(G$9, 4), 7, 1), 'Other Minerals - Q&amp;V'!$A$11:$A$743, "&lt;" &amp; DATE(LEFT(G$9, 4)+1, 7, 1))*10^6</f>
        <v>39552284.460000001</v>
      </c>
      <c r="I91" s="326">
        <f>SUMIFS('Other Minerals - Q&amp;V'!$B$11:$B$743, 'Other Minerals - Q&amp;V'!$A$11:$A$743, "&gt;=" &amp; DATE(LEFT(I$9, 4), 7, 1), 'Other Minerals - Q&amp;V'!$A$11:$A$743, "&lt;" &amp; DATE(LEFT(I$9, 4)+1, 7, 1))*10^3</f>
        <v>120260</v>
      </c>
      <c r="J91" s="326">
        <f>SUMIFS('Other Minerals - Q&amp;V'!$C$11:$C$743, 'Other Minerals - Q&amp;V'!$A$11:$A$743, "&gt;=" &amp; DATE(LEFT(I$9, 4), 7, 1), 'Other Minerals - Q&amp;V'!$A$11:$A$743, "&lt;" &amp; DATE(LEFT(I$9, 4)+1, 7, 1))*10^6</f>
        <v>61768653.099999994</v>
      </c>
      <c r="K91" s="326">
        <f>SUMIFS('Other Minerals - Q&amp;V'!$B$11:$B$743, 'Other Minerals - Q&amp;V'!$A$11:$A$743, "&gt;=" &amp; DATE(LEFT(K$9, 4), 7, 1), 'Other Minerals - Q&amp;V'!$A$11:$A$743, "&lt;" &amp; DATE(LEFT(K$9, 4)+1, 7, 1))*10^3</f>
        <v>95370</v>
      </c>
      <c r="L91" s="326">
        <f>SUMIFS('Other Minerals - Q&amp;V'!$C$11:$C$743, 'Other Minerals - Q&amp;V'!$A$11:$A$743, "&gt;=" &amp; DATE(LEFT(K$9, 4), 7, 1), 'Other Minerals - Q&amp;V'!$A$11:$A$743, "&lt;" &amp; DATE(LEFT(K$9, 4)+1, 7, 1))*10^6</f>
        <v>56224613.550000004</v>
      </c>
      <c r="M91" s="326">
        <f>SUMIFS('Other Minerals - Q&amp;V'!$B$11:$B$743, 'Other Minerals - Q&amp;V'!$A$11:$A$743, "&gt;=" &amp; DATE(LEFT(M$9, 4), 7, 1), 'Other Minerals - Q&amp;V'!$A$11:$A$743, "&lt;" &amp; DATE(LEFT(M$9, 4)+1, 7, 1))*10^3</f>
        <v>137070</v>
      </c>
      <c r="N91" s="326">
        <f>SUMIFS('Other Minerals - Q&amp;V'!$C$11:$C$743, 'Other Minerals - Q&amp;V'!$A$11:$A$743, "&gt;=" &amp; DATE(LEFT(M$9, 4), 7, 1), 'Other Minerals - Q&amp;V'!$A$11:$A$743, "&lt;" &amp; DATE(LEFT(M$9, 4)+1, 7, 1))*10^6</f>
        <v>77399267.289999992</v>
      </c>
      <c r="O91" s="326">
        <f>SUMIFS('Other Minerals - Q&amp;V'!$B$11:$B$743, 'Other Minerals - Q&amp;V'!$A$11:$A$743, "&gt;=" &amp; DATE(LEFT(O$9, 4), 7, 1), 'Other Minerals - Q&amp;V'!$A$11:$A$743, "&lt;" &amp; DATE(LEFT(O$9, 4)+1, 7, 1))*10^3</f>
        <v>100030</v>
      </c>
      <c r="P91" s="326">
        <f>SUMIFS('Other Minerals - Q&amp;V'!$C$11:$C$743, 'Other Minerals - Q&amp;V'!$A$11:$A$743, "&gt;=" &amp; DATE(LEFT(O$9, 4), 7, 1), 'Other Minerals - Q&amp;V'!$A$11:$A$743, "&lt;" &amp; DATE(LEFT(O$9, 4)+1, 7, 1))*10^6</f>
        <v>63845067.659999996</v>
      </c>
      <c r="Q91" s="326">
        <f>SUMIFS('Other Minerals - Q&amp;V'!$B$11:$B$743, 'Other Minerals - Q&amp;V'!$A$11:$A$743, "&gt;=" &amp; DATE(LEFT(Q$9, 4), 7, 1), 'Other Minerals - Q&amp;V'!$A$11:$A$743, "&lt;" &amp; DATE(LEFT(Q$9, 4)+1, 7, 1))*10^3</f>
        <v>83550</v>
      </c>
      <c r="R91" s="326">
        <f>SUMIFS('Other Minerals - Q&amp;V'!$C$11:$C$743, 'Other Minerals - Q&amp;V'!$A$11:$A$743, "&gt;=" &amp; DATE(LEFT(Q$9, 4), 7, 1), 'Other Minerals - Q&amp;V'!$A$11:$A$743, "&lt;" &amp; DATE(LEFT(Q$9, 4)+1, 7, 1))*10^6</f>
        <v>76065087.370000005</v>
      </c>
      <c r="S91" s="326">
        <f>SUMIFS('Other Minerals - Q&amp;V'!$B$11:$B$743, 'Other Minerals - Q&amp;V'!$A$11:$A$743, "&gt;=" &amp; DATE(LEFT(S$9, 4), 7, 1), 'Other Minerals - Q&amp;V'!$A$11:$A$743, "&lt;" &amp; DATE(LEFT(S$9, 4)+1, 7, 1))*10^3</f>
        <v>120080</v>
      </c>
      <c r="T91" s="326">
        <f>SUMIFS('Other Minerals - Q&amp;V'!$C$11:$C$743, 'Other Minerals - Q&amp;V'!$A$11:$A$743, "&gt;=" &amp; DATE(LEFT(S$9, 4), 7, 1), 'Other Minerals - Q&amp;V'!$A$11:$A$743, "&lt;" &amp; DATE(LEFT(S$9, 4)+1, 7, 1))*10^6</f>
        <v>115704895.88999999</v>
      </c>
      <c r="U91" s="326">
        <f>SUMIFS('Other Minerals - Q&amp;V'!$B$11:$B$743, 'Other Minerals - Q&amp;V'!$A$11:$A$743, "&gt;=" &amp; DATE(LEFT(U$9, 4), 7, 1), 'Other Minerals - Q&amp;V'!$A$11:$A$743, "&lt;" &amp; DATE(LEFT(U$9, 4)+1, 7, 1))*10^3</f>
        <v>123742.45265261723</v>
      </c>
      <c r="V91" s="326">
        <f>SUMIFS('Other Minerals - Q&amp;V'!$C$11:$C$743, 'Other Minerals - Q&amp;V'!$A$11:$A$743, "&gt;=" &amp; DATE(LEFT(U$9, 4), 7, 1), 'Other Minerals - Q&amp;V'!$A$11:$A$743, "&lt;" &amp; DATE(LEFT(U$9, 4)+1, 7, 1))*10^6</f>
        <v>100560679.42</v>
      </c>
      <c r="W91" s="326">
        <f>SUMIFS('Other Minerals - Q&amp;V'!$B$11:$B$743, 'Other Minerals - Q&amp;V'!$A$11:$A$743, "&gt;=" &amp; DATE(LEFT(W$9, 4), 7, 1), 'Other Minerals - Q&amp;V'!$A$11:$A$743, "&lt;" &amp; DATE(LEFT(W$9, 4)+1, 7, 1))*10^3</f>
        <v>136804.56015574568</v>
      </c>
      <c r="X91" s="326">
        <f>SUMIFS('Other Minerals - Q&amp;V'!$C$11:$C$743, 'Other Minerals - Q&amp;V'!$A$11:$A$743, "&gt;=" &amp; DATE(LEFT(W$9, 4), 7, 1), 'Other Minerals - Q&amp;V'!$A$11:$A$743, "&lt;" &amp; DATE(LEFT(W$9, 4)+1, 7, 1))*10^6</f>
        <v>93199992.000000015</v>
      </c>
      <c r="Y91" s="326">
        <f>SUMIFS('Other Minerals - Q&amp;V'!$B$11:$B$743, 'Other Minerals - Q&amp;V'!$A$11:$A$743, "&gt;=" &amp; DATE(LEFT(Y$9, 4), 7, 1), 'Other Minerals - Q&amp;V'!$A$11:$A$743, "&lt;" &amp; DATE(LEFT(Y$9, 4)+1, 7, 1))*10^3</f>
        <v>150039.89996633714</v>
      </c>
      <c r="Z91" s="326">
        <f>SUMIFS('Other Minerals - Q&amp;V'!$C$11:$C$743, 'Other Minerals - Q&amp;V'!$A$11:$A$743, "&gt;=" &amp; DATE(LEFT(Y$9, 4), 7, 1), 'Other Minerals - Q&amp;V'!$A$11:$A$743, "&lt;" &amp; DATE(LEFT(Y$9, 4)+1, 7, 1))*10^6</f>
        <v>95616199.999999985</v>
      </c>
      <c r="AA91" s="326">
        <f>SUMIFS('Other Minerals - Q&amp;V'!$B$11:$B$743, 'Other Minerals - Q&amp;V'!$A$11:$A$743, "&gt;=" &amp; DATE(LEFT(AA$9, 4), 7, 1), 'Other Minerals - Q&amp;V'!$A$11:$A$743, "&lt;" &amp; DATE(LEFT(AA$9, 4)+1, 7, 1))*10^3</f>
        <v>155652.28416875697</v>
      </c>
      <c r="AB91" s="326">
        <f>SUMIFS('Other Minerals - Q&amp;V'!$C$11:$C$743, 'Other Minerals - Q&amp;V'!$A$11:$A$743, "&gt;=" &amp; DATE(LEFT(AA$9, 4), 7, 1), 'Other Minerals - Q&amp;V'!$A$11:$A$743, "&lt;" &amp; DATE(LEFT(AA$9, 4)+1, 7, 1))*10^6</f>
        <v>104786545.99999999</v>
      </c>
      <c r="AC91" s="357">
        <f>SUMIFS('Other Minerals - Q&amp;V'!$B$11:$B$743, 'Other Minerals - Q&amp;V'!$A$11:$A$743, "&gt;=" &amp; DATE(LEFT(AC$9, 4), 7, 1), 'Other Minerals - Q&amp;V'!$A$11:$A$743, "&lt;" &amp; DATE(LEFT(AC$9, 4)+1, 7, 1))*10^3</f>
        <v>141925.37222300417</v>
      </c>
      <c r="AD91" s="326">
        <f>SUMIFS('Other Minerals - Q&amp;V'!$C$11:$C$743, 'Other Minerals - Q&amp;V'!$A$11:$A$743, "&gt;=" &amp; DATE(LEFT(AC$9, 4), 7, 1), 'Other Minerals - Q&amp;V'!$A$11:$A$743, "&lt;" &amp; DATE(LEFT(AC$9, 4)+1, 7, 1))*10^6</f>
        <v>98465479.999999985</v>
      </c>
      <c r="AE91" s="357">
        <f>SUMIFS('Other Minerals - Q&amp;V'!$B$11:$B$743, 'Other Minerals - Q&amp;V'!$A$11:$A$743, "&gt;=" &amp; DATE(LEFT(AE$9, 4), 7, 1), 'Other Minerals - Q&amp;V'!$A$11:$A$743, "&lt;" &amp; DATE(LEFT(AE$9, 4)+1, 7, 1))*10^3</f>
        <v>151550.59415492543</v>
      </c>
      <c r="AF91" s="326">
        <f>SUMIFS('Other Minerals - Q&amp;V'!$C$11:$C$743, 'Other Minerals - Q&amp;V'!$A$11:$A$743, "&gt;=" &amp; DATE(LEFT(AE$9, 4), 7, 1), 'Other Minerals - Q&amp;V'!$A$11:$A$743, "&lt;" &amp; DATE(LEFT(AE$9, 4)+1, 7, 1))*10^6</f>
        <v>99094100.981089234</v>
      </c>
      <c r="AG91" s="368">
        <f>SUMIFS('Other Minerals - Q&amp;V'!$B$11:$B$743, 'Other Minerals - Q&amp;V'!$A$11:$A$743, "&gt;=" &amp; DATE(LEFT(AG$9, 4), 7, 1), 'Other Minerals - Q&amp;V'!$A$11:$A$743, "&lt;" &amp; DATE(LEFT(AG$9, 4)+1, 7, 1))*10^3</f>
        <v>129411.59263965284</v>
      </c>
      <c r="AH91" s="326">
        <f>SUMIFS('Other Minerals - Q&amp;V'!$C$11:$C$743, 'Other Minerals - Q&amp;V'!$A$11:$A$743, "&gt;=" &amp; DATE(LEFT(AG$9, 4), 7, 1), 'Other Minerals - Q&amp;V'!$A$11:$A$743, "&lt;" &amp; DATE(LEFT(AG$9, 4)+1, 7, 1))*10^6</f>
        <v>84840722</v>
      </c>
      <c r="AI91" s="357">
        <f>SUMIFS('Other Minerals - Q&amp;V'!$B$11:$B$743, 'Other Minerals - Q&amp;V'!$A$11:$A$743, "&gt;=" &amp; DATE(LEFT(AI$9, 4), 7, 1), 'Other Minerals - Q&amp;V'!$A$11:$A$743, "&lt;" &amp; DATE(LEFT(AI$9, 4)+1, 7, 1))*10^3</f>
        <v>136592.61322613058</v>
      </c>
      <c r="AJ91" s="326">
        <f>SUMIFS('Other Minerals - Q&amp;V'!$C$11:$C$743, 'Other Minerals - Q&amp;V'!$A$11:$A$743, "&gt;=" &amp; DATE(LEFT(AI$9, 4), 7, 1), 'Other Minerals - Q&amp;V'!$A$11:$A$743, "&lt;" &amp; DATE(LEFT(AI$9, 4)+1, 7, 1))*10^6</f>
        <v>109222415</v>
      </c>
      <c r="AK91" s="326">
        <f>SUMIFS('Other Minerals - Q&amp;V'!$B$11:$B$743, 'Other Minerals - Q&amp;V'!$A$11:$A$743, "&gt;=" &amp; DATE(LEFT(AK$9, 4), 7, 1), 'Other Minerals - Q&amp;V'!$A$11:$A$743, "&lt;" &amp; DATE(LEFT(AK$9, 4)+1, 7, 1))*10^3</f>
        <v>137154.89706671151</v>
      </c>
      <c r="AL91" s="326">
        <f>SUMIFS('Other Minerals - Q&amp;V'!$C$11:$C$743, 'Other Minerals - Q&amp;V'!$A$11:$A$743, "&gt;=" &amp; DATE(LEFT(AK$9, 4), 7, 1), 'Other Minerals - Q&amp;V'!$A$11:$A$743, "&lt;" &amp; DATE(LEFT(AK$9, 4)+1, 7, 1))*10^6</f>
        <v>148923052.99999997</v>
      </c>
      <c r="AM91" s="326">
        <f>SUMIFS('Other Minerals - Q&amp;V'!$B$11:$B$743, 'Other Minerals - Q&amp;V'!$A$11:$A$743, "&gt;=" &amp; DATE(LEFT(AM$9, 4), 7, 1), 'Other Minerals - Q&amp;V'!$A$11:$A$743, "&lt;" &amp; DATE(LEFT(AM$9, 4)+1, 7, 1))*10^3</f>
        <v>156362.41648924034</v>
      </c>
      <c r="AN91" s="326">
        <f>SUMIFS('Other Minerals - Q&amp;V'!$C$11:$C$743, 'Other Minerals - Q&amp;V'!$A$11:$A$743, "&gt;=" &amp; DATE(LEFT(AM$9, 4), 7, 1), 'Other Minerals - Q&amp;V'!$A$11:$A$743, "&lt;" &amp; DATE(LEFT(AM$9, 4)+1, 7, 1))*10^6</f>
        <v>157963750</v>
      </c>
      <c r="AO91" s="326">
        <f>SUMIFS('Other Minerals - Q&amp;V'!$B$11:$B$743, 'Other Minerals - Q&amp;V'!$A$11:$A$743, "&gt;=" &amp; DATE(LEFT(AO$9, 4), 7, 1), 'Other Minerals - Q&amp;V'!$A$11:$A$743, "&lt;" &amp; DATE(LEFT(AO$9, 4)+1, 7, 1))*10^3</f>
        <v>113313.63736690865</v>
      </c>
      <c r="AP91" s="326">
        <f>SUMIFS('Other Minerals - Q&amp;V'!$C$11:$C$743, 'Other Minerals - Q&amp;V'!$A$11:$A$743, "&gt;=" &amp; DATE(LEFT(AO$9, 4), 7, 1), 'Other Minerals - Q&amp;V'!$A$11:$A$743, "&lt;" &amp; DATE(LEFT(AO$9, 4)+1, 7, 1))*10^6</f>
        <v>121655657</v>
      </c>
      <c r="AQ91" s="326">
        <f>SUMIFS('Other Minerals - Q&amp;V'!$B$11:$B$743, 'Other Minerals - Q&amp;V'!$A$11:$A$743, "&gt;=" &amp; DATE(LEFT(AQ$9, 4), 7, 1), 'Other Minerals - Q&amp;V'!$A$11:$A$743, "&lt;" &amp; DATE(LEFT(AQ$9, 4)+1, 7, 1))*10^3</f>
        <v>94731.235255049469</v>
      </c>
      <c r="AR91" s="326">
        <f>SUMIFS('Other Minerals - Q&amp;V'!$C$11:$C$743, 'Other Minerals - Q&amp;V'!$A$11:$A$743, "&gt;=" &amp; DATE(LEFT(AQ$9, 4), 7, 1), 'Other Minerals - Q&amp;V'!$A$11:$A$743, "&lt;" &amp; DATE(LEFT(AQ$9, 4)+1, 7, 1))*10^6</f>
        <v>116669362</v>
      </c>
      <c r="AS91" s="326">
        <f>SUMIFS('Other Minerals - Q&amp;V'!$B$11:$B$743, 'Other Minerals - Q&amp;V'!$A$11:$A$743, "&gt;=" &amp; DATE(LEFT(AS$9, 4), 7, 1), 'Other Minerals - Q&amp;V'!$A$11:$A$743, "&lt;" &amp; DATE(LEFT(AS$9, 4)+1, 7, 1))*10^3</f>
        <v>99605.522977404034</v>
      </c>
      <c r="AT91" s="326">
        <f>SUMIFS('Other Minerals - Q&amp;V'!$C$11:$C$743, 'Other Minerals - Q&amp;V'!$A$11:$A$743, "&gt;=" &amp; DATE(LEFT(AS$9, 4), 7, 1), 'Other Minerals - Q&amp;V'!$A$11:$A$743, "&lt;" &amp; DATE(LEFT(AS$9, 4)+1, 7, 1))*10^6</f>
        <v>157740673.99999997</v>
      </c>
      <c r="AU91" s="325">
        <f>SUMIF($C$11:AT$11,1,$C91:AT91)</f>
        <v>2718207.0783424834</v>
      </c>
      <c r="AV91" s="325">
        <f>IF(COUNTIF($C91:AT91, "nfp")=0, SUMIF($C$11:AT$11,0,$C91:AT91), "nfp")</f>
        <v>2032437815.6510892</v>
      </c>
    </row>
    <row r="92" spans="1:48" x14ac:dyDescent="0.25">
      <c r="A92" s="341"/>
      <c r="B92" s="324"/>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c r="AE92" s="357"/>
      <c r="AF92" s="326"/>
      <c r="AG92" s="368"/>
      <c r="AH92" s="326"/>
      <c r="AI92" s="382"/>
      <c r="AJ92" s="356"/>
      <c r="AK92" s="356"/>
      <c r="AL92" s="356"/>
      <c r="AM92" s="356"/>
      <c r="AN92" s="356"/>
      <c r="AO92" s="356"/>
      <c r="AP92" s="356"/>
      <c r="AQ92" s="356"/>
      <c r="AR92" s="356"/>
      <c r="AS92" s="356"/>
      <c r="AT92" s="356"/>
      <c r="AU92" s="370"/>
      <c r="AV92" s="325"/>
    </row>
    <row r="93" spans="1:48" x14ac:dyDescent="0.25">
      <c r="A93" s="383" t="s">
        <v>244</v>
      </c>
      <c r="C93" s="216"/>
      <c r="D93" s="216"/>
      <c r="E93" s="216"/>
      <c r="F93" s="216"/>
      <c r="G93" s="216"/>
      <c r="H93" s="216"/>
      <c r="I93" s="216"/>
      <c r="J93" s="216"/>
      <c r="K93" s="216"/>
      <c r="L93" s="216"/>
      <c r="M93" s="216"/>
      <c r="N93" s="216"/>
      <c r="O93" s="216"/>
      <c r="P93" s="216"/>
      <c r="Q93" s="216"/>
      <c r="R93" s="216"/>
      <c r="S93" s="216"/>
      <c r="T93" s="216"/>
      <c r="U93" s="216"/>
      <c r="V93" s="216"/>
      <c r="W93" s="216"/>
      <c r="X93" s="216"/>
      <c r="Y93" s="216"/>
      <c r="Z93" s="216"/>
      <c r="AA93" s="216"/>
      <c r="AB93" s="216"/>
      <c r="AC93" s="216"/>
      <c r="AD93" s="216"/>
      <c r="AE93" s="216"/>
      <c r="AF93" s="216"/>
      <c r="AG93" s="216"/>
      <c r="AH93" s="148"/>
      <c r="AI93" s="148"/>
      <c r="AJ93" s="148"/>
      <c r="AK93" s="148"/>
      <c r="AL93" s="148"/>
      <c r="AM93" s="148"/>
      <c r="AN93" s="148"/>
      <c r="AO93" s="148"/>
      <c r="AP93" s="148"/>
      <c r="AQ93" s="148"/>
      <c r="AR93" s="148"/>
      <c r="AS93" s="148"/>
      <c r="AT93" s="148"/>
      <c r="AU93" s="216"/>
      <c r="AV93" s="216"/>
    </row>
    <row r="94" spans="1:48" x14ac:dyDescent="0.25">
      <c r="A94" s="339" t="s">
        <v>245</v>
      </c>
      <c r="B94" s="216" t="s">
        <v>166</v>
      </c>
      <c r="C94" s="201">
        <v>881.53</v>
      </c>
      <c r="D94" s="201">
        <v>142813138</v>
      </c>
      <c r="E94" s="201">
        <v>1063.777</v>
      </c>
      <c r="F94" s="201">
        <v>162828445</v>
      </c>
      <c r="G94" s="201">
        <v>871.41100000000006</v>
      </c>
      <c r="H94" s="201">
        <v>137838966</v>
      </c>
      <c r="I94" s="201">
        <v>551.98099999999999</v>
      </c>
      <c r="J94" s="201">
        <v>104477616</v>
      </c>
      <c r="K94" s="201">
        <v>578.25099999999998</v>
      </c>
      <c r="L94" s="201" t="s">
        <v>509</v>
      </c>
      <c r="M94" s="201">
        <v>453.25299999999999</v>
      </c>
      <c r="N94" s="201" t="s">
        <v>509</v>
      </c>
      <c r="O94" s="201">
        <v>0</v>
      </c>
      <c r="P94" s="201">
        <v>0</v>
      </c>
      <c r="Q94" s="201">
        <v>94.98</v>
      </c>
      <c r="R94" s="201" t="s">
        <v>509</v>
      </c>
      <c r="S94" s="201">
        <v>346.55199999999996</v>
      </c>
      <c r="T94" s="201">
        <v>49931724</v>
      </c>
      <c r="U94" s="201">
        <v>201.21700000000001</v>
      </c>
      <c r="V94" s="201">
        <v>17940739</v>
      </c>
      <c r="W94" s="201">
        <v>58.259</v>
      </c>
      <c r="X94" s="201">
        <v>4074774</v>
      </c>
      <c r="Y94" s="201">
        <v>70.36699999999999</v>
      </c>
      <c r="Z94" s="201" t="s">
        <v>509</v>
      </c>
      <c r="AA94" s="201">
        <v>243.46699999999998</v>
      </c>
      <c r="AB94" s="201" t="s">
        <v>509</v>
      </c>
      <c r="AC94" s="201">
        <v>53.942</v>
      </c>
      <c r="AD94" s="201" t="s">
        <v>509</v>
      </c>
      <c r="AE94" s="201">
        <v>81.406000000000006</v>
      </c>
      <c r="AF94" s="201" t="s">
        <v>509</v>
      </c>
      <c r="AG94" s="201">
        <v>199.60000000000005</v>
      </c>
      <c r="AH94" s="232" t="s">
        <v>509</v>
      </c>
      <c r="AI94" s="201">
        <v>201.30600000000001</v>
      </c>
      <c r="AJ94" s="232" t="s">
        <v>509</v>
      </c>
      <c r="AK94" s="201">
        <v>180.172</v>
      </c>
      <c r="AL94" s="232" t="s">
        <v>509</v>
      </c>
      <c r="AM94" s="201">
        <v>215.80800000000002</v>
      </c>
      <c r="AN94" s="232" t="s">
        <v>509</v>
      </c>
      <c r="AO94" s="201">
        <v>170.90199999999999</v>
      </c>
      <c r="AP94" s="232" t="s">
        <v>509</v>
      </c>
      <c r="AQ94" s="201">
        <v>251.61300000000006</v>
      </c>
      <c r="AR94" s="232" t="s">
        <v>509</v>
      </c>
      <c r="AS94" s="201">
        <v>274.31669999999997</v>
      </c>
      <c r="AT94" s="232" t="s">
        <v>509</v>
      </c>
      <c r="AU94" s="201" t="s">
        <v>172</v>
      </c>
      <c r="AV94" s="201" t="str">
        <f>IF(COUNTIF($C94:AT94, "nfp")=0, SUMIF($C$11:AT$11,0,$C94:AT94), "nfp")</f>
        <v>nfp</v>
      </c>
    </row>
    <row r="95" spans="1:48" x14ac:dyDescent="0.25">
      <c r="A95" s="339" t="s">
        <v>246</v>
      </c>
      <c r="B95" s="216" t="s">
        <v>166</v>
      </c>
      <c r="C95" s="201">
        <v>538.17999999999995</v>
      </c>
      <c r="D95" s="201">
        <v>4551176</v>
      </c>
      <c r="E95" s="201">
        <v>383.79</v>
      </c>
      <c r="F95" s="201">
        <v>4107192</v>
      </c>
      <c r="G95" s="201">
        <v>609.91999999999996</v>
      </c>
      <c r="H95" s="201">
        <v>5919842</v>
      </c>
      <c r="I95" s="201">
        <v>458.83</v>
      </c>
      <c r="J95" s="201">
        <v>6245046</v>
      </c>
      <c r="K95" s="201">
        <v>117.59</v>
      </c>
      <c r="L95" s="201" t="s">
        <v>509</v>
      </c>
      <c r="M95" s="201">
        <v>175.43</v>
      </c>
      <c r="N95" s="201" t="s">
        <v>509</v>
      </c>
      <c r="O95" s="201">
        <v>107.1</v>
      </c>
      <c r="P95" s="201">
        <v>1300631</v>
      </c>
      <c r="Q95" s="201">
        <v>21.53</v>
      </c>
      <c r="R95" s="201" t="s">
        <v>509</v>
      </c>
      <c r="S95" s="201">
        <v>62.19</v>
      </c>
      <c r="T95" s="201">
        <v>1372580</v>
      </c>
      <c r="U95" s="201">
        <v>193.05</v>
      </c>
      <c r="V95" s="201">
        <v>2703339</v>
      </c>
      <c r="W95" s="201">
        <v>0</v>
      </c>
      <c r="X95" s="201">
        <v>0</v>
      </c>
      <c r="Y95" s="201">
        <v>21.766999999999999</v>
      </c>
      <c r="Z95" s="201" t="s">
        <v>509</v>
      </c>
      <c r="AA95" s="201">
        <v>41.28</v>
      </c>
      <c r="AB95" s="201" t="s">
        <v>509</v>
      </c>
      <c r="AC95" s="201">
        <v>61.510000000000005</v>
      </c>
      <c r="AD95" s="201" t="s">
        <v>509</v>
      </c>
      <c r="AE95" s="278">
        <v>82.693999999999988</v>
      </c>
      <c r="AF95" s="201" t="s">
        <v>509</v>
      </c>
      <c r="AG95" s="278">
        <v>150.21</v>
      </c>
      <c r="AH95" s="232" t="s">
        <v>509</v>
      </c>
      <c r="AI95" s="281">
        <v>54.863999999999997</v>
      </c>
      <c r="AJ95" s="232" t="s">
        <v>509</v>
      </c>
      <c r="AK95" s="232">
        <v>67.66</v>
      </c>
      <c r="AL95" s="232" t="s">
        <v>509</v>
      </c>
      <c r="AM95" s="232">
        <v>150.78</v>
      </c>
      <c r="AN95" s="232" t="s">
        <v>509</v>
      </c>
      <c r="AO95" s="232">
        <v>150.78</v>
      </c>
      <c r="AP95" s="232" t="s">
        <v>509</v>
      </c>
      <c r="AQ95" s="232">
        <v>196.36</v>
      </c>
      <c r="AR95" s="232" t="s">
        <v>509</v>
      </c>
      <c r="AS95" s="232">
        <v>192.16000000000003</v>
      </c>
      <c r="AT95" s="232" t="s">
        <v>509</v>
      </c>
      <c r="AU95" s="201">
        <f>SUMIF($C$11:AT$11,1,$C95:AT95)</f>
        <v>3837.6750000000006</v>
      </c>
      <c r="AV95" s="201" t="str">
        <f>IF(COUNTIF($C95:AT95, "nfp")=0, SUMIF($C$11:AT$11,0,$C95:AT95), "nfp")</f>
        <v>nfp</v>
      </c>
    </row>
    <row r="96" spans="1:48" x14ac:dyDescent="0.25">
      <c r="A96" s="340" t="s">
        <v>247</v>
      </c>
      <c r="C96" s="227"/>
      <c r="D96" s="201">
        <v>147364314</v>
      </c>
      <c r="E96" s="201"/>
      <c r="F96" s="201">
        <v>166935637</v>
      </c>
      <c r="G96" s="201"/>
      <c r="H96" s="201">
        <v>143758808</v>
      </c>
      <c r="I96" s="201"/>
      <c r="J96" s="201">
        <v>110722662</v>
      </c>
      <c r="K96" s="201"/>
      <c r="L96" s="201">
        <v>104654276</v>
      </c>
      <c r="M96" s="201"/>
      <c r="N96" s="201">
        <v>82532800.670000002</v>
      </c>
      <c r="O96" s="201"/>
      <c r="P96" s="201">
        <v>1300631</v>
      </c>
      <c r="Q96" s="201"/>
      <c r="R96" s="201">
        <v>28108054.030000001</v>
      </c>
      <c r="S96" s="201"/>
      <c r="T96" s="201">
        <v>51304303.940000027</v>
      </c>
      <c r="U96" s="201"/>
      <c r="V96" s="201">
        <v>20644077.650000006</v>
      </c>
      <c r="W96" s="201"/>
      <c r="X96" s="201">
        <v>4074774.3600000143</v>
      </c>
      <c r="Y96" s="201"/>
      <c r="Z96" s="201">
        <v>5177361</v>
      </c>
      <c r="AA96" s="201"/>
      <c r="AB96" s="201">
        <v>9049656</v>
      </c>
      <c r="AC96" s="201"/>
      <c r="AD96" s="201">
        <v>10132698</v>
      </c>
      <c r="AE96" s="278"/>
      <c r="AF96" s="278">
        <v>18310098</v>
      </c>
      <c r="AG96" s="278"/>
      <c r="AH96" s="232">
        <v>40293404</v>
      </c>
      <c r="AI96" s="281"/>
      <c r="AJ96" s="232">
        <v>32970383</v>
      </c>
      <c r="AK96" s="232"/>
      <c r="AL96" s="232">
        <v>22098804</v>
      </c>
      <c r="AM96" s="232"/>
      <c r="AN96" s="232">
        <v>43509048</v>
      </c>
      <c r="AO96" s="232"/>
      <c r="AP96" s="232">
        <v>55108924</v>
      </c>
      <c r="AQ96" s="232"/>
      <c r="AR96" s="232">
        <v>61978419</v>
      </c>
      <c r="AS96" s="232"/>
      <c r="AT96" s="232">
        <v>49779757</v>
      </c>
      <c r="AU96" s="201"/>
      <c r="AV96" s="201">
        <f>IF(COUNTIF($C96:AT96, "nfp")=0, SUMIF($C$11:AT$11,0,$C96:AT96), "nfp")</f>
        <v>1209808890.6500001</v>
      </c>
    </row>
    <row r="97" spans="1:48" x14ac:dyDescent="0.25">
      <c r="A97" s="339"/>
      <c r="C97" s="201"/>
      <c r="D97" s="201"/>
      <c r="E97" s="201"/>
      <c r="F97" s="201"/>
      <c r="G97" s="201"/>
      <c r="H97" s="201"/>
      <c r="I97" s="201"/>
      <c r="J97" s="201"/>
      <c r="K97" s="201"/>
      <c r="L97" s="201"/>
      <c r="M97" s="201"/>
      <c r="N97" s="201"/>
      <c r="O97" s="201"/>
      <c r="P97" s="201"/>
      <c r="Q97" s="201"/>
      <c r="R97" s="201"/>
      <c r="S97" s="201"/>
      <c r="T97" s="201"/>
      <c r="U97" s="201"/>
      <c r="V97" s="201"/>
      <c r="W97" s="201"/>
      <c r="X97" s="201"/>
      <c r="Y97" s="201"/>
      <c r="Z97" s="201"/>
      <c r="AA97" s="201"/>
      <c r="AB97" s="201"/>
      <c r="AC97" s="201"/>
      <c r="AD97" s="201"/>
      <c r="AE97" s="278"/>
      <c r="AF97" s="201"/>
      <c r="AG97" s="278"/>
      <c r="AH97" s="232"/>
      <c r="AI97" s="281"/>
      <c r="AJ97" s="232"/>
      <c r="AK97" s="232"/>
      <c r="AL97" s="232"/>
      <c r="AM97" s="232"/>
      <c r="AN97" s="232"/>
      <c r="AO97" s="232"/>
      <c r="AP97" s="232"/>
      <c r="AQ97" s="232"/>
      <c r="AR97" s="232"/>
      <c r="AS97" s="232"/>
      <c r="AT97" s="232"/>
      <c r="AU97" s="201"/>
      <c r="AV97" s="201"/>
    </row>
    <row r="98" spans="1:48" x14ac:dyDescent="0.25">
      <c r="A98" s="323" t="s">
        <v>248</v>
      </c>
      <c r="B98" s="324" t="s">
        <v>166</v>
      </c>
      <c r="C98" s="326"/>
      <c r="D98" s="326">
        <v>94962593.399999991</v>
      </c>
      <c r="E98" s="326"/>
      <c r="F98" s="326">
        <v>148597696.28999999</v>
      </c>
      <c r="G98" s="326"/>
      <c r="H98" s="326">
        <v>138502553.34999999</v>
      </c>
      <c r="I98" s="326"/>
      <c r="J98" s="326">
        <v>201412298</v>
      </c>
      <c r="K98" s="326"/>
      <c r="L98" s="326">
        <v>461693384</v>
      </c>
      <c r="M98" s="326"/>
      <c r="N98" s="326">
        <v>59671943</v>
      </c>
      <c r="O98" s="326"/>
      <c r="P98" s="326">
        <v>44510961</v>
      </c>
      <c r="Q98" s="326"/>
      <c r="R98" s="326">
        <v>64129732</v>
      </c>
      <c r="S98" s="326"/>
      <c r="T98" s="326">
        <v>103198080</v>
      </c>
      <c r="U98" s="326"/>
      <c r="V98" s="326">
        <v>425002389</v>
      </c>
      <c r="W98" s="326"/>
      <c r="X98" s="326">
        <v>605651175</v>
      </c>
      <c r="Y98" s="326"/>
      <c r="Z98" s="326">
        <v>507533600</v>
      </c>
      <c r="AA98" s="326"/>
      <c r="AB98" s="326">
        <v>199236526</v>
      </c>
      <c r="AC98" s="326"/>
      <c r="AD98" s="326">
        <v>242499613</v>
      </c>
      <c r="AE98" s="357"/>
      <c r="AF98" s="325">
        <v>369231777</v>
      </c>
      <c r="AG98" s="368"/>
      <c r="AH98" s="384">
        <v>524047156</v>
      </c>
      <c r="AI98" s="357"/>
      <c r="AJ98" s="357">
        <v>380415592</v>
      </c>
      <c r="AK98" s="357"/>
      <c r="AL98" s="370">
        <f>AL101-SUM(AL16,AL22,AL24,AL26,AL28,AL30,AL38,AL40,AL42,AL44,AL46,AL48,AL50,AL52,AL57,AL59,AL69,AL71,AL81,AL83,AL85,AL87,AL89,AL91,AL96)</f>
        <v>660383121.17300415</v>
      </c>
      <c r="AM98" s="369"/>
      <c r="AN98" s="370">
        <f>AN101-SUM(AN16,AN22,AN24,AN26,AN28,AN30,AN38,AN40,AN42,AN44,AN46,AN48,AN50,AN52,AN57,AN59,AN69,AN71,AN81,AN83,AN85,AN87,AN89,AN91,AN96)</f>
        <v>17362595</v>
      </c>
      <c r="AO98" s="369"/>
      <c r="AP98" s="370">
        <f>AP101-SUM(AP16,AP22,AP24,AP26,AP28,AP30,AP38,AP40,AP42,AP44,AP46,AP48,AP50,AP52,AP57,AP59,AP69,AP71,AP81,AP83,AP85,AP87,AP89,AP91,AP96)</f>
        <v>632987200.93087769</v>
      </c>
      <c r="AQ98" s="369"/>
      <c r="AR98" s="370">
        <f>AR101-SUM(AR16,AR22,AR24,AR26,AR28,AR30,AR38,AR40,AR42,AR44,AR46,AR48,AR50,AR52,AR57,AR59,AR69,AR71,AR81,AR83,AR85,AR87,AR89,AR91,AR96)</f>
        <v>281401637</v>
      </c>
      <c r="AS98" s="369"/>
      <c r="AT98" s="370">
        <f>AT101-SUM(AT16,AT22,AT24,AT26,AT28,AT30,AT38,AT40,AT42,AT44,AT46,AT48,AT50,AT52,AT57,AT59,AT69,AT71,AT81,AT83,AT85,AT87,AT89,AT91,AT96)</f>
        <v>305536500.13461304</v>
      </c>
      <c r="AU98" s="370"/>
      <c r="AV98" s="325">
        <f>AV101-SUM(AV16,AV22,AV24,AV26,AV28,AV30,AV38,AV40,AV42,AV44,AV46,AV48,AV50,AV52,AV57,AV59,AV69,AV71,AV81,AV83,AV85,AV87,AV89,AV91,AV96)</f>
        <v>11230565714.238525</v>
      </c>
    </row>
    <row r="99" spans="1:48" x14ac:dyDescent="0.25">
      <c r="A99" s="323" t="s">
        <v>540</v>
      </c>
      <c r="B99" s="324"/>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357"/>
      <c r="AF99" s="326"/>
      <c r="AG99" s="368"/>
      <c r="AH99" s="326"/>
      <c r="AI99" s="368"/>
      <c r="AJ99" s="325"/>
      <c r="AK99" s="325"/>
      <c r="AL99" s="325"/>
      <c r="AM99" s="326"/>
      <c r="AN99" s="326"/>
      <c r="AO99" s="326"/>
      <c r="AP99" s="326"/>
      <c r="AQ99" s="326"/>
      <c r="AR99" s="326"/>
      <c r="AS99" s="326"/>
      <c r="AT99" s="326"/>
      <c r="AU99" s="370"/>
      <c r="AV99" s="325"/>
    </row>
    <row r="100" spans="1:48" x14ac:dyDescent="0.25">
      <c r="A100" s="323"/>
      <c r="B100" s="324"/>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c r="AE100" s="357"/>
      <c r="AF100" s="326"/>
      <c r="AG100" s="368"/>
      <c r="AH100" s="326"/>
      <c r="AI100" s="368"/>
      <c r="AJ100" s="325"/>
      <c r="AK100" s="385"/>
      <c r="AL100" s="386"/>
      <c r="AM100" s="326"/>
      <c r="AN100" s="326"/>
      <c r="AO100" s="326"/>
      <c r="AP100" s="326"/>
      <c r="AQ100" s="326"/>
      <c r="AR100" s="326"/>
      <c r="AS100" s="326"/>
      <c r="AT100" s="326"/>
      <c r="AU100" s="370"/>
      <c r="AV100" s="325"/>
    </row>
    <row r="101" spans="1:48" x14ac:dyDescent="0.25">
      <c r="A101" s="345" t="s">
        <v>250</v>
      </c>
      <c r="B101" s="346"/>
      <c r="C101" s="348"/>
      <c r="D101" s="348">
        <f>D103-D79</f>
        <v>17227130293.121513</v>
      </c>
      <c r="E101" s="348"/>
      <c r="F101" s="348">
        <f>F103-F79</f>
        <v>21050445232.060303</v>
      </c>
      <c r="G101" s="348"/>
      <c r="H101" s="348">
        <f>H103-H79</f>
        <v>28460061132.745132</v>
      </c>
      <c r="I101" s="348"/>
      <c r="J101" s="348">
        <f>J103-J79</f>
        <v>37434155297.253998</v>
      </c>
      <c r="K101" s="348"/>
      <c r="L101" s="348">
        <f>L103-L79</f>
        <v>40659045387.611023</v>
      </c>
      <c r="M101" s="348"/>
      <c r="N101" s="348">
        <f>N103-N79</f>
        <v>49765409751.540619</v>
      </c>
      <c r="O101" s="348"/>
      <c r="P101" s="348">
        <f>P103-P79</f>
        <v>53718250376.857788</v>
      </c>
      <c r="Q101" s="348"/>
      <c r="R101" s="348">
        <f>R103-R79</f>
        <v>78374935602.836899</v>
      </c>
      <c r="S101" s="348"/>
      <c r="T101" s="348">
        <f>T103-T79</f>
        <v>82397966521.963379</v>
      </c>
      <c r="U101" s="348"/>
      <c r="V101" s="348">
        <f>V103-V79</f>
        <v>77221877197.004837</v>
      </c>
      <c r="W101" s="348"/>
      <c r="X101" s="348">
        <f>X103-X79</f>
        <v>97220756748.222382</v>
      </c>
      <c r="Y101" s="348"/>
      <c r="Z101" s="348">
        <v>76160992103.016541</v>
      </c>
      <c r="AA101" s="348"/>
      <c r="AB101" s="348">
        <v>70067320456.657837</v>
      </c>
      <c r="AC101" s="348"/>
      <c r="AD101" s="348">
        <v>86791215153.052353</v>
      </c>
      <c r="AE101" s="387"/>
      <c r="AF101" s="348">
        <v>89083992386.399445</v>
      </c>
      <c r="AG101" s="388"/>
      <c r="AH101" s="350">
        <v>111198285919.91229</v>
      </c>
      <c r="AI101" s="388"/>
      <c r="AJ101" s="348">
        <v>135842679301.57735</v>
      </c>
      <c r="AK101" s="389"/>
      <c r="AL101" s="348">
        <v>187334967121.98178</v>
      </c>
      <c r="AM101" s="390"/>
      <c r="AN101" s="350">
        <v>181345031402.89191</v>
      </c>
      <c r="AO101" s="390"/>
      <c r="AP101" s="350">
        <v>183847532771.61484</v>
      </c>
      <c r="AQ101" s="390"/>
      <c r="AR101" s="350">
        <v>190877903919.02222</v>
      </c>
      <c r="AS101" s="390"/>
      <c r="AT101" s="350">
        <v>175330923422.42435</v>
      </c>
      <c r="AU101" s="388"/>
      <c r="AV101" s="348">
        <f>SUM($C101:AT101)</f>
        <v>2071410877499.7686</v>
      </c>
    </row>
    <row r="102" spans="1:48" x14ac:dyDescent="0.25">
      <c r="A102" s="391"/>
      <c r="B102" s="346"/>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8"/>
      <c r="Z102" s="348"/>
      <c r="AA102" s="348"/>
      <c r="AB102" s="348"/>
      <c r="AC102" s="348"/>
      <c r="AD102" s="348"/>
      <c r="AE102" s="387"/>
      <c r="AF102" s="348"/>
      <c r="AG102" s="388"/>
      <c r="AH102" s="390"/>
      <c r="AI102" s="388"/>
      <c r="AJ102" s="388"/>
      <c r="AK102" s="389"/>
      <c r="AL102" s="388"/>
      <c r="AM102" s="390"/>
      <c r="AN102" s="390"/>
      <c r="AO102" s="390"/>
      <c r="AP102" s="390"/>
      <c r="AQ102" s="390"/>
      <c r="AR102" s="390"/>
      <c r="AS102" s="390"/>
      <c r="AT102" s="390"/>
      <c r="AU102" s="388"/>
      <c r="AV102" s="348"/>
    </row>
    <row r="103" spans="1:48" x14ac:dyDescent="0.25">
      <c r="A103" s="345" t="s">
        <v>251</v>
      </c>
      <c r="B103" s="346"/>
      <c r="C103" s="348"/>
      <c r="D103" s="348">
        <f>D98+D57+D91+D89+D87+D79+D52+D50+D69+D48+D46+D44+D42+D28+D22+D16+D38+D40+D30+D71+D81+D96+D24</f>
        <v>26487353901.121513</v>
      </c>
      <c r="E103" s="348"/>
      <c r="F103" s="348">
        <f>F98+F57+F91+F89+F87+F79+F52+F50+F69+F48+F46+F44+F42+F28+F22+F16+F38+F40+F30+F71+F81+F96+F24</f>
        <v>33307443811.99062</v>
      </c>
      <c r="G103" s="348"/>
      <c r="H103" s="348">
        <f>H98+H57+H91+H89+H87+H79+H52+H50+H69+H48+H46+H44+H42+H28+H22+H16+H38+H40+H30+H71+H81+H96+H24</f>
        <v>43157345256.754379</v>
      </c>
      <c r="I103" s="348"/>
      <c r="J103" s="348">
        <f>J98+J57+J91+J89+J87+J79+J52+J50+J69+J48+J46+J44+J42+J28+J22+J16+J38+J40+J30+J71+J81+J96</f>
        <v>53893623853.759834</v>
      </c>
      <c r="K103" s="348"/>
      <c r="L103" s="348">
        <f>L98+L57+L91+L89+L87+L79+L52+L50+L69+L48+L46+L44+L42+L28+L22+L16+L38+L40+L30+L71+L81+L96</f>
        <v>59976987755.315254</v>
      </c>
      <c r="M103" s="348"/>
      <c r="N103" s="348">
        <f>N98+N57+N91+N89+N87+N79+N52+N50+N69+N48+N46+N44+N42+N28+N22+N16+N38+N40+N30+N71+N81+N96+N59</f>
        <v>71085231948.503983</v>
      </c>
      <c r="O103" s="348"/>
      <c r="P103" s="348">
        <f>P98+P57+P91+P89+P87+P79+P52+P50+P69+P48+P46+P44+P42+P28+P22+P16+P38+P40+P30+P71+P81+P96+P59</f>
        <v>73116460565.422668</v>
      </c>
      <c r="Q103" s="348"/>
      <c r="R103" s="348">
        <f>R98+R57+R91+R89+R87+R79+R52+R50+R69+R48+R46+R44+R42+R28+R22+R16+R38+R40+R30+R71+R81+R96+R59</f>
        <v>101359828103.82379</v>
      </c>
      <c r="S103" s="348"/>
      <c r="T103" s="348">
        <f>T98+T57+T91+T89+T87+T79+T52+T50+T69+T48+T46+T44+T42+T28+T26+T22+T16+T38+T40+T30+T71+T81+T96+T59</f>
        <v>105596549566.67593</v>
      </c>
      <c r="U103" s="348"/>
      <c r="V103" s="348">
        <f>V98+V57+V91+V89+V87+V79+V52+V50+V69+V48+V46+V44+V42+V28+V22+V16+V38+V40+V30+V71+V81+V96</f>
        <v>101331785725.1562</v>
      </c>
      <c r="W103" s="348"/>
      <c r="X103" s="348">
        <f>X98+X57+X91+X89+X87+X79+X52+X50+X69+X48+X46+X44+X42+X28+X26+X22+X16+X38+X40+X30+X71+X81+X96</f>
        <v>122546180680.37009</v>
      </c>
      <c r="Y103" s="348"/>
      <c r="Z103" s="348">
        <f>Z98+Z57+Z91+Z89+Z87+Z79+Z52+Z50+Z69+Z48+Z46+Z44+Z42+Z28+Z26+Z24+Z22+Z16+Z38+Z40+Z30+Z71+Z81+Z96</f>
        <v>100300261552.06657</v>
      </c>
      <c r="AA103" s="348"/>
      <c r="AB103" s="348">
        <f>AB98+AB57+AB91+AB89+AB87+AB79+AB52+AB50+AB69+AB48+AB46+AB44+AB42+AB28+AB26+AB24+AB22+AB16+AB38+AB40+AB30+AB71+AB81+AB96+AB59</f>
        <v>88221163504.996201</v>
      </c>
      <c r="AC103" s="348"/>
      <c r="AD103" s="348">
        <f>AD98+AD57+AD91+AD89+AD87+AD79+AD52+AD50+AD69+AD48+AD46+AD44+AD42+AD28+AD26+AD24+AD22+AD16+AD38+AD40+AD30+AD71+AD81+AD96+AD59</f>
        <v>106026068165.13181</v>
      </c>
      <c r="AE103" s="348"/>
      <c r="AF103" s="348">
        <f>AF98+AF57+AF91+AF89+AF87+AF79+AF52+AF50+AF69+AF48+AF46+AF44+AF42+AF28+AF26+AF24+AF22+AF16+AF38+AF40+AF30+AF71+AF81+AF96+AF59</f>
        <v>115672210934.1776</v>
      </c>
      <c r="AG103" s="388"/>
      <c r="AH103" s="350">
        <f>AH98+AH57+AH91+AH89+AH87+AH79+AH52+AH50+AH69+AH48+AH46+AH44+AH42+AH28+AH26+AH24+AH22+AH16+AH38+AH40+AH30+AH71+AH81+AH96+AH85</f>
        <v>150970415761.48785</v>
      </c>
      <c r="AI103" s="388"/>
      <c r="AJ103" s="348">
        <f>AJ98+AJ57+AJ91+AJ89+AJ87+AJ79+AJ52+AJ50+AJ69+AJ48+AJ46+AJ44+AJ42+AJ28+AJ26+AJ24+AJ22+AJ16+AJ38+AJ40+AJ30+AJ71+AJ81+AJ96+AJ85</f>
        <v>171433606756.9176</v>
      </c>
      <c r="AK103" s="389"/>
      <c r="AL103" s="348">
        <f>AL98+AL57+AL91+AL89+AL87+AL79+AL52+AL50+AL69+AL48+AL46+AL44+AL42+AL28+AL26+AL24+AL22+AL16+AL38+AL40+AL30+AL71+AL81+AL96</f>
        <v>211847693224.62799</v>
      </c>
      <c r="AM103" s="390"/>
      <c r="AN103" s="350">
        <f>AN98+AN57+AN91+AN89+AN87+AN79+AN52+AN50+AN69+AN48+AN46+AN44+AN42+AN28+AN26+AN24+AN22+AN16+AN38+AN40+AN30+AN71+AN81+AN96+AN85+AN59</f>
        <v>234674514338.50128</v>
      </c>
      <c r="AO103" s="390"/>
      <c r="AP103" s="350">
        <f>SUM(AP98,AP57,AP91,AP89,AP87,AP79,AP52,AP50,AP69,AP48,AP46,AP44,AP42,AP28,AP26,AP24,AP22,AP16,AP38,AP40,AP30,AP71,AP81,AP96,AP85,AP59)</f>
        <v>256019885510.09158</v>
      </c>
      <c r="AQ103" s="390"/>
      <c r="AR103" s="350">
        <f>SUM(AR98,AR57,AR91,AR89,AR87,AR79,AR52,AR50,AR69,AR48,AR46,AR44,AR42,AR28,AR26,AR24,AR22,AR16,AR38,AR40,AR30,AR71,AR81,AR96,AR85,AR59)</f>
        <v>241493967346.4505</v>
      </c>
      <c r="AS103" s="390"/>
      <c r="AT103" s="350">
        <f>SUM(AT98,AT57,AT91,AT89,AT87,AT79,AT52,AT50,AT69,AT48,AT46,AT44,AT42,AT28,AT26,AT24,AT22,AT16,AT38,AT40,AT30,AT71,AT81,AT96,AT85,AT59)</f>
        <v>223711479151.82465</v>
      </c>
      <c r="AU103" s="388"/>
      <c r="AV103" s="348">
        <f>SUM($C103:AT103)</f>
        <v>2692230057415.168</v>
      </c>
    </row>
    <row r="104" spans="1:48" x14ac:dyDescent="0.25">
      <c r="A104" s="392"/>
      <c r="B104" s="346"/>
      <c r="C104" s="393"/>
      <c r="D104" s="388"/>
      <c r="E104" s="393"/>
      <c r="F104" s="388"/>
      <c r="G104" s="393"/>
      <c r="H104" s="388"/>
      <c r="I104" s="393"/>
      <c r="J104" s="388"/>
      <c r="K104" s="393"/>
      <c r="L104" s="388"/>
      <c r="M104" s="393"/>
      <c r="N104" s="388"/>
      <c r="O104" s="393"/>
      <c r="P104" s="388"/>
      <c r="Q104" s="393"/>
      <c r="R104" s="388"/>
      <c r="S104" s="393"/>
      <c r="T104" s="388"/>
      <c r="U104" s="393"/>
      <c r="V104" s="388"/>
      <c r="W104" s="393"/>
      <c r="X104" s="388"/>
      <c r="Y104" s="393"/>
      <c r="Z104" s="388"/>
      <c r="AA104" s="393"/>
      <c r="AB104" s="388"/>
      <c r="AC104" s="388"/>
      <c r="AD104" s="388"/>
      <c r="AE104" s="394"/>
      <c r="AF104" s="388"/>
      <c r="AG104" s="388"/>
      <c r="AH104" s="390"/>
      <c r="AI104" s="394"/>
      <c r="AJ104" s="388"/>
      <c r="AK104" s="389"/>
      <c r="AL104" s="395"/>
      <c r="AM104" s="390"/>
      <c r="AN104" s="390"/>
      <c r="AO104" s="390"/>
      <c r="AP104" s="390"/>
      <c r="AQ104" s="390"/>
      <c r="AR104" s="390"/>
      <c r="AS104" s="390"/>
      <c r="AT104" s="390"/>
      <c r="AU104" s="396"/>
      <c r="AV104" s="397"/>
    </row>
    <row r="105" spans="1:48" x14ac:dyDescent="0.25">
      <c r="C105" s="398"/>
      <c r="E105" s="398"/>
      <c r="G105" s="398"/>
      <c r="I105" s="398"/>
      <c r="K105" s="398"/>
      <c r="M105" s="398"/>
      <c r="O105" s="398"/>
      <c r="Q105" s="398"/>
      <c r="S105" s="398"/>
      <c r="U105" s="398"/>
      <c r="W105" s="398"/>
      <c r="Y105" s="398"/>
      <c r="AA105" s="398"/>
      <c r="AE105" s="399"/>
      <c r="AJ105" s="400"/>
      <c r="AK105" s="401"/>
      <c r="AL105" s="401"/>
      <c r="AM105" s="400"/>
      <c r="AN105" s="400"/>
      <c r="AO105" s="400"/>
      <c r="AP105" s="400"/>
      <c r="AQ105" s="400"/>
      <c r="AR105" s="400"/>
      <c r="AS105" s="400"/>
      <c r="AT105" s="400"/>
    </row>
    <row r="106" spans="1:48" x14ac:dyDescent="0.25">
      <c r="A106"/>
      <c r="B106"/>
      <c r="C106" s="398"/>
      <c r="E106" s="398"/>
      <c r="G106" s="398"/>
      <c r="I106" s="398"/>
      <c r="K106" s="398"/>
      <c r="M106" s="398"/>
      <c r="O106" s="398"/>
      <c r="Q106" s="398"/>
      <c r="S106" s="398"/>
      <c r="U106" s="398"/>
      <c r="W106" s="398"/>
      <c r="Y106" s="398"/>
      <c r="AA106" s="398"/>
      <c r="AE106" s="399"/>
      <c r="AF106" s="400"/>
      <c r="AG106" s="402"/>
      <c r="AH106" s="400"/>
    </row>
    <row r="107" spans="1:48" x14ac:dyDescent="0.25">
      <c r="C107" s="398"/>
      <c r="E107" s="398"/>
      <c r="G107" s="398"/>
      <c r="I107" s="398"/>
      <c r="K107" s="398"/>
      <c r="M107" s="398"/>
      <c r="O107" s="398"/>
      <c r="Q107" s="398"/>
      <c r="S107" s="398"/>
      <c r="U107" s="398"/>
      <c r="W107" s="398"/>
      <c r="Y107" s="398"/>
      <c r="AA107" s="398"/>
      <c r="AE107" s="399"/>
      <c r="AJ107" s="400"/>
      <c r="AK107" s="401"/>
      <c r="AL107" s="401"/>
      <c r="AM107" s="400"/>
      <c r="AN107" s="400"/>
      <c r="AO107" s="400"/>
      <c r="AP107" s="400"/>
      <c r="AQ107" s="400"/>
      <c r="AR107" s="400"/>
      <c r="AS107" s="400"/>
      <c r="AT107" s="400"/>
      <c r="AU107" s="402"/>
    </row>
  </sheetData>
  <mergeCells count="23">
    <mergeCell ref="AM9:AN9"/>
    <mergeCell ref="AQ9:AR9"/>
    <mergeCell ref="AU9:AV9"/>
    <mergeCell ref="AA9:AB9"/>
    <mergeCell ref="AC9:AD9"/>
    <mergeCell ref="AE9:AF9"/>
    <mergeCell ref="AG9:AH9"/>
    <mergeCell ref="AI9:AJ9"/>
    <mergeCell ref="AK9:AL9"/>
    <mergeCell ref="AO9:AP9"/>
    <mergeCell ref="AS9:AT9"/>
    <mergeCell ref="Y9:Z9"/>
    <mergeCell ref="C9:D9"/>
    <mergeCell ref="E9:F9"/>
    <mergeCell ref="G9:H9"/>
    <mergeCell ref="I9:J9"/>
    <mergeCell ref="K9:L9"/>
    <mergeCell ref="M9:N9"/>
    <mergeCell ref="O9:P9"/>
    <mergeCell ref="Q9:R9"/>
    <mergeCell ref="S9:T9"/>
    <mergeCell ref="U9:V9"/>
    <mergeCell ref="W9:X9"/>
  </mergeCells>
  <conditionalFormatting sqref="AZ14:BA104">
    <cfRule type="cellIs" dxfId="1" priority="1" operator="equal">
      <formula>TRUE</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64A1B-ECC5-4A12-9467-B6C5999E1247}">
  <dimension ref="B7:K27"/>
  <sheetViews>
    <sheetView showGridLines="0" zoomScale="85" zoomScaleNormal="85" workbookViewId="0"/>
  </sheetViews>
  <sheetFormatPr defaultColWidth="9.140625" defaultRowHeight="15" x14ac:dyDescent="0.25"/>
  <cols>
    <col min="2" max="2" width="17.140625" customWidth="1"/>
    <col min="3" max="3" width="17.28515625" bestFit="1" customWidth="1"/>
    <col min="4" max="4" width="15.42578125" bestFit="1" customWidth="1"/>
    <col min="5" max="5" width="14.7109375" customWidth="1"/>
    <col min="6" max="6" width="15.5703125" customWidth="1"/>
    <col min="11" max="11" width="9.140625" style="64"/>
  </cols>
  <sheetData>
    <row r="7" spans="2:6" ht="15.75" thickBot="1" x14ac:dyDescent="0.3">
      <c r="B7" s="1393" t="s">
        <v>624</v>
      </c>
      <c r="C7" s="1393"/>
      <c r="D7" s="1393"/>
      <c r="E7" s="1393"/>
      <c r="F7" s="1393"/>
    </row>
    <row r="8" spans="2:6" ht="16.5" customHeight="1" x14ac:dyDescent="0.25">
      <c r="B8" s="404" t="s">
        <v>271</v>
      </c>
      <c r="C8" s="405" t="s">
        <v>541</v>
      </c>
      <c r="D8" s="406" t="s">
        <v>542</v>
      </c>
      <c r="E8" s="406" t="s">
        <v>543</v>
      </c>
      <c r="F8" s="407" t="s">
        <v>544</v>
      </c>
    </row>
    <row r="9" spans="2:6" ht="16.5" customHeight="1" x14ac:dyDescent="0.25">
      <c r="B9" s="408" t="s">
        <v>165</v>
      </c>
      <c r="C9" s="409">
        <v>8.0973770728180128E-2</v>
      </c>
      <c r="D9" s="410">
        <v>4.0134378764248843E-2</v>
      </c>
      <c r="E9" s="410">
        <v>0.87889185050757102</v>
      </c>
      <c r="F9" s="411">
        <v>2</v>
      </c>
    </row>
    <row r="10" spans="2:6" ht="16.5" customHeight="1" x14ac:dyDescent="0.25">
      <c r="B10" s="408" t="s">
        <v>114</v>
      </c>
      <c r="C10" s="412">
        <v>1.6494282465883133E-2</v>
      </c>
      <c r="D10" s="413">
        <v>0</v>
      </c>
      <c r="E10" s="413">
        <v>0.98350571753411686</v>
      </c>
      <c r="F10" s="414">
        <v>4</v>
      </c>
    </row>
    <row r="11" spans="2:6" ht="16.5" customHeight="1" x14ac:dyDescent="0.25">
      <c r="B11" s="408" t="s">
        <v>169</v>
      </c>
      <c r="C11" s="409">
        <v>3.173351551480959E-3</v>
      </c>
      <c r="D11" s="410">
        <v>2.9795618829337095E-2</v>
      </c>
      <c r="E11" s="410">
        <v>0.96703102961918197</v>
      </c>
      <c r="F11" s="411" t="s">
        <v>545</v>
      </c>
    </row>
    <row r="12" spans="2:6" ht="16.5" customHeight="1" x14ac:dyDescent="0.25">
      <c r="B12" s="408" t="s">
        <v>196</v>
      </c>
      <c r="C12" s="412">
        <v>6.1267431660906439E-4</v>
      </c>
      <c r="D12" s="413">
        <v>3.4423886462400078E-4</v>
      </c>
      <c r="E12" s="413">
        <v>0.99904308681876697</v>
      </c>
      <c r="F12" s="414">
        <v>46</v>
      </c>
    </row>
    <row r="13" spans="2:6" ht="16.5" customHeight="1" x14ac:dyDescent="0.25">
      <c r="B13" s="416" t="s">
        <v>546</v>
      </c>
      <c r="C13" s="409">
        <v>1.6236387759275579E-4</v>
      </c>
      <c r="D13" s="410">
        <v>0</v>
      </c>
      <c r="E13" s="410">
        <v>0.99983763612240728</v>
      </c>
      <c r="F13" s="411" t="s">
        <v>640</v>
      </c>
    </row>
    <row r="14" spans="2:6" ht="16.5" customHeight="1" x14ac:dyDescent="0.25">
      <c r="B14" s="408" t="s">
        <v>225</v>
      </c>
      <c r="C14" s="412">
        <v>0.37132991591444375</v>
      </c>
      <c r="D14" s="413">
        <v>0</v>
      </c>
      <c r="E14" s="413">
        <v>0.62867008408555625</v>
      </c>
      <c r="F14" s="414">
        <v>1</v>
      </c>
    </row>
    <row r="15" spans="2:6" ht="16.5" customHeight="1" x14ac:dyDescent="0.25">
      <c r="B15" s="416" t="s">
        <v>32</v>
      </c>
      <c r="C15" s="409">
        <v>6.2615598027127004E-2</v>
      </c>
      <c r="D15" s="410">
        <v>2.4930641183723797E-2</v>
      </c>
      <c r="E15" s="410">
        <v>0.91245376078914919</v>
      </c>
      <c r="F15" s="411">
        <v>3</v>
      </c>
    </row>
    <row r="16" spans="2:6" ht="16.5" customHeight="1" x14ac:dyDescent="0.25">
      <c r="B16" s="408" t="s">
        <v>226</v>
      </c>
      <c r="C16" s="412">
        <v>1.7882379349046015E-2</v>
      </c>
      <c r="D16" s="413">
        <v>2.7010998877665546E-2</v>
      </c>
      <c r="E16" s="413">
        <v>0.95510662177328842</v>
      </c>
      <c r="F16" s="414">
        <v>10</v>
      </c>
    </row>
    <row r="17" spans="2:6" ht="16.5" customHeight="1" x14ac:dyDescent="0.25">
      <c r="B17" s="408" t="s">
        <v>188</v>
      </c>
      <c r="C17" s="409">
        <v>0.35603079792690695</v>
      </c>
      <c r="D17" s="410">
        <v>4.3509169871841667E-3</v>
      </c>
      <c r="E17" s="410">
        <v>0.6396182850859089</v>
      </c>
      <c r="F17" s="411">
        <v>1</v>
      </c>
    </row>
    <row r="18" spans="2:6" ht="16.5" customHeight="1" x14ac:dyDescent="0.25">
      <c r="B18" s="416" t="s">
        <v>253</v>
      </c>
      <c r="C18" s="412">
        <v>1.2832001826067108E-2</v>
      </c>
      <c r="D18" s="413">
        <v>9.4677699155443967E-2</v>
      </c>
      <c r="E18" s="413">
        <v>0.89249029901848886</v>
      </c>
      <c r="F18" s="414">
        <v>12</v>
      </c>
    </row>
    <row r="19" spans="2:6" ht="16.5" customHeight="1" x14ac:dyDescent="0.25">
      <c r="B19" s="408" t="s">
        <v>48</v>
      </c>
      <c r="C19" s="409">
        <v>0.41595100528928214</v>
      </c>
      <c r="D19" s="410">
        <v>3.9875906778215108E-3</v>
      </c>
      <c r="E19" s="410">
        <v>0.58006140403289641</v>
      </c>
      <c r="F19" s="411">
        <v>1</v>
      </c>
    </row>
    <row r="20" spans="2:6" ht="16.5" customHeight="1" x14ac:dyDescent="0.25">
      <c r="B20" s="416" t="s">
        <v>189</v>
      </c>
      <c r="C20" s="412">
        <v>0.11898266166491375</v>
      </c>
      <c r="D20" s="413">
        <v>8.0986378430973768E-2</v>
      </c>
      <c r="E20" s="413">
        <v>0.80003095990411244</v>
      </c>
      <c r="F20" s="414">
        <v>3</v>
      </c>
    </row>
    <row r="21" spans="2:6" x14ac:dyDescent="0.25">
      <c r="B21" s="416" t="s">
        <v>547</v>
      </c>
      <c r="C21" s="409">
        <v>2.9092407297028739E-2</v>
      </c>
      <c r="D21" s="410">
        <v>0.13681664714420957</v>
      </c>
      <c r="E21" s="410">
        <v>0.83409094555876173</v>
      </c>
      <c r="F21" s="411">
        <v>7</v>
      </c>
    </row>
    <row r="22" spans="2:6" x14ac:dyDescent="0.25">
      <c r="B22" s="416" t="s">
        <v>61</v>
      </c>
      <c r="C22" s="412">
        <v>3.4939018763017776E-2</v>
      </c>
      <c r="D22" s="413">
        <v>0</v>
      </c>
      <c r="E22" s="413">
        <v>0.96506098123698225</v>
      </c>
      <c r="F22" s="414">
        <v>5</v>
      </c>
    </row>
    <row r="23" spans="2:6" x14ac:dyDescent="0.25">
      <c r="B23" s="416" t="s">
        <v>548</v>
      </c>
      <c r="C23" s="409">
        <v>7.6330736702920149E-2</v>
      </c>
      <c r="D23" s="410">
        <v>0</v>
      </c>
      <c r="E23" s="410">
        <v>0.92366926329707988</v>
      </c>
      <c r="F23" s="411">
        <v>3</v>
      </c>
    </row>
    <row r="24" spans="2:6" x14ac:dyDescent="0.25">
      <c r="B24" s="416" t="s">
        <v>228</v>
      </c>
      <c r="C24" s="412">
        <v>0.27830296296296297</v>
      </c>
      <c r="D24" s="413">
        <v>0.15742688453159043</v>
      </c>
      <c r="E24" s="413">
        <v>0.56427015250544654</v>
      </c>
      <c r="F24" s="414">
        <v>1</v>
      </c>
    </row>
    <row r="25" spans="2:6" x14ac:dyDescent="0.25">
      <c r="B25" s="416" t="s">
        <v>549</v>
      </c>
      <c r="C25" s="409">
        <v>3.5887267025089604E-2</v>
      </c>
      <c r="D25" s="410">
        <v>2.9418847072879332E-3</v>
      </c>
      <c r="E25" s="410">
        <v>0.96117084826762245</v>
      </c>
      <c r="F25" s="411">
        <v>6</v>
      </c>
    </row>
    <row r="26" spans="2:6" x14ac:dyDescent="0.25">
      <c r="B26" s="416" t="s">
        <v>254</v>
      </c>
      <c r="C26" s="412">
        <v>4.4675476748076278E-3</v>
      </c>
      <c r="D26" s="413">
        <v>8.7201906992305123E-2</v>
      </c>
      <c r="E26" s="413">
        <v>0.90833054533288726</v>
      </c>
      <c r="F26" s="414" t="s">
        <v>550</v>
      </c>
    </row>
    <row r="27" spans="2:6" ht="15.75" thickBot="1" x14ac:dyDescent="0.3">
      <c r="B27" s="417" t="s">
        <v>177</v>
      </c>
      <c r="C27" s="418">
        <v>7.5267558528428091E-2</v>
      </c>
      <c r="D27" s="419">
        <v>0.25918060200668896</v>
      </c>
      <c r="E27" s="419">
        <v>0.66555183946488294</v>
      </c>
      <c r="F27" s="420">
        <v>4</v>
      </c>
    </row>
  </sheetData>
  <mergeCells count="1">
    <mergeCell ref="B7:F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3C272-5632-40A6-B001-0C8053641C05}">
  <sheetPr>
    <tabColor theme="6" tint="0.39997558519241921"/>
  </sheetPr>
  <dimension ref="A1:W71"/>
  <sheetViews>
    <sheetView showGridLines="0" zoomScale="85" zoomScaleNormal="85" workbookViewId="0">
      <pane ySplit="10" topLeftCell="A11" activePane="bottomLeft" state="frozen"/>
      <selection pane="bottomLeft"/>
    </sheetView>
  </sheetViews>
  <sheetFormatPr defaultRowHeight="15" x14ac:dyDescent="0.25"/>
  <cols>
    <col min="1" max="1" width="12.7109375" customWidth="1"/>
    <col min="2" max="2" width="15.7109375" customWidth="1"/>
    <col min="3" max="3" width="15.7109375" style="2" customWidth="1"/>
    <col min="4" max="4" width="8.7109375" customWidth="1"/>
    <col min="5" max="5" width="12.7109375" customWidth="1"/>
    <col min="6" max="7" width="15.7109375" customWidth="1"/>
    <col min="12" max="12" width="10.7109375" bestFit="1" customWidth="1"/>
  </cols>
  <sheetData>
    <row r="1" spans="1:23" x14ac:dyDescent="0.25">
      <c r="W1" s="58" t="s">
        <v>178</v>
      </c>
    </row>
    <row r="2" spans="1:23" x14ac:dyDescent="0.25">
      <c r="W2" s="58" t="s">
        <v>179</v>
      </c>
    </row>
    <row r="4" spans="1:23" x14ac:dyDescent="0.25">
      <c r="H4" s="421"/>
    </row>
    <row r="5" spans="1:23" x14ac:dyDescent="0.25">
      <c r="H5" s="421"/>
    </row>
    <row r="6" spans="1:23" x14ac:dyDescent="0.25">
      <c r="H6" s="421"/>
    </row>
    <row r="7" spans="1:23" x14ac:dyDescent="0.25">
      <c r="A7" s="1393" t="s">
        <v>568</v>
      </c>
      <c r="B7" s="1393"/>
      <c r="C7" s="1370"/>
      <c r="D7" s="422"/>
      <c r="E7" s="1393" t="s">
        <v>553</v>
      </c>
      <c r="F7" s="1393"/>
      <c r="G7" s="1370"/>
      <c r="M7" s="2"/>
    </row>
    <row r="8" spans="1:23" ht="15.75" thickBot="1" x14ac:dyDescent="0.3">
      <c r="A8" s="1395" t="s">
        <v>569</v>
      </c>
      <c r="B8" s="1396"/>
      <c r="C8" s="1396"/>
      <c r="D8" s="148"/>
      <c r="E8" s="1395" t="str">
        <f>E53</f>
        <v>Calendar Year</v>
      </c>
      <c r="F8" s="1395"/>
      <c r="G8" s="1396"/>
      <c r="M8" s="2"/>
    </row>
    <row r="9" spans="1:23" x14ac:dyDescent="0.25">
      <c r="A9" s="423"/>
      <c r="B9" s="424" t="s">
        <v>165</v>
      </c>
      <c r="C9" s="425" t="s">
        <v>184</v>
      </c>
      <c r="D9" s="148"/>
      <c r="E9" s="426"/>
      <c r="F9" s="427" t="s">
        <v>165</v>
      </c>
      <c r="G9" s="425" t="s">
        <v>184</v>
      </c>
    </row>
    <row r="10" spans="1:23" x14ac:dyDescent="0.25">
      <c r="A10" s="428" t="s">
        <v>269</v>
      </c>
      <c r="B10" s="429" t="s">
        <v>259</v>
      </c>
      <c r="C10" s="430" t="s">
        <v>259</v>
      </c>
      <c r="E10" s="431" t="s">
        <v>272</v>
      </c>
      <c r="F10" s="429" t="s">
        <v>259</v>
      </c>
      <c r="G10" s="430" t="s">
        <v>259</v>
      </c>
    </row>
    <row r="11" spans="1:23" x14ac:dyDescent="0.25">
      <c r="A11" s="432">
        <f>LARGE('Commodity Prices'!C$161:C$904,61)</f>
        <v>44166</v>
      </c>
      <c r="B11" s="433">
        <f>SUMIF('Commodity Prices'!C$161:C$904,A11,'Commodity Prices'!F$161:F$904)</f>
        <v>369.11537463760158</v>
      </c>
      <c r="C11" s="434">
        <f>SUMIF('Commodity Prices'!C$161:C$904,A11,'Commodity Prices'!H$161:H$904)</f>
        <v>37.778571601204838</v>
      </c>
      <c r="E11" s="435">
        <f>IF(E8="Calendar Year", 1986, "1986-87")</f>
        <v>1986</v>
      </c>
      <c r="F11" s="1014">
        <f>IF($E$8="Calendar Year",
 IF(COUNTIFS('Commodity Prices'!$F:$F, "&gt;0", 'Commodity Prices'!$A:$A, $E11)=12, AVERAGEIFS('Commodity Prices'!$F:$F, 'Commodity Prices'!$A:$A, $E11), NA()),
 IF(COUNTIFS('Commodity Prices'!$F:$F, "&gt;0", 'Commodity Prices'!$B:$B, $E11)=12, AVERAGEIFS('Commodity Prices'!$F:$F, 'Commodity Prices'!$B:$B, $E11), NA())
)</f>
        <v>186.74747201938524</v>
      </c>
      <c r="G11" s="1210"/>
    </row>
    <row r="12" spans="1:23" x14ac:dyDescent="0.25">
      <c r="A12" s="432">
        <f>LARGE('Commodity Prices'!C$161:C$904,60)</f>
        <v>44197</v>
      </c>
      <c r="B12" s="436">
        <f>SUMIF('Commodity Prices'!C$161:C$904,A12,'Commodity Prices'!F$161:F$904)</f>
        <v>376.60660378402264</v>
      </c>
      <c r="C12" s="437">
        <f>SUMIF('Commodity Prices'!C$161:C$904,A12,'Commodity Prices'!H$161:H$904)</f>
        <v>36.915536705220518</v>
      </c>
      <c r="E12" s="438">
        <f>IF($E$8="Calendar Year", E11+1, LEFT(E11, 4)+1 &amp; "-" &amp; RIGHT( LEFT(E11, 4)+2, 2))</f>
        <v>1987</v>
      </c>
      <c r="F12" s="436">
        <f>IF($E$8="Calendar Year",
 IF(COUNTIFS('Commodity Prices'!$F:$F, "&gt;0", 'Commodity Prices'!$A:$A, $E12)=12, AVERAGEIFS('Commodity Prices'!$F:$F, 'Commodity Prices'!$A:$A, $E12), NA()),
 IF(COUNTIFS('Commodity Prices'!$F:$F, "&gt;0", 'Commodity Prices'!$B:$B, $E12)=12, AVERAGEIFS('Commodity Prices'!$F:$F, 'Commodity Prices'!$B:$B, $E12), NA())
)</f>
        <v>186.34339604659078</v>
      </c>
      <c r="G12" s="437"/>
    </row>
    <row r="13" spans="1:23" x14ac:dyDescent="0.25">
      <c r="A13" s="432">
        <f>LARGE('Commodity Prices'!C$161:C$904,59)</f>
        <v>44228</v>
      </c>
      <c r="B13" s="433">
        <f>SUMIF('Commodity Prices'!C$161:C$904,A13,'Commodity Prices'!F$161:F$904)</f>
        <v>384.0978329304437</v>
      </c>
      <c r="C13" s="434">
        <f>SUMIF('Commodity Prices'!C$161:C$904,A13,'Commodity Prices'!H$161:H$904)</f>
        <v>36.380467168182442</v>
      </c>
      <c r="E13" s="435">
        <f t="shared" ref="E13:E50" si="0">IF($E$8="Calendar Year", E12+1, LEFT(E12, 4)+1 &amp; "-" &amp; RIGHT( LEFT(E12, 4)+2, 2))</f>
        <v>1988</v>
      </c>
      <c r="F13" s="1014">
        <f>IF($E$8="Calendar Year",
 IF(COUNTIFS('Commodity Prices'!$F:$F, "&gt;0", 'Commodity Prices'!$A:$A, $E13)=12, AVERAGEIFS('Commodity Prices'!$F:$F, 'Commodity Prices'!$A:$A, $E13), NA()),
 IF(COUNTIFS('Commodity Prices'!$F:$F, "&gt;0", 'Commodity Prices'!$B:$B, $E13)=12, AVERAGEIFS('Commodity Prices'!$F:$F, 'Commodity Prices'!$B:$B, $E13), NA())
)</f>
        <v>215.69999999999996</v>
      </c>
      <c r="G13" s="1210"/>
    </row>
    <row r="14" spans="1:23" x14ac:dyDescent="0.25">
      <c r="A14" s="432">
        <f>LARGE('Commodity Prices'!C$161:C$904,58)</f>
        <v>44256</v>
      </c>
      <c r="B14" s="436">
        <f>SUMIF('Commodity Prices'!C$161:C$904,A14,'Commodity Prices'!F$161:F$904)</f>
        <v>398.32071225827769</v>
      </c>
      <c r="C14" s="437">
        <f>SUMIF('Commodity Prices'!C$161:C$904,A14,'Commodity Prices'!H$161:H$904)</f>
        <v>37.40305636000047</v>
      </c>
      <c r="E14" s="438">
        <f t="shared" si="0"/>
        <v>1989</v>
      </c>
      <c r="F14" s="436">
        <f>IF($E$8="Calendar Year",
 IF(COUNTIFS('Commodity Prices'!$F:$F, "&gt;0", 'Commodity Prices'!$A:$A, $E14)=12, AVERAGEIFS('Commodity Prices'!$F:$F, 'Commodity Prices'!$A:$A, $E14), NA()),
 IF(COUNTIFS('Commodity Prices'!$F:$F, "&gt;0", 'Commodity Prices'!$B:$B, $E14)=12, AVERAGEIFS('Commodity Prices'!$F:$F, 'Commodity Prices'!$B:$B, $E14), NA())
)</f>
        <v>316.38083333333333</v>
      </c>
      <c r="G14" s="437"/>
    </row>
    <row r="15" spans="1:23" x14ac:dyDescent="0.25">
      <c r="A15" s="432">
        <f>LARGE('Commodity Prices'!C$161:C$904,57)</f>
        <v>44287</v>
      </c>
      <c r="B15" s="433">
        <f>SUMIF('Commodity Prices'!C$161:C$904,A15,'Commodity Prices'!F$161:F$904)</f>
        <v>383.24303772598245</v>
      </c>
      <c r="C15" s="434">
        <f>SUMIF('Commodity Prices'!C$161:C$904,A15,'Commodity Prices'!H$161:H$904)</f>
        <v>37.284555435068668</v>
      </c>
      <c r="E15" s="435">
        <f t="shared" si="0"/>
        <v>1990</v>
      </c>
      <c r="F15" s="1014">
        <f>IF($E$8="Calendar Year",
 IF(COUNTIFS('Commodity Prices'!$F:$F, "&gt;0", 'Commodity Prices'!$A:$A, $E15)=12, AVERAGEIFS('Commodity Prices'!$F:$F, 'Commodity Prices'!$A:$A, $E15), NA()),
 IF(COUNTIFS('Commodity Prices'!$F:$F, "&gt;0", 'Commodity Prices'!$B:$B, $E15)=12, AVERAGEIFS('Commodity Prices'!$F:$F, 'Commodity Prices'!$B:$B, $E15), NA())
)</f>
        <v>337.86416666666668</v>
      </c>
      <c r="G15" s="1210"/>
    </row>
    <row r="16" spans="1:23" x14ac:dyDescent="0.25">
      <c r="A16" s="432">
        <f>LARGE('Commodity Prices'!C$161:C$904,56)</f>
        <v>44317</v>
      </c>
      <c r="B16" s="436">
        <f>SUMIF('Commodity Prices'!C$161:C$904,A16,'Commodity Prices'!F$161:F$904)</f>
        <v>367.64673884431613</v>
      </c>
      <c r="C16" s="437">
        <f>SUMIF('Commodity Prices'!C$161:C$904,A16,'Commodity Prices'!H$161:H$904)</f>
        <v>35.089373633295544</v>
      </c>
      <c r="E16" s="438">
        <f t="shared" si="0"/>
        <v>1991</v>
      </c>
      <c r="F16" s="436">
        <f>IF($E$8="Calendar Year",
 IF(COUNTIFS('Commodity Prices'!$F:$F, "&gt;0", 'Commodity Prices'!$A:$A, $E16)=12, AVERAGEIFS('Commodity Prices'!$F:$F, 'Commodity Prices'!$A:$A, $E16), NA()),
 IF(COUNTIFS('Commodity Prices'!$F:$F, "&gt;0", 'Commodity Prices'!$B:$B, $E16)=12, AVERAGEIFS('Commodity Prices'!$F:$F, 'Commodity Prices'!$B:$B, $E16), NA())
)</f>
        <v>268.65083333333337</v>
      </c>
      <c r="G16" s="437"/>
    </row>
    <row r="17" spans="1:7" x14ac:dyDescent="0.25">
      <c r="A17" s="432">
        <f>LARGE('Commodity Prices'!C$161:C$904,56)</f>
        <v>44317</v>
      </c>
      <c r="B17" s="433">
        <f>SUMIF('Commodity Prices'!C$161:C$904,A17,'Commodity Prices'!F$161:F$904)</f>
        <v>367.64673884431613</v>
      </c>
      <c r="C17" s="434">
        <f>SUMIF('Commodity Prices'!C$161:C$904,A17,'Commodity Prices'!H$161:H$904)</f>
        <v>35.089373633295544</v>
      </c>
      <c r="E17" s="435">
        <f t="shared" si="0"/>
        <v>1992</v>
      </c>
      <c r="F17" s="1014">
        <f>IF($E$8="Calendar Year",
 IF(COUNTIFS('Commodity Prices'!$F:$F, "&gt;0", 'Commodity Prices'!$A:$A, $E17)=12, AVERAGEIFS('Commodity Prices'!$F:$F, 'Commodity Prices'!$A:$A, $E17), NA()),
 IF(COUNTIFS('Commodity Prices'!$F:$F, "&gt;0", 'Commodity Prices'!$B:$B, $E17)=12, AVERAGEIFS('Commodity Prices'!$F:$F, 'Commodity Prices'!$B:$B, $E17), NA())
)</f>
        <v>234.71833333333336</v>
      </c>
      <c r="G17" s="1210"/>
    </row>
    <row r="18" spans="1:7" x14ac:dyDescent="0.25">
      <c r="A18" s="439">
        <f>LARGE('Commodity Prices'!C$161:C$904,54)</f>
        <v>44378</v>
      </c>
      <c r="B18" s="436">
        <f>SUMIF('Commodity Prices'!C$161:C$904,A18,'Commodity Prices'!F$161:F$904)</f>
        <v>381.52995205898827</v>
      </c>
      <c r="C18" s="437">
        <f>SUMIF('Commodity Prices'!C$161:C$904,A18,'Commodity Prices'!H$161:H$904)</f>
        <v>35.444686509825132</v>
      </c>
      <c r="E18" s="438">
        <f t="shared" si="0"/>
        <v>1993</v>
      </c>
      <c r="F18" s="436">
        <f>IF($E$8="Calendar Year",
 IF(COUNTIFS('Commodity Prices'!$F:$F, "&gt;0", 'Commodity Prices'!$A:$A, $E18)=12, AVERAGEIFS('Commodity Prices'!$F:$F, 'Commodity Prices'!$A:$A, $E18), NA()),
 IF(COUNTIFS('Commodity Prices'!$F:$F, "&gt;0", 'Commodity Prices'!$B:$B, $E18)=12, AVERAGEIFS('Commodity Prices'!$F:$F, 'Commodity Prices'!$B:$B, $E18), NA())
)</f>
        <v>244.78333333333327</v>
      </c>
      <c r="G18" s="437"/>
    </row>
    <row r="19" spans="1:7" x14ac:dyDescent="0.25">
      <c r="A19" s="432">
        <f>LARGE('Commodity Prices'!C$161:C$904,53)</f>
        <v>44409</v>
      </c>
      <c r="B19" s="433">
        <f>SUMIF('Commodity Prices'!C$161:C$904,A19,'Commodity Prices'!F$161:F$904)</f>
        <v>395.0206053683923</v>
      </c>
      <c r="C19" s="434">
        <f>SUMIF('Commodity Prices'!C$161:C$904,A19,'Commodity Prices'!H$161:H$904)</f>
        <v>36.147556429478513</v>
      </c>
      <c r="E19" s="435">
        <f t="shared" si="0"/>
        <v>1994</v>
      </c>
      <c r="F19" s="1014">
        <f>IF($E$8="Calendar Year",
 IF(COUNTIFS('Commodity Prices'!$F:$F, "&gt;0", 'Commodity Prices'!$A:$A, $E19)=12, AVERAGEIFS('Commodity Prices'!$F:$F, 'Commodity Prices'!$A:$A, $E19), NA()),
 IF(COUNTIFS('Commodity Prices'!$F:$F, "&gt;0", 'Commodity Prices'!$B:$B, $E19)=12, AVERAGEIFS('Commodity Prices'!$F:$F, 'Commodity Prices'!$B:$B, $E19), NA())
)</f>
        <v>207.5008333333333</v>
      </c>
      <c r="G19" s="1210"/>
    </row>
    <row r="20" spans="1:7" x14ac:dyDescent="0.25">
      <c r="A20" s="439">
        <f>LARGE('Commodity Prices'!C$161:C$904,52)</f>
        <v>44440</v>
      </c>
      <c r="B20" s="436">
        <f>SUMIF('Commodity Prices'!C$161:C$904,A20,'Commodity Prices'!F$161:F$904)</f>
        <v>414.38671750278041</v>
      </c>
      <c r="C20" s="437">
        <f>SUMIF('Commodity Prices'!C$161:C$904,A20,'Commodity Prices'!H$161:H$904)</f>
        <v>35.67125159615788</v>
      </c>
      <c r="E20" s="438">
        <f t="shared" si="0"/>
        <v>1995</v>
      </c>
      <c r="F20" s="436">
        <f>IF($E$8="Calendar Year",
 IF(COUNTIFS('Commodity Prices'!$F:$F, "&gt;0", 'Commodity Prices'!$A:$A, $E20)=12, AVERAGEIFS('Commodity Prices'!$F:$F, 'Commodity Prices'!$A:$A, $E20), NA()),
 IF(COUNTIFS('Commodity Prices'!$F:$F, "&gt;0", 'Commodity Prices'!$B:$B, $E20)=12, AVERAGEIFS('Commodity Prices'!$F:$F, 'Commodity Prices'!$B:$B, $E20), NA())
)</f>
        <v>232.52083333333334</v>
      </c>
      <c r="G20" s="437"/>
    </row>
    <row r="21" spans="1:7" x14ac:dyDescent="0.25">
      <c r="A21" s="432">
        <f>LARGE('Commodity Prices'!C$161:C$904,51)</f>
        <v>44470</v>
      </c>
      <c r="B21" s="433">
        <f>SUMIF('Commodity Prices'!C$161:C$904,A21,'Commodity Prices'!F$161:F$904)</f>
        <v>493.21954852684263</v>
      </c>
      <c r="C21" s="434">
        <f>SUMIF('Commodity Prices'!C$161:C$904,A21,'Commodity Prices'!H$161:H$904)</f>
        <v>34.904589211807306</v>
      </c>
      <c r="E21" s="435">
        <f t="shared" si="0"/>
        <v>1996</v>
      </c>
      <c r="F21" s="1014">
        <f>IF($E$8="Calendar Year",
 IF(COUNTIFS('Commodity Prices'!$F:$F, "&gt;0", 'Commodity Prices'!$A:$A, $E21)=12, AVERAGEIFS('Commodity Prices'!$F:$F, 'Commodity Prices'!$A:$A, $E21), NA()),
 IF(COUNTIFS('Commodity Prices'!$F:$F, "&gt;0", 'Commodity Prices'!$B:$B, $E21)=12, AVERAGEIFS('Commodity Prices'!$F:$F, 'Commodity Prices'!$B:$B, $E21), NA())
)</f>
        <v>243.20750000000001</v>
      </c>
      <c r="G21" s="1210"/>
    </row>
    <row r="22" spans="1:7" x14ac:dyDescent="0.25">
      <c r="A22" s="439">
        <f>LARGE('Commodity Prices'!C$161:C$904,50)</f>
        <v>44501</v>
      </c>
      <c r="B22" s="436">
        <f>SUMIF('Commodity Prices'!C$161:C$904,A22,'Commodity Prices'!F$161:F$904)</f>
        <v>611.10860599040382</v>
      </c>
      <c r="C22" s="437">
        <f>SUMIF('Commodity Prices'!C$161:C$904,A22,'Commodity Prices'!H$161:H$904)</f>
        <v>36.892901454769628</v>
      </c>
      <c r="E22" s="438">
        <f t="shared" si="0"/>
        <v>1997</v>
      </c>
      <c r="F22" s="436">
        <f>IF($E$8="Calendar Year",
 IF(COUNTIFS('Commodity Prices'!$F:$F, "&gt;0", 'Commodity Prices'!$A:$A, $E22)=12, AVERAGEIFS('Commodity Prices'!$F:$F, 'Commodity Prices'!$A:$A, $E22), NA()),
 IF(COUNTIFS('Commodity Prices'!$F:$F, "&gt;0", 'Commodity Prices'!$B:$B, $E22)=12, AVERAGEIFS('Commodity Prices'!$F:$F, 'Commodity Prices'!$B:$B, $E22), NA())
)</f>
        <v>251.0058333333333</v>
      </c>
      <c r="G22" s="437"/>
    </row>
    <row r="23" spans="1:7" x14ac:dyDescent="0.25">
      <c r="A23" s="432">
        <f>LARGE('Commodity Prices'!C$161:C$904,49)</f>
        <v>44531</v>
      </c>
      <c r="B23" s="433">
        <f>SUMIF('Commodity Prices'!C$161:C$904,A23,'Commodity Prices'!F$161:F$904)</f>
        <v>539.33028458145975</v>
      </c>
      <c r="C23" s="434">
        <f>SUMIF('Commodity Prices'!C$161:C$904,A23,'Commodity Prices'!H$161:H$904)</f>
        <v>33.819683594342479</v>
      </c>
      <c r="E23" s="435">
        <f t="shared" si="0"/>
        <v>1998</v>
      </c>
      <c r="F23" s="1014">
        <f>IF($E$8="Calendar Year",
 IF(COUNTIFS('Commodity Prices'!$F:$F, "&gt;0", 'Commodity Prices'!$A:$A, $E23)=12, AVERAGEIFS('Commodity Prices'!$F:$F, 'Commodity Prices'!$A:$A, $E23), NA()),
 IF(COUNTIFS('Commodity Prices'!$F:$F, "&gt;0", 'Commodity Prices'!$B:$B, $E23)=12, AVERAGEIFS('Commodity Prices'!$F:$F, 'Commodity Prices'!$B:$B, $E23), NA())
)</f>
        <v>286.06035333522306</v>
      </c>
      <c r="G23" s="1210"/>
    </row>
    <row r="24" spans="1:7" x14ac:dyDescent="0.25">
      <c r="A24" s="439">
        <f>LARGE('Commodity Prices'!C$161:C$904,48)</f>
        <v>44562</v>
      </c>
      <c r="B24" s="436">
        <f>SUMIF('Commodity Prices'!C$161:C$904,A24,'Commodity Prices'!F$161:F$904)</f>
        <v>519.4991193682514</v>
      </c>
      <c r="C24" s="437">
        <f>SUMIF('Commodity Prices'!C$161:C$904,A24,'Commodity Prices'!H$161:H$904)</f>
        <v>29.817436391123394</v>
      </c>
      <c r="E24" s="438">
        <f t="shared" si="0"/>
        <v>1999</v>
      </c>
      <c r="F24" s="436">
        <f>IF($E$8="Calendar Year",
 IF(COUNTIFS('Commodity Prices'!$F:$F, "&gt;0", 'Commodity Prices'!$A:$A, $E24)=12, AVERAGEIFS('Commodity Prices'!$F:$F, 'Commodity Prices'!$A:$A, $E24), NA()),
 IF(COUNTIFS('Commodity Prices'!$F:$F, "&gt;0", 'Commodity Prices'!$B:$B, $E24)=12, AVERAGEIFS('Commodity Prices'!$F:$F, 'Commodity Prices'!$B:$B, $E24), NA())
)</f>
        <v>259.78853448631168</v>
      </c>
      <c r="G24" s="437"/>
    </row>
    <row r="25" spans="1:7" x14ac:dyDescent="0.25">
      <c r="A25" s="432">
        <f>LARGE('Commodity Prices'!C$161:C$904,47)</f>
        <v>44593</v>
      </c>
      <c r="B25" s="433">
        <f>SUMIF('Commodity Prices'!C$161:C$904,A25,'Commodity Prices'!F$161:F$904)</f>
        <v>524.97953421667216</v>
      </c>
      <c r="C25" s="434">
        <f>SUMIF('Commodity Prices'!C$161:C$904,A25,'Commodity Prices'!H$161:H$904)</f>
        <v>31.802668810548269</v>
      </c>
      <c r="E25" s="435">
        <f t="shared" si="0"/>
        <v>2000</v>
      </c>
      <c r="F25" s="1014">
        <f>IF($E$8="Calendar Year",
 IF(COUNTIFS('Commodity Prices'!$F:$F, "&gt;0", 'Commodity Prices'!$A:$A, $E25)=12, AVERAGEIFS('Commodity Prices'!$F:$F, 'Commodity Prices'!$A:$A, $E25), NA()),
 IF(COUNTIFS('Commodity Prices'!$F:$F, "&gt;0", 'Commodity Prices'!$B:$B, $E25)=12, AVERAGEIFS('Commodity Prices'!$F:$F, 'Commodity Prices'!$B:$B, $E25), NA())
)</f>
        <v>342.39166666666665</v>
      </c>
      <c r="G25" s="1210"/>
    </row>
    <row r="26" spans="1:7" x14ac:dyDescent="0.25">
      <c r="A26" s="439">
        <f>LARGE('Commodity Prices'!C$161:C$904,46)</f>
        <v>44621</v>
      </c>
      <c r="B26" s="436">
        <f>SUMIF('Commodity Prices'!C$161:C$904,A26,'Commodity Prices'!F$161:F$904)</f>
        <v>545.48048865632359</v>
      </c>
      <c r="C26" s="437">
        <f>SUMIF('Commodity Prices'!C$161:C$904,A26,'Commodity Prices'!H$161:H$904)</f>
        <v>28.642514660837818</v>
      </c>
      <c r="E26" s="438">
        <f t="shared" si="0"/>
        <v>2001</v>
      </c>
      <c r="F26" s="436">
        <f>IF($E$8="Calendar Year",
 IF(COUNTIFS('Commodity Prices'!$F:$F, "&gt;0", 'Commodity Prices'!$A:$A, $E26)=12, AVERAGEIFS('Commodity Prices'!$F:$F, 'Commodity Prices'!$A:$A, $E26), NA()),
 IF(COUNTIFS('Commodity Prices'!$F:$F, "&gt;0", 'Commodity Prices'!$B:$B, $E26)=12, AVERAGEIFS('Commodity Prices'!$F:$F, 'Commodity Prices'!$B:$B, $E26), NA())
)</f>
        <v>343.46750000000003</v>
      </c>
      <c r="G26" s="437"/>
    </row>
    <row r="27" spans="1:7" x14ac:dyDescent="0.25">
      <c r="A27" s="432">
        <f>LARGE('Commodity Prices'!C$161:C$904,45)</f>
        <v>44652</v>
      </c>
      <c r="B27" s="433">
        <f>SUMIF('Commodity Prices'!C$161:C$904,A27,'Commodity Prices'!F$161:F$904)</f>
        <v>621.96422706893463</v>
      </c>
      <c r="C27" s="434">
        <f>SUMIF('Commodity Prices'!C$161:C$904,A27,'Commodity Prices'!H$161:H$904)</f>
        <v>30.293445395647741</v>
      </c>
      <c r="E27" s="435">
        <f t="shared" si="0"/>
        <v>2002</v>
      </c>
      <c r="F27" s="1014">
        <f>IF($E$8="Calendar Year",
 IF(COUNTIFS('Commodity Prices'!$F:$F, "&gt;0", 'Commodity Prices'!$A:$A, $E27)=12, AVERAGEIFS('Commodity Prices'!$F:$F, 'Commodity Prices'!$A:$A, $E27), NA()),
 IF(COUNTIFS('Commodity Prices'!$F:$F, "&gt;0", 'Commodity Prices'!$B:$B, $E27)=12, AVERAGEIFS('Commodity Prices'!$F:$F, 'Commodity Prices'!$B:$B, $E27), NA())
)</f>
        <v>292.35166666666663</v>
      </c>
      <c r="G27" s="1210"/>
    </row>
    <row r="28" spans="1:7" x14ac:dyDescent="0.25">
      <c r="A28" s="440">
        <f>LARGE('Commodity Prices'!C$161:C$904,44)</f>
        <v>44682</v>
      </c>
      <c r="B28" s="436">
        <f>SUMIF('Commodity Prices'!C$161:C$904,A28,'Commodity Prices'!F$161:F$904)</f>
        <v>562.58212053260854</v>
      </c>
      <c r="C28" s="437">
        <f>SUMIF('Commodity Prices'!C$161:C$904,A28,'Commodity Prices'!H$161:H$904)</f>
        <v>29.600651769596155</v>
      </c>
      <c r="E28" s="438">
        <f t="shared" si="0"/>
        <v>2003</v>
      </c>
      <c r="F28" s="436">
        <f>IF($E$8="Calendar Year",
 IF(COUNTIFS('Commodity Prices'!$F:$F, "&gt;0", 'Commodity Prices'!$A:$A, $E28)=12, AVERAGEIFS('Commodity Prices'!$F:$F, 'Commodity Prices'!$A:$A, $E28), NA()),
 IF(COUNTIFS('Commodity Prices'!$F:$F, "&gt;0", 'Commodity Prices'!$B:$B, $E28)=12, AVERAGEIFS('Commodity Prices'!$F:$F, 'Commodity Prices'!$B:$B, $E28), NA())
)</f>
        <v>271.79333333333335</v>
      </c>
      <c r="G28" s="437"/>
    </row>
    <row r="29" spans="1:7" x14ac:dyDescent="0.25">
      <c r="A29" s="441">
        <f>LARGE('Commodity Prices'!C$161:C$904,43)</f>
        <v>44713</v>
      </c>
      <c r="B29" s="433">
        <f>SUMIF('Commodity Prices'!C$161:C$904,A29,'Commodity Prices'!F$161:F$904)</f>
        <v>530.9682067793384</v>
      </c>
      <c r="C29" s="434">
        <f>SUMIF('Commodity Prices'!C$161:C$904,A29,'Commodity Prices'!H$161:H$904)</f>
        <v>29.162707221040151</v>
      </c>
      <c r="E29" s="435">
        <f t="shared" si="0"/>
        <v>2004</v>
      </c>
      <c r="F29" s="1014">
        <f>IF($E$8="Calendar Year",
 IF(COUNTIFS('Commodity Prices'!$F:$F, "&gt;0", 'Commodity Prices'!$A:$A, $E29)=12, AVERAGEIFS('Commodity Prices'!$F:$F, 'Commodity Prices'!$A:$A, $E29), NA()),
 IF(COUNTIFS('Commodity Prices'!$F:$F, "&gt;0", 'Commodity Prices'!$B:$B, $E29)=12, AVERAGEIFS('Commodity Prices'!$F:$F, 'Commodity Prices'!$B:$B, $E29), NA())
)</f>
        <v>299.24602465354627</v>
      </c>
      <c r="G29" s="1210"/>
    </row>
    <row r="30" spans="1:7" x14ac:dyDescent="0.25">
      <c r="A30" s="440">
        <f>LARGE('Commodity Prices'!C$161:C$904,42)</f>
        <v>44743</v>
      </c>
      <c r="B30" s="436">
        <f>SUMIF('Commodity Prices'!C$161:C$904,A30,'Commodity Prices'!F$161:F$904)</f>
        <v>505.91217742679078</v>
      </c>
      <c r="C30" s="437">
        <f>SUMIF('Commodity Prices'!C$161:C$904,A30,'Commodity Prices'!H$161:H$904)</f>
        <v>31.895277894987423</v>
      </c>
      <c r="E30" s="438">
        <f t="shared" si="0"/>
        <v>2005</v>
      </c>
      <c r="F30" s="436">
        <f>IF($E$8="Calendar Year",
 IF(COUNTIFS('Commodity Prices'!$F:$F, "&gt;0", 'Commodity Prices'!$A:$A, $E30)=12, AVERAGEIFS('Commodity Prices'!$F:$F, 'Commodity Prices'!$A:$A, $E30), NA()),
 IF(COUNTIFS('Commodity Prices'!$F:$F, "&gt;0", 'Commodity Prices'!$B:$B, $E30)=12, AVERAGEIFS('Commodity Prices'!$F:$F, 'Commodity Prices'!$B:$B, $E30), NA())
)</f>
        <v>323.2258039568531</v>
      </c>
      <c r="G30" s="437"/>
    </row>
    <row r="31" spans="1:7" x14ac:dyDescent="0.25">
      <c r="A31" s="441">
        <f>LARGE('Commodity Prices'!C$161:C$904,41)</f>
        <v>44774</v>
      </c>
      <c r="B31" s="433">
        <f>SUMIF('Commodity Prices'!C$161:C$904,A31,'Commodity Prices'!F$161:F$904)</f>
        <v>493.47999365372959</v>
      </c>
      <c r="C31" s="434">
        <f>SUMIF('Commodity Prices'!C$161:C$904,A31,'Commodity Prices'!H$161:H$904)</f>
        <v>27.609646264844244</v>
      </c>
      <c r="E31" s="435">
        <f t="shared" si="0"/>
        <v>2006</v>
      </c>
      <c r="F31" s="1014">
        <f>IF($E$8="Calendar Year",
 IF(COUNTIFS('Commodity Prices'!$F:$F, "&gt;0", 'Commodity Prices'!$A:$A, $E31)=12, AVERAGEIFS('Commodity Prices'!$F:$F, 'Commodity Prices'!$A:$A, $E31), NA()),
 IF(COUNTIFS('Commodity Prices'!$F:$F, "&gt;0", 'Commodity Prices'!$B:$B, $E31)=12, AVERAGEIFS('Commodity Prices'!$F:$F, 'Commodity Prices'!$B:$B, $E31), NA())
)</f>
        <v>401.22070958927651</v>
      </c>
      <c r="G31" s="1210"/>
    </row>
    <row r="32" spans="1:7" x14ac:dyDescent="0.25">
      <c r="A32" s="440">
        <f>LARGE('Commodity Prices'!C$161:C$904,40)</f>
        <v>44805</v>
      </c>
      <c r="B32" s="436">
        <f>SUMIF('Commodity Prices'!C$161:C$904,A32,'Commodity Prices'!F$161:F$904)</f>
        <v>489.98473308684032</v>
      </c>
      <c r="C32" s="437">
        <f>SUMIF('Commodity Prices'!C$161:C$904,A32,'Commodity Prices'!H$161:H$904)</f>
        <v>32.584945850989442</v>
      </c>
      <c r="E32" s="438">
        <f t="shared" si="0"/>
        <v>2007</v>
      </c>
      <c r="F32" s="436">
        <f>IF($E$8="Calendar Year",
 IF(COUNTIFS('Commodity Prices'!$F:$F, "&gt;0", 'Commodity Prices'!$A:$A, $E32)=12, AVERAGEIFS('Commodity Prices'!$F:$F, 'Commodity Prices'!$A:$A, $E32), NA()),
 IF(COUNTIFS('Commodity Prices'!$F:$F, "&gt;0", 'Commodity Prices'!$B:$B, $E32)=12, AVERAGEIFS('Commodity Prices'!$F:$F, 'Commodity Prices'!$B:$B, $E32), NA())
)</f>
        <v>387.61488477893232</v>
      </c>
      <c r="G32" s="437"/>
    </row>
    <row r="33" spans="1:7" x14ac:dyDescent="0.25">
      <c r="A33" s="441">
        <f>LARGE('Commodity Prices'!C$161:C$904,39)</f>
        <v>44835</v>
      </c>
      <c r="B33" s="433">
        <f>SUMIF('Commodity Prices'!C$161:C$904,A33,'Commodity Prices'!F$161:F$904)</f>
        <v>530.72973477210928</v>
      </c>
      <c r="C33" s="434">
        <f>SUMIF('Commodity Prices'!C$161:C$904,A33,'Commodity Prices'!H$161:H$904)</f>
        <v>33.280419444289642</v>
      </c>
      <c r="E33" s="435">
        <f t="shared" si="0"/>
        <v>2008</v>
      </c>
      <c r="F33" s="1014">
        <f>IF($E$8="Calendar Year",
 IF(COUNTIFS('Commodity Prices'!$F:$F, "&gt;0", 'Commodity Prices'!$A:$A, $E33)=12, AVERAGEIFS('Commodity Prices'!$F:$F, 'Commodity Prices'!$A:$A, $E33), NA()),
 IF(COUNTIFS('Commodity Prices'!$F:$F, "&gt;0", 'Commodity Prices'!$B:$B, $E33)=12, AVERAGEIFS('Commodity Prices'!$F:$F, 'Commodity Prices'!$B:$B, $E33), NA())
)</f>
        <v>399.64823109921559</v>
      </c>
      <c r="G33" s="1210"/>
    </row>
    <row r="34" spans="1:7" x14ac:dyDescent="0.25">
      <c r="A34" s="440">
        <f>LARGE('Commodity Prices'!C$161:C$904,38)</f>
        <v>44866</v>
      </c>
      <c r="B34" s="436">
        <f>SUMIF('Commodity Prices'!C$161:C$904,A34,'Commodity Prices'!F$161:F$904)</f>
        <v>480.81888076417579</v>
      </c>
      <c r="C34" s="437">
        <f>SUMIF('Commodity Prices'!C$161:C$904,A34,'Commodity Prices'!H$161:H$904)</f>
        <v>35.40126662780964</v>
      </c>
      <c r="E34" s="438">
        <f t="shared" si="0"/>
        <v>2009</v>
      </c>
      <c r="F34" s="436">
        <f>IF($E$8="Calendar Year",
 IF(COUNTIFS('Commodity Prices'!$F:$F, "&gt;0", 'Commodity Prices'!$A:$A, $E34)=12, AVERAGEIFS('Commodity Prices'!$F:$F, 'Commodity Prices'!$A:$A, $E34), NA()),
 IF(COUNTIFS('Commodity Prices'!$F:$F, "&gt;0", 'Commodity Prices'!$B:$B, $E34)=12, AVERAGEIFS('Commodity Prices'!$F:$F, 'Commodity Prices'!$B:$B, $E34), NA())
)</f>
        <v>287.59035009991879</v>
      </c>
      <c r="G34" s="437"/>
    </row>
    <row r="35" spans="1:7" x14ac:dyDescent="0.25">
      <c r="A35" s="441">
        <f>LARGE('Commodity Prices'!C$161:C$904,37)</f>
        <v>44896</v>
      </c>
      <c r="B35" s="433">
        <f>SUMIF('Commodity Prices'!C$161:C$904,A35,'Commodity Prices'!F$161:F$904)</f>
        <v>468.754359044132</v>
      </c>
      <c r="C35" s="434">
        <f>SUMIF('Commodity Prices'!C$161:C$904,A35,'Commodity Prices'!H$161:H$904)</f>
        <v>38.489683042295432</v>
      </c>
      <c r="E35" s="435">
        <f t="shared" si="0"/>
        <v>2010</v>
      </c>
      <c r="F35" s="1014">
        <f>IF($E$8="Calendar Year",
 IF(COUNTIFS('Commodity Prices'!$F:$F, "&gt;0", 'Commodity Prices'!$A:$A, $E35)=12, AVERAGEIFS('Commodity Prices'!$F:$F, 'Commodity Prices'!$A:$A, $E35), NA()),
 IF(COUNTIFS('Commodity Prices'!$F:$F, "&gt;0", 'Commodity Prices'!$B:$B, $E35)=12, AVERAGEIFS('Commodity Prices'!$F:$F, 'Commodity Prices'!$B:$B, $E35), NA())
)</f>
        <v>317.5226345655114</v>
      </c>
      <c r="G35" s="1210"/>
    </row>
    <row r="36" spans="1:7" x14ac:dyDescent="0.25">
      <c r="A36" s="440">
        <f>LARGE('Commodity Prices'!C$161:C$904,36)</f>
        <v>44927</v>
      </c>
      <c r="B36" s="436">
        <f>SUMIF('Commodity Prices'!C$161:C$904,A36,'Commodity Prices'!F$161:F$904)</f>
        <v>460.43680769530499</v>
      </c>
      <c r="C36" s="437">
        <f>SUMIF('Commodity Prices'!C$161:C$904,A36,'Commodity Prices'!H$161:H$904)</f>
        <v>34.284848117974832</v>
      </c>
      <c r="E36" s="438">
        <f t="shared" si="0"/>
        <v>2011</v>
      </c>
      <c r="F36" s="436">
        <f>IF($E$8="Calendar Year",
 IF(COUNTIFS('Commodity Prices'!$F:$F, "&gt;0", 'Commodity Prices'!$A:$A, $E36)=12, AVERAGEIFS('Commodity Prices'!$F:$F, 'Commodity Prices'!$A:$A, $E36), NA()),
 IF(COUNTIFS('Commodity Prices'!$F:$F, "&gt;0", 'Commodity Prices'!$B:$B, $E36)=12, AVERAGEIFS('Commodity Prices'!$F:$F, 'Commodity Prices'!$B:$B, $E36), NA())
)</f>
        <v>337.48715453677306</v>
      </c>
      <c r="G36" s="437"/>
    </row>
    <row r="37" spans="1:7" x14ac:dyDescent="0.25">
      <c r="A37" s="441">
        <f>LARGE('Commodity Prices'!C$161:C$904,35)</f>
        <v>44958</v>
      </c>
      <c r="B37" s="433">
        <f>SUMIF('Commodity Prices'!C$161:C$904,A37,'Commodity Prices'!F$161:F$904)</f>
        <v>497.88721329066323</v>
      </c>
      <c r="C37" s="434">
        <f>SUMIF('Commodity Prices'!C$161:C$904,A37,'Commodity Prices'!H$161:H$904)</f>
        <v>38.618453142026482</v>
      </c>
      <c r="E37" s="435">
        <f t="shared" si="0"/>
        <v>2012</v>
      </c>
      <c r="F37" s="1014">
        <f>IF($E$8="Calendar Year",
 IF(COUNTIFS('Commodity Prices'!$F:$F, "&gt;0", 'Commodity Prices'!$A:$A, $E37)=12, AVERAGEIFS('Commodity Prices'!$F:$F, 'Commodity Prices'!$A:$A, $E37), NA()),
 IF(COUNTIFS('Commodity Prices'!$F:$F, "&gt;0", 'Commodity Prices'!$B:$B, $E37)=12, AVERAGEIFS('Commodity Prices'!$F:$F, 'Commodity Prices'!$B:$B, $E37), NA())
)</f>
        <v>285.45540794895652</v>
      </c>
      <c r="G37" s="1210"/>
    </row>
    <row r="38" spans="1:7" x14ac:dyDescent="0.25">
      <c r="A38" s="440">
        <f>LARGE('Commodity Prices'!C$161:C$904,34)</f>
        <v>44986</v>
      </c>
      <c r="B38" s="436">
        <f>SUMIF('Commodity Prices'!C$161:C$904,A38,'Commodity Prices'!F$161:F$904)</f>
        <v>544.72863941833975</v>
      </c>
      <c r="C38" s="437">
        <f>SUMIF('Commodity Prices'!C$161:C$904,A38,'Commodity Prices'!H$161:H$904)</f>
        <v>47.443001931926936</v>
      </c>
      <c r="E38" s="438">
        <f t="shared" si="0"/>
        <v>2013</v>
      </c>
      <c r="F38" s="436">
        <f>IF($E$8="Calendar Year",
 IF(COUNTIFS('Commodity Prices'!$F:$F, "&gt;0", 'Commodity Prices'!$A:$A, $E38)=12, AVERAGEIFS('Commodity Prices'!$F:$F, 'Commodity Prices'!$A:$A, $E38), NA()),
 IF(COUNTIFS('Commodity Prices'!$F:$F, "&gt;0", 'Commodity Prices'!$B:$B, $E38)=12, AVERAGEIFS('Commodity Prices'!$F:$F, 'Commodity Prices'!$B:$B, $E38), NA())
)</f>
        <v>300.93113225204837</v>
      </c>
      <c r="G38" s="437"/>
    </row>
    <row r="39" spans="1:7" x14ac:dyDescent="0.25">
      <c r="A39" s="441">
        <f>LARGE('Commodity Prices'!C$161:C$904,33)</f>
        <v>45017</v>
      </c>
      <c r="B39" s="433">
        <f>SUMIF('Commodity Prices'!C$161:C$904,A39,'Commodity Prices'!F$161:F$904)</f>
        <v>535.9416455155291</v>
      </c>
      <c r="C39" s="434">
        <f>SUMIF('Commodity Prices'!C$161:C$904,A39,'Commodity Prices'!H$161:H$904)</f>
        <v>45.117848653757967</v>
      </c>
      <c r="E39" s="435">
        <f t="shared" si="0"/>
        <v>2014</v>
      </c>
      <c r="F39" s="1014">
        <f>IF($E$8="Calendar Year",
 IF(COUNTIFS('Commodity Prices'!$F:$F, "&gt;0", 'Commodity Prices'!$A:$A, $E39)=12, AVERAGEIFS('Commodity Prices'!$F:$F, 'Commodity Prices'!$A:$A, $E39), NA()),
 IF(COUNTIFS('Commodity Prices'!$F:$F, "&gt;0", 'Commodity Prices'!$B:$B, $E39)=12, AVERAGEIFS('Commodity Prices'!$F:$F, 'Commodity Prices'!$B:$B, $E39), NA())
)</f>
        <v>328.09820567274653</v>
      </c>
      <c r="G39" s="1210"/>
    </row>
    <row r="40" spans="1:7" x14ac:dyDescent="0.25">
      <c r="A40" s="440">
        <f>LARGE('Commodity Prices'!C$161:C$904,32)</f>
        <v>45047</v>
      </c>
      <c r="B40" s="436">
        <f>SUMIF('Commodity Prices'!C$161:C$904,A40,'Commodity Prices'!F$161:F$904)</f>
        <v>542.68411938617339</v>
      </c>
      <c r="C40" s="437">
        <f>SUMIF('Commodity Prices'!C$161:C$904,A40,'Commodity Prices'!H$161:H$904)</f>
        <v>45.169004087506686</v>
      </c>
      <c r="E40" s="435">
        <f t="shared" si="0"/>
        <v>2015</v>
      </c>
      <c r="F40" s="436">
        <f>IF($E$8="Calendar Year",
 IF(COUNTIFS('Commodity Prices'!$F:$F, "&gt;0", 'Commodity Prices'!$A:$A, $E40)=12, AVERAGEIFS('Commodity Prices'!$F:$F, 'Commodity Prices'!$A:$A, $E40), NA()),
 IF(COUNTIFS('Commodity Prices'!$F:$F, "&gt;0", 'Commodity Prices'!$B:$B, $E40)=12, AVERAGEIFS('Commodity Prices'!$F:$F, 'Commodity Prices'!$B:$B, $E40), NA())
)</f>
        <v>382.18209724833213</v>
      </c>
      <c r="G40" s="437" t="e">
        <f>IF($E$8="Calendar Year",
 IF(COUNTIFS('Commodity Prices'!$H:$H, "&gt;0", 'Commodity Prices'!$A:$A, $E40)=12, AVERAGEIFS('Commodity Prices'!$H:$H, 'Commodity Prices'!$A:$A, $E40), NA()),
 IF(COUNTIFS('Commodity Prices'!$H:$H, "&gt;0", 'Commodity Prices'!$B:$B, $E40)=12, AVERAGEIFS('Commodity Prices'!$H:$H, 'Commodity Prices'!$B:$B, $E40), NA())
)</f>
        <v>#N/A</v>
      </c>
    </row>
    <row r="41" spans="1:7" x14ac:dyDescent="0.25">
      <c r="A41" s="441">
        <f>LARGE('Commodity Prices'!C$161:C$904,31)</f>
        <v>45078</v>
      </c>
      <c r="B41" s="433">
        <f>SUMIF('Commodity Prices'!C$161:C$904,A41,'Commodity Prices'!F$161:F$904)</f>
        <v>509.08402699214878</v>
      </c>
      <c r="C41" s="434">
        <f>SUMIF('Commodity Prices'!C$161:C$904,A41,'Commodity Prices'!H$161:H$904)</f>
        <v>42.644409619736962</v>
      </c>
      <c r="E41" s="435">
        <f t="shared" si="0"/>
        <v>2016</v>
      </c>
      <c r="F41" s="1014">
        <f>IF($E$8="Calendar Year",
 IF(COUNTIFS('Commodity Prices'!$F:$F, "&gt;0", 'Commodity Prices'!$A:$A, $E41)=12, AVERAGEIFS('Commodity Prices'!$F:$F, 'Commodity Prices'!$A:$A, $E41), NA()),
 IF(COUNTIFS('Commodity Prices'!$F:$F, "&gt;0", 'Commodity Prices'!$B:$B, $E41)=12, AVERAGEIFS('Commodity Prices'!$F:$F, 'Commodity Prices'!$B:$B, $E41), NA())
)</f>
        <v>323.18253454181587</v>
      </c>
      <c r="G41" s="1210">
        <f>IF($E$8="Calendar Year",
 IF(COUNTIFS('Commodity Prices'!$H:$H, "&gt;0", 'Commodity Prices'!$A:$A, $E41)=12, AVERAGEIFS('Commodity Prices'!$H:$H, 'Commodity Prices'!$A:$A, $E41), NA()),
 IF(COUNTIFS('Commodity Prices'!$H:$H, "&gt;0", 'Commodity Prices'!$B:$B, $E41)=12, AVERAGEIFS('Commodity Prices'!$H:$H, 'Commodity Prices'!$B:$B, $E41), NA())
)</f>
        <v>42.431706387520379</v>
      </c>
    </row>
    <row r="42" spans="1:7" x14ac:dyDescent="0.25">
      <c r="A42" s="440">
        <f>LARGE('Commodity Prices'!C$161:C$904,30)</f>
        <v>45108</v>
      </c>
      <c r="B42" s="436">
        <f>SUMIF('Commodity Prices'!C$161:C$904,A42,'Commodity Prices'!F$161:F$904)</f>
        <v>497.18508594946104</v>
      </c>
      <c r="C42" s="437">
        <f>SUMIF('Commodity Prices'!C$161:C$904,A42,'Commodity Prices'!H$161:H$904)</f>
        <v>43.933713583243488</v>
      </c>
      <c r="E42" s="435">
        <f t="shared" si="0"/>
        <v>2017</v>
      </c>
      <c r="F42" s="436">
        <f>IF($E$8="Calendar Year",
 IF(COUNTIFS('Commodity Prices'!$F:$F, "&gt;0", 'Commodity Prices'!$A:$A, $E42)=12, AVERAGEIFS('Commodity Prices'!$F:$F, 'Commodity Prices'!$A:$A, $E42), NA()),
 IF(COUNTIFS('Commodity Prices'!$F:$F, "&gt;0", 'Commodity Prices'!$B:$B, $E42)=12, AVERAGEIFS('Commodity Prices'!$F:$F, 'Commodity Prices'!$B:$B, $E42), NA())
)</f>
        <v>426.81094261918702</v>
      </c>
      <c r="G42" s="437">
        <f>IF($E$8="Calendar Year",
 IF(COUNTIFS('Commodity Prices'!$H:$H, "&gt;0", 'Commodity Prices'!$A:$A, $E42)=12, AVERAGEIFS('Commodity Prices'!$H:$H, 'Commodity Prices'!$A:$A, $E42), NA()),
 IF(COUNTIFS('Commodity Prices'!$H:$H, "&gt;0", 'Commodity Prices'!$B:$B, $E42)=12, AVERAGEIFS('Commodity Prices'!$H:$H, 'Commodity Prices'!$B:$B, $E42), NA())
)</f>
        <v>40.60045461962897</v>
      </c>
    </row>
    <row r="43" spans="1:7" x14ac:dyDescent="0.25">
      <c r="A43" s="441">
        <f>LARGE('Commodity Prices'!C$161:C$904,29)</f>
        <v>45139</v>
      </c>
      <c r="B43" s="433">
        <f>SUMIF('Commodity Prices'!C$161:C$904,A43,'Commodity Prices'!F$161:F$904)</f>
        <v>508.7246818107468</v>
      </c>
      <c r="C43" s="434">
        <f>SUMIF('Commodity Prices'!C$161:C$904,A43,'Commodity Prices'!H$161:H$904)</f>
        <v>44.652734738028563</v>
      </c>
      <c r="E43" s="435">
        <f t="shared" si="0"/>
        <v>2018</v>
      </c>
      <c r="F43" s="1014">
        <f>IF($E$8="Calendar Year",
 IF(COUNTIFS('Commodity Prices'!$F:$F, "&gt;0", 'Commodity Prices'!$A:$A, $E43)=12, AVERAGEIFS('Commodity Prices'!$F:$F, 'Commodity Prices'!$A:$A, $E43), NA()),
 IF(COUNTIFS('Commodity Prices'!$F:$F, "&gt;0", 'Commodity Prices'!$B:$B, $E43)=12, AVERAGEIFS('Commodity Prices'!$F:$F, 'Commodity Prices'!$B:$B, $E43), NA())
)</f>
        <v>591.67384686367222</v>
      </c>
      <c r="G43" s="1210">
        <f>IF($E$8="Calendar Year",
 IF(COUNTIFS('Commodity Prices'!$H:$H, "&gt;0", 'Commodity Prices'!$A:$A, $E43)=12, AVERAGEIFS('Commodity Prices'!$H:$H, 'Commodity Prices'!$A:$A, $E43), NA()),
 IF(COUNTIFS('Commodity Prices'!$H:$H, "&gt;0", 'Commodity Prices'!$B:$B, $E43)=12, AVERAGEIFS('Commodity Prices'!$H:$H, 'Commodity Prices'!$B:$B, $E43), NA())
)</f>
        <v>41.439222229148584</v>
      </c>
    </row>
    <row r="44" spans="1:7" x14ac:dyDescent="0.25">
      <c r="A44" s="440">
        <f>LARGE('Commodity Prices'!C$161:C$904,28)</f>
        <v>45170</v>
      </c>
      <c r="B44" s="436">
        <f>SUMIF('Commodity Prices'!C$161:C$904,A44,'Commodity Prices'!F$161:F$904)</f>
        <v>525.15135304208104</v>
      </c>
      <c r="C44" s="437">
        <f>SUMIF('Commodity Prices'!C$161:C$904,A44,'Commodity Prices'!H$161:H$904)</f>
        <v>46.789081153602211</v>
      </c>
      <c r="E44" s="435">
        <f t="shared" si="0"/>
        <v>2019</v>
      </c>
      <c r="F44" s="436">
        <f>IF($E$8="Calendar Year",
 IF(COUNTIFS('Commodity Prices'!$F:$F, "&gt;0", 'Commodity Prices'!$A:$A, $E44)=12, AVERAGEIFS('Commodity Prices'!$F:$F, 'Commodity Prices'!$A:$A, $E44), NA()),
 IF(COUNTIFS('Commodity Prices'!$F:$F, "&gt;0", 'Commodity Prices'!$B:$B, $E44)=12, AVERAGEIFS('Commodity Prices'!$F:$F, 'Commodity Prices'!$B:$B, $E44), NA())
)</f>
        <v>484.89155794037634</v>
      </c>
      <c r="G44" s="437">
        <f>IF($E$8="Calendar Year",
 IF(COUNTIFS('Commodity Prices'!$H:$H, "&gt;0", 'Commodity Prices'!$A:$A, $E44)=12, AVERAGEIFS('Commodity Prices'!$H:$H, 'Commodity Prices'!$A:$A, $E44), NA()),
 IF(COUNTIFS('Commodity Prices'!$H:$H, "&gt;0", 'Commodity Prices'!$B:$B, $E44)=12, AVERAGEIFS('Commodity Prices'!$H:$H, 'Commodity Prices'!$B:$B, $E44), NA())
)</f>
        <v>40.561801674626579</v>
      </c>
    </row>
    <row r="45" spans="1:7" x14ac:dyDescent="0.25">
      <c r="A45" s="441">
        <f>LARGE('Commodity Prices'!C$161:C$904,27)</f>
        <v>45200</v>
      </c>
      <c r="B45" s="433">
        <f>SUMIF('Commodity Prices'!C$161:C$904,A45,'Commodity Prices'!F$161:F$904)</f>
        <v>533.64034723646898</v>
      </c>
      <c r="C45" s="434">
        <f>SUMIF('Commodity Prices'!C$161:C$904,A45,'Commodity Prices'!H$161:H$904)</f>
        <v>47.011576455634298</v>
      </c>
      <c r="E45" s="435">
        <f t="shared" si="0"/>
        <v>2020</v>
      </c>
      <c r="F45" s="1014">
        <f>IF($E$8="Calendar Year",
 IF(COUNTIFS('Commodity Prices'!$F:$F, "&gt;0", 'Commodity Prices'!$A:$A, $E45)=12, AVERAGEIFS('Commodity Prices'!$F:$F, 'Commodity Prices'!$A:$A, $E45), NA()),
 IF(COUNTIFS('Commodity Prices'!$F:$F, "&gt;0", 'Commodity Prices'!$B:$B, $E45)=12, AVERAGEIFS('Commodity Prices'!$F:$F, 'Commodity Prices'!$B:$B, $E45), NA())
)</f>
        <v>385.794489805588</v>
      </c>
      <c r="G45" s="1210">
        <f>IF($E$8="Calendar Year",
 IF(COUNTIFS('Commodity Prices'!$H:$H, "&gt;0", 'Commodity Prices'!$A:$A, $E45)=12, AVERAGEIFS('Commodity Prices'!$H:$H, 'Commodity Prices'!$A:$A, $E45), NA()),
 IF(COUNTIFS('Commodity Prices'!$H:$H, "&gt;0", 'Commodity Prices'!$B:$B, $E45)=12, AVERAGEIFS('Commodity Prices'!$H:$H, 'Commodity Prices'!$B:$B, $E45), NA())
)</f>
        <v>39.587143362165939</v>
      </c>
    </row>
    <row r="46" spans="1:7" x14ac:dyDescent="0.25">
      <c r="A46" s="440">
        <f>LARGE('Commodity Prices'!C$161:C$904,26)</f>
        <v>45231</v>
      </c>
      <c r="B46" s="436">
        <f>SUMIF('Commodity Prices'!C$161:C$904,A46,'Commodity Prices'!F$161:F$904)</f>
        <v>515.78536961948828</v>
      </c>
      <c r="C46" s="437">
        <f>SUMIF('Commodity Prices'!C$161:C$904,A46,'Commodity Prices'!H$161:H$904)</f>
        <v>48.213654573085805</v>
      </c>
      <c r="E46" s="435">
        <f t="shared" si="0"/>
        <v>2021</v>
      </c>
      <c r="F46" s="436">
        <f>IF($E$8="Calendar Year",
 IF(COUNTIFS('Commodity Prices'!$F:$F, "&gt;0", 'Commodity Prices'!$A:$A, $E46)=12, AVERAGEIFS('Commodity Prices'!$F:$F, 'Commodity Prices'!$A:$A, $E46), NA()),
 IF(COUNTIFS('Commodity Prices'!$F:$F, "&gt;0", 'Commodity Prices'!$B:$B, $E46)=12, AVERAGEIFS('Commodity Prices'!$F:$F, 'Commodity Prices'!$B:$B, $E46), NA())
)</f>
        <v>427.74897718031633</v>
      </c>
      <c r="G46" s="437">
        <f>IF($E$8="Calendar Year",
 IF(COUNTIFS('Commodity Prices'!$H:$H, "&gt;0", 'Commodity Prices'!$A:$A, $E46)=12, AVERAGEIFS('Commodity Prices'!$H:$H, 'Commodity Prices'!$A:$A, $E46), NA()),
 IF(COUNTIFS('Commodity Prices'!$H:$H, "&gt;0", 'Commodity Prices'!$B:$B, $E46)=12, AVERAGEIFS('Commodity Prices'!$H:$H, 'Commodity Prices'!$B:$B, $E46), NA())
)</f>
        <v>35.806329255898639</v>
      </c>
    </row>
    <row r="47" spans="1:7" x14ac:dyDescent="0.25">
      <c r="A47" s="441">
        <f>LARGE('Commodity Prices'!C$161:C$904,25)</f>
        <v>45261</v>
      </c>
      <c r="B47" s="433">
        <f>SUMIF('Commodity Prices'!C$161:C$904,A47,'Commodity Prices'!F$161:F$904)</f>
        <v>492.31908463070744</v>
      </c>
      <c r="C47" s="434">
        <f>SUMIF('Commodity Prices'!C$161:C$904,A47,'Commodity Prices'!H$161:H$904)</f>
        <v>47.586392388559581</v>
      </c>
      <c r="E47" s="435">
        <f t="shared" si="0"/>
        <v>2022</v>
      </c>
      <c r="F47" s="1014">
        <f>IF($E$8="Calendar Year",
 IF(COUNTIFS('Commodity Prices'!$F:$F, "&gt;0", 'Commodity Prices'!$A:$A, $E47)=12, AVERAGEIFS('Commodity Prices'!$F:$F, 'Commodity Prices'!$A:$A, $E47), NA()),
 IF(COUNTIFS('Commodity Prices'!$F:$F, "&gt;0", 'Commodity Prices'!$B:$B, $E47)=12, AVERAGEIFS('Commodity Prices'!$F:$F, 'Commodity Prices'!$B:$B, $E47), NA())
)</f>
        <v>522.92946461415875</v>
      </c>
      <c r="G47" s="1210">
        <f>IF($E$8="Calendar Year",
 IF(COUNTIFS('Commodity Prices'!$H:$H, "&gt;0", 'Commodity Prices'!$A:$A, $E47)=12, AVERAGEIFS('Commodity Prices'!$H:$H, 'Commodity Prices'!$A:$A, $E47), NA()),
 IF(COUNTIFS('Commodity Prices'!$H:$H, "&gt;0", 'Commodity Prices'!$B:$B, $E47)=12, AVERAGEIFS('Commodity Prices'!$H:$H, 'Commodity Prices'!$B:$B, $E47), NA())
)</f>
        <v>31.54838861450078</v>
      </c>
    </row>
    <row r="48" spans="1:7" x14ac:dyDescent="0.25">
      <c r="A48" s="440">
        <f>LARGE('Commodity Prices'!C$161:C$904,24)</f>
        <v>45292</v>
      </c>
      <c r="B48" s="436">
        <f>SUMIF('Commodity Prices'!C$161:C$904,A48,'Commodity Prices'!F$161:F$904)</f>
        <v>498.71859129162686</v>
      </c>
      <c r="C48" s="437">
        <f>SUMIF('Commodity Prices'!C$161:C$904,A48,'Commodity Prices'!H$161:H$904)</f>
        <v>50.931412977738873</v>
      </c>
      <c r="E48" s="435">
        <f t="shared" si="0"/>
        <v>2023</v>
      </c>
      <c r="F48" s="436">
        <f>IF($E$8="Calendar Year",
 IF(COUNTIFS('Commodity Prices'!$F:$F, "&gt;0", 'Commodity Prices'!$A:$A, $E48)=12, AVERAGEIFS('Commodity Prices'!$F:$F, 'Commodity Prices'!$A:$A, $E48), NA()),
 IF(COUNTIFS('Commodity Prices'!$F:$F, "&gt;0", 'Commodity Prices'!$B:$B, $E48)=12, AVERAGEIFS('Commodity Prices'!$F:$F, 'Commodity Prices'!$B:$B, $E48), NA())
)</f>
        <v>513.63069788225937</v>
      </c>
      <c r="G48" s="437">
        <f>IF($E$8="Calendar Year",
 IF(COUNTIFS('Commodity Prices'!$H:$H, "&gt;0", 'Commodity Prices'!$A:$A, $E48)=12, AVERAGEIFS('Commodity Prices'!$H:$H, 'Commodity Prices'!$A:$A, $E48), NA()),
 IF(COUNTIFS('Commodity Prices'!$H:$H, "&gt;0", 'Commodity Prices'!$B:$B, $E48)=12, AVERAGEIFS('Commodity Prices'!$H:$H, 'Commodity Prices'!$B:$B, $E48), NA())
)</f>
        <v>44.288726537090326</v>
      </c>
    </row>
    <row r="49" spans="1:7" x14ac:dyDescent="0.25">
      <c r="A49" s="441">
        <f>LARGE('Commodity Prices'!C$161:C$904,23)</f>
        <v>45323</v>
      </c>
      <c r="B49" s="433">
        <f>SUMIF('Commodity Prices'!C$161:C$904,A49,'Commodity Prices'!F$161:F$904)</f>
        <v>555.52420324677848</v>
      </c>
      <c r="C49" s="434">
        <f>SUMIF('Commodity Prices'!C$161:C$904,A49,'Commodity Prices'!H$161:H$904)</f>
        <v>50.674684278757915</v>
      </c>
      <c r="E49" s="435">
        <f t="shared" si="0"/>
        <v>2024</v>
      </c>
      <c r="F49" s="1014">
        <f>IF($E$8="Calendar Year",
 IF(COUNTIFS('Commodity Prices'!$F:$F, "&gt;0", 'Commodity Prices'!$A:$A, $E49)=12, AVERAGEIFS('Commodity Prices'!$F:$F, 'Commodity Prices'!$A:$A, $E49), NA()),
 IF(COUNTIFS('Commodity Prices'!$F:$F, "&gt;0", 'Commodity Prices'!$B:$B, $E49)=12, AVERAGEIFS('Commodity Prices'!$F:$F, 'Commodity Prices'!$B:$B, $E49), NA())
)</f>
        <v>704.6126718948384</v>
      </c>
      <c r="G49" s="1210">
        <f>IF($E$8="Calendar Year",
 IF(COUNTIFS('Commodity Prices'!$H:$H, "&gt;0", 'Commodity Prices'!$A:$A, $E49)=12, AVERAGEIFS('Commodity Prices'!$H:$H, 'Commodity Prices'!$A:$A, $E49), NA()),
 IF(COUNTIFS('Commodity Prices'!$H:$H, "&gt;0", 'Commodity Prices'!$B:$B, $E49)=12, AVERAGEIFS('Commodity Prices'!$H:$H, 'Commodity Prices'!$B:$B, $E49), NA())
)</f>
        <v>58.16679076837147</v>
      </c>
    </row>
    <row r="50" spans="1:7" ht="15.75" thickBot="1" x14ac:dyDescent="0.3">
      <c r="A50" s="440">
        <f>LARGE('Commodity Prices'!C$161:C$904,22)</f>
        <v>45352</v>
      </c>
      <c r="B50" s="436">
        <f>SUMIF('Commodity Prices'!C$161:C$904,A50,'Commodity Prices'!F$161:F$904)</f>
        <v>553.55666427996357</v>
      </c>
      <c r="C50" s="437">
        <f>SUMIF('Commodity Prices'!C$161:C$904,A50,'Commodity Prices'!H$161:H$904)</f>
        <v>55.602607676183936</v>
      </c>
      <c r="E50" s="442">
        <f t="shared" si="0"/>
        <v>2025</v>
      </c>
      <c r="F50" s="1208">
        <f>IF($E$8="Calendar Year",
 IF(COUNTIFS('Commodity Prices'!$F:$F, "&gt;0", 'Commodity Prices'!$A:$A, $E50)=12, AVERAGEIFS('Commodity Prices'!$F:$F, 'Commodity Prices'!$A:$A, $E50), NA()),
 IF(COUNTIFS('Commodity Prices'!$F:$F, "&gt;0", 'Commodity Prices'!$B:$B, $E50)=12, AVERAGEIFS('Commodity Prices'!$F:$F, 'Commodity Prices'!$B:$B, $E50), NA())
)</f>
        <v>663.15575455092562</v>
      </c>
      <c r="G50" s="1209">
        <f>IF($E$8="Calendar Year",
 IF(COUNTIFS('Commodity Prices'!$H:$H, "&gt;0", 'Commodity Prices'!$A:$A, $E50)=12, AVERAGEIFS('Commodity Prices'!$H:$H, 'Commodity Prices'!$A:$A, $E50), NA()),
 IF(COUNTIFS('Commodity Prices'!$H:$H, "&gt;0", 'Commodity Prices'!$B:$B, $E50)=12, AVERAGEIFS('Commodity Prices'!$H:$H, 'Commodity Prices'!$B:$B, $E50), NA())
)</f>
        <v>82.119685888464772</v>
      </c>
    </row>
    <row r="51" spans="1:7" ht="15.75" thickBot="1" x14ac:dyDescent="0.3">
      <c r="A51" s="441">
        <f>LARGE('Commodity Prices'!C$161:C$904,21)</f>
        <v>45383</v>
      </c>
      <c r="B51" s="433">
        <f>SUMIF('Commodity Prices'!C$161:C$904,A51,'Commodity Prices'!F$161:F$904)</f>
        <v>561.55131212700678</v>
      </c>
      <c r="C51" s="434">
        <f>SUMIF('Commodity Prices'!C$161:C$904,A51,'Commodity Prices'!H$161:H$904)</f>
        <v>57.094340754483611</v>
      </c>
    </row>
    <row r="52" spans="1:7" x14ac:dyDescent="0.25">
      <c r="A52" s="440">
        <f>LARGE('Commodity Prices'!C$161:C$904,20)</f>
        <v>45413</v>
      </c>
      <c r="B52" s="436">
        <f>SUMIF('Commodity Prices'!C$161:C$904,A52,'Commodity Prices'!F$161:F$904)</f>
        <v>569.0254560048229</v>
      </c>
      <c r="C52" s="437">
        <f>SUMIF('Commodity Prices'!C$161:C$904,A52,'Commodity Prices'!H$161:H$904)</f>
        <v>54.639252878446428</v>
      </c>
      <c r="E52" s="1397" t="s">
        <v>156</v>
      </c>
      <c r="F52" s="1398"/>
      <c r="G52" s="1399"/>
    </row>
    <row r="53" spans="1:7" ht="15.75" thickBot="1" x14ac:dyDescent="0.3">
      <c r="A53" s="441">
        <f>LARGE('Commodity Prices'!C$161:C$904,19)</f>
        <v>45444</v>
      </c>
      <c r="B53" s="433">
        <f>SUMIF('Commodity Prices'!C$161:C$904,A53,'Commodity Prices'!F$161:F$904)</f>
        <v>644.03723876400989</v>
      </c>
      <c r="C53" s="434">
        <f>SUMIF('Commodity Prices'!C$161:C$904,A53,'Commodity Prices'!H$161:H$904)</f>
        <v>57.397597637193336</v>
      </c>
      <c r="E53" s="1400" t="s">
        <v>178</v>
      </c>
      <c r="F53" s="1395"/>
      <c r="G53" s="1401"/>
    </row>
    <row r="54" spans="1:7" ht="15" customHeight="1" x14ac:dyDescent="0.25">
      <c r="A54" s="440">
        <f>LARGE('Commodity Prices'!C$161:C$904,18)</f>
        <v>45474</v>
      </c>
      <c r="B54" s="436">
        <f>SUMIF('Commodity Prices'!C$161:C$904,A54,'Commodity Prices'!F$161:F$904)</f>
        <v>753.49723259199459</v>
      </c>
      <c r="C54" s="437">
        <f>SUMIF('Commodity Prices'!C$161:C$904,A54,'Commodity Prices'!H$161:H$904)</f>
        <v>59.189024789644755</v>
      </c>
      <c r="E54" s="1394" t="s">
        <v>554</v>
      </c>
      <c r="F54" s="1394"/>
      <c r="G54" s="1394"/>
    </row>
    <row r="55" spans="1:7" x14ac:dyDescent="0.25">
      <c r="A55" s="441">
        <f>LARGE('Commodity Prices'!C$161:C$904,17)</f>
        <v>45505</v>
      </c>
      <c r="B55" s="433">
        <f>SUMIF('Commodity Prices'!C$161:C$904,A55,'Commodity Prices'!F$161:F$904)</f>
        <v>720.9488286542487</v>
      </c>
      <c r="C55" s="434">
        <f>SUMIF('Commodity Prices'!C$161:C$904,A55,'Commodity Prices'!H$161:H$904)</f>
        <v>58.634227238522271</v>
      </c>
    </row>
    <row r="56" spans="1:7" x14ac:dyDescent="0.25">
      <c r="A56" s="440">
        <f>LARGE('Commodity Prices'!C$161:C$904,16)</f>
        <v>45536</v>
      </c>
      <c r="B56" s="436">
        <f>SUMIF('Commodity Prices'!C$161:C$904,A56,'Commodity Prices'!F$161:F$904)</f>
        <v>724.31341833442752</v>
      </c>
      <c r="C56" s="437">
        <f>SUMIF('Commodity Prices'!C$161:C$904,A56,'Commodity Prices'!H$161:H$904)</f>
        <v>58.885807865952266</v>
      </c>
    </row>
    <row r="57" spans="1:7" x14ac:dyDescent="0.25">
      <c r="A57" s="441">
        <f>LARGE('Commodity Prices'!C$161:C$904,15)</f>
        <v>45566</v>
      </c>
      <c r="B57" s="433">
        <f>SUMIF('Commodity Prices'!C$161:C$904,A57,'Commodity Prices'!F$161:F$904)</f>
        <v>779.51350294973349</v>
      </c>
      <c r="C57" s="434">
        <f>SUMIF('Commodity Prices'!C$161:C$904,A57,'Commodity Prices'!H$161:H$904)</f>
        <v>58.463129100311789</v>
      </c>
      <c r="E57" s="443"/>
      <c r="F57" s="443"/>
      <c r="G57" s="443"/>
    </row>
    <row r="58" spans="1:7" x14ac:dyDescent="0.25">
      <c r="A58" s="440">
        <f>LARGE('Commodity Prices'!C$161:C$904,14)</f>
        <v>45597</v>
      </c>
      <c r="B58" s="436">
        <f>SUMIF('Commodity Prices'!C$161:C$904,A58,'Commodity Prices'!F$161:F$904)</f>
        <v>954.14728423407416</v>
      </c>
      <c r="C58" s="437">
        <f>SUMIF('Commodity Prices'!C$161:C$904,A58,'Commodity Prices'!H$161:H$904)</f>
        <v>64.899477431467702</v>
      </c>
      <c r="E58" s="443"/>
      <c r="F58" s="443"/>
      <c r="G58" s="443"/>
    </row>
    <row r="59" spans="1:7" x14ac:dyDescent="0.25">
      <c r="A59" s="441">
        <f>LARGE('Commodity Prices'!C$161:C$904,13)</f>
        <v>45627</v>
      </c>
      <c r="B59" s="433">
        <f>SUMIF('Commodity Prices'!C$161:C$904,A59,'Commodity Prices'!F$161:F$904)</f>
        <v>1140.5183302593723</v>
      </c>
      <c r="C59" s="434">
        <f>SUMIF('Commodity Prices'!C$161:C$904,A59,'Commodity Prices'!H$161:H$904)</f>
        <v>71.589926591754704</v>
      </c>
      <c r="E59" s="443"/>
      <c r="F59" s="443"/>
      <c r="G59" s="443"/>
    </row>
    <row r="60" spans="1:7" x14ac:dyDescent="0.25">
      <c r="A60" s="440">
        <f>LARGE('Commodity Prices'!C$161:C$904,12)</f>
        <v>45658</v>
      </c>
      <c r="B60" s="436">
        <f>SUMIF('Commodity Prices'!C$161:C$904,A60,'Commodity Prices'!F$161:F$904)</f>
        <v>1124.5240969828471</v>
      </c>
      <c r="C60" s="437">
        <f>SUMIF('Commodity Prices'!C$161:C$904,A60,'Commodity Prices'!H$161:H$904)</f>
        <v>83.218703166989741</v>
      </c>
    </row>
    <row r="61" spans="1:7" x14ac:dyDescent="0.25">
      <c r="A61" s="441">
        <f>LARGE('Commodity Prices'!C$161:C$904,11)</f>
        <v>45689</v>
      </c>
      <c r="B61" s="433">
        <f>SUMIF('Commodity Prices'!C$161:C$904,A61,'Commodity Prices'!F$161:F$904)</f>
        <v>975.62971555514014</v>
      </c>
      <c r="C61" s="434">
        <f>SUMIF('Commodity Prices'!C$161:C$904,A61,'Commodity Prices'!H$161:H$904)</f>
        <v>92.517810716784282</v>
      </c>
    </row>
    <row r="62" spans="1:7" x14ac:dyDescent="0.25">
      <c r="A62" s="440">
        <f>LARGE('Commodity Prices'!C$161:C$904,10)</f>
        <v>45717</v>
      </c>
      <c r="B62" s="436">
        <f>SUMIF('Commodity Prices'!C$161:C$904,A62,'Commodity Prices'!F$161:F$904)</f>
        <v>816.31882736053331</v>
      </c>
      <c r="C62" s="437">
        <f>SUMIF('Commodity Prices'!C$161:C$904,A62,'Commodity Prices'!H$161:H$904)</f>
        <v>104.43242456917704</v>
      </c>
    </row>
    <row r="63" spans="1:7" x14ac:dyDescent="0.25">
      <c r="A63" s="441">
        <f>LARGE('Commodity Prices'!C$161:C$904,9)</f>
        <v>45748</v>
      </c>
      <c r="B63" s="433">
        <f>SUMIF('Commodity Prices'!C$161:C$904,A63,'Commodity Prices'!F$161:F$904)</f>
        <v>752.30648432375324</v>
      </c>
      <c r="C63" s="434">
        <f>SUMIF('Commodity Prices'!C$161:C$904,A63,'Commodity Prices'!H$161:H$904)</f>
        <v>101.47377554971578</v>
      </c>
    </row>
    <row r="64" spans="1:7" x14ac:dyDescent="0.25">
      <c r="A64" s="440">
        <f>LARGE('Commodity Prices'!C$161:C$904,8)</f>
        <v>45778</v>
      </c>
      <c r="B64" s="436">
        <f>SUMIF('Commodity Prices'!C$161:C$904,A64,'Commodity Prices'!F$161:F$904)</f>
        <v>596.50440687705361</v>
      </c>
      <c r="C64" s="437">
        <f>SUMIF('Commodity Prices'!C$161:C$904,A64,'Commodity Prices'!H$161:H$904)</f>
        <v>89.644097291539381</v>
      </c>
    </row>
    <row r="65" spans="1:3" x14ac:dyDescent="0.25">
      <c r="A65" s="441">
        <f>LARGE('Commodity Prices'!C$161:C$904,7)</f>
        <v>45809</v>
      </c>
      <c r="B65" s="433">
        <f>SUMIF('Commodity Prices'!C$161:C$904,A65,'Commodity Prices'!F$161:F$904)</f>
        <v>550.33230634613722</v>
      </c>
      <c r="C65" s="434">
        <f>SUMIF('Commodity Prices'!C$161:C$904,A65,'Commodity Prices'!H$161:H$904)</f>
        <v>90.845720725277815</v>
      </c>
    </row>
    <row r="66" spans="1:3" x14ac:dyDescent="0.25">
      <c r="A66" s="440">
        <f>LARGE('Commodity Prices'!C$161:C$904,6)</f>
        <v>45839</v>
      </c>
      <c r="B66" s="436">
        <f>SUMIF('Commodity Prices'!C$161:C$904,A66,'Commodity Prices'!F$161:F$904)</f>
        <v>548.52555780607941</v>
      </c>
      <c r="C66" s="437">
        <f>SUMIF('Commodity Prices'!C$161:C$904,A66,'Commodity Prices'!H$161:H$904)</f>
        <v>82.939824539832017</v>
      </c>
    </row>
    <row r="67" spans="1:3" x14ac:dyDescent="0.25">
      <c r="A67" s="441">
        <f>LARGE('Commodity Prices'!C$161:C$904,5)</f>
        <v>45870</v>
      </c>
      <c r="B67" s="433">
        <f>SUMIF('Commodity Prices'!C$161:C$904,A67,'Commodity Prices'!F$161:F$904)</f>
        <v>546.62229839742554</v>
      </c>
      <c r="C67" s="434">
        <f>SUMIF('Commodity Prices'!C$161:C$904,A67,'Commodity Prices'!H$161:H$904)</f>
        <v>71.243223839177531</v>
      </c>
    </row>
    <row r="68" spans="1:3" x14ac:dyDescent="0.25">
      <c r="A68" s="441">
        <f>LARGE('Commodity Prices'!C$161:C$904,4)</f>
        <v>45901</v>
      </c>
      <c r="B68" s="436">
        <f>SUMIF('Commodity Prices'!C$161:C$904,A68,'Commodity Prices'!F$161:F$904)</f>
        <v>557.25434142797633</v>
      </c>
      <c r="C68" s="437">
        <f>SUMIF('Commodity Prices'!C$161:C$904,A68,'Commodity Prices'!H$161:H$904)</f>
        <v>68.044397354709091</v>
      </c>
    </row>
    <row r="69" spans="1:3" x14ac:dyDescent="0.25">
      <c r="A69" s="441">
        <f>LARGE('Commodity Prices'!C$161:C$904,3)</f>
        <v>45931</v>
      </c>
      <c r="B69" s="433">
        <f>SUMIF('Commodity Prices'!C$161:C$904,A69,'Commodity Prices'!F$161:F$904)</f>
        <v>511.35831344333582</v>
      </c>
      <c r="C69" s="434">
        <f>SUMIF('Commodity Prices'!C$161:C$904,A69,'Commodity Prices'!H$161:H$904)</f>
        <v>67.552965584514752</v>
      </c>
    </row>
    <row r="70" spans="1:3" x14ac:dyDescent="0.25">
      <c r="A70" s="444">
        <f>LARGE('Commodity Prices'!C$161:C$904,2)</f>
        <v>45962</v>
      </c>
      <c r="B70" s="436">
        <f>SUMIF('Commodity Prices'!C$161:C$904,A70,'Commodity Prices'!F$161:F$904)</f>
        <v>497.93372618946051</v>
      </c>
      <c r="C70" s="437">
        <f>SUMIF('Commodity Prices'!C$161:C$904,A70,'Commodity Prices'!H$161:H$904)</f>
        <v>66.219085205422701</v>
      </c>
    </row>
    <row r="71" spans="1:3" ht="15.75" thickBot="1" x14ac:dyDescent="0.3">
      <c r="A71" s="445">
        <f>LARGE('Commodity Prices'!C$161:C$904,1)</f>
        <v>45992</v>
      </c>
      <c r="B71" s="446">
        <f>SUMIF('Commodity Prices'!C$161:C$904,A71,'Commodity Prices'!F$161:F$904)</f>
        <v>480.55897990136424</v>
      </c>
      <c r="C71" s="447">
        <f>SUMIF('Commodity Prices'!C$161:C$904,A71,'Commodity Prices'!H$161:H$904)</f>
        <v>67.304202118437274</v>
      </c>
    </row>
  </sheetData>
  <mergeCells count="7">
    <mergeCell ref="E54:G54"/>
    <mergeCell ref="E7:G7"/>
    <mergeCell ref="A8:C8"/>
    <mergeCell ref="E8:G8"/>
    <mergeCell ref="E52:G52"/>
    <mergeCell ref="E53:G53"/>
    <mergeCell ref="A7:C7"/>
  </mergeCells>
  <dataValidations count="1">
    <dataValidation type="list" allowBlank="1" showInputMessage="1" showErrorMessage="1" promptTitle="Select a Period:" prompt="Select Financial or Calendar years." sqref="E53" xr:uid="{C95D843B-AE9B-4753-8C81-B85E380361A9}">
      <formula1>$W$1:$W$2</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38D0-21C8-44F6-A3B6-CBB73767AE64}">
  <sheetPr>
    <tabColor theme="6" tint="0.39997558519241921"/>
  </sheetPr>
  <dimension ref="A1:V252"/>
  <sheetViews>
    <sheetView showGridLines="0" zoomScale="85" zoomScaleNormal="85" workbookViewId="0">
      <pane ySplit="9" topLeftCell="A10" activePane="bottomLeft" state="frozen"/>
      <selection pane="bottomLeft"/>
    </sheetView>
  </sheetViews>
  <sheetFormatPr defaultRowHeight="15" x14ac:dyDescent="0.25"/>
  <cols>
    <col min="1" max="1" width="12.7109375" customWidth="1"/>
    <col min="2" max="7" width="15.7109375" customWidth="1"/>
    <col min="8" max="9" width="13.85546875" hidden="1" customWidth="1"/>
    <col min="19" max="19" width="9.5703125" customWidth="1"/>
    <col min="20" max="20" width="12.7109375" customWidth="1"/>
    <col min="21" max="22" width="15.7109375" customWidth="1"/>
  </cols>
  <sheetData>
    <row r="1" spans="1:22" ht="15" customHeight="1" x14ac:dyDescent="0.25">
      <c r="A1" s="64" t="s">
        <v>178</v>
      </c>
    </row>
    <row r="2" spans="1:22" ht="15" customHeight="1" x14ac:dyDescent="0.25">
      <c r="A2" s="64" t="s">
        <v>179</v>
      </c>
    </row>
    <row r="3" spans="1:22" ht="15" customHeight="1" x14ac:dyDescent="0.25"/>
    <row r="4" spans="1:22" ht="15" customHeight="1" x14ac:dyDescent="0.25"/>
    <row r="5" spans="1:22" ht="15" customHeight="1" x14ac:dyDescent="0.25"/>
    <row r="6" spans="1:22" x14ac:dyDescent="0.25">
      <c r="A6" s="1407"/>
      <c r="B6" s="1407"/>
      <c r="C6" s="1407"/>
      <c r="D6" s="1407"/>
      <c r="E6" s="1407"/>
      <c r="F6" s="1407"/>
      <c r="G6" s="1407"/>
      <c r="H6" s="27"/>
      <c r="I6" s="27"/>
    </row>
    <row r="7" spans="1:22" ht="15.75" thickBot="1" x14ac:dyDescent="0.3">
      <c r="A7" s="1408" t="s">
        <v>555</v>
      </c>
      <c r="B7" s="1408"/>
      <c r="C7" s="1408"/>
      <c r="D7" s="1408"/>
      <c r="E7" s="1408"/>
      <c r="F7" s="1408"/>
      <c r="G7" s="1408"/>
      <c r="H7" s="27"/>
      <c r="I7" s="27"/>
    </row>
    <row r="8" spans="1:22" x14ac:dyDescent="0.25">
      <c r="A8" s="448" t="s">
        <v>556</v>
      </c>
      <c r="B8" s="1409" t="s">
        <v>165</v>
      </c>
      <c r="C8" s="1409"/>
      <c r="D8" s="1409" t="s">
        <v>184</v>
      </c>
      <c r="E8" s="1409"/>
      <c r="F8" s="1409" t="s">
        <v>331</v>
      </c>
      <c r="G8" s="1410"/>
      <c r="H8" s="449"/>
      <c r="I8" s="449"/>
    </row>
    <row r="9" spans="1:22" x14ac:dyDescent="0.25">
      <c r="A9" s="431" t="s">
        <v>557</v>
      </c>
      <c r="B9" s="450" t="s">
        <v>558</v>
      </c>
      <c r="C9" s="451" t="s">
        <v>559</v>
      </c>
      <c r="D9" s="450" t="s">
        <v>558</v>
      </c>
      <c r="E9" s="451" t="s">
        <v>559</v>
      </c>
      <c r="F9" s="450" t="s">
        <v>558</v>
      </c>
      <c r="G9" s="452" t="s">
        <v>559</v>
      </c>
      <c r="H9" s="453"/>
      <c r="I9" s="453"/>
    </row>
    <row r="10" spans="1:22" x14ac:dyDescent="0.25">
      <c r="A10" s="454">
        <v>35855</v>
      </c>
      <c r="B10" s="455">
        <v>2.1120000000000001</v>
      </c>
      <c r="C10" s="455">
        <v>582.47</v>
      </c>
      <c r="D10" s="455">
        <v>0</v>
      </c>
      <c r="E10" s="455">
        <v>0</v>
      </c>
      <c r="F10" s="455">
        <f>SUM(B10+D10)</f>
        <v>2.1120000000000001</v>
      </c>
      <c r="G10" s="456">
        <f t="shared" ref="G10:G73" si="0">SUM(C10+E10)</f>
        <v>582.47</v>
      </c>
      <c r="H10" s="29">
        <f t="shared" ref="H10:H73" si="1">YEAR(A10)</f>
        <v>1998</v>
      </c>
      <c r="I10" s="29" t="str">
        <f t="shared" ref="I10:I73" si="2">IF(MONTH(A10)=3,"1",IF(MONTH(A10)=6,"2",IF(MONTH(A10)=9,"3","4")))</f>
        <v>1</v>
      </c>
      <c r="T10" s="1393" t="s">
        <v>560</v>
      </c>
      <c r="U10" s="1393"/>
      <c r="V10" s="1393"/>
    </row>
    <row r="11" spans="1:22" ht="15.75" thickBot="1" x14ac:dyDescent="0.3">
      <c r="A11" s="454">
        <v>35947</v>
      </c>
      <c r="B11" s="457">
        <v>2.1309999999999998</v>
      </c>
      <c r="C11" s="457">
        <v>588.75</v>
      </c>
      <c r="D11" s="457">
        <v>0</v>
      </c>
      <c r="E11" s="457">
        <v>0</v>
      </c>
      <c r="F11" s="457">
        <f t="shared" ref="F11:F74" si="3">SUM(B11+D11)</f>
        <v>2.1309999999999998</v>
      </c>
      <c r="G11" s="458">
        <f t="shared" si="0"/>
        <v>588.75</v>
      </c>
      <c r="H11" s="29">
        <f t="shared" si="1"/>
        <v>1998</v>
      </c>
      <c r="I11" s="29" t="str">
        <f t="shared" si="2"/>
        <v>2</v>
      </c>
      <c r="T11" s="1395" t="s">
        <v>561</v>
      </c>
      <c r="U11" s="1395"/>
      <c r="V11" s="1395"/>
    </row>
    <row r="12" spans="1:22" x14ac:dyDescent="0.25">
      <c r="A12" s="454">
        <v>36039</v>
      </c>
      <c r="B12" s="455">
        <v>2.0110000000000001</v>
      </c>
      <c r="C12" s="455">
        <v>562.38</v>
      </c>
      <c r="D12" s="455">
        <v>0</v>
      </c>
      <c r="E12" s="455">
        <v>0</v>
      </c>
      <c r="F12" s="455">
        <f t="shared" si="3"/>
        <v>2.0110000000000001</v>
      </c>
      <c r="G12" s="456">
        <f t="shared" si="0"/>
        <v>562.38</v>
      </c>
      <c r="H12" s="29">
        <f t="shared" si="1"/>
        <v>1998</v>
      </c>
      <c r="I12" s="29" t="str">
        <f t="shared" si="2"/>
        <v>3</v>
      </c>
      <c r="T12" s="459" t="s">
        <v>557</v>
      </c>
      <c r="U12" s="460" t="s">
        <v>558</v>
      </c>
      <c r="V12" s="461" t="s">
        <v>559</v>
      </c>
    </row>
    <row r="13" spans="1:22" x14ac:dyDescent="0.25">
      <c r="A13" s="454">
        <v>36130</v>
      </c>
      <c r="B13" s="457">
        <v>2.4940000000000002</v>
      </c>
      <c r="C13" s="457">
        <v>696.1</v>
      </c>
      <c r="D13" s="457">
        <v>0</v>
      </c>
      <c r="E13" s="457">
        <v>0</v>
      </c>
      <c r="F13" s="457">
        <f t="shared" si="3"/>
        <v>2.4940000000000002</v>
      </c>
      <c r="G13" s="458">
        <f t="shared" si="0"/>
        <v>696.1</v>
      </c>
      <c r="H13" s="29">
        <f t="shared" si="1"/>
        <v>1998</v>
      </c>
      <c r="I13" s="29" t="str">
        <f t="shared" si="2"/>
        <v>4</v>
      </c>
      <c r="T13" s="454">
        <f>LARGE($A:$A, 9)</f>
        <v>45261</v>
      </c>
      <c r="U13" s="462">
        <f t="shared" ref="U13:U21" si="4">SUMIF($A$10:$A$744,$T13,F$10:F$744)</f>
        <v>3.2386280699999999</v>
      </c>
      <c r="V13" s="463">
        <f t="shared" ref="V13:V21" si="5">SUMIF($A$10:$A$744,$T13,G$10:G$744)</f>
        <v>1663.374912</v>
      </c>
    </row>
    <row r="14" spans="1:22" x14ac:dyDescent="0.25">
      <c r="A14" s="454">
        <v>36220</v>
      </c>
      <c r="B14" s="455">
        <v>2.0990000000000002</v>
      </c>
      <c r="C14" s="455">
        <v>544.82000000000005</v>
      </c>
      <c r="D14" s="455">
        <v>0</v>
      </c>
      <c r="E14" s="455">
        <v>0</v>
      </c>
      <c r="F14" s="455">
        <f t="shared" si="3"/>
        <v>2.0990000000000002</v>
      </c>
      <c r="G14" s="456">
        <f t="shared" si="0"/>
        <v>544.82000000000005</v>
      </c>
      <c r="H14" s="29">
        <f t="shared" si="1"/>
        <v>1999</v>
      </c>
      <c r="I14" s="29" t="str">
        <f t="shared" si="2"/>
        <v>1</v>
      </c>
      <c r="T14" s="454">
        <f>LARGE($A:$A, 8)</f>
        <v>45352</v>
      </c>
      <c r="U14" s="464">
        <f t="shared" si="4"/>
        <v>3.0757063659999999</v>
      </c>
      <c r="V14" s="465">
        <f t="shared" si="5"/>
        <v>1640.6019999999999</v>
      </c>
    </row>
    <row r="15" spans="1:22" x14ac:dyDescent="0.25">
      <c r="A15" s="454">
        <v>36312</v>
      </c>
      <c r="B15" s="457">
        <v>2.2599999999999998</v>
      </c>
      <c r="C15" s="457">
        <v>563.73</v>
      </c>
      <c r="D15" s="457">
        <v>0</v>
      </c>
      <c r="E15" s="457">
        <v>0</v>
      </c>
      <c r="F15" s="457">
        <f t="shared" si="3"/>
        <v>2.2599999999999998</v>
      </c>
      <c r="G15" s="458">
        <f t="shared" si="0"/>
        <v>563.73</v>
      </c>
      <c r="H15" s="29">
        <f t="shared" si="1"/>
        <v>1999</v>
      </c>
      <c r="I15" s="29" t="str">
        <f t="shared" si="2"/>
        <v>2</v>
      </c>
      <c r="T15" s="454">
        <f>LARGE($A:$A, 7)</f>
        <v>45444</v>
      </c>
      <c r="U15" s="462">
        <f t="shared" si="4"/>
        <v>2.9517268809999999</v>
      </c>
      <c r="V15" s="463">
        <f t="shared" si="5"/>
        <v>1672.8161269999998</v>
      </c>
    </row>
    <row r="16" spans="1:22" x14ac:dyDescent="0.25">
      <c r="A16" s="454">
        <v>36404</v>
      </c>
      <c r="B16" s="455">
        <v>2.2810000000000001</v>
      </c>
      <c r="C16" s="455">
        <v>585.11</v>
      </c>
      <c r="D16" s="455">
        <v>0</v>
      </c>
      <c r="E16" s="455">
        <v>0</v>
      </c>
      <c r="F16" s="455">
        <f t="shared" si="3"/>
        <v>2.2810000000000001</v>
      </c>
      <c r="G16" s="456">
        <f t="shared" si="0"/>
        <v>585.11</v>
      </c>
      <c r="H16" s="29">
        <f t="shared" si="1"/>
        <v>1999</v>
      </c>
      <c r="I16" s="29" t="str">
        <f t="shared" si="2"/>
        <v>3</v>
      </c>
      <c r="T16" s="454">
        <f>LARGE($A:$A, 6)</f>
        <v>45536</v>
      </c>
      <c r="U16" s="464">
        <f t="shared" si="4"/>
        <v>2.5480270099999998</v>
      </c>
      <c r="V16" s="465">
        <f t="shared" si="5"/>
        <v>1696.8085859999999</v>
      </c>
    </row>
    <row r="17" spans="1:22" x14ac:dyDescent="0.25">
      <c r="A17" s="454">
        <v>36495</v>
      </c>
      <c r="B17" s="457">
        <v>2.2909999999999999</v>
      </c>
      <c r="C17" s="457">
        <v>617.71</v>
      </c>
      <c r="D17" s="457">
        <v>0</v>
      </c>
      <c r="E17" s="457">
        <v>0</v>
      </c>
      <c r="F17" s="457">
        <f t="shared" si="3"/>
        <v>2.2909999999999999</v>
      </c>
      <c r="G17" s="458">
        <f t="shared" si="0"/>
        <v>617.71</v>
      </c>
      <c r="H17" s="29">
        <f t="shared" si="1"/>
        <v>1999</v>
      </c>
      <c r="I17" s="29" t="str">
        <f t="shared" si="2"/>
        <v>4</v>
      </c>
      <c r="T17" s="454">
        <f>LARGE($A:$A, 5)</f>
        <v>45627</v>
      </c>
      <c r="U17" s="462">
        <f t="shared" si="4"/>
        <v>2.8470237369999998</v>
      </c>
      <c r="V17" s="463">
        <f t="shared" si="5"/>
        <v>2357.676301</v>
      </c>
    </row>
    <row r="18" spans="1:22" x14ac:dyDescent="0.25">
      <c r="A18" s="454">
        <v>36586</v>
      </c>
      <c r="B18" s="455">
        <v>2.3639999999999999</v>
      </c>
      <c r="C18" s="455">
        <v>703.47</v>
      </c>
      <c r="D18" s="455">
        <v>0</v>
      </c>
      <c r="E18" s="455">
        <v>0</v>
      </c>
      <c r="F18" s="455">
        <f t="shared" si="3"/>
        <v>2.3639999999999999</v>
      </c>
      <c r="G18" s="456">
        <f t="shared" si="0"/>
        <v>703.47</v>
      </c>
      <c r="H18" s="29">
        <f t="shared" si="1"/>
        <v>2000</v>
      </c>
      <c r="I18" s="29" t="str">
        <f t="shared" si="2"/>
        <v>1</v>
      </c>
      <c r="T18" s="454">
        <f>LARGE($A:$A, 4)</f>
        <v>45717</v>
      </c>
      <c r="U18" s="464">
        <f t="shared" si="4"/>
        <v>2.605253705</v>
      </c>
      <c r="V18" s="465">
        <f t="shared" si="5"/>
        <v>2243.6505609999999</v>
      </c>
    </row>
    <row r="19" spans="1:22" x14ac:dyDescent="0.25">
      <c r="A19" s="454">
        <v>36678</v>
      </c>
      <c r="B19" s="457">
        <v>2.4180000000000001</v>
      </c>
      <c r="C19" s="457">
        <v>751.6</v>
      </c>
      <c r="D19" s="457">
        <v>0</v>
      </c>
      <c r="E19" s="457">
        <v>0</v>
      </c>
      <c r="F19" s="457">
        <f t="shared" si="3"/>
        <v>2.4180000000000001</v>
      </c>
      <c r="G19" s="458">
        <f t="shared" si="0"/>
        <v>751.6</v>
      </c>
      <c r="H19" s="29">
        <f t="shared" si="1"/>
        <v>2000</v>
      </c>
      <c r="I19" s="29" t="str">
        <f t="shared" si="2"/>
        <v>2</v>
      </c>
      <c r="T19" s="454">
        <f>LARGE($A:$A, 3)</f>
        <v>45809</v>
      </c>
      <c r="U19" s="462">
        <f t="shared" si="4"/>
        <v>2.8080183430000001</v>
      </c>
      <c r="V19" s="463">
        <f t="shared" si="5"/>
        <v>1913.662024</v>
      </c>
    </row>
    <row r="20" spans="1:22" x14ac:dyDescent="0.25">
      <c r="A20" s="454">
        <v>36770</v>
      </c>
      <c r="B20" s="455">
        <v>2.5499999999999998</v>
      </c>
      <c r="C20" s="455">
        <v>791.53</v>
      </c>
      <c r="D20" s="455">
        <v>0</v>
      </c>
      <c r="E20" s="455">
        <v>0</v>
      </c>
      <c r="F20" s="455">
        <f t="shared" si="3"/>
        <v>2.5499999999999998</v>
      </c>
      <c r="G20" s="456">
        <f t="shared" si="0"/>
        <v>791.53</v>
      </c>
      <c r="H20" s="29">
        <f t="shared" si="1"/>
        <v>2000</v>
      </c>
      <c r="I20" s="29" t="str">
        <f t="shared" si="2"/>
        <v>3</v>
      </c>
      <c r="T20" s="454">
        <f>LARGE($A:$A, 2)</f>
        <v>45901</v>
      </c>
      <c r="U20" s="464">
        <f t="shared" si="4"/>
        <v>2.71358685</v>
      </c>
      <c r="V20" s="465">
        <f t="shared" si="5"/>
        <v>1799.3641239999999</v>
      </c>
    </row>
    <row r="21" spans="1:22" ht="15.75" thickBot="1" x14ac:dyDescent="0.3">
      <c r="A21" s="454">
        <v>36861</v>
      </c>
      <c r="B21" s="457">
        <v>2.67</v>
      </c>
      <c r="C21" s="457">
        <v>940.88</v>
      </c>
      <c r="D21" s="457">
        <v>0</v>
      </c>
      <c r="E21" s="457">
        <v>0</v>
      </c>
      <c r="F21" s="457">
        <f t="shared" si="3"/>
        <v>2.67</v>
      </c>
      <c r="G21" s="458">
        <f t="shared" si="0"/>
        <v>940.88</v>
      </c>
      <c r="H21" s="29">
        <f t="shared" si="1"/>
        <v>2000</v>
      </c>
      <c r="I21" s="29" t="str">
        <f t="shared" si="2"/>
        <v>4</v>
      </c>
      <c r="T21" s="466">
        <f>LARGE($A:$A, 1)</f>
        <v>45992</v>
      </c>
      <c r="U21" s="467">
        <f t="shared" si="4"/>
        <v>2.8717100099999997</v>
      </c>
      <c r="V21" s="468">
        <f t="shared" si="5"/>
        <v>1745.8852929999998</v>
      </c>
    </row>
    <row r="22" spans="1:22" x14ac:dyDescent="0.25">
      <c r="A22" s="454">
        <v>36951</v>
      </c>
      <c r="B22" s="455">
        <v>2.5990000000000002</v>
      </c>
      <c r="C22" s="455">
        <v>880.32</v>
      </c>
      <c r="D22" s="455">
        <v>0</v>
      </c>
      <c r="E22" s="455">
        <v>0</v>
      </c>
      <c r="F22" s="455">
        <f t="shared" si="3"/>
        <v>2.5990000000000002</v>
      </c>
      <c r="G22" s="456">
        <f t="shared" si="0"/>
        <v>880.32</v>
      </c>
      <c r="H22" s="29">
        <f t="shared" si="1"/>
        <v>2001</v>
      </c>
      <c r="I22" s="29" t="str">
        <f t="shared" si="2"/>
        <v>1</v>
      </c>
      <c r="T22" s="469"/>
    </row>
    <row r="23" spans="1:22" x14ac:dyDescent="0.25">
      <c r="A23" s="454">
        <v>37043</v>
      </c>
      <c r="B23" s="457">
        <v>2.67</v>
      </c>
      <c r="C23" s="457">
        <v>987.94</v>
      </c>
      <c r="D23" s="457">
        <v>0</v>
      </c>
      <c r="E23" s="457">
        <v>0</v>
      </c>
      <c r="F23" s="457">
        <f t="shared" si="3"/>
        <v>2.67</v>
      </c>
      <c r="G23" s="458">
        <f t="shared" si="0"/>
        <v>987.94</v>
      </c>
      <c r="H23" s="29">
        <f t="shared" si="1"/>
        <v>2001</v>
      </c>
      <c r="I23" s="29" t="str">
        <f t="shared" si="2"/>
        <v>2</v>
      </c>
      <c r="T23" s="469"/>
    </row>
    <row r="24" spans="1:22" x14ac:dyDescent="0.25">
      <c r="A24" s="454">
        <v>37135</v>
      </c>
      <c r="B24" s="455">
        <v>2.8039999999999998</v>
      </c>
      <c r="C24" s="455">
        <v>981.27</v>
      </c>
      <c r="D24" s="455">
        <v>0</v>
      </c>
      <c r="E24" s="455">
        <v>0</v>
      </c>
      <c r="F24" s="455">
        <f t="shared" si="3"/>
        <v>2.8039999999999998</v>
      </c>
      <c r="G24" s="456">
        <f t="shared" si="0"/>
        <v>981.27</v>
      </c>
      <c r="H24" s="29">
        <f t="shared" si="1"/>
        <v>2001</v>
      </c>
      <c r="I24" s="29" t="str">
        <f t="shared" si="2"/>
        <v>3</v>
      </c>
      <c r="T24" s="469"/>
    </row>
    <row r="25" spans="1:22" x14ac:dyDescent="0.25">
      <c r="A25" s="454">
        <v>37226</v>
      </c>
      <c r="B25" s="457">
        <v>2.6850000000000001</v>
      </c>
      <c r="C25" s="457">
        <v>917.02</v>
      </c>
      <c r="D25" s="457">
        <v>0</v>
      </c>
      <c r="E25" s="457">
        <v>0</v>
      </c>
      <c r="F25" s="457">
        <f t="shared" si="3"/>
        <v>2.6850000000000001</v>
      </c>
      <c r="G25" s="458">
        <f t="shared" si="0"/>
        <v>917.02</v>
      </c>
      <c r="H25" s="29">
        <f t="shared" si="1"/>
        <v>2001</v>
      </c>
      <c r="I25" s="29" t="str">
        <f t="shared" si="2"/>
        <v>4</v>
      </c>
      <c r="T25" s="469"/>
    </row>
    <row r="26" spans="1:22" x14ac:dyDescent="0.25">
      <c r="A26" s="454">
        <v>37316</v>
      </c>
      <c r="B26" s="455">
        <v>2.621</v>
      </c>
      <c r="C26" s="455">
        <v>837.87</v>
      </c>
      <c r="D26" s="455">
        <v>0</v>
      </c>
      <c r="E26" s="455">
        <v>0</v>
      </c>
      <c r="F26" s="455">
        <f t="shared" si="3"/>
        <v>2.621</v>
      </c>
      <c r="G26" s="456">
        <f t="shared" si="0"/>
        <v>837.87</v>
      </c>
      <c r="H26" s="29">
        <f t="shared" si="1"/>
        <v>2002</v>
      </c>
      <c r="I26" s="29" t="str">
        <f t="shared" si="2"/>
        <v>1</v>
      </c>
      <c r="T26" s="469"/>
    </row>
    <row r="27" spans="1:22" x14ac:dyDescent="0.25">
      <c r="A27" s="454">
        <v>37408</v>
      </c>
      <c r="B27" s="457">
        <v>2.7469999999999999</v>
      </c>
      <c r="C27" s="457">
        <v>848.22</v>
      </c>
      <c r="D27" s="457">
        <v>0</v>
      </c>
      <c r="E27" s="457">
        <v>0</v>
      </c>
      <c r="F27" s="457">
        <f t="shared" si="3"/>
        <v>2.7469999999999999</v>
      </c>
      <c r="G27" s="458">
        <f t="shared" si="0"/>
        <v>848.22</v>
      </c>
      <c r="H27" s="29">
        <f t="shared" si="1"/>
        <v>2002</v>
      </c>
      <c r="I27" s="29" t="str">
        <f t="shared" si="2"/>
        <v>2</v>
      </c>
      <c r="T27" s="469"/>
    </row>
    <row r="28" spans="1:22" x14ac:dyDescent="0.25">
      <c r="A28" s="454">
        <v>37500</v>
      </c>
      <c r="B28" s="455">
        <v>2.93</v>
      </c>
      <c r="C28" s="455">
        <v>867.88</v>
      </c>
      <c r="D28" s="455">
        <v>0</v>
      </c>
      <c r="E28" s="455">
        <v>0</v>
      </c>
      <c r="F28" s="455">
        <f t="shared" si="3"/>
        <v>2.93</v>
      </c>
      <c r="G28" s="456">
        <f t="shared" si="0"/>
        <v>867.88</v>
      </c>
      <c r="H28" s="29">
        <f t="shared" si="1"/>
        <v>2002</v>
      </c>
      <c r="I28" s="29" t="str">
        <f t="shared" si="2"/>
        <v>3</v>
      </c>
      <c r="T28" s="469"/>
    </row>
    <row r="29" spans="1:22" x14ac:dyDescent="0.25">
      <c r="A29" s="454">
        <v>37591</v>
      </c>
      <c r="B29" s="457">
        <v>2.702</v>
      </c>
      <c r="C29" s="457">
        <v>785.28</v>
      </c>
      <c r="D29" s="457">
        <v>0</v>
      </c>
      <c r="E29" s="457">
        <v>0</v>
      </c>
      <c r="F29" s="457">
        <f t="shared" si="3"/>
        <v>2.702</v>
      </c>
      <c r="G29" s="458">
        <f t="shared" si="0"/>
        <v>785.28</v>
      </c>
      <c r="H29" s="29">
        <f t="shared" si="1"/>
        <v>2002</v>
      </c>
      <c r="I29" s="29" t="str">
        <f t="shared" si="2"/>
        <v>4</v>
      </c>
    </row>
    <row r="30" spans="1:22" x14ac:dyDescent="0.25">
      <c r="A30" s="454">
        <v>37681</v>
      </c>
      <c r="B30" s="455">
        <v>2.8679999999999999</v>
      </c>
      <c r="C30" s="455">
        <v>825.43</v>
      </c>
      <c r="D30" s="455">
        <v>0</v>
      </c>
      <c r="E30" s="455">
        <v>0</v>
      </c>
      <c r="F30" s="455">
        <f t="shared" si="3"/>
        <v>2.8679999999999999</v>
      </c>
      <c r="G30" s="456">
        <f t="shared" si="0"/>
        <v>825.43</v>
      </c>
      <c r="H30" s="29">
        <f t="shared" si="1"/>
        <v>2003</v>
      </c>
      <c r="I30" s="29" t="str">
        <f t="shared" si="2"/>
        <v>1</v>
      </c>
    </row>
    <row r="31" spans="1:22" x14ac:dyDescent="0.25">
      <c r="A31" s="454">
        <v>37773</v>
      </c>
      <c r="B31" s="457">
        <v>2.6309999999999998</v>
      </c>
      <c r="C31" s="457">
        <v>726.07</v>
      </c>
      <c r="D31" s="457">
        <v>0</v>
      </c>
      <c r="E31" s="457">
        <v>0</v>
      </c>
      <c r="F31" s="457">
        <f t="shared" si="3"/>
        <v>2.6309999999999998</v>
      </c>
      <c r="G31" s="458">
        <f t="shared" si="0"/>
        <v>726.07</v>
      </c>
      <c r="H31" s="29">
        <f t="shared" si="1"/>
        <v>2003</v>
      </c>
      <c r="I31" s="29" t="str">
        <f t="shared" si="2"/>
        <v>2</v>
      </c>
    </row>
    <row r="32" spans="1:22" x14ac:dyDescent="0.25">
      <c r="A32" s="454">
        <v>37865</v>
      </c>
      <c r="B32" s="455">
        <v>2.7226050000000002</v>
      </c>
      <c r="C32" s="455">
        <v>755.41628309999999</v>
      </c>
      <c r="D32" s="455">
        <v>0</v>
      </c>
      <c r="E32" s="455">
        <v>0</v>
      </c>
      <c r="F32" s="455">
        <f t="shared" si="3"/>
        <v>2.7226050000000002</v>
      </c>
      <c r="G32" s="456">
        <f t="shared" si="0"/>
        <v>755.41628309999999</v>
      </c>
      <c r="H32" s="29">
        <f t="shared" si="1"/>
        <v>2003</v>
      </c>
      <c r="I32" s="29" t="str">
        <f t="shared" si="2"/>
        <v>3</v>
      </c>
    </row>
    <row r="33" spans="1:22" ht="15.75" thickBot="1" x14ac:dyDescent="0.3">
      <c r="A33" s="454">
        <v>37956</v>
      </c>
      <c r="B33" s="457">
        <v>3.006259</v>
      </c>
      <c r="C33" s="457">
        <v>833.56663588000004</v>
      </c>
      <c r="D33" s="457">
        <v>0</v>
      </c>
      <c r="E33" s="457">
        <v>0</v>
      </c>
      <c r="F33" s="457">
        <f t="shared" si="3"/>
        <v>3.006259</v>
      </c>
      <c r="G33" s="458">
        <f t="shared" si="0"/>
        <v>833.56663588000004</v>
      </c>
      <c r="H33" s="29">
        <f t="shared" si="1"/>
        <v>2003</v>
      </c>
      <c r="I33" s="29" t="str">
        <f t="shared" si="2"/>
        <v>4</v>
      </c>
    </row>
    <row r="34" spans="1:22" x14ac:dyDescent="0.25">
      <c r="A34" s="454">
        <v>38047</v>
      </c>
      <c r="B34" s="455">
        <v>2.6839559999999998</v>
      </c>
      <c r="C34" s="455">
        <v>717.85749199999998</v>
      </c>
      <c r="D34" s="455">
        <v>0</v>
      </c>
      <c r="E34" s="455">
        <v>0</v>
      </c>
      <c r="F34" s="455">
        <f t="shared" si="3"/>
        <v>2.6839559999999998</v>
      </c>
      <c r="G34" s="456">
        <f t="shared" si="0"/>
        <v>717.85749199999998</v>
      </c>
      <c r="H34" s="29">
        <f t="shared" si="1"/>
        <v>2004</v>
      </c>
      <c r="I34" s="29" t="str">
        <f t="shared" si="2"/>
        <v>1</v>
      </c>
      <c r="T34" s="470" t="s">
        <v>158</v>
      </c>
      <c r="U34" s="1402" t="s">
        <v>178</v>
      </c>
      <c r="V34" s="1403"/>
    </row>
    <row r="35" spans="1:22" x14ac:dyDescent="0.25">
      <c r="A35" s="454">
        <v>38139</v>
      </c>
      <c r="B35" s="457">
        <v>2.753015</v>
      </c>
      <c r="C35" s="457">
        <v>778.26961376999998</v>
      </c>
      <c r="D35" s="457">
        <v>0</v>
      </c>
      <c r="E35" s="457">
        <v>0</v>
      </c>
      <c r="F35" s="457">
        <f t="shared" si="3"/>
        <v>2.753015</v>
      </c>
      <c r="G35" s="458">
        <f t="shared" si="0"/>
        <v>778.26961376999998</v>
      </c>
      <c r="H35" s="29">
        <f t="shared" si="1"/>
        <v>2004</v>
      </c>
      <c r="I35" s="29" t="str">
        <f t="shared" si="2"/>
        <v>2</v>
      </c>
      <c r="T35" s="1404" t="str">
        <f>CONCATENATE(A6," Quantity and Value by Year")</f>
        <v xml:space="preserve"> Quantity and Value by Year</v>
      </c>
      <c r="U35" s="1405"/>
      <c r="V35" s="1406"/>
    </row>
    <row r="36" spans="1:22" x14ac:dyDescent="0.25">
      <c r="A36" s="454">
        <v>38231</v>
      </c>
      <c r="B36" s="455">
        <v>2.7297769999999999</v>
      </c>
      <c r="C36" s="455">
        <v>855.71650026999998</v>
      </c>
      <c r="D36" s="455">
        <v>0</v>
      </c>
      <c r="E36" s="455">
        <v>0</v>
      </c>
      <c r="F36" s="455">
        <f t="shared" si="3"/>
        <v>2.7297769999999999</v>
      </c>
      <c r="G36" s="456">
        <f t="shared" si="0"/>
        <v>855.71650026999998</v>
      </c>
      <c r="H36" s="29">
        <f t="shared" si="1"/>
        <v>2004</v>
      </c>
      <c r="I36" s="29" t="str">
        <f t="shared" si="2"/>
        <v>3</v>
      </c>
      <c r="T36" s="471" t="s">
        <v>272</v>
      </c>
      <c r="U36" s="472" t="str">
        <f>B9</f>
        <v>Quantity (Mt)</v>
      </c>
      <c r="V36" s="473" t="str">
        <f>C9</f>
        <v>Value ($ Million)</v>
      </c>
    </row>
    <row r="37" spans="1:22" x14ac:dyDescent="0.25">
      <c r="A37" s="454">
        <v>38322</v>
      </c>
      <c r="B37" s="457">
        <v>2.8216380000000001</v>
      </c>
      <c r="C37" s="457">
        <v>827.10882674000004</v>
      </c>
      <c r="D37" s="457">
        <v>0</v>
      </c>
      <c r="E37" s="457">
        <v>0</v>
      </c>
      <c r="F37" s="457">
        <f t="shared" si="3"/>
        <v>2.8216380000000001</v>
      </c>
      <c r="G37" s="458">
        <f t="shared" si="0"/>
        <v>827.10882674000004</v>
      </c>
      <c r="H37" s="29">
        <f t="shared" si="1"/>
        <v>2004</v>
      </c>
      <c r="I37" s="29" t="str">
        <f t="shared" si="2"/>
        <v>4</v>
      </c>
      <c r="T37" s="474">
        <f t="shared" ref="T37:T54" si="6">IF($U$34="Calendar Year", T38-1, LEFT(T38,4)-1 &amp; "-" &amp; MID(T38,3,2))</f>
        <v>2006</v>
      </c>
      <c r="U37" s="475">
        <f>IF($U$34="Calendar Year",SUMIF($H$10:$H$202,$T37,$F$10:$F$202),SUMIFS($F$10:$F$202,$H$10:$H$202,LEFT($T37,4),$I$10:$I$202,3)+SUMIFS($F$10:$F$202,$H$10:$H$202,LEFT($T37,4),$I$10:$I$202,4)+SUMIFS($F$11:$F$203,$H$10:$H$202,LEFT($T37,4)+1,$I$10:$I$202,1)+SUMIFS($F$10:$F$202,$H$10:$H$202,LEFT($T37,4)+1,$I$10:$I$202,2))</f>
        <v>11.82174775</v>
      </c>
      <c r="V37" s="476">
        <f t="shared" ref="V37:V56" si="7">IF(T37="","",IF($U$34="Calendar Year",SUMIF($H$10:$H$202,$T37,$G$10:$G$202),SUMIFS($G$10:$G$202,$H$10:$H$202,LEFT($T37,4),$I$10:$I$202,3)+SUMIFS($G$10:$G$202,$H$10:$H$202,LEFT($T37,4),$I$10:$I$202,4)+SUMIFS($G$10:$G$202,$H$10:$H$202,LEFT($T37,4)+1,$I$10:$I$202,1)+SUMIFS($G$10:$G$202,$H$10:$H$202,LEFT($T37,4)+1,$I$10:$I$202,2)))</f>
        <v>4921.7215114199998</v>
      </c>
    </row>
    <row r="38" spans="1:22" x14ac:dyDescent="0.25">
      <c r="A38" s="454">
        <v>38412</v>
      </c>
      <c r="B38" s="455">
        <v>2.7125240000000002</v>
      </c>
      <c r="C38" s="455">
        <v>825.33394757999997</v>
      </c>
      <c r="D38" s="455">
        <v>0</v>
      </c>
      <c r="E38" s="455">
        <v>0</v>
      </c>
      <c r="F38" s="455">
        <f t="shared" si="3"/>
        <v>2.7125240000000002</v>
      </c>
      <c r="G38" s="456">
        <f t="shared" si="0"/>
        <v>825.33394757999997</v>
      </c>
      <c r="H38" s="29">
        <f t="shared" si="1"/>
        <v>2005</v>
      </c>
      <c r="I38" s="29" t="str">
        <f t="shared" si="2"/>
        <v>1</v>
      </c>
      <c r="T38" s="474">
        <f t="shared" si="6"/>
        <v>2007</v>
      </c>
      <c r="U38" s="477">
        <f t="shared" ref="U38:U56" si="8">IF(T38="","",IF($U$34="Calendar Year",SUMIF($H$10:$H$202,$T38,$F$10:$F$202),SUMIFS($F$10:$F$202,$H$10:$H$202,LEFT($T38,4),$I$10:$I$202,3)+SUMIFS($F$10:$F$202,$H$10:$H$202,LEFT($T38,4),$I$10:$I$202,4)+SUMIFS($F$10:$F$202,$H$10:$H$202,LEFT($T38,4)+1,$I$10:$I$202,1)+SUMIFS($F$10:$F$202,$H$10:$H$202,LEFT($T38,4)+1,$I$10:$I$202,2)))</f>
        <v>12.193625759000001</v>
      </c>
      <c r="V38" s="478">
        <f t="shared" si="7"/>
        <v>5048.3498728499999</v>
      </c>
    </row>
    <row r="39" spans="1:22" x14ac:dyDescent="0.25">
      <c r="A39" s="454">
        <v>38504</v>
      </c>
      <c r="B39" s="457">
        <v>2.8762400000000001</v>
      </c>
      <c r="C39" s="457">
        <v>922.53081992</v>
      </c>
      <c r="D39" s="457">
        <v>0</v>
      </c>
      <c r="E39" s="457">
        <v>0</v>
      </c>
      <c r="F39" s="457">
        <f t="shared" si="3"/>
        <v>2.8762400000000001</v>
      </c>
      <c r="G39" s="458">
        <f t="shared" si="0"/>
        <v>922.53081992</v>
      </c>
      <c r="H39" s="29">
        <f t="shared" si="1"/>
        <v>2005</v>
      </c>
      <c r="I39" s="29" t="str">
        <f t="shared" si="2"/>
        <v>2</v>
      </c>
      <c r="T39" s="474">
        <f t="shared" si="6"/>
        <v>2008</v>
      </c>
      <c r="U39" s="475">
        <f t="shared" si="8"/>
        <v>12.245763095999999</v>
      </c>
      <c r="V39" s="476">
        <f t="shared" si="7"/>
        <v>4759.5109524</v>
      </c>
    </row>
    <row r="40" spans="1:22" x14ac:dyDescent="0.25">
      <c r="A40" s="454">
        <v>38596</v>
      </c>
      <c r="B40" s="455">
        <v>2.720275</v>
      </c>
      <c r="C40" s="455">
        <v>846.1177964200001</v>
      </c>
      <c r="D40" s="455">
        <v>0</v>
      </c>
      <c r="E40" s="455">
        <v>0</v>
      </c>
      <c r="F40" s="455">
        <f t="shared" si="3"/>
        <v>2.720275</v>
      </c>
      <c r="G40" s="456">
        <f t="shared" si="0"/>
        <v>846.1177964200001</v>
      </c>
      <c r="H40" s="29">
        <f t="shared" si="1"/>
        <v>2005</v>
      </c>
      <c r="I40" s="29" t="str">
        <f t="shared" si="2"/>
        <v>3</v>
      </c>
      <c r="T40" s="474">
        <f t="shared" si="6"/>
        <v>2009</v>
      </c>
      <c r="U40" s="477">
        <f t="shared" si="8"/>
        <v>12.42197</v>
      </c>
      <c r="V40" s="478">
        <f t="shared" si="7"/>
        <v>3800.77350918</v>
      </c>
    </row>
    <row r="41" spans="1:22" x14ac:dyDescent="0.25">
      <c r="A41" s="454">
        <v>38687</v>
      </c>
      <c r="B41" s="457">
        <v>3.0431439999999998</v>
      </c>
      <c r="C41" s="457">
        <v>1000.87492408</v>
      </c>
      <c r="D41" s="457">
        <v>0</v>
      </c>
      <c r="E41" s="457">
        <v>0</v>
      </c>
      <c r="F41" s="457">
        <f t="shared" si="3"/>
        <v>3.0431439999999998</v>
      </c>
      <c r="G41" s="458">
        <f t="shared" si="0"/>
        <v>1000.87492408</v>
      </c>
      <c r="H41" s="29">
        <f t="shared" si="1"/>
        <v>2005</v>
      </c>
      <c r="I41" s="29" t="str">
        <f t="shared" si="2"/>
        <v>4</v>
      </c>
      <c r="T41" s="474">
        <f t="shared" si="6"/>
        <v>2010</v>
      </c>
      <c r="U41" s="475">
        <f t="shared" si="8"/>
        <v>12.563285</v>
      </c>
      <c r="V41" s="476">
        <f t="shared" si="7"/>
        <v>3959.4147508300002</v>
      </c>
    </row>
    <row r="42" spans="1:22" x14ac:dyDescent="0.25">
      <c r="A42" s="454">
        <v>38777</v>
      </c>
      <c r="B42" s="455">
        <v>2.8225227500000001</v>
      </c>
      <c r="C42" s="455">
        <v>1078.1791628400001</v>
      </c>
      <c r="D42" s="455">
        <v>0</v>
      </c>
      <c r="E42" s="455">
        <v>0</v>
      </c>
      <c r="F42" s="455">
        <f t="shared" si="3"/>
        <v>2.8225227500000001</v>
      </c>
      <c r="G42" s="456">
        <f t="shared" si="0"/>
        <v>1078.1791628400001</v>
      </c>
      <c r="H42" s="29">
        <f t="shared" si="1"/>
        <v>2006</v>
      </c>
      <c r="I42" s="29" t="str">
        <f t="shared" si="2"/>
        <v>1</v>
      </c>
      <c r="T42" s="474">
        <f t="shared" si="6"/>
        <v>2011</v>
      </c>
      <c r="U42" s="477">
        <f t="shared" si="8"/>
        <v>12.291484000000001</v>
      </c>
      <c r="V42" s="478">
        <f t="shared" si="7"/>
        <v>4189.4656799999993</v>
      </c>
    </row>
    <row r="43" spans="1:22" x14ac:dyDescent="0.25">
      <c r="A43" s="454">
        <v>38869</v>
      </c>
      <c r="B43" s="457">
        <v>2.8672520000000001</v>
      </c>
      <c r="C43" s="457">
        <v>1227.7717472100001</v>
      </c>
      <c r="D43" s="457">
        <v>0</v>
      </c>
      <c r="E43" s="457">
        <v>0</v>
      </c>
      <c r="F43" s="457">
        <f t="shared" si="3"/>
        <v>2.8672520000000001</v>
      </c>
      <c r="G43" s="458">
        <f t="shared" si="0"/>
        <v>1227.7717472100001</v>
      </c>
      <c r="H43" s="29">
        <f t="shared" si="1"/>
        <v>2006</v>
      </c>
      <c r="I43" s="29" t="str">
        <f t="shared" si="2"/>
        <v>2</v>
      </c>
      <c r="T43" s="479">
        <f t="shared" si="6"/>
        <v>2012</v>
      </c>
      <c r="U43" s="475">
        <f t="shared" si="8"/>
        <v>12.81154939</v>
      </c>
      <c r="V43" s="476">
        <f t="shared" si="7"/>
        <v>3831.1474719999997</v>
      </c>
    </row>
    <row r="44" spans="1:22" x14ac:dyDescent="0.25">
      <c r="A44" s="454">
        <v>38961</v>
      </c>
      <c r="B44" s="455">
        <v>2.9137900000000001</v>
      </c>
      <c r="C44" s="455">
        <v>1244.1112385399999</v>
      </c>
      <c r="D44" s="455">
        <v>0</v>
      </c>
      <c r="E44" s="455">
        <v>0</v>
      </c>
      <c r="F44" s="455">
        <f t="shared" si="3"/>
        <v>2.9137900000000001</v>
      </c>
      <c r="G44" s="456">
        <f t="shared" si="0"/>
        <v>1244.1112385399999</v>
      </c>
      <c r="H44" s="29">
        <f t="shared" si="1"/>
        <v>2006</v>
      </c>
      <c r="I44" s="29" t="str">
        <f t="shared" si="2"/>
        <v>3</v>
      </c>
      <c r="T44" s="479">
        <f t="shared" si="6"/>
        <v>2013</v>
      </c>
      <c r="U44" s="477">
        <f t="shared" si="8"/>
        <v>13.625703529999999</v>
      </c>
      <c r="V44" s="478">
        <f t="shared" si="7"/>
        <v>4147.0508929999996</v>
      </c>
    </row>
    <row r="45" spans="1:22" x14ac:dyDescent="0.25">
      <c r="A45" s="454">
        <v>39052</v>
      </c>
      <c r="B45" s="457">
        <v>3.2181829999999998</v>
      </c>
      <c r="C45" s="457">
        <v>1371.65936283</v>
      </c>
      <c r="D45" s="457">
        <v>0</v>
      </c>
      <c r="E45" s="457">
        <v>0</v>
      </c>
      <c r="F45" s="457">
        <f t="shared" si="3"/>
        <v>3.2181829999999998</v>
      </c>
      <c r="G45" s="458">
        <f t="shared" si="0"/>
        <v>1371.65936283</v>
      </c>
      <c r="H45" s="29">
        <f t="shared" si="1"/>
        <v>2006</v>
      </c>
      <c r="I45" s="29" t="str">
        <f t="shared" si="2"/>
        <v>4</v>
      </c>
      <c r="T45" s="479">
        <f t="shared" si="6"/>
        <v>2014</v>
      </c>
      <c r="U45" s="475">
        <f t="shared" si="8"/>
        <v>13.876846259999999</v>
      </c>
      <c r="V45" s="476">
        <f t="shared" si="7"/>
        <v>4561.7391589999997</v>
      </c>
    </row>
    <row r="46" spans="1:22" x14ac:dyDescent="0.25">
      <c r="A46" s="454">
        <v>39142</v>
      </c>
      <c r="B46" s="455">
        <v>2.8526566380000005</v>
      </c>
      <c r="C46" s="480">
        <v>1260.64760548</v>
      </c>
      <c r="D46" s="455">
        <v>0</v>
      </c>
      <c r="E46" s="455">
        <v>0</v>
      </c>
      <c r="F46" s="455">
        <f t="shared" si="3"/>
        <v>2.8526566380000005</v>
      </c>
      <c r="G46" s="456">
        <f t="shared" si="0"/>
        <v>1260.64760548</v>
      </c>
      <c r="H46" s="29">
        <f t="shared" si="1"/>
        <v>2007</v>
      </c>
      <c r="I46" s="29" t="str">
        <f t="shared" si="2"/>
        <v>1</v>
      </c>
      <c r="T46" s="479">
        <f t="shared" si="6"/>
        <v>2015</v>
      </c>
      <c r="U46" s="477">
        <f t="shared" si="8"/>
        <v>13.778493585999998</v>
      </c>
      <c r="V46" s="478">
        <f t="shared" si="7"/>
        <v>5290.3826119999994</v>
      </c>
    </row>
    <row r="47" spans="1:22" x14ac:dyDescent="0.25">
      <c r="A47" s="454">
        <v>39234</v>
      </c>
      <c r="B47" s="457">
        <v>3.006617425</v>
      </c>
      <c r="C47" s="481">
        <v>1274.8707756099998</v>
      </c>
      <c r="D47" s="457">
        <v>0</v>
      </c>
      <c r="E47" s="457">
        <v>0</v>
      </c>
      <c r="F47" s="457">
        <f t="shared" si="3"/>
        <v>3.006617425</v>
      </c>
      <c r="G47" s="458">
        <f t="shared" si="0"/>
        <v>1274.8707756099998</v>
      </c>
      <c r="H47" s="29">
        <f t="shared" si="1"/>
        <v>2007</v>
      </c>
      <c r="I47" s="29" t="str">
        <f t="shared" si="2"/>
        <v>2</v>
      </c>
      <c r="T47" s="479">
        <f t="shared" si="6"/>
        <v>2016</v>
      </c>
      <c r="U47" s="475">
        <f t="shared" si="8"/>
        <v>13.922088889999999</v>
      </c>
      <c r="V47" s="476">
        <f t="shared" si="7"/>
        <v>4584.1956790000004</v>
      </c>
    </row>
    <row r="48" spans="1:22" x14ac:dyDescent="0.25">
      <c r="A48" s="454">
        <v>39326</v>
      </c>
      <c r="B48" s="455">
        <v>3.137426526</v>
      </c>
      <c r="C48" s="480">
        <v>1300.1445779999999</v>
      </c>
      <c r="D48" s="455">
        <v>0</v>
      </c>
      <c r="E48" s="455">
        <v>0</v>
      </c>
      <c r="F48" s="455">
        <f t="shared" si="3"/>
        <v>3.137426526</v>
      </c>
      <c r="G48" s="456">
        <f t="shared" si="0"/>
        <v>1300.1445779999999</v>
      </c>
      <c r="H48" s="29">
        <f t="shared" si="1"/>
        <v>2007</v>
      </c>
      <c r="I48" s="29" t="str">
        <f t="shared" si="2"/>
        <v>3</v>
      </c>
      <c r="T48" s="479">
        <f t="shared" si="6"/>
        <v>2017</v>
      </c>
      <c r="U48" s="477">
        <f t="shared" si="8"/>
        <v>14.671006449999998</v>
      </c>
      <c r="V48" s="478">
        <f t="shared" si="7"/>
        <v>5878.3498520000003</v>
      </c>
    </row>
    <row r="49" spans="1:22" x14ac:dyDescent="0.25">
      <c r="A49" s="454">
        <v>39417</v>
      </c>
      <c r="B49" s="457">
        <v>3.1969251700000001</v>
      </c>
      <c r="C49" s="481">
        <v>1212.6869137599999</v>
      </c>
      <c r="D49" s="457">
        <v>0</v>
      </c>
      <c r="E49" s="457">
        <v>0</v>
      </c>
      <c r="F49" s="457">
        <f t="shared" si="3"/>
        <v>3.1969251700000001</v>
      </c>
      <c r="G49" s="458">
        <f t="shared" si="0"/>
        <v>1212.6869137599999</v>
      </c>
      <c r="H49" s="29">
        <f t="shared" si="1"/>
        <v>2007</v>
      </c>
      <c r="I49" s="29" t="str">
        <f t="shared" si="2"/>
        <v>4</v>
      </c>
      <c r="T49" s="479">
        <f t="shared" si="6"/>
        <v>2018</v>
      </c>
      <c r="U49" s="475">
        <f t="shared" si="8"/>
        <v>14.979393799999997</v>
      </c>
      <c r="V49" s="476">
        <f t="shared" si="7"/>
        <v>7924.8548729999993</v>
      </c>
    </row>
    <row r="50" spans="1:22" x14ac:dyDescent="0.25">
      <c r="A50" s="454">
        <v>39508</v>
      </c>
      <c r="B50" s="455">
        <v>3.0313540959999998</v>
      </c>
      <c r="C50" s="480">
        <v>1133.7727281</v>
      </c>
      <c r="D50" s="455">
        <v>0</v>
      </c>
      <c r="E50" s="455">
        <v>0</v>
      </c>
      <c r="F50" s="455">
        <f t="shared" si="3"/>
        <v>3.0313540959999998</v>
      </c>
      <c r="G50" s="456">
        <f t="shared" si="0"/>
        <v>1133.7727281</v>
      </c>
      <c r="H50" s="29">
        <f t="shared" si="1"/>
        <v>2008</v>
      </c>
      <c r="I50" s="29" t="str">
        <f t="shared" si="2"/>
        <v>1</v>
      </c>
      <c r="T50" s="479">
        <f t="shared" si="6"/>
        <v>2019</v>
      </c>
      <c r="U50" s="477">
        <f t="shared" si="8"/>
        <v>15.885883452999998</v>
      </c>
      <c r="V50" s="478">
        <f t="shared" si="7"/>
        <v>7361.2106919999997</v>
      </c>
    </row>
    <row r="51" spans="1:22" x14ac:dyDescent="0.25">
      <c r="A51" s="454">
        <v>39600</v>
      </c>
      <c r="B51" s="457">
        <v>2.9555720000000001</v>
      </c>
      <c r="C51" s="481">
        <v>1191.81323365</v>
      </c>
      <c r="D51" s="457">
        <v>0</v>
      </c>
      <c r="E51" s="457">
        <v>0</v>
      </c>
      <c r="F51" s="457">
        <f t="shared" si="3"/>
        <v>2.9555720000000001</v>
      </c>
      <c r="G51" s="458">
        <f t="shared" si="0"/>
        <v>1191.81323365</v>
      </c>
      <c r="H51" s="29">
        <f t="shared" si="1"/>
        <v>2008</v>
      </c>
      <c r="I51" s="29" t="str">
        <f t="shared" si="2"/>
        <v>2</v>
      </c>
      <c r="T51" s="479">
        <f t="shared" si="6"/>
        <v>2020</v>
      </c>
      <c r="U51" s="475">
        <f t="shared" si="8"/>
        <v>16.198470989999997</v>
      </c>
      <c r="V51" s="476">
        <f t="shared" si="7"/>
        <v>5855.7403219999997</v>
      </c>
    </row>
    <row r="52" spans="1:22" x14ac:dyDescent="0.25">
      <c r="A52" s="454">
        <v>39692</v>
      </c>
      <c r="B52" s="455">
        <v>3.143386</v>
      </c>
      <c r="C52" s="480">
        <v>1236.8389339299999</v>
      </c>
      <c r="D52" s="455">
        <v>0</v>
      </c>
      <c r="E52" s="455">
        <v>0</v>
      </c>
      <c r="F52" s="455">
        <f t="shared" si="3"/>
        <v>3.143386</v>
      </c>
      <c r="G52" s="456">
        <f t="shared" si="0"/>
        <v>1236.8389339299999</v>
      </c>
      <c r="H52" s="29">
        <f t="shared" si="1"/>
        <v>2008</v>
      </c>
      <c r="I52" s="29" t="str">
        <f t="shared" si="2"/>
        <v>3</v>
      </c>
      <c r="T52" s="479">
        <f t="shared" si="6"/>
        <v>2021</v>
      </c>
      <c r="U52" s="477">
        <f t="shared" si="8"/>
        <v>15.2645722</v>
      </c>
      <c r="V52" s="478">
        <f t="shared" si="7"/>
        <v>5924.6599470000001</v>
      </c>
    </row>
    <row r="53" spans="1:22" x14ac:dyDescent="0.25">
      <c r="A53" s="454">
        <v>39783</v>
      </c>
      <c r="B53" s="457">
        <v>3.1154510000000002</v>
      </c>
      <c r="C53" s="481">
        <v>1197.08605672</v>
      </c>
      <c r="D53" s="457">
        <v>0</v>
      </c>
      <c r="E53" s="457">
        <v>0</v>
      </c>
      <c r="F53" s="457">
        <f t="shared" si="3"/>
        <v>3.1154510000000002</v>
      </c>
      <c r="G53" s="458">
        <f t="shared" si="0"/>
        <v>1197.08605672</v>
      </c>
      <c r="H53" s="29">
        <f t="shared" si="1"/>
        <v>2008</v>
      </c>
      <c r="I53" s="29" t="str">
        <f t="shared" si="2"/>
        <v>4</v>
      </c>
      <c r="T53" s="479">
        <f t="shared" si="6"/>
        <v>2022</v>
      </c>
      <c r="U53" s="475">
        <f t="shared" si="8"/>
        <v>13.451525954000001</v>
      </c>
      <c r="V53" s="476">
        <f t="shared" si="7"/>
        <v>6855.199075999999</v>
      </c>
    </row>
    <row r="54" spans="1:22" x14ac:dyDescent="0.25">
      <c r="A54" s="454">
        <v>39873</v>
      </c>
      <c r="B54" s="455">
        <v>2.9973230000000002</v>
      </c>
      <c r="C54" s="480">
        <v>1003.55684931</v>
      </c>
      <c r="D54" s="455">
        <v>0</v>
      </c>
      <c r="E54" s="455">
        <v>0</v>
      </c>
      <c r="F54" s="455">
        <f t="shared" si="3"/>
        <v>2.9973230000000002</v>
      </c>
      <c r="G54" s="456">
        <f t="shared" si="0"/>
        <v>1003.55684931</v>
      </c>
      <c r="H54" s="29">
        <f t="shared" si="1"/>
        <v>2009</v>
      </c>
      <c r="I54" s="29" t="str">
        <f t="shared" si="2"/>
        <v>1</v>
      </c>
      <c r="T54" s="479">
        <f t="shared" si="6"/>
        <v>2023</v>
      </c>
      <c r="U54" s="477">
        <f t="shared" si="8"/>
        <v>12.733554529999999</v>
      </c>
      <c r="V54" s="478">
        <f t="shared" si="7"/>
        <v>6566.738464</v>
      </c>
    </row>
    <row r="55" spans="1:22" x14ac:dyDescent="0.25">
      <c r="A55" s="454">
        <v>39965</v>
      </c>
      <c r="B55" s="457">
        <v>3.015393</v>
      </c>
      <c r="C55" s="481">
        <v>915.16211041999998</v>
      </c>
      <c r="D55" s="457">
        <v>0</v>
      </c>
      <c r="E55" s="457">
        <v>0</v>
      </c>
      <c r="F55" s="457">
        <f t="shared" si="3"/>
        <v>3.015393</v>
      </c>
      <c r="G55" s="458">
        <f t="shared" si="0"/>
        <v>915.16211041999998</v>
      </c>
      <c r="H55" s="29">
        <f t="shared" si="1"/>
        <v>2009</v>
      </c>
      <c r="I55" s="29" t="str">
        <f t="shared" si="2"/>
        <v>2</v>
      </c>
      <c r="T55" s="479">
        <f>IF($U$34="Calendar Year", T56-1, LEFT(T56,4)-1 &amp; "-" &amp; MID(T56,3,2))</f>
        <v>2024</v>
      </c>
      <c r="U55" s="475">
        <f t="shared" si="8"/>
        <v>11.422483994</v>
      </c>
      <c r="V55" s="476">
        <f t="shared" si="7"/>
        <v>7367.9030139999995</v>
      </c>
    </row>
    <row r="56" spans="1:22" ht="15.75" thickBot="1" x14ac:dyDescent="0.3">
      <c r="A56" s="454">
        <v>40057</v>
      </c>
      <c r="B56" s="455">
        <v>3.1684800000000002</v>
      </c>
      <c r="C56" s="480">
        <v>930.12488985000005</v>
      </c>
      <c r="D56" s="455">
        <v>0</v>
      </c>
      <c r="E56" s="455">
        <v>0</v>
      </c>
      <c r="F56" s="455">
        <f t="shared" si="3"/>
        <v>3.1684800000000002</v>
      </c>
      <c r="G56" s="456">
        <f t="shared" si="0"/>
        <v>930.12488985000005</v>
      </c>
      <c r="H56" s="29">
        <f t="shared" si="1"/>
        <v>2009</v>
      </c>
      <c r="I56" s="29" t="str">
        <f t="shared" si="2"/>
        <v>3</v>
      </c>
      <c r="N56" s="2"/>
      <c r="T56" s="482">
        <f>IF($U$34="Calendar Year",
    YEAR(LARGE(A:A, 4)),
    IF(MONTH(LARGE(A:A, 4))&gt;6,
        YEAR(LARGE(A:A, 4)) &amp; "-" &amp; RIGHT(YEAR(LARGE(A:A, 4))+1, 2),
        YEAR(LARGE(A:A, 4))-1 &amp; "-" &amp; RIGHT(YEAR(LARGE(A:A, 4)), 2)
    ))</f>
        <v>2025</v>
      </c>
      <c r="U56" s="483">
        <f t="shared" si="8"/>
        <v>10.998568907999999</v>
      </c>
      <c r="V56" s="484">
        <f t="shared" si="7"/>
        <v>7702.5620019999988</v>
      </c>
    </row>
    <row r="57" spans="1:22" x14ac:dyDescent="0.25">
      <c r="A57" s="454">
        <v>40148</v>
      </c>
      <c r="B57" s="457">
        <v>3.240774</v>
      </c>
      <c r="C57" s="481">
        <v>951.92965960000004</v>
      </c>
      <c r="D57" s="457">
        <v>0</v>
      </c>
      <c r="E57" s="457">
        <v>0</v>
      </c>
      <c r="F57" s="457">
        <f t="shared" si="3"/>
        <v>3.240774</v>
      </c>
      <c r="G57" s="458">
        <f t="shared" si="0"/>
        <v>951.92965960000004</v>
      </c>
      <c r="H57" s="29">
        <f t="shared" si="1"/>
        <v>2009</v>
      </c>
      <c r="I57" s="29" t="str">
        <f t="shared" si="2"/>
        <v>4</v>
      </c>
      <c r="T57" s="485"/>
      <c r="U57" s="475"/>
      <c r="V57" s="198"/>
    </row>
    <row r="58" spans="1:22" x14ac:dyDescent="0.25">
      <c r="A58" s="454">
        <v>40238</v>
      </c>
      <c r="B58" s="455">
        <v>3.0067400000000002</v>
      </c>
      <c r="C58" s="480">
        <v>951.88239245</v>
      </c>
      <c r="D58" s="455">
        <v>0</v>
      </c>
      <c r="E58" s="455">
        <v>0</v>
      </c>
      <c r="F58" s="455">
        <f t="shared" si="3"/>
        <v>3.0067400000000002</v>
      </c>
      <c r="G58" s="456">
        <f t="shared" si="0"/>
        <v>951.88239245</v>
      </c>
      <c r="H58" s="29">
        <f t="shared" si="1"/>
        <v>2010</v>
      </c>
      <c r="I58" s="29" t="str">
        <f t="shared" si="2"/>
        <v>1</v>
      </c>
      <c r="O58" s="2"/>
      <c r="P58" s="2"/>
      <c r="T58" s="485"/>
      <c r="U58" s="475"/>
      <c r="V58" s="198"/>
    </row>
    <row r="59" spans="1:22" x14ac:dyDescent="0.25">
      <c r="A59" s="454">
        <v>40330</v>
      </c>
      <c r="B59" s="457">
        <v>3.2271839999999998</v>
      </c>
      <c r="C59" s="481">
        <v>1037.25485976</v>
      </c>
      <c r="D59" s="457">
        <v>0</v>
      </c>
      <c r="E59" s="457">
        <v>0</v>
      </c>
      <c r="F59" s="457">
        <f t="shared" si="3"/>
        <v>3.2271839999999998</v>
      </c>
      <c r="G59" s="458">
        <f t="shared" si="0"/>
        <v>1037.25485976</v>
      </c>
      <c r="H59" s="29">
        <f t="shared" si="1"/>
        <v>2010</v>
      </c>
      <c r="I59" s="29" t="str">
        <f t="shared" si="2"/>
        <v>2</v>
      </c>
      <c r="T59" s="485"/>
      <c r="U59" s="475"/>
      <c r="V59" s="198"/>
    </row>
    <row r="60" spans="1:22" x14ac:dyDescent="0.25">
      <c r="A60" s="454">
        <v>40422</v>
      </c>
      <c r="B60" s="455">
        <v>3.1595629999999999</v>
      </c>
      <c r="C60" s="480">
        <v>971.95403041000009</v>
      </c>
      <c r="D60" s="455">
        <v>0</v>
      </c>
      <c r="E60" s="455">
        <v>0</v>
      </c>
      <c r="F60" s="455">
        <f t="shared" si="3"/>
        <v>3.1595629999999999</v>
      </c>
      <c r="G60" s="456">
        <f t="shared" si="0"/>
        <v>971.95403041000009</v>
      </c>
      <c r="H60" s="29">
        <f t="shared" si="1"/>
        <v>2010</v>
      </c>
      <c r="I60" s="29" t="str">
        <f t="shared" si="2"/>
        <v>3</v>
      </c>
      <c r="T60" s="485"/>
      <c r="U60" s="475"/>
      <c r="V60" s="198"/>
    </row>
    <row r="61" spans="1:22" x14ac:dyDescent="0.25">
      <c r="A61" s="454">
        <v>40513</v>
      </c>
      <c r="B61" s="457">
        <v>3.1697980000000001</v>
      </c>
      <c r="C61" s="481">
        <v>998.32346820999999</v>
      </c>
      <c r="D61" s="457">
        <v>0</v>
      </c>
      <c r="E61" s="457">
        <v>0</v>
      </c>
      <c r="F61" s="457">
        <f t="shared" si="3"/>
        <v>3.1697980000000001</v>
      </c>
      <c r="G61" s="458">
        <f t="shared" si="0"/>
        <v>998.32346820999999</v>
      </c>
      <c r="H61" s="29">
        <f t="shared" si="1"/>
        <v>2010</v>
      </c>
      <c r="I61" s="29" t="str">
        <f t="shared" si="2"/>
        <v>4</v>
      </c>
      <c r="T61" s="485"/>
      <c r="U61" s="475"/>
      <c r="V61" s="198"/>
    </row>
    <row r="62" spans="1:22" x14ac:dyDescent="0.25">
      <c r="A62" s="454">
        <v>40603</v>
      </c>
      <c r="B62" s="455">
        <v>2.903823</v>
      </c>
      <c r="C62" s="480">
        <v>984.45788799999991</v>
      </c>
      <c r="D62" s="455">
        <v>0</v>
      </c>
      <c r="E62" s="455">
        <v>0</v>
      </c>
      <c r="F62" s="455">
        <f t="shared" si="3"/>
        <v>2.903823</v>
      </c>
      <c r="G62" s="456">
        <f t="shared" si="0"/>
        <v>984.45788799999991</v>
      </c>
      <c r="H62" s="29">
        <f t="shared" si="1"/>
        <v>2011</v>
      </c>
      <c r="I62" s="29" t="str">
        <f t="shared" si="2"/>
        <v>1</v>
      </c>
      <c r="T62" s="487"/>
      <c r="U62" s="486"/>
    </row>
    <row r="63" spans="1:22" x14ac:dyDescent="0.25">
      <c r="A63" s="454">
        <v>40695</v>
      </c>
      <c r="B63" s="457">
        <v>3.0474449999999997</v>
      </c>
      <c r="C63" s="481">
        <v>1035.640989</v>
      </c>
      <c r="D63" s="457">
        <v>0</v>
      </c>
      <c r="E63" s="457">
        <v>0</v>
      </c>
      <c r="F63" s="457">
        <f t="shared" si="3"/>
        <v>3.0474449999999997</v>
      </c>
      <c r="G63" s="458">
        <f t="shared" si="0"/>
        <v>1035.640989</v>
      </c>
      <c r="H63" s="29">
        <f t="shared" si="1"/>
        <v>2011</v>
      </c>
      <c r="I63" s="29" t="str">
        <f t="shared" si="2"/>
        <v>2</v>
      </c>
    </row>
    <row r="64" spans="1:22" x14ac:dyDescent="0.25">
      <c r="A64" s="454">
        <v>40787</v>
      </c>
      <c r="B64" s="455">
        <v>3.1583139999999998</v>
      </c>
      <c r="C64" s="480">
        <v>1077.379412</v>
      </c>
      <c r="D64" s="455">
        <v>0</v>
      </c>
      <c r="E64" s="455">
        <v>0</v>
      </c>
      <c r="F64" s="455">
        <f t="shared" si="3"/>
        <v>3.1583139999999998</v>
      </c>
      <c r="G64" s="456">
        <f t="shared" si="0"/>
        <v>1077.379412</v>
      </c>
      <c r="H64" s="29">
        <f t="shared" si="1"/>
        <v>2011</v>
      </c>
      <c r="I64" s="29" t="str">
        <f t="shared" si="2"/>
        <v>3</v>
      </c>
    </row>
    <row r="65" spans="1:9" x14ac:dyDescent="0.25">
      <c r="A65" s="454">
        <v>40878</v>
      </c>
      <c r="B65" s="457">
        <v>3.181902</v>
      </c>
      <c r="C65" s="481">
        <v>1091.9873909999999</v>
      </c>
      <c r="D65" s="457">
        <v>0</v>
      </c>
      <c r="E65" s="457">
        <v>0</v>
      </c>
      <c r="F65" s="457">
        <f t="shared" si="3"/>
        <v>3.181902</v>
      </c>
      <c r="G65" s="458">
        <f t="shared" si="0"/>
        <v>1091.9873909999999</v>
      </c>
      <c r="H65" s="29">
        <f t="shared" si="1"/>
        <v>2011</v>
      </c>
      <c r="I65" s="29" t="str">
        <f t="shared" si="2"/>
        <v>4</v>
      </c>
    </row>
    <row r="66" spans="1:9" x14ac:dyDescent="0.25">
      <c r="A66" s="454">
        <v>40969</v>
      </c>
      <c r="B66" s="455">
        <v>3.13856044</v>
      </c>
      <c r="C66" s="480">
        <v>954.67792499999996</v>
      </c>
      <c r="D66" s="455">
        <v>0</v>
      </c>
      <c r="E66" s="455">
        <v>0</v>
      </c>
      <c r="F66" s="455">
        <f t="shared" si="3"/>
        <v>3.13856044</v>
      </c>
      <c r="G66" s="456">
        <f t="shared" si="0"/>
        <v>954.67792499999996</v>
      </c>
      <c r="H66" s="29">
        <f t="shared" si="1"/>
        <v>2012</v>
      </c>
      <c r="I66" s="29" t="str">
        <f t="shared" si="2"/>
        <v>1</v>
      </c>
    </row>
    <row r="67" spans="1:9" x14ac:dyDescent="0.25">
      <c r="A67" s="454">
        <v>41061</v>
      </c>
      <c r="B67" s="457">
        <v>2.9460838900000001</v>
      </c>
      <c r="C67" s="481">
        <v>886.17465399999992</v>
      </c>
      <c r="D67" s="457">
        <v>0</v>
      </c>
      <c r="E67" s="457">
        <v>0</v>
      </c>
      <c r="F67" s="457">
        <f t="shared" si="3"/>
        <v>2.9460838900000001</v>
      </c>
      <c r="G67" s="458">
        <f t="shared" si="0"/>
        <v>886.17465399999992</v>
      </c>
      <c r="H67" s="29">
        <f t="shared" si="1"/>
        <v>2012</v>
      </c>
      <c r="I67" s="29" t="str">
        <f t="shared" si="2"/>
        <v>2</v>
      </c>
    </row>
    <row r="68" spans="1:9" x14ac:dyDescent="0.25">
      <c r="A68" s="454">
        <v>41153</v>
      </c>
      <c r="B68" s="455">
        <v>3.3496731799999999</v>
      </c>
      <c r="C68" s="480">
        <v>999.30645299999992</v>
      </c>
      <c r="D68" s="455">
        <v>0</v>
      </c>
      <c r="E68" s="455">
        <v>0</v>
      </c>
      <c r="F68" s="455">
        <f t="shared" si="3"/>
        <v>3.3496731799999999</v>
      </c>
      <c r="G68" s="456">
        <f t="shared" si="0"/>
        <v>999.30645299999992</v>
      </c>
      <c r="H68" s="29">
        <f t="shared" si="1"/>
        <v>2012</v>
      </c>
      <c r="I68" s="29" t="str">
        <f t="shared" si="2"/>
        <v>3</v>
      </c>
    </row>
    <row r="69" spans="1:9" x14ac:dyDescent="0.25">
      <c r="A69" s="454">
        <v>41244</v>
      </c>
      <c r="B69" s="457">
        <v>3.3772318799999996</v>
      </c>
      <c r="C69" s="481">
        <v>990.98843999999997</v>
      </c>
      <c r="D69" s="457">
        <v>0</v>
      </c>
      <c r="E69" s="457">
        <v>0</v>
      </c>
      <c r="F69" s="457">
        <f t="shared" si="3"/>
        <v>3.3772318799999996</v>
      </c>
      <c r="G69" s="458">
        <f t="shared" si="0"/>
        <v>990.98843999999997</v>
      </c>
      <c r="H69" s="29">
        <f t="shared" si="1"/>
        <v>2012</v>
      </c>
      <c r="I69" s="29" t="str">
        <f t="shared" si="2"/>
        <v>4</v>
      </c>
    </row>
    <row r="70" spans="1:9" x14ac:dyDescent="0.25">
      <c r="A70" s="454">
        <v>41334</v>
      </c>
      <c r="B70" s="455">
        <v>3.3653829900000001</v>
      </c>
      <c r="C70" s="480">
        <v>1004.8829139999999</v>
      </c>
      <c r="D70" s="455">
        <v>0</v>
      </c>
      <c r="E70" s="455">
        <v>0</v>
      </c>
      <c r="F70" s="455">
        <f t="shared" si="3"/>
        <v>3.3653829900000001</v>
      </c>
      <c r="G70" s="456">
        <f t="shared" si="0"/>
        <v>1004.8829139999999</v>
      </c>
      <c r="H70" s="29">
        <f t="shared" si="1"/>
        <v>2013</v>
      </c>
      <c r="I70" s="29" t="str">
        <f t="shared" si="2"/>
        <v>1</v>
      </c>
    </row>
    <row r="71" spans="1:9" x14ac:dyDescent="0.25">
      <c r="A71" s="454">
        <v>41426</v>
      </c>
      <c r="B71" s="457">
        <v>3.4384641199999999</v>
      </c>
      <c r="C71" s="481">
        <v>1032.6324090000001</v>
      </c>
      <c r="D71" s="457">
        <v>0</v>
      </c>
      <c r="E71" s="457">
        <v>0</v>
      </c>
      <c r="F71" s="457">
        <f t="shared" si="3"/>
        <v>3.4384641199999999</v>
      </c>
      <c r="G71" s="458">
        <f t="shared" si="0"/>
        <v>1032.6324090000001</v>
      </c>
      <c r="H71" s="29">
        <f t="shared" si="1"/>
        <v>2013</v>
      </c>
      <c r="I71" s="29" t="str">
        <f t="shared" si="2"/>
        <v>2</v>
      </c>
    </row>
    <row r="72" spans="1:9" x14ac:dyDescent="0.25">
      <c r="A72" s="454">
        <v>41518</v>
      </c>
      <c r="B72" s="455">
        <v>3.3039522099999998</v>
      </c>
      <c r="C72" s="480">
        <v>1029.303087</v>
      </c>
      <c r="D72" s="455">
        <v>0</v>
      </c>
      <c r="E72" s="455">
        <v>0</v>
      </c>
      <c r="F72" s="455">
        <f t="shared" si="3"/>
        <v>3.3039522099999998</v>
      </c>
      <c r="G72" s="456">
        <f t="shared" si="0"/>
        <v>1029.303087</v>
      </c>
      <c r="H72" s="29">
        <f t="shared" si="1"/>
        <v>2013</v>
      </c>
      <c r="I72" s="29" t="str">
        <f t="shared" si="2"/>
        <v>3</v>
      </c>
    </row>
    <row r="73" spans="1:9" x14ac:dyDescent="0.25">
      <c r="A73" s="454">
        <v>41609</v>
      </c>
      <c r="B73" s="457">
        <v>3.5179042099999998</v>
      </c>
      <c r="C73" s="481">
        <v>1080.232483</v>
      </c>
      <c r="D73" s="457">
        <v>0</v>
      </c>
      <c r="E73" s="457">
        <v>0</v>
      </c>
      <c r="F73" s="457">
        <f t="shared" si="3"/>
        <v>3.5179042099999998</v>
      </c>
      <c r="G73" s="458">
        <f t="shared" si="0"/>
        <v>1080.232483</v>
      </c>
      <c r="H73" s="29">
        <f t="shared" si="1"/>
        <v>2013</v>
      </c>
      <c r="I73" s="29" t="str">
        <f t="shared" si="2"/>
        <v>4</v>
      </c>
    </row>
    <row r="74" spans="1:9" x14ac:dyDescent="0.25">
      <c r="A74" s="454">
        <v>41699</v>
      </c>
      <c r="B74" s="455">
        <v>3.4847233900000001</v>
      </c>
      <c r="C74" s="480">
        <v>1117.855249</v>
      </c>
      <c r="D74" s="455">
        <v>0</v>
      </c>
      <c r="E74" s="455">
        <v>0</v>
      </c>
      <c r="F74" s="455">
        <f t="shared" si="3"/>
        <v>3.4847233900000001</v>
      </c>
      <c r="G74" s="456">
        <f t="shared" ref="G74:G89" si="9">SUM(C74+E74)</f>
        <v>1117.855249</v>
      </c>
      <c r="H74" s="29">
        <f t="shared" ref="H74:H137" si="10">YEAR(A74)</f>
        <v>2014</v>
      </c>
      <c r="I74" s="29" t="str">
        <f t="shared" ref="I74:I137" si="11">IF(MONTH(A74)=3,"1",IF(MONTH(A74)=6,"2",IF(MONTH(A74)=9,"3","4")))</f>
        <v>1</v>
      </c>
    </row>
    <row r="75" spans="1:9" x14ac:dyDescent="0.25">
      <c r="A75" s="454">
        <v>41791</v>
      </c>
      <c r="B75" s="457">
        <v>3.41137187</v>
      </c>
      <c r="C75" s="481">
        <v>1067.9578799999999</v>
      </c>
      <c r="D75" s="457">
        <v>0</v>
      </c>
      <c r="E75" s="457">
        <v>0</v>
      </c>
      <c r="F75" s="457">
        <f t="shared" ref="F75:F89" si="12">SUM(B75+D75)</f>
        <v>3.41137187</v>
      </c>
      <c r="G75" s="458">
        <f t="shared" si="9"/>
        <v>1067.9578799999999</v>
      </c>
      <c r="H75" s="29">
        <f t="shared" si="10"/>
        <v>2014</v>
      </c>
      <c r="I75" s="29" t="str">
        <f t="shared" si="11"/>
        <v>2</v>
      </c>
    </row>
    <row r="76" spans="1:9" x14ac:dyDescent="0.25">
      <c r="A76" s="454">
        <v>41883</v>
      </c>
      <c r="B76" s="455">
        <v>3.379305</v>
      </c>
      <c r="C76" s="480">
        <v>1081.011272</v>
      </c>
      <c r="D76" s="455">
        <v>0</v>
      </c>
      <c r="E76" s="455">
        <v>0</v>
      </c>
      <c r="F76" s="455">
        <f t="shared" si="12"/>
        <v>3.379305</v>
      </c>
      <c r="G76" s="456">
        <f t="shared" si="9"/>
        <v>1081.011272</v>
      </c>
      <c r="H76" s="29">
        <f t="shared" si="10"/>
        <v>2014</v>
      </c>
      <c r="I76" s="29" t="str">
        <f t="shared" si="11"/>
        <v>3</v>
      </c>
    </row>
    <row r="77" spans="1:9" x14ac:dyDescent="0.25">
      <c r="A77" s="454">
        <v>41974</v>
      </c>
      <c r="B77" s="457">
        <v>3.6014459999999997</v>
      </c>
      <c r="C77" s="481">
        <v>1294.9147579999999</v>
      </c>
      <c r="D77" s="457">
        <v>0</v>
      </c>
      <c r="E77" s="457">
        <v>0</v>
      </c>
      <c r="F77" s="457">
        <f t="shared" si="12"/>
        <v>3.6014459999999997</v>
      </c>
      <c r="G77" s="458">
        <f t="shared" si="9"/>
        <v>1294.9147579999999</v>
      </c>
      <c r="H77" s="29">
        <f t="shared" si="10"/>
        <v>2014</v>
      </c>
      <c r="I77" s="29" t="str">
        <f t="shared" si="11"/>
        <v>4</v>
      </c>
    </row>
    <row r="78" spans="1:9" x14ac:dyDescent="0.25">
      <c r="A78" s="454">
        <v>42064</v>
      </c>
      <c r="B78" s="455">
        <v>3.2643786459999999</v>
      </c>
      <c r="C78" s="480">
        <v>1275.4519759999998</v>
      </c>
      <c r="D78" s="455">
        <v>0</v>
      </c>
      <c r="E78" s="455">
        <v>0</v>
      </c>
      <c r="F78" s="455">
        <f t="shared" si="12"/>
        <v>3.2643786459999999</v>
      </c>
      <c r="G78" s="456">
        <f t="shared" si="9"/>
        <v>1275.4519759999998</v>
      </c>
      <c r="H78" s="29">
        <f t="shared" si="10"/>
        <v>2015</v>
      </c>
      <c r="I78" s="29" t="str">
        <f t="shared" si="11"/>
        <v>1</v>
      </c>
    </row>
    <row r="79" spans="1:9" x14ac:dyDescent="0.25">
      <c r="A79" s="454">
        <v>42156</v>
      </c>
      <c r="B79" s="457">
        <v>3.5262826299999999</v>
      </c>
      <c r="C79" s="481">
        <v>1371.343212</v>
      </c>
      <c r="D79" s="457">
        <v>0</v>
      </c>
      <c r="E79" s="457">
        <v>0</v>
      </c>
      <c r="F79" s="457">
        <f t="shared" si="12"/>
        <v>3.5262826299999999</v>
      </c>
      <c r="G79" s="458">
        <f t="shared" si="9"/>
        <v>1371.343212</v>
      </c>
      <c r="H79" s="29">
        <f t="shared" si="10"/>
        <v>2015</v>
      </c>
      <c r="I79" s="29" t="str">
        <f t="shared" si="11"/>
        <v>2</v>
      </c>
    </row>
    <row r="80" spans="1:9" x14ac:dyDescent="0.25">
      <c r="A80" s="454">
        <v>42248</v>
      </c>
      <c r="B80" s="455">
        <v>3.4379359999999997</v>
      </c>
      <c r="C80" s="480">
        <v>1375.346898</v>
      </c>
      <c r="D80" s="455">
        <v>0</v>
      </c>
      <c r="E80" s="455">
        <v>0</v>
      </c>
      <c r="F80" s="455">
        <f t="shared" si="12"/>
        <v>3.4379359999999997</v>
      </c>
      <c r="G80" s="456">
        <f t="shared" si="9"/>
        <v>1375.346898</v>
      </c>
      <c r="H80" s="29">
        <f t="shared" si="10"/>
        <v>2015</v>
      </c>
      <c r="I80" s="29" t="str">
        <f t="shared" si="11"/>
        <v>3</v>
      </c>
    </row>
    <row r="81" spans="1:9" x14ac:dyDescent="0.25">
      <c r="A81" s="454">
        <v>42339</v>
      </c>
      <c r="B81" s="457">
        <v>3.5498963099999998</v>
      </c>
      <c r="C81" s="481">
        <v>1268.240526</v>
      </c>
      <c r="D81" s="457">
        <v>0</v>
      </c>
      <c r="E81" s="457">
        <v>0</v>
      </c>
      <c r="F81" s="457">
        <f t="shared" si="12"/>
        <v>3.5498963099999998</v>
      </c>
      <c r="G81" s="458">
        <f t="shared" si="9"/>
        <v>1268.240526</v>
      </c>
      <c r="H81" s="29">
        <f t="shared" si="10"/>
        <v>2015</v>
      </c>
      <c r="I81" s="29" t="str">
        <f t="shared" si="11"/>
        <v>4</v>
      </c>
    </row>
    <row r="82" spans="1:9" x14ac:dyDescent="0.25">
      <c r="A82" s="454">
        <v>42430</v>
      </c>
      <c r="B82" s="455">
        <v>3.4384387799999998</v>
      </c>
      <c r="C82" s="480">
        <v>1095.593916</v>
      </c>
      <c r="D82" s="455">
        <v>0</v>
      </c>
      <c r="E82" s="455">
        <v>0</v>
      </c>
      <c r="F82" s="455">
        <f t="shared" si="12"/>
        <v>3.4384387799999998</v>
      </c>
      <c r="G82" s="456">
        <f t="shared" si="9"/>
        <v>1095.593916</v>
      </c>
      <c r="H82" s="29">
        <f t="shared" si="10"/>
        <v>2016</v>
      </c>
      <c r="I82" s="29" t="str">
        <f t="shared" si="11"/>
        <v>1</v>
      </c>
    </row>
    <row r="83" spans="1:9" x14ac:dyDescent="0.25">
      <c r="A83" s="454">
        <v>42522</v>
      </c>
      <c r="B83" s="457">
        <v>3.4672684299999998</v>
      </c>
      <c r="C83" s="481">
        <v>1191.569823</v>
      </c>
      <c r="D83" s="457">
        <v>4.7702999999999995E-2</v>
      </c>
      <c r="E83" s="457">
        <v>1.9525999999999999</v>
      </c>
      <c r="F83" s="457">
        <f t="shared" si="12"/>
        <v>3.5149714299999997</v>
      </c>
      <c r="G83" s="458">
        <f t="shared" si="9"/>
        <v>1193.5224230000001</v>
      </c>
      <c r="H83" s="29">
        <f t="shared" si="10"/>
        <v>2016</v>
      </c>
      <c r="I83" s="29" t="str">
        <f t="shared" si="11"/>
        <v>2</v>
      </c>
    </row>
    <row r="84" spans="1:9" x14ac:dyDescent="0.25">
      <c r="A84" s="454">
        <v>42614</v>
      </c>
      <c r="B84" s="455">
        <v>3.4676228299999998</v>
      </c>
      <c r="C84" s="480">
        <v>1120.572032</v>
      </c>
      <c r="D84" s="455">
        <v>0</v>
      </c>
      <c r="E84" s="455">
        <v>0</v>
      </c>
      <c r="F84" s="455">
        <f t="shared" si="12"/>
        <v>3.4676228299999998</v>
      </c>
      <c r="G84" s="456">
        <f t="shared" si="9"/>
        <v>1120.572032</v>
      </c>
      <c r="H84" s="29">
        <f t="shared" si="10"/>
        <v>2016</v>
      </c>
      <c r="I84" s="29" t="str">
        <f t="shared" si="11"/>
        <v>3</v>
      </c>
    </row>
    <row r="85" spans="1:9" x14ac:dyDescent="0.25">
      <c r="A85" s="454">
        <v>42705</v>
      </c>
      <c r="B85" s="457">
        <v>3.4564438499999999</v>
      </c>
      <c r="C85" s="481">
        <v>1172.5128729999999</v>
      </c>
      <c r="D85" s="457">
        <v>4.4611999999999999E-2</v>
      </c>
      <c r="E85" s="457">
        <v>1.994435</v>
      </c>
      <c r="F85" s="457">
        <f t="shared" si="12"/>
        <v>3.5010558499999997</v>
      </c>
      <c r="G85" s="458">
        <f t="shared" si="9"/>
        <v>1174.507308</v>
      </c>
      <c r="H85" s="29">
        <f t="shared" si="10"/>
        <v>2016</v>
      </c>
      <c r="I85" s="29" t="str">
        <f t="shared" si="11"/>
        <v>4</v>
      </c>
    </row>
    <row r="86" spans="1:9" x14ac:dyDescent="0.25">
      <c r="A86" s="454">
        <v>42795</v>
      </c>
      <c r="B86" s="455">
        <v>3.4658780600000001</v>
      </c>
      <c r="C86" s="480">
        <v>1422.759834</v>
      </c>
      <c r="D86" s="455">
        <v>8.9477000000000001E-2</v>
      </c>
      <c r="E86" s="455">
        <v>4.1782180000000002</v>
      </c>
      <c r="F86" s="455">
        <f t="shared" si="12"/>
        <v>3.5553550600000001</v>
      </c>
      <c r="G86" s="456">
        <f t="shared" si="9"/>
        <v>1426.938052</v>
      </c>
      <c r="H86" s="29">
        <f t="shared" si="10"/>
        <v>2017</v>
      </c>
      <c r="I86" s="29" t="str">
        <f t="shared" si="11"/>
        <v>1</v>
      </c>
    </row>
    <row r="87" spans="1:9" x14ac:dyDescent="0.25">
      <c r="A87" s="454">
        <v>42887</v>
      </c>
      <c r="B87" s="457">
        <v>3.4654370299999995</v>
      </c>
      <c r="C87" s="481">
        <v>1357.932712</v>
      </c>
      <c r="D87" s="457">
        <v>0.17625152999999999</v>
      </c>
      <c r="E87" s="457">
        <v>8.3908159999999992</v>
      </c>
      <c r="F87" s="457">
        <f t="shared" si="12"/>
        <v>3.6416885599999995</v>
      </c>
      <c r="G87" s="458">
        <f t="shared" si="9"/>
        <v>1366.3235280000001</v>
      </c>
      <c r="H87" s="29">
        <f t="shared" si="10"/>
        <v>2017</v>
      </c>
      <c r="I87" s="29" t="str">
        <f t="shared" si="11"/>
        <v>2</v>
      </c>
    </row>
    <row r="88" spans="1:9" x14ac:dyDescent="0.25">
      <c r="A88" s="454">
        <v>42979</v>
      </c>
      <c r="B88" s="455">
        <v>3.4844169599999999</v>
      </c>
      <c r="C88" s="480">
        <v>1342.271626</v>
      </c>
      <c r="D88" s="455">
        <v>0.16675714</v>
      </c>
      <c r="E88" s="455">
        <v>7.6937369999999996</v>
      </c>
      <c r="F88" s="455">
        <f t="shared" si="12"/>
        <v>3.6511741</v>
      </c>
      <c r="G88" s="456">
        <f t="shared" si="9"/>
        <v>1349.965363</v>
      </c>
      <c r="H88" s="29">
        <f t="shared" si="10"/>
        <v>2017</v>
      </c>
      <c r="I88" s="29" t="str">
        <f t="shared" si="11"/>
        <v>3</v>
      </c>
    </row>
    <row r="89" spans="1:9" x14ac:dyDescent="0.25">
      <c r="A89" s="488">
        <v>43070</v>
      </c>
      <c r="B89" s="489">
        <v>3.4312720099999998</v>
      </c>
      <c r="C89" s="490">
        <v>1716.5518479999998</v>
      </c>
      <c r="D89" s="491">
        <v>0.39151671999999993</v>
      </c>
      <c r="E89" s="491">
        <v>18.571061</v>
      </c>
      <c r="F89" s="457">
        <f t="shared" si="12"/>
        <v>3.8227887299999996</v>
      </c>
      <c r="G89" s="458">
        <f t="shared" si="9"/>
        <v>1735.1229089999999</v>
      </c>
      <c r="H89" s="29">
        <f t="shared" si="10"/>
        <v>2017</v>
      </c>
      <c r="I89" s="29" t="str">
        <f t="shared" si="11"/>
        <v>4</v>
      </c>
    </row>
    <row r="90" spans="1:9" x14ac:dyDescent="0.25">
      <c r="A90" s="488">
        <v>43160</v>
      </c>
      <c r="B90" s="492">
        <v>3.3520076799999998</v>
      </c>
      <c r="C90" s="493">
        <v>1597.209987</v>
      </c>
      <c r="D90" s="494">
        <v>0.21968036999999999</v>
      </c>
      <c r="E90" s="494">
        <v>8.2947639999999989</v>
      </c>
      <c r="F90" s="455">
        <f>SUM(B90+D90)</f>
        <v>3.5716880499999997</v>
      </c>
      <c r="G90" s="456">
        <f t="shared" ref="G90:G94" si="13">SUM(C90+E90)</f>
        <v>1605.5047509999999</v>
      </c>
      <c r="H90" s="29">
        <f t="shared" si="10"/>
        <v>2018</v>
      </c>
      <c r="I90" s="29" t="str">
        <f t="shared" si="11"/>
        <v>1</v>
      </c>
    </row>
    <row r="91" spans="1:9" x14ac:dyDescent="0.25">
      <c r="A91" s="488">
        <v>43252</v>
      </c>
      <c r="B91" s="489">
        <v>3.4017702999999995</v>
      </c>
      <c r="C91" s="490">
        <v>1940.7422359999998</v>
      </c>
      <c r="D91" s="491">
        <v>0.33936845999999998</v>
      </c>
      <c r="E91" s="491">
        <v>12.145389</v>
      </c>
      <c r="F91" s="457">
        <f>SUM(B91+D91)</f>
        <v>3.7411387599999992</v>
      </c>
      <c r="G91" s="458">
        <f t="shared" si="13"/>
        <v>1952.8876249999998</v>
      </c>
      <c r="H91" s="29">
        <f t="shared" si="10"/>
        <v>2018</v>
      </c>
      <c r="I91" s="29" t="str">
        <f t="shared" si="11"/>
        <v>2</v>
      </c>
    </row>
    <row r="92" spans="1:9" x14ac:dyDescent="0.25">
      <c r="A92" s="488">
        <v>43344</v>
      </c>
      <c r="B92" s="492">
        <v>3.2432132499999997</v>
      </c>
      <c r="C92" s="493">
        <v>2054.2811349999997</v>
      </c>
      <c r="D92" s="494">
        <v>0.37020375999999999</v>
      </c>
      <c r="E92" s="494">
        <v>13.896512</v>
      </c>
      <c r="F92" s="455">
        <f t="shared" ref="F92:G107" si="14">SUM(B92+D92)</f>
        <v>3.6134170099999996</v>
      </c>
      <c r="G92" s="456">
        <f t="shared" si="13"/>
        <v>2068.1776469999995</v>
      </c>
      <c r="H92" s="29">
        <f t="shared" si="10"/>
        <v>2018</v>
      </c>
      <c r="I92" s="29" t="str">
        <f t="shared" si="11"/>
        <v>3</v>
      </c>
    </row>
    <row r="93" spans="1:9" x14ac:dyDescent="0.25">
      <c r="A93" s="488">
        <v>43435</v>
      </c>
      <c r="B93" s="489">
        <v>3.5014398899999999</v>
      </c>
      <c r="C93" s="490">
        <v>2276.7042529999999</v>
      </c>
      <c r="D93" s="491">
        <v>0.55171008999999993</v>
      </c>
      <c r="E93" s="491">
        <v>21.580596999999997</v>
      </c>
      <c r="F93" s="457">
        <f t="shared" si="14"/>
        <v>4.0531499799999997</v>
      </c>
      <c r="G93" s="458">
        <f t="shared" si="13"/>
        <v>2298.28485</v>
      </c>
      <c r="H93" s="29">
        <f t="shared" si="10"/>
        <v>2018</v>
      </c>
      <c r="I93" s="29" t="str">
        <f t="shared" si="11"/>
        <v>4</v>
      </c>
    </row>
    <row r="94" spans="1:9" x14ac:dyDescent="0.25">
      <c r="A94" s="488">
        <v>43525</v>
      </c>
      <c r="B94" s="492">
        <v>3.3998536699999997</v>
      </c>
      <c r="C94" s="493">
        <v>1910.351537</v>
      </c>
      <c r="D94" s="494">
        <v>0.34243880999999998</v>
      </c>
      <c r="E94" s="494">
        <v>12.92347</v>
      </c>
      <c r="F94" s="455">
        <f t="shared" si="14"/>
        <v>3.7422924799999997</v>
      </c>
      <c r="G94" s="456">
        <f t="shared" si="13"/>
        <v>1923.275007</v>
      </c>
      <c r="H94" s="29">
        <f t="shared" si="10"/>
        <v>2019</v>
      </c>
      <c r="I94" s="29" t="str">
        <f t="shared" si="11"/>
        <v>1</v>
      </c>
    </row>
    <row r="95" spans="1:9" x14ac:dyDescent="0.25">
      <c r="A95" s="454">
        <v>43617</v>
      </c>
      <c r="B95" s="489">
        <v>3.4989377899999998</v>
      </c>
      <c r="C95" s="490">
        <v>1970.5268329999999</v>
      </c>
      <c r="D95" s="491">
        <v>0.51973578999999992</v>
      </c>
      <c r="E95" s="491">
        <v>19.176092000000001</v>
      </c>
      <c r="F95" s="457">
        <f t="shared" si="14"/>
        <v>4.0186735799999997</v>
      </c>
      <c r="G95" s="458">
        <f>SUM(C95+E95)</f>
        <v>1989.7029249999998</v>
      </c>
      <c r="H95" s="29">
        <f t="shared" si="10"/>
        <v>2019</v>
      </c>
      <c r="I95" s="29" t="str">
        <f t="shared" si="11"/>
        <v>2</v>
      </c>
    </row>
    <row r="96" spans="1:9" x14ac:dyDescent="0.25">
      <c r="A96" s="454">
        <v>43709</v>
      </c>
      <c r="B96" s="492">
        <v>3.4909009989999995</v>
      </c>
      <c r="C96" s="493">
        <v>1739.5283019999999</v>
      </c>
      <c r="D96" s="494">
        <v>0.45178889</v>
      </c>
      <c r="E96" s="494">
        <v>17.493641</v>
      </c>
      <c r="F96" s="455">
        <f t="shared" si="14"/>
        <v>3.9426898889999995</v>
      </c>
      <c r="G96" s="456">
        <f t="shared" si="14"/>
        <v>1757.021943</v>
      </c>
      <c r="H96" s="29">
        <f t="shared" si="10"/>
        <v>2019</v>
      </c>
      <c r="I96" s="29" t="str">
        <f t="shared" si="11"/>
        <v>3</v>
      </c>
    </row>
    <row r="97" spans="1:9" x14ac:dyDescent="0.25">
      <c r="A97" s="454">
        <v>43800</v>
      </c>
      <c r="B97" s="489">
        <v>3.630024964</v>
      </c>
      <c r="C97" s="490">
        <v>1670.898021</v>
      </c>
      <c r="D97" s="491">
        <v>0.55220254000000002</v>
      </c>
      <c r="E97" s="491">
        <v>20.312795999999999</v>
      </c>
      <c r="F97" s="457">
        <f>SUM(B97+D97)</f>
        <v>4.1822275040000001</v>
      </c>
      <c r="G97" s="458">
        <f t="shared" si="14"/>
        <v>1691.2108169999999</v>
      </c>
      <c r="H97" s="29">
        <f t="shared" si="10"/>
        <v>2019</v>
      </c>
      <c r="I97" s="29" t="str">
        <f t="shared" si="11"/>
        <v>4</v>
      </c>
    </row>
    <row r="98" spans="1:9" x14ac:dyDescent="0.25">
      <c r="A98" s="454">
        <v>43891</v>
      </c>
      <c r="B98" s="492">
        <v>3.4033569099999998</v>
      </c>
      <c r="C98" s="493">
        <v>1512.833613</v>
      </c>
      <c r="D98" s="494">
        <v>0.43855393999999998</v>
      </c>
      <c r="E98" s="494">
        <v>16.46583</v>
      </c>
      <c r="F98" s="455">
        <f t="shared" ref="F98:G113" si="15">SUM(B98+D98)</f>
        <v>3.8419108499999997</v>
      </c>
      <c r="G98" s="456">
        <f t="shared" si="14"/>
        <v>1529.2994430000001</v>
      </c>
      <c r="H98" s="29">
        <f t="shared" si="10"/>
        <v>2020</v>
      </c>
      <c r="I98" s="29" t="str">
        <f t="shared" si="11"/>
        <v>1</v>
      </c>
    </row>
    <row r="99" spans="1:9" x14ac:dyDescent="0.25">
      <c r="A99" s="454">
        <v>43983</v>
      </c>
      <c r="B99" s="489">
        <v>3.4961292999999998</v>
      </c>
      <c r="C99" s="490">
        <v>1428.5100069999999</v>
      </c>
      <c r="D99" s="491">
        <v>0.34629784000000002</v>
      </c>
      <c r="E99" s="491">
        <v>12.557993</v>
      </c>
      <c r="F99" s="457">
        <f t="shared" si="15"/>
        <v>3.8424271399999999</v>
      </c>
      <c r="G99" s="458">
        <f t="shared" si="14"/>
        <v>1441.0679999999998</v>
      </c>
      <c r="H99" s="29">
        <f t="shared" si="10"/>
        <v>2020</v>
      </c>
      <c r="I99" s="29" t="str">
        <f t="shared" si="11"/>
        <v>2</v>
      </c>
    </row>
    <row r="100" spans="1:9" x14ac:dyDescent="0.25">
      <c r="A100" s="488">
        <v>44075</v>
      </c>
      <c r="B100" s="492">
        <v>3.6563031800000001</v>
      </c>
      <c r="C100" s="493">
        <v>1444.9279429999999</v>
      </c>
      <c r="D100" s="494">
        <v>0.6434603499999999</v>
      </c>
      <c r="E100" s="494">
        <v>21.343789999999998</v>
      </c>
      <c r="F100" s="455">
        <f t="shared" si="15"/>
        <v>4.2997635299999999</v>
      </c>
      <c r="G100" s="456">
        <f t="shared" si="14"/>
        <v>1466.2717329999998</v>
      </c>
      <c r="H100" s="29">
        <f t="shared" si="10"/>
        <v>2020</v>
      </c>
      <c r="I100" s="29" t="str">
        <f t="shared" si="11"/>
        <v>3</v>
      </c>
    </row>
    <row r="101" spans="1:9" x14ac:dyDescent="0.25">
      <c r="A101" s="454">
        <v>44166</v>
      </c>
      <c r="B101" s="489">
        <v>3.6868202999999995</v>
      </c>
      <c r="C101" s="490">
        <v>1402.0276289999999</v>
      </c>
      <c r="D101" s="491">
        <v>0.52754917000000001</v>
      </c>
      <c r="E101" s="491">
        <v>17.073516999999999</v>
      </c>
      <c r="F101" s="457">
        <f t="shared" si="15"/>
        <v>4.2143694699999994</v>
      </c>
      <c r="G101" s="458">
        <f t="shared" si="14"/>
        <v>1419.101146</v>
      </c>
      <c r="H101" s="29">
        <f t="shared" si="10"/>
        <v>2020</v>
      </c>
      <c r="I101" s="29" t="str">
        <f t="shared" si="11"/>
        <v>4</v>
      </c>
    </row>
    <row r="102" spans="1:9" x14ac:dyDescent="0.25">
      <c r="A102" s="454">
        <v>44256</v>
      </c>
      <c r="B102" s="492">
        <v>3.4294637200000002</v>
      </c>
      <c r="C102" s="493">
        <v>1329.205856</v>
      </c>
      <c r="D102" s="494">
        <v>0.35992201000000001</v>
      </c>
      <c r="E102" s="494">
        <v>10.925967999999999</v>
      </c>
      <c r="F102" s="455">
        <f t="shared" si="15"/>
        <v>3.7893857300000002</v>
      </c>
      <c r="G102" s="456">
        <f t="shared" si="14"/>
        <v>1340.1318240000001</v>
      </c>
      <c r="H102" s="29">
        <f t="shared" si="10"/>
        <v>2021</v>
      </c>
      <c r="I102" s="29" t="str">
        <f t="shared" si="11"/>
        <v>1</v>
      </c>
    </row>
    <row r="103" spans="1:9" x14ac:dyDescent="0.25">
      <c r="A103" s="454">
        <v>44348</v>
      </c>
      <c r="B103" s="489">
        <v>3.5993354799999997</v>
      </c>
      <c r="C103" s="490">
        <v>1333.752796</v>
      </c>
      <c r="D103" s="491">
        <v>0.31315826000000002</v>
      </c>
      <c r="E103" s="491">
        <v>9.4585460000000001</v>
      </c>
      <c r="F103" s="457">
        <f t="shared" si="15"/>
        <v>3.9124937399999995</v>
      </c>
      <c r="G103" s="458">
        <f t="shared" si="14"/>
        <v>1343.2113420000001</v>
      </c>
      <c r="H103" s="29">
        <f t="shared" si="10"/>
        <v>2021</v>
      </c>
      <c r="I103" s="29" t="str">
        <f t="shared" si="11"/>
        <v>2</v>
      </c>
    </row>
    <row r="104" spans="1:9" x14ac:dyDescent="0.25">
      <c r="A104" s="454">
        <v>44440</v>
      </c>
      <c r="B104" s="492">
        <v>3.5555790499999995</v>
      </c>
      <c r="C104" s="493">
        <v>1381.34276</v>
      </c>
      <c r="D104" s="494">
        <v>0.22007804999999997</v>
      </c>
      <c r="E104" s="494">
        <v>6.8816629999999996</v>
      </c>
      <c r="F104" s="455">
        <f t="shared" si="15"/>
        <v>3.7756570999999997</v>
      </c>
      <c r="G104" s="456">
        <f t="shared" si="14"/>
        <v>1388.2244229999999</v>
      </c>
      <c r="H104" s="29">
        <f t="shared" si="10"/>
        <v>2021</v>
      </c>
      <c r="I104" s="29" t="str">
        <f t="shared" si="11"/>
        <v>3</v>
      </c>
    </row>
    <row r="105" spans="1:9" x14ac:dyDescent="0.25">
      <c r="A105" s="454">
        <v>44531</v>
      </c>
      <c r="B105" s="489">
        <v>3.6091434599999999</v>
      </c>
      <c r="C105" s="490">
        <v>1846.4437819999998</v>
      </c>
      <c r="D105" s="491">
        <v>0.17789217000000002</v>
      </c>
      <c r="E105" s="491">
        <v>6.6485759999999994</v>
      </c>
      <c r="F105" s="457">
        <f t="shared" si="15"/>
        <v>3.7870356300000001</v>
      </c>
      <c r="G105" s="458">
        <f t="shared" si="14"/>
        <v>1853.0923579999999</v>
      </c>
      <c r="H105" s="29">
        <f t="shared" si="10"/>
        <v>2021</v>
      </c>
      <c r="I105" s="29" t="str">
        <f t="shared" si="11"/>
        <v>4</v>
      </c>
    </row>
    <row r="106" spans="1:9" x14ac:dyDescent="0.25">
      <c r="A106" s="488">
        <v>44621</v>
      </c>
      <c r="B106" s="492">
        <v>3.2177186400000002</v>
      </c>
      <c r="C106" s="493">
        <v>1563.650234</v>
      </c>
      <c r="D106" s="494">
        <v>0</v>
      </c>
      <c r="E106" s="494">
        <v>0</v>
      </c>
      <c r="F106" s="494">
        <f t="shared" si="15"/>
        <v>3.2177186400000002</v>
      </c>
      <c r="G106" s="456">
        <f t="shared" si="14"/>
        <v>1563.650234</v>
      </c>
      <c r="H106" s="29">
        <f t="shared" si="10"/>
        <v>2022</v>
      </c>
      <c r="I106" s="29" t="str">
        <f t="shared" si="11"/>
        <v>1</v>
      </c>
    </row>
    <row r="107" spans="1:9" x14ac:dyDescent="0.25">
      <c r="A107" s="454">
        <v>44713</v>
      </c>
      <c r="B107" s="489">
        <v>3.5455891400000001</v>
      </c>
      <c r="C107" s="490">
        <v>1905.4720169999998</v>
      </c>
      <c r="D107" s="491">
        <v>0</v>
      </c>
      <c r="E107" s="491">
        <v>0</v>
      </c>
      <c r="F107" s="491">
        <f t="shared" si="15"/>
        <v>3.5455891400000001</v>
      </c>
      <c r="G107" s="495">
        <f t="shared" si="14"/>
        <v>1905.4720169999998</v>
      </c>
      <c r="H107" s="29">
        <f t="shared" si="10"/>
        <v>2022</v>
      </c>
      <c r="I107" s="29" t="str">
        <f t="shared" si="11"/>
        <v>2</v>
      </c>
    </row>
    <row r="108" spans="1:9" x14ac:dyDescent="0.25">
      <c r="A108" s="488">
        <v>44805</v>
      </c>
      <c r="B108" s="492">
        <v>3.3260595339999997</v>
      </c>
      <c r="C108" s="493">
        <v>1676.1088769999999</v>
      </c>
      <c r="D108" s="494">
        <v>0</v>
      </c>
      <c r="E108" s="494">
        <v>0</v>
      </c>
      <c r="F108" s="494">
        <f t="shared" si="15"/>
        <v>3.3260595339999997</v>
      </c>
      <c r="G108" s="456">
        <f t="shared" si="15"/>
        <v>1676.1088769999999</v>
      </c>
      <c r="H108" s="29">
        <f t="shared" si="10"/>
        <v>2022</v>
      </c>
      <c r="I108" s="29" t="str">
        <f t="shared" si="11"/>
        <v>3</v>
      </c>
    </row>
    <row r="109" spans="1:9" x14ac:dyDescent="0.25">
      <c r="A109" s="454">
        <v>44896</v>
      </c>
      <c r="B109" s="489">
        <v>3.3621586399999996</v>
      </c>
      <c r="C109" s="490">
        <v>1709.967948</v>
      </c>
      <c r="D109" s="491">
        <v>0</v>
      </c>
      <c r="E109" s="491">
        <v>0</v>
      </c>
      <c r="F109" s="491">
        <f t="shared" si="15"/>
        <v>3.3621586399999996</v>
      </c>
      <c r="G109" s="495">
        <f t="shared" si="15"/>
        <v>1709.967948</v>
      </c>
      <c r="H109" s="29">
        <f t="shared" si="10"/>
        <v>2022</v>
      </c>
      <c r="I109" s="29" t="str">
        <f t="shared" si="11"/>
        <v>4</v>
      </c>
    </row>
    <row r="110" spans="1:9" x14ac:dyDescent="0.25">
      <c r="A110" s="488">
        <v>44986</v>
      </c>
      <c r="B110" s="492">
        <v>3.114789</v>
      </c>
      <c r="C110" s="493">
        <v>1597.619553</v>
      </c>
      <c r="D110" s="494">
        <v>0</v>
      </c>
      <c r="E110" s="494">
        <v>0</v>
      </c>
      <c r="F110" s="494">
        <f t="shared" si="15"/>
        <v>3.114789</v>
      </c>
      <c r="G110" s="456">
        <f t="shared" si="15"/>
        <v>1597.619553</v>
      </c>
      <c r="H110" s="29">
        <f t="shared" si="10"/>
        <v>2023</v>
      </c>
      <c r="I110" s="29" t="str">
        <f t="shared" si="11"/>
        <v>1</v>
      </c>
    </row>
    <row r="111" spans="1:9" x14ac:dyDescent="0.25">
      <c r="A111" s="454">
        <v>45078</v>
      </c>
      <c r="B111" s="489">
        <v>3.23756982</v>
      </c>
      <c r="C111" s="490">
        <v>1700.0588969999999</v>
      </c>
      <c r="D111" s="491">
        <v>0</v>
      </c>
      <c r="E111" s="491">
        <v>0</v>
      </c>
      <c r="F111" s="491">
        <f t="shared" si="15"/>
        <v>3.23756982</v>
      </c>
      <c r="G111" s="495">
        <f t="shared" si="15"/>
        <v>1700.0588969999999</v>
      </c>
      <c r="H111" s="29">
        <f t="shared" si="10"/>
        <v>2023</v>
      </c>
      <c r="I111" s="29" t="str">
        <f t="shared" si="11"/>
        <v>2</v>
      </c>
    </row>
    <row r="112" spans="1:9" x14ac:dyDescent="0.25">
      <c r="A112" s="488">
        <v>45170</v>
      </c>
      <c r="B112" s="492">
        <v>3.1425676399999993</v>
      </c>
      <c r="C112" s="493">
        <v>1605.6851019999999</v>
      </c>
      <c r="D112" s="494">
        <v>0</v>
      </c>
      <c r="E112" s="494">
        <v>0</v>
      </c>
      <c r="F112" s="494">
        <f t="shared" si="15"/>
        <v>3.1425676399999993</v>
      </c>
      <c r="G112" s="456">
        <f t="shared" si="15"/>
        <v>1605.6851019999999</v>
      </c>
      <c r="H112" s="29">
        <f t="shared" si="10"/>
        <v>2023</v>
      </c>
      <c r="I112" s="29" t="str">
        <f t="shared" si="11"/>
        <v>3</v>
      </c>
    </row>
    <row r="113" spans="1:9" x14ac:dyDescent="0.25">
      <c r="A113" s="454">
        <v>45261</v>
      </c>
      <c r="B113" s="489">
        <v>3.2386280699999999</v>
      </c>
      <c r="C113" s="490">
        <v>1663.374912</v>
      </c>
      <c r="D113" s="491">
        <v>0</v>
      </c>
      <c r="E113" s="491">
        <v>0</v>
      </c>
      <c r="F113" s="491">
        <f t="shared" si="15"/>
        <v>3.2386280699999999</v>
      </c>
      <c r="G113" s="495">
        <f t="shared" si="15"/>
        <v>1663.374912</v>
      </c>
      <c r="H113" s="29">
        <f t="shared" si="10"/>
        <v>2023</v>
      </c>
      <c r="I113" s="29" t="str">
        <f t="shared" si="11"/>
        <v>4</v>
      </c>
    </row>
    <row r="114" spans="1:9" x14ac:dyDescent="0.25">
      <c r="A114" s="488">
        <v>45352</v>
      </c>
      <c r="B114" s="492">
        <v>3.0757063659999999</v>
      </c>
      <c r="C114" s="493">
        <v>1640.6019999999999</v>
      </c>
      <c r="D114" s="494">
        <v>0</v>
      </c>
      <c r="E114" s="494">
        <v>0</v>
      </c>
      <c r="F114" s="494">
        <f t="shared" ref="F114:F115" si="16">SUM(B114+D114)</f>
        <v>3.0757063659999999</v>
      </c>
      <c r="G114" s="456">
        <f t="shared" ref="G114:G115" si="17">SUM(C114+E114)</f>
        <v>1640.6019999999999</v>
      </c>
      <c r="H114" s="29">
        <f t="shared" si="10"/>
        <v>2024</v>
      </c>
      <c r="I114" s="29" t="str">
        <f t="shared" si="11"/>
        <v>1</v>
      </c>
    </row>
    <row r="115" spans="1:9" x14ac:dyDescent="0.25">
      <c r="A115" s="454">
        <v>45444</v>
      </c>
      <c r="B115" s="489">
        <v>2.9517268809999999</v>
      </c>
      <c r="C115" s="490">
        <v>1672.8161269999998</v>
      </c>
      <c r="D115" s="491">
        <v>0</v>
      </c>
      <c r="E115" s="491">
        <v>0</v>
      </c>
      <c r="F115" s="491">
        <f t="shared" si="16"/>
        <v>2.9517268809999999</v>
      </c>
      <c r="G115" s="495">
        <f t="shared" si="17"/>
        <v>1672.8161269999998</v>
      </c>
      <c r="H115" s="29">
        <f t="shared" si="10"/>
        <v>2024</v>
      </c>
      <c r="I115" s="29" t="str">
        <f t="shared" si="11"/>
        <v>2</v>
      </c>
    </row>
    <row r="116" spans="1:9" x14ac:dyDescent="0.25">
      <c r="A116" s="488">
        <v>45536</v>
      </c>
      <c r="B116" s="492">
        <v>2.5480270099999998</v>
      </c>
      <c r="C116" s="493">
        <v>1696.8085859999999</v>
      </c>
      <c r="D116" s="494">
        <v>0</v>
      </c>
      <c r="E116" s="494">
        <v>0</v>
      </c>
      <c r="F116" s="494">
        <f t="shared" ref="F116:F117" si="18">SUM(B116+D116)</f>
        <v>2.5480270099999998</v>
      </c>
      <c r="G116" s="456">
        <f t="shared" ref="G116:G117" si="19">SUM(C116+E116)</f>
        <v>1696.8085859999999</v>
      </c>
      <c r="H116" s="29">
        <f t="shared" si="10"/>
        <v>2024</v>
      </c>
      <c r="I116" s="29" t="str">
        <f t="shared" si="11"/>
        <v>3</v>
      </c>
    </row>
    <row r="117" spans="1:9" x14ac:dyDescent="0.25">
      <c r="A117" s="454">
        <v>45627</v>
      </c>
      <c r="B117" s="489">
        <v>2.8470237369999998</v>
      </c>
      <c r="C117" s="490">
        <v>2357.676301</v>
      </c>
      <c r="D117" s="491">
        <v>0</v>
      </c>
      <c r="E117" s="491">
        <v>0</v>
      </c>
      <c r="F117" s="491">
        <f t="shared" si="18"/>
        <v>2.8470237369999998</v>
      </c>
      <c r="G117" s="495">
        <f t="shared" si="19"/>
        <v>2357.676301</v>
      </c>
      <c r="H117" s="29">
        <f t="shared" si="10"/>
        <v>2024</v>
      </c>
      <c r="I117" s="29" t="str">
        <f t="shared" si="11"/>
        <v>4</v>
      </c>
    </row>
    <row r="118" spans="1:9" x14ac:dyDescent="0.25">
      <c r="A118" s="488">
        <v>45717</v>
      </c>
      <c r="B118" s="492">
        <v>2.605253705</v>
      </c>
      <c r="C118" s="493">
        <v>2243.6505609999999</v>
      </c>
      <c r="D118" s="494">
        <v>0</v>
      </c>
      <c r="E118" s="494">
        <v>0</v>
      </c>
      <c r="F118" s="494">
        <f t="shared" ref="F118:F119" si="20">SUM(B118+D118)</f>
        <v>2.605253705</v>
      </c>
      <c r="G118" s="456">
        <f t="shared" ref="G118:G119" si="21">SUM(C118+E118)</f>
        <v>2243.6505609999999</v>
      </c>
      <c r="H118" s="29">
        <f t="shared" si="10"/>
        <v>2025</v>
      </c>
      <c r="I118" s="29" t="str">
        <f t="shared" si="11"/>
        <v>1</v>
      </c>
    </row>
    <row r="119" spans="1:9" x14ac:dyDescent="0.25">
      <c r="A119" s="454">
        <v>45809</v>
      </c>
      <c r="B119" s="489">
        <v>2.8080183430000001</v>
      </c>
      <c r="C119" s="490">
        <v>1913.662024</v>
      </c>
      <c r="D119" s="491">
        <v>0</v>
      </c>
      <c r="E119" s="491">
        <v>0</v>
      </c>
      <c r="F119" s="491">
        <f t="shared" si="20"/>
        <v>2.8080183430000001</v>
      </c>
      <c r="G119" s="495">
        <f t="shared" si="21"/>
        <v>1913.662024</v>
      </c>
      <c r="H119" s="29">
        <f t="shared" si="10"/>
        <v>2025</v>
      </c>
      <c r="I119" s="29" t="str">
        <f t="shared" si="11"/>
        <v>2</v>
      </c>
    </row>
    <row r="120" spans="1:9" x14ac:dyDescent="0.25">
      <c r="A120" s="454">
        <v>45901</v>
      </c>
      <c r="B120" s="492">
        <v>2.71358685</v>
      </c>
      <c r="C120" s="493">
        <v>1799.3641239999999</v>
      </c>
      <c r="D120" s="494">
        <v>0</v>
      </c>
      <c r="E120" s="494">
        <v>0</v>
      </c>
      <c r="F120" s="494">
        <f t="shared" ref="F120:F121" si="22">SUM(B120+D120)</f>
        <v>2.71358685</v>
      </c>
      <c r="G120" s="496">
        <f t="shared" ref="G120:G121" si="23">SUM(C120+E120)</f>
        <v>1799.3641239999999</v>
      </c>
      <c r="H120" s="29">
        <f t="shared" si="10"/>
        <v>2025</v>
      </c>
      <c r="I120" s="29" t="str">
        <f t="shared" si="11"/>
        <v>3</v>
      </c>
    </row>
    <row r="121" spans="1:9" ht="15.75" thickBot="1" x14ac:dyDescent="0.3">
      <c r="A121" s="466">
        <v>45992</v>
      </c>
      <c r="B121" s="497">
        <v>2.8717100099999997</v>
      </c>
      <c r="C121" s="498">
        <v>1745.8852929999998</v>
      </c>
      <c r="D121" s="499">
        <v>0</v>
      </c>
      <c r="E121" s="499">
        <v>0</v>
      </c>
      <c r="F121" s="499">
        <f t="shared" si="22"/>
        <v>2.8717100099999997</v>
      </c>
      <c r="G121" s="500">
        <f t="shared" si="23"/>
        <v>1745.8852929999998</v>
      </c>
      <c r="H121" s="29">
        <f t="shared" si="10"/>
        <v>2025</v>
      </c>
      <c r="I121" s="29" t="str">
        <f t="shared" si="11"/>
        <v>4</v>
      </c>
    </row>
    <row r="122" spans="1:9" x14ac:dyDescent="0.25">
      <c r="C122" s="193"/>
      <c r="D122" s="29"/>
      <c r="E122" s="29"/>
      <c r="F122" s="29"/>
      <c r="G122" s="29"/>
      <c r="H122" s="29">
        <f t="shared" si="10"/>
        <v>1900</v>
      </c>
      <c r="I122" s="29" t="str">
        <f t="shared" si="11"/>
        <v>4</v>
      </c>
    </row>
    <row r="123" spans="1:9" x14ac:dyDescent="0.25">
      <c r="C123" s="193"/>
      <c r="D123" s="29"/>
      <c r="E123" s="29"/>
      <c r="F123" s="29"/>
      <c r="G123" s="29"/>
      <c r="H123" s="29">
        <f t="shared" si="10"/>
        <v>1900</v>
      </c>
      <c r="I123" s="29" t="str">
        <f t="shared" si="11"/>
        <v>4</v>
      </c>
    </row>
    <row r="124" spans="1:9" x14ac:dyDescent="0.25">
      <c r="C124" s="193"/>
      <c r="D124" s="29"/>
      <c r="E124" s="29"/>
      <c r="F124" s="29"/>
      <c r="G124" s="29"/>
      <c r="H124" s="29">
        <f t="shared" si="10"/>
        <v>1900</v>
      </c>
      <c r="I124" s="29" t="str">
        <f t="shared" si="11"/>
        <v>4</v>
      </c>
    </row>
    <row r="125" spans="1:9" x14ac:dyDescent="0.25">
      <c r="C125" s="193"/>
      <c r="D125" s="29"/>
      <c r="E125" s="29"/>
      <c r="F125" s="29"/>
      <c r="G125" s="29"/>
      <c r="H125" s="29">
        <f t="shared" si="10"/>
        <v>1900</v>
      </c>
      <c r="I125" s="29" t="str">
        <f t="shared" si="11"/>
        <v>4</v>
      </c>
    </row>
    <row r="126" spans="1:9" x14ac:dyDescent="0.25">
      <c r="C126" s="193"/>
      <c r="D126" s="29"/>
      <c r="E126" s="29"/>
      <c r="F126" s="29"/>
      <c r="G126" s="29"/>
      <c r="H126" s="29">
        <f t="shared" si="10"/>
        <v>1900</v>
      </c>
      <c r="I126" s="29" t="str">
        <f t="shared" si="11"/>
        <v>4</v>
      </c>
    </row>
    <row r="127" spans="1:9" x14ac:dyDescent="0.25">
      <c r="C127" s="193"/>
      <c r="D127" s="29"/>
      <c r="E127" s="29"/>
      <c r="F127" s="29"/>
      <c r="G127" s="29"/>
      <c r="H127" s="29">
        <f t="shared" si="10"/>
        <v>1900</v>
      </c>
      <c r="I127" s="29" t="str">
        <f t="shared" si="11"/>
        <v>4</v>
      </c>
    </row>
    <row r="128" spans="1:9" x14ac:dyDescent="0.25">
      <c r="C128" s="193"/>
      <c r="D128" s="29"/>
      <c r="E128" s="29"/>
      <c r="F128" s="29"/>
      <c r="G128" s="29"/>
      <c r="H128" s="29">
        <f t="shared" si="10"/>
        <v>1900</v>
      </c>
      <c r="I128" s="29" t="str">
        <f t="shared" si="11"/>
        <v>4</v>
      </c>
    </row>
    <row r="129" spans="3:9" x14ac:dyDescent="0.25">
      <c r="C129" s="193"/>
      <c r="D129" s="29"/>
      <c r="E129" s="29"/>
      <c r="F129" s="29"/>
      <c r="G129" s="29"/>
      <c r="H129" s="29">
        <f t="shared" si="10"/>
        <v>1900</v>
      </c>
      <c r="I129" s="29" t="str">
        <f t="shared" si="11"/>
        <v>4</v>
      </c>
    </row>
    <row r="130" spans="3:9" x14ac:dyDescent="0.25">
      <c r="C130" s="193"/>
      <c r="D130" s="29"/>
      <c r="E130" s="29"/>
      <c r="F130" s="29"/>
      <c r="G130" s="29"/>
      <c r="H130" s="29">
        <f t="shared" si="10"/>
        <v>1900</v>
      </c>
      <c r="I130" s="29" t="str">
        <f t="shared" si="11"/>
        <v>4</v>
      </c>
    </row>
    <row r="131" spans="3:9" x14ac:dyDescent="0.25">
      <c r="C131" s="193"/>
      <c r="D131" s="29"/>
      <c r="E131" s="29"/>
      <c r="F131" s="29"/>
      <c r="G131" s="29"/>
      <c r="H131" s="29">
        <f t="shared" si="10"/>
        <v>1900</v>
      </c>
      <c r="I131" s="29" t="str">
        <f t="shared" si="11"/>
        <v>4</v>
      </c>
    </row>
    <row r="132" spans="3:9" x14ac:dyDescent="0.25">
      <c r="C132" s="193"/>
      <c r="D132" s="29"/>
      <c r="E132" s="29"/>
      <c r="F132" s="29"/>
      <c r="G132" s="29"/>
      <c r="H132" s="29">
        <f t="shared" si="10"/>
        <v>1900</v>
      </c>
      <c r="I132" s="29" t="str">
        <f t="shared" si="11"/>
        <v>4</v>
      </c>
    </row>
    <row r="133" spans="3:9" x14ac:dyDescent="0.25">
      <c r="C133" s="193"/>
      <c r="D133" s="29"/>
      <c r="E133" s="29"/>
      <c r="F133" s="29"/>
      <c r="G133" s="29"/>
      <c r="H133" s="29">
        <f t="shared" si="10"/>
        <v>1900</v>
      </c>
      <c r="I133" s="29" t="str">
        <f t="shared" si="11"/>
        <v>4</v>
      </c>
    </row>
    <row r="134" spans="3:9" x14ac:dyDescent="0.25">
      <c r="C134" s="193"/>
      <c r="D134" s="29"/>
      <c r="E134" s="29"/>
      <c r="F134" s="29"/>
      <c r="G134" s="29"/>
      <c r="H134" s="29">
        <f t="shared" si="10"/>
        <v>1900</v>
      </c>
      <c r="I134" s="29" t="str">
        <f t="shared" si="11"/>
        <v>4</v>
      </c>
    </row>
    <row r="135" spans="3:9" x14ac:dyDescent="0.25">
      <c r="C135" s="193"/>
      <c r="D135" s="29"/>
      <c r="E135" s="29"/>
      <c r="F135" s="29"/>
      <c r="G135" s="29"/>
      <c r="H135" s="29">
        <f t="shared" si="10"/>
        <v>1900</v>
      </c>
      <c r="I135" s="29" t="str">
        <f t="shared" si="11"/>
        <v>4</v>
      </c>
    </row>
    <row r="136" spans="3:9" x14ac:dyDescent="0.25">
      <c r="C136" s="193"/>
      <c r="D136" s="29"/>
      <c r="E136" s="29"/>
      <c r="F136" s="29"/>
      <c r="G136" s="29"/>
      <c r="H136" s="29">
        <f t="shared" si="10"/>
        <v>1900</v>
      </c>
      <c r="I136" s="29" t="str">
        <f t="shared" si="11"/>
        <v>4</v>
      </c>
    </row>
    <row r="137" spans="3:9" x14ac:dyDescent="0.25">
      <c r="C137" s="193"/>
      <c r="D137" s="29"/>
      <c r="E137" s="29"/>
      <c r="F137" s="29"/>
      <c r="G137" s="29"/>
      <c r="H137" s="29">
        <f t="shared" si="10"/>
        <v>1900</v>
      </c>
      <c r="I137" s="29" t="str">
        <f t="shared" si="11"/>
        <v>4</v>
      </c>
    </row>
    <row r="138" spans="3:9" x14ac:dyDescent="0.25">
      <c r="C138" s="193"/>
      <c r="D138" s="29"/>
      <c r="E138" s="29"/>
      <c r="F138" s="29"/>
      <c r="G138" s="29"/>
      <c r="H138" s="29">
        <f t="shared" ref="H138:H201" si="24">YEAR(A138)</f>
        <v>1900</v>
      </c>
      <c r="I138" s="29" t="str">
        <f t="shared" ref="I138:I201" si="25">IF(MONTH(A138)=3,"1",IF(MONTH(A138)=6,"2",IF(MONTH(A138)=9,"3","4")))</f>
        <v>4</v>
      </c>
    </row>
    <row r="139" spans="3:9" x14ac:dyDescent="0.25">
      <c r="C139" s="193"/>
      <c r="D139" s="29"/>
      <c r="E139" s="29"/>
      <c r="F139" s="29"/>
      <c r="G139" s="29"/>
      <c r="H139" s="29">
        <f t="shared" si="24"/>
        <v>1900</v>
      </c>
      <c r="I139" s="29" t="str">
        <f t="shared" si="25"/>
        <v>4</v>
      </c>
    </row>
    <row r="140" spans="3:9" x14ac:dyDescent="0.25">
      <c r="C140" s="193"/>
      <c r="D140" s="29"/>
      <c r="E140" s="29"/>
      <c r="F140" s="29"/>
      <c r="G140" s="29"/>
      <c r="H140" s="29">
        <f t="shared" si="24"/>
        <v>1900</v>
      </c>
      <c r="I140" s="29" t="str">
        <f t="shared" si="25"/>
        <v>4</v>
      </c>
    </row>
    <row r="141" spans="3:9" x14ac:dyDescent="0.25">
      <c r="C141" s="193"/>
      <c r="D141" s="29"/>
      <c r="E141" s="29"/>
      <c r="F141" s="29"/>
      <c r="G141" s="29"/>
      <c r="H141" s="29">
        <f t="shared" si="24"/>
        <v>1900</v>
      </c>
      <c r="I141" s="29" t="str">
        <f t="shared" si="25"/>
        <v>4</v>
      </c>
    </row>
    <row r="142" spans="3:9" x14ac:dyDescent="0.25">
      <c r="C142" s="193"/>
      <c r="D142" s="29"/>
      <c r="E142" s="29"/>
      <c r="F142" s="29"/>
      <c r="G142" s="29"/>
      <c r="H142" s="29">
        <f t="shared" si="24"/>
        <v>1900</v>
      </c>
      <c r="I142" s="29" t="str">
        <f t="shared" si="25"/>
        <v>4</v>
      </c>
    </row>
    <row r="143" spans="3:9" x14ac:dyDescent="0.25">
      <c r="C143" s="193"/>
      <c r="D143" s="29"/>
      <c r="E143" s="29"/>
      <c r="F143" s="29"/>
      <c r="G143" s="29"/>
      <c r="H143" s="29">
        <f t="shared" si="24"/>
        <v>1900</v>
      </c>
      <c r="I143" s="29" t="str">
        <f t="shared" si="25"/>
        <v>4</v>
      </c>
    </row>
    <row r="144" spans="3:9" x14ac:dyDescent="0.25">
      <c r="C144" s="193"/>
      <c r="D144" s="29"/>
      <c r="E144" s="29"/>
      <c r="F144" s="29"/>
      <c r="G144" s="29"/>
      <c r="H144" s="29">
        <f t="shared" si="24"/>
        <v>1900</v>
      </c>
      <c r="I144" s="29" t="str">
        <f t="shared" si="25"/>
        <v>4</v>
      </c>
    </row>
    <row r="145" spans="3:9" x14ac:dyDescent="0.25">
      <c r="C145" s="193"/>
      <c r="D145" s="29"/>
      <c r="E145" s="29"/>
      <c r="F145" s="29"/>
      <c r="G145" s="29"/>
      <c r="H145" s="29">
        <f t="shared" si="24"/>
        <v>1900</v>
      </c>
      <c r="I145" s="29" t="str">
        <f t="shared" si="25"/>
        <v>4</v>
      </c>
    </row>
    <row r="146" spans="3:9" x14ac:dyDescent="0.25">
      <c r="C146" s="193"/>
      <c r="D146" s="29"/>
      <c r="E146" s="29"/>
      <c r="F146" s="29"/>
      <c r="G146" s="29"/>
      <c r="H146" s="29">
        <f t="shared" si="24"/>
        <v>1900</v>
      </c>
      <c r="I146" s="29" t="str">
        <f t="shared" si="25"/>
        <v>4</v>
      </c>
    </row>
    <row r="147" spans="3:9" x14ac:dyDescent="0.25">
      <c r="C147" s="193"/>
      <c r="D147" s="29"/>
      <c r="E147" s="29"/>
      <c r="F147" s="29"/>
      <c r="G147" s="29"/>
      <c r="H147" s="29">
        <f t="shared" si="24"/>
        <v>1900</v>
      </c>
      <c r="I147" s="29" t="str">
        <f t="shared" si="25"/>
        <v>4</v>
      </c>
    </row>
    <row r="148" spans="3:9" x14ac:dyDescent="0.25">
      <c r="C148" s="193"/>
      <c r="D148" s="29"/>
      <c r="E148" s="29"/>
      <c r="F148" s="29"/>
      <c r="G148" s="29"/>
      <c r="H148" s="29">
        <f t="shared" si="24"/>
        <v>1900</v>
      </c>
      <c r="I148" s="29" t="str">
        <f t="shared" si="25"/>
        <v>4</v>
      </c>
    </row>
    <row r="149" spans="3:9" x14ac:dyDescent="0.25">
      <c r="C149" s="193"/>
      <c r="D149" s="29"/>
      <c r="E149" s="29"/>
      <c r="F149" s="29"/>
      <c r="G149" s="29"/>
      <c r="H149" s="29">
        <f t="shared" si="24"/>
        <v>1900</v>
      </c>
      <c r="I149" s="29" t="str">
        <f t="shared" si="25"/>
        <v>4</v>
      </c>
    </row>
    <row r="150" spans="3:9" x14ac:dyDescent="0.25">
      <c r="C150" s="193"/>
      <c r="D150" s="29"/>
      <c r="E150" s="29"/>
      <c r="F150" s="29"/>
      <c r="G150" s="29"/>
      <c r="H150" s="29">
        <f t="shared" si="24"/>
        <v>1900</v>
      </c>
      <c r="I150" s="29" t="str">
        <f t="shared" si="25"/>
        <v>4</v>
      </c>
    </row>
    <row r="151" spans="3:9" x14ac:dyDescent="0.25">
      <c r="C151" s="193"/>
      <c r="D151" s="29"/>
      <c r="E151" s="29"/>
      <c r="F151" s="29"/>
      <c r="G151" s="29"/>
      <c r="H151" s="29">
        <f t="shared" si="24"/>
        <v>1900</v>
      </c>
      <c r="I151" s="29" t="str">
        <f t="shared" si="25"/>
        <v>4</v>
      </c>
    </row>
    <row r="152" spans="3:9" x14ac:dyDescent="0.25">
      <c r="C152" s="193"/>
      <c r="D152" s="29"/>
      <c r="E152" s="29"/>
      <c r="F152" s="29"/>
      <c r="G152" s="29"/>
      <c r="H152" s="29">
        <f t="shared" si="24"/>
        <v>1900</v>
      </c>
      <c r="I152" s="29" t="str">
        <f t="shared" si="25"/>
        <v>4</v>
      </c>
    </row>
    <row r="153" spans="3:9" x14ac:dyDescent="0.25">
      <c r="C153" s="193"/>
      <c r="D153" s="29"/>
      <c r="E153" s="29"/>
      <c r="F153" s="29"/>
      <c r="G153" s="29"/>
      <c r="H153" s="29">
        <f t="shared" si="24"/>
        <v>1900</v>
      </c>
      <c r="I153" s="29" t="str">
        <f t="shared" si="25"/>
        <v>4</v>
      </c>
    </row>
    <row r="154" spans="3:9" x14ac:dyDescent="0.25">
      <c r="C154" s="193"/>
      <c r="D154" s="29"/>
      <c r="E154" s="29"/>
      <c r="F154" s="29"/>
      <c r="G154" s="29"/>
      <c r="H154" s="29">
        <f t="shared" si="24"/>
        <v>1900</v>
      </c>
      <c r="I154" s="29" t="str">
        <f t="shared" si="25"/>
        <v>4</v>
      </c>
    </row>
    <row r="155" spans="3:9" x14ac:dyDescent="0.25">
      <c r="C155" s="193"/>
      <c r="D155" s="29"/>
      <c r="E155" s="29"/>
      <c r="F155" s="29"/>
      <c r="G155" s="29"/>
      <c r="H155" s="29">
        <f t="shared" si="24"/>
        <v>1900</v>
      </c>
      <c r="I155" s="29" t="str">
        <f t="shared" si="25"/>
        <v>4</v>
      </c>
    </row>
    <row r="156" spans="3:9" x14ac:dyDescent="0.25">
      <c r="C156" s="193"/>
      <c r="D156" s="29"/>
      <c r="E156" s="29"/>
      <c r="F156" s="29"/>
      <c r="G156" s="29"/>
      <c r="H156" s="29">
        <f t="shared" si="24"/>
        <v>1900</v>
      </c>
      <c r="I156" s="29" t="str">
        <f t="shared" si="25"/>
        <v>4</v>
      </c>
    </row>
    <row r="157" spans="3:9" x14ac:dyDescent="0.25">
      <c r="C157" s="193"/>
      <c r="D157" s="29"/>
      <c r="E157" s="29"/>
      <c r="F157" s="29"/>
      <c r="G157" s="29"/>
      <c r="H157" s="29">
        <f t="shared" si="24"/>
        <v>1900</v>
      </c>
      <c r="I157" s="29" t="str">
        <f t="shared" si="25"/>
        <v>4</v>
      </c>
    </row>
    <row r="158" spans="3:9" x14ac:dyDescent="0.25">
      <c r="C158" s="193"/>
      <c r="D158" s="29"/>
      <c r="E158" s="29"/>
      <c r="F158" s="29"/>
      <c r="G158" s="29"/>
      <c r="H158" s="29">
        <f t="shared" si="24"/>
        <v>1900</v>
      </c>
      <c r="I158" s="29" t="str">
        <f t="shared" si="25"/>
        <v>4</v>
      </c>
    </row>
    <row r="159" spans="3:9" x14ac:dyDescent="0.25">
      <c r="C159" s="193"/>
      <c r="D159" s="29"/>
      <c r="E159" s="29"/>
      <c r="F159" s="29"/>
      <c r="G159" s="29"/>
      <c r="H159" s="29">
        <f t="shared" si="24"/>
        <v>1900</v>
      </c>
      <c r="I159" s="29" t="str">
        <f t="shared" si="25"/>
        <v>4</v>
      </c>
    </row>
    <row r="160" spans="3:9" x14ac:dyDescent="0.25">
      <c r="C160" s="193"/>
      <c r="D160" s="29"/>
      <c r="E160" s="29"/>
      <c r="F160" s="29"/>
      <c r="G160" s="29"/>
      <c r="H160" s="29">
        <f t="shared" si="24"/>
        <v>1900</v>
      </c>
      <c r="I160" s="29" t="str">
        <f t="shared" si="25"/>
        <v>4</v>
      </c>
    </row>
    <row r="161" spans="3:9" x14ac:dyDescent="0.25">
      <c r="C161" s="193"/>
      <c r="D161" s="29"/>
      <c r="E161" s="29"/>
      <c r="F161" s="29"/>
      <c r="G161" s="29"/>
      <c r="H161" s="29">
        <f t="shared" si="24"/>
        <v>1900</v>
      </c>
      <c r="I161" s="29" t="str">
        <f t="shared" si="25"/>
        <v>4</v>
      </c>
    </row>
    <row r="162" spans="3:9" x14ac:dyDescent="0.25">
      <c r="C162" s="193"/>
      <c r="D162" s="29"/>
      <c r="E162" s="29"/>
      <c r="F162" s="29"/>
      <c r="G162" s="29"/>
      <c r="H162" s="29">
        <f t="shared" si="24"/>
        <v>1900</v>
      </c>
      <c r="I162" s="29" t="str">
        <f t="shared" si="25"/>
        <v>4</v>
      </c>
    </row>
    <row r="163" spans="3:9" x14ac:dyDescent="0.25">
      <c r="C163" s="193"/>
      <c r="D163" s="29"/>
      <c r="E163" s="29"/>
      <c r="F163" s="29"/>
      <c r="G163" s="29"/>
      <c r="H163" s="29">
        <f t="shared" si="24"/>
        <v>1900</v>
      </c>
      <c r="I163" s="29" t="str">
        <f t="shared" si="25"/>
        <v>4</v>
      </c>
    </row>
    <row r="164" spans="3:9" x14ac:dyDescent="0.25">
      <c r="C164" s="193"/>
      <c r="D164" s="29"/>
      <c r="E164" s="29"/>
      <c r="F164" s="29"/>
      <c r="G164" s="29"/>
      <c r="H164" s="29">
        <f t="shared" si="24"/>
        <v>1900</v>
      </c>
      <c r="I164" s="29" t="str">
        <f t="shared" si="25"/>
        <v>4</v>
      </c>
    </row>
    <row r="165" spans="3:9" x14ac:dyDescent="0.25">
      <c r="C165" s="193"/>
      <c r="D165" s="29"/>
      <c r="E165" s="29"/>
      <c r="F165" s="29"/>
      <c r="G165" s="29"/>
      <c r="H165" s="29">
        <f t="shared" si="24"/>
        <v>1900</v>
      </c>
      <c r="I165" s="29" t="str">
        <f t="shared" si="25"/>
        <v>4</v>
      </c>
    </row>
    <row r="166" spans="3:9" x14ac:dyDescent="0.25">
      <c r="C166" s="193"/>
      <c r="D166" s="29"/>
      <c r="E166" s="29"/>
      <c r="F166" s="29"/>
      <c r="G166" s="29"/>
      <c r="H166" s="29">
        <f t="shared" si="24"/>
        <v>1900</v>
      </c>
      <c r="I166" s="29" t="str">
        <f t="shared" si="25"/>
        <v>4</v>
      </c>
    </row>
    <row r="167" spans="3:9" x14ac:dyDescent="0.25">
      <c r="C167" s="193"/>
      <c r="D167" s="29"/>
      <c r="E167" s="29"/>
      <c r="F167" s="29"/>
      <c r="G167" s="29"/>
      <c r="H167" s="29">
        <f t="shared" si="24"/>
        <v>1900</v>
      </c>
      <c r="I167" s="29" t="str">
        <f t="shared" si="25"/>
        <v>4</v>
      </c>
    </row>
    <row r="168" spans="3:9" x14ac:dyDescent="0.25">
      <c r="C168" s="193"/>
      <c r="D168" s="29"/>
      <c r="E168" s="29"/>
      <c r="F168" s="29"/>
      <c r="G168" s="29"/>
      <c r="H168" s="29">
        <f t="shared" si="24"/>
        <v>1900</v>
      </c>
      <c r="I168" s="29" t="str">
        <f t="shared" si="25"/>
        <v>4</v>
      </c>
    </row>
    <row r="169" spans="3:9" x14ac:dyDescent="0.25">
      <c r="C169" s="193"/>
      <c r="D169" s="29"/>
      <c r="E169" s="29"/>
      <c r="F169" s="29"/>
      <c r="G169" s="29"/>
      <c r="H169" s="29">
        <f t="shared" si="24"/>
        <v>1900</v>
      </c>
      <c r="I169" s="29" t="str">
        <f t="shared" si="25"/>
        <v>4</v>
      </c>
    </row>
    <row r="170" spans="3:9" x14ac:dyDescent="0.25">
      <c r="C170" s="193"/>
      <c r="D170" s="29"/>
      <c r="E170" s="29"/>
      <c r="F170" s="29"/>
      <c r="G170" s="29"/>
      <c r="H170" s="29">
        <f t="shared" si="24"/>
        <v>1900</v>
      </c>
      <c r="I170" s="29" t="str">
        <f t="shared" si="25"/>
        <v>4</v>
      </c>
    </row>
    <row r="171" spans="3:9" x14ac:dyDescent="0.25">
      <c r="C171" s="193"/>
      <c r="D171" s="29"/>
      <c r="E171" s="29"/>
      <c r="F171" s="29"/>
      <c r="G171" s="29"/>
      <c r="H171" s="29">
        <f t="shared" si="24"/>
        <v>1900</v>
      </c>
      <c r="I171" s="29" t="str">
        <f t="shared" si="25"/>
        <v>4</v>
      </c>
    </row>
    <row r="172" spans="3:9" x14ac:dyDescent="0.25">
      <c r="C172" s="193"/>
      <c r="D172" s="29"/>
      <c r="E172" s="29"/>
      <c r="F172" s="29"/>
      <c r="G172" s="29"/>
      <c r="H172" s="29">
        <f t="shared" si="24"/>
        <v>1900</v>
      </c>
      <c r="I172" s="29" t="str">
        <f t="shared" si="25"/>
        <v>4</v>
      </c>
    </row>
    <row r="173" spans="3:9" x14ac:dyDescent="0.25">
      <c r="C173" s="193"/>
      <c r="D173" s="29"/>
      <c r="E173" s="29"/>
      <c r="F173" s="29"/>
      <c r="G173" s="29"/>
      <c r="H173" s="29">
        <f t="shared" si="24"/>
        <v>1900</v>
      </c>
      <c r="I173" s="29" t="str">
        <f t="shared" si="25"/>
        <v>4</v>
      </c>
    </row>
    <row r="174" spans="3:9" x14ac:dyDescent="0.25">
      <c r="C174" s="193"/>
      <c r="D174" s="29"/>
      <c r="E174" s="29"/>
      <c r="F174" s="29"/>
      <c r="G174" s="29"/>
      <c r="H174" s="29">
        <f t="shared" si="24"/>
        <v>1900</v>
      </c>
      <c r="I174" s="29" t="str">
        <f t="shared" si="25"/>
        <v>4</v>
      </c>
    </row>
    <row r="175" spans="3:9" x14ac:dyDescent="0.25">
      <c r="C175" s="193"/>
      <c r="D175" s="29"/>
      <c r="E175" s="29"/>
      <c r="F175" s="29"/>
      <c r="G175" s="29"/>
      <c r="H175" s="29">
        <f t="shared" si="24"/>
        <v>1900</v>
      </c>
      <c r="I175" s="29" t="str">
        <f t="shared" si="25"/>
        <v>4</v>
      </c>
    </row>
    <row r="176" spans="3:9" x14ac:dyDescent="0.25">
      <c r="C176" s="193"/>
      <c r="D176" s="29"/>
      <c r="E176" s="29"/>
      <c r="F176" s="29"/>
      <c r="G176" s="29"/>
      <c r="H176" s="29">
        <f t="shared" si="24"/>
        <v>1900</v>
      </c>
      <c r="I176" s="29" t="str">
        <f t="shared" si="25"/>
        <v>4</v>
      </c>
    </row>
    <row r="177" spans="3:9" x14ac:dyDescent="0.25">
      <c r="C177" s="193"/>
      <c r="D177" s="29"/>
      <c r="E177" s="29"/>
      <c r="F177" s="29"/>
      <c r="G177" s="29"/>
      <c r="H177" s="29">
        <f t="shared" si="24"/>
        <v>1900</v>
      </c>
      <c r="I177" s="29" t="str">
        <f t="shared" si="25"/>
        <v>4</v>
      </c>
    </row>
    <row r="178" spans="3:9" x14ac:dyDescent="0.25">
      <c r="C178" s="193"/>
      <c r="D178" s="29"/>
      <c r="E178" s="29"/>
      <c r="F178" s="29"/>
      <c r="G178" s="29"/>
      <c r="H178" s="29">
        <f t="shared" si="24"/>
        <v>1900</v>
      </c>
      <c r="I178" s="29" t="str">
        <f t="shared" si="25"/>
        <v>4</v>
      </c>
    </row>
    <row r="179" spans="3:9" x14ac:dyDescent="0.25">
      <c r="C179" s="193"/>
      <c r="D179" s="29"/>
      <c r="E179" s="29"/>
      <c r="F179" s="29"/>
      <c r="G179" s="29"/>
      <c r="H179" s="29">
        <f t="shared" si="24"/>
        <v>1900</v>
      </c>
      <c r="I179" s="29" t="str">
        <f t="shared" si="25"/>
        <v>4</v>
      </c>
    </row>
    <row r="180" spans="3:9" x14ac:dyDescent="0.25">
      <c r="C180" s="193"/>
      <c r="D180" s="29"/>
      <c r="E180" s="29"/>
      <c r="F180" s="29"/>
      <c r="G180" s="29"/>
      <c r="H180" s="29">
        <f t="shared" si="24"/>
        <v>1900</v>
      </c>
      <c r="I180" s="29" t="str">
        <f t="shared" si="25"/>
        <v>4</v>
      </c>
    </row>
    <row r="181" spans="3:9" x14ac:dyDescent="0.25">
      <c r="C181" s="193"/>
      <c r="D181" s="29"/>
      <c r="E181" s="29"/>
      <c r="F181" s="29"/>
      <c r="G181" s="29"/>
      <c r="H181" s="29">
        <f t="shared" si="24"/>
        <v>1900</v>
      </c>
      <c r="I181" s="29" t="str">
        <f t="shared" si="25"/>
        <v>4</v>
      </c>
    </row>
    <row r="182" spans="3:9" x14ac:dyDescent="0.25">
      <c r="C182" s="193"/>
      <c r="D182" s="29"/>
      <c r="E182" s="29"/>
      <c r="F182" s="29"/>
      <c r="G182" s="29"/>
      <c r="H182" s="29">
        <f t="shared" si="24"/>
        <v>1900</v>
      </c>
      <c r="I182" s="29" t="str">
        <f t="shared" si="25"/>
        <v>4</v>
      </c>
    </row>
    <row r="183" spans="3:9" x14ac:dyDescent="0.25">
      <c r="C183" s="193"/>
      <c r="D183" s="29"/>
      <c r="E183" s="29"/>
      <c r="F183" s="29"/>
      <c r="G183" s="29"/>
      <c r="H183" s="29">
        <f t="shared" si="24"/>
        <v>1900</v>
      </c>
      <c r="I183" s="29" t="str">
        <f t="shared" si="25"/>
        <v>4</v>
      </c>
    </row>
    <row r="184" spans="3:9" x14ac:dyDescent="0.25">
      <c r="C184" s="193"/>
      <c r="D184" s="29"/>
      <c r="E184" s="29"/>
      <c r="F184" s="29"/>
      <c r="G184" s="29"/>
      <c r="H184" s="29">
        <f t="shared" si="24"/>
        <v>1900</v>
      </c>
      <c r="I184" s="29" t="str">
        <f t="shared" si="25"/>
        <v>4</v>
      </c>
    </row>
    <row r="185" spans="3:9" x14ac:dyDescent="0.25">
      <c r="C185" s="193"/>
      <c r="D185" s="29"/>
      <c r="E185" s="29"/>
      <c r="F185" s="29"/>
      <c r="G185" s="29"/>
      <c r="H185" s="29">
        <f t="shared" si="24"/>
        <v>1900</v>
      </c>
      <c r="I185" s="29" t="str">
        <f t="shared" si="25"/>
        <v>4</v>
      </c>
    </row>
    <row r="186" spans="3:9" x14ac:dyDescent="0.25">
      <c r="C186" s="193"/>
      <c r="D186" s="29"/>
      <c r="E186" s="29"/>
      <c r="F186" s="29"/>
      <c r="G186" s="29"/>
      <c r="H186" s="29">
        <f t="shared" si="24"/>
        <v>1900</v>
      </c>
      <c r="I186" s="29" t="str">
        <f t="shared" si="25"/>
        <v>4</v>
      </c>
    </row>
    <row r="187" spans="3:9" x14ac:dyDescent="0.25">
      <c r="C187" s="193"/>
      <c r="D187" s="29"/>
      <c r="E187" s="29"/>
      <c r="F187" s="29"/>
      <c r="G187" s="29"/>
      <c r="H187" s="29">
        <f t="shared" si="24"/>
        <v>1900</v>
      </c>
      <c r="I187" s="29" t="str">
        <f t="shared" si="25"/>
        <v>4</v>
      </c>
    </row>
    <row r="188" spans="3:9" x14ac:dyDescent="0.25">
      <c r="C188" s="193"/>
      <c r="D188" s="29"/>
      <c r="E188" s="29"/>
      <c r="F188" s="29"/>
      <c r="G188" s="29"/>
      <c r="H188" s="29">
        <f t="shared" si="24"/>
        <v>1900</v>
      </c>
      <c r="I188" s="29" t="str">
        <f t="shared" si="25"/>
        <v>4</v>
      </c>
    </row>
    <row r="189" spans="3:9" x14ac:dyDescent="0.25">
      <c r="C189" s="193"/>
      <c r="D189" s="29"/>
      <c r="E189" s="29"/>
      <c r="F189" s="29"/>
      <c r="G189" s="29"/>
      <c r="H189" s="29">
        <f t="shared" si="24"/>
        <v>1900</v>
      </c>
      <c r="I189" s="29" t="str">
        <f t="shared" si="25"/>
        <v>4</v>
      </c>
    </row>
    <row r="190" spans="3:9" x14ac:dyDescent="0.25">
      <c r="C190" s="193"/>
      <c r="D190" s="29"/>
      <c r="E190" s="29"/>
      <c r="F190" s="29"/>
      <c r="G190" s="29"/>
      <c r="H190" s="29">
        <f t="shared" si="24"/>
        <v>1900</v>
      </c>
      <c r="I190" s="29" t="str">
        <f t="shared" si="25"/>
        <v>4</v>
      </c>
    </row>
    <row r="191" spans="3:9" x14ac:dyDescent="0.25">
      <c r="C191" s="193"/>
      <c r="D191" s="29"/>
      <c r="E191" s="29"/>
      <c r="F191" s="29"/>
      <c r="G191" s="29"/>
      <c r="H191" s="29">
        <f t="shared" si="24"/>
        <v>1900</v>
      </c>
      <c r="I191" s="29" t="str">
        <f t="shared" si="25"/>
        <v>4</v>
      </c>
    </row>
    <row r="192" spans="3:9" x14ac:dyDescent="0.25">
      <c r="C192" s="193"/>
      <c r="D192" s="29"/>
      <c r="E192" s="29"/>
      <c r="F192" s="29"/>
      <c r="G192" s="29"/>
      <c r="H192" s="29">
        <f t="shared" si="24"/>
        <v>1900</v>
      </c>
      <c r="I192" s="29" t="str">
        <f t="shared" si="25"/>
        <v>4</v>
      </c>
    </row>
    <row r="193" spans="3:9" x14ac:dyDescent="0.25">
      <c r="C193" s="193"/>
      <c r="D193" s="29"/>
      <c r="E193" s="29"/>
      <c r="F193" s="29"/>
      <c r="G193" s="29"/>
      <c r="H193" s="29">
        <f t="shared" si="24"/>
        <v>1900</v>
      </c>
      <c r="I193" s="29" t="str">
        <f t="shared" si="25"/>
        <v>4</v>
      </c>
    </row>
    <row r="194" spans="3:9" x14ac:dyDescent="0.25">
      <c r="C194" s="193"/>
      <c r="D194" s="29"/>
      <c r="E194" s="29"/>
      <c r="F194" s="29"/>
      <c r="G194" s="29"/>
      <c r="H194" s="29">
        <f t="shared" si="24"/>
        <v>1900</v>
      </c>
      <c r="I194" s="29" t="str">
        <f t="shared" si="25"/>
        <v>4</v>
      </c>
    </row>
    <row r="195" spans="3:9" x14ac:dyDescent="0.25">
      <c r="C195" s="193"/>
      <c r="D195" s="29"/>
      <c r="E195" s="29"/>
      <c r="F195" s="29"/>
      <c r="G195" s="29"/>
      <c r="H195" s="29">
        <f t="shared" si="24"/>
        <v>1900</v>
      </c>
      <c r="I195" s="29" t="str">
        <f t="shared" si="25"/>
        <v>4</v>
      </c>
    </row>
    <row r="196" spans="3:9" x14ac:dyDescent="0.25">
      <c r="C196" s="193"/>
      <c r="D196" s="29"/>
      <c r="E196" s="29"/>
      <c r="F196" s="29"/>
      <c r="G196" s="29"/>
      <c r="H196" s="29">
        <f t="shared" si="24"/>
        <v>1900</v>
      </c>
      <c r="I196" s="29" t="str">
        <f t="shared" si="25"/>
        <v>4</v>
      </c>
    </row>
    <row r="197" spans="3:9" x14ac:dyDescent="0.25">
      <c r="C197" s="193"/>
      <c r="D197" s="29"/>
      <c r="E197" s="29"/>
      <c r="F197" s="29"/>
      <c r="G197" s="29"/>
      <c r="H197" s="29">
        <f t="shared" si="24"/>
        <v>1900</v>
      </c>
      <c r="I197" s="29" t="str">
        <f t="shared" si="25"/>
        <v>4</v>
      </c>
    </row>
    <row r="198" spans="3:9" x14ac:dyDescent="0.25">
      <c r="C198" s="193"/>
      <c r="D198" s="29"/>
      <c r="E198" s="29"/>
      <c r="F198" s="29"/>
      <c r="G198" s="29"/>
      <c r="H198" s="29">
        <f t="shared" si="24"/>
        <v>1900</v>
      </c>
      <c r="I198" s="29" t="str">
        <f t="shared" si="25"/>
        <v>4</v>
      </c>
    </row>
    <row r="199" spans="3:9" x14ac:dyDescent="0.25">
      <c r="C199" s="193"/>
      <c r="D199" s="29"/>
      <c r="E199" s="29"/>
      <c r="F199" s="29"/>
      <c r="G199" s="29"/>
      <c r="H199" s="29">
        <f t="shared" si="24"/>
        <v>1900</v>
      </c>
      <c r="I199" s="29" t="str">
        <f t="shared" si="25"/>
        <v>4</v>
      </c>
    </row>
    <row r="200" spans="3:9" x14ac:dyDescent="0.25">
      <c r="C200" s="193"/>
      <c r="D200" s="29"/>
      <c r="E200" s="29"/>
      <c r="F200" s="29"/>
      <c r="G200" s="29"/>
      <c r="H200" s="29">
        <f t="shared" si="24"/>
        <v>1900</v>
      </c>
      <c r="I200" s="29" t="str">
        <f t="shared" si="25"/>
        <v>4</v>
      </c>
    </row>
    <row r="201" spans="3:9" x14ac:dyDescent="0.25">
      <c r="C201" s="193"/>
      <c r="D201" s="29"/>
      <c r="E201" s="29"/>
      <c r="F201" s="29"/>
      <c r="G201" s="29"/>
      <c r="H201" s="29">
        <f t="shared" si="24"/>
        <v>1900</v>
      </c>
      <c r="I201" s="29" t="str">
        <f t="shared" si="25"/>
        <v>4</v>
      </c>
    </row>
    <row r="202" spans="3:9" x14ac:dyDescent="0.25">
      <c r="C202" s="193"/>
      <c r="D202" s="29"/>
      <c r="E202" s="29"/>
      <c r="F202" s="29"/>
      <c r="G202" s="29"/>
      <c r="H202" s="29">
        <f t="shared" ref="H202:H252" si="26">YEAR(A202)</f>
        <v>1900</v>
      </c>
      <c r="I202" s="29" t="str">
        <f t="shared" ref="I202:I252" si="27">IF(MONTH(A202)=3,"1",IF(MONTH(A202)=6,"2",IF(MONTH(A202)=9,"3","4")))</f>
        <v>4</v>
      </c>
    </row>
    <row r="203" spans="3:9" x14ac:dyDescent="0.25">
      <c r="C203" s="193"/>
      <c r="D203" s="29"/>
      <c r="E203" s="29"/>
      <c r="F203" s="29"/>
      <c r="G203" s="29"/>
      <c r="H203" s="29">
        <f t="shared" si="26"/>
        <v>1900</v>
      </c>
      <c r="I203" s="29" t="str">
        <f t="shared" si="27"/>
        <v>4</v>
      </c>
    </row>
    <row r="204" spans="3:9" x14ac:dyDescent="0.25">
      <c r="C204" s="193"/>
      <c r="D204" s="29"/>
      <c r="E204" s="29"/>
      <c r="F204" s="29"/>
      <c r="G204" s="29"/>
      <c r="H204" s="29">
        <f t="shared" si="26"/>
        <v>1900</v>
      </c>
      <c r="I204" s="29" t="str">
        <f t="shared" si="27"/>
        <v>4</v>
      </c>
    </row>
    <row r="205" spans="3:9" x14ac:dyDescent="0.25">
      <c r="C205" s="193"/>
      <c r="D205" s="29"/>
      <c r="E205" s="29"/>
      <c r="F205" s="29"/>
      <c r="G205" s="29"/>
      <c r="H205" s="29">
        <f t="shared" si="26"/>
        <v>1900</v>
      </c>
      <c r="I205" s="29" t="str">
        <f t="shared" si="27"/>
        <v>4</v>
      </c>
    </row>
    <row r="206" spans="3:9" x14ac:dyDescent="0.25">
      <c r="C206" s="193"/>
      <c r="D206" s="29"/>
      <c r="E206" s="29"/>
      <c r="F206" s="29"/>
      <c r="G206" s="29"/>
      <c r="H206" s="29">
        <f t="shared" si="26"/>
        <v>1900</v>
      </c>
      <c r="I206" s="29" t="str">
        <f t="shared" si="27"/>
        <v>4</v>
      </c>
    </row>
    <row r="207" spans="3:9" x14ac:dyDescent="0.25">
      <c r="C207" s="193"/>
      <c r="D207" s="29"/>
      <c r="E207" s="29"/>
      <c r="F207" s="29"/>
      <c r="G207" s="29"/>
      <c r="H207" s="29">
        <f t="shared" si="26"/>
        <v>1900</v>
      </c>
      <c r="I207" s="29" t="str">
        <f t="shared" si="27"/>
        <v>4</v>
      </c>
    </row>
    <row r="208" spans="3:9" x14ac:dyDescent="0.25">
      <c r="C208" s="193"/>
      <c r="D208" s="29"/>
      <c r="E208" s="29"/>
      <c r="F208" s="29"/>
      <c r="G208" s="29"/>
      <c r="H208" s="29">
        <f t="shared" si="26"/>
        <v>1900</v>
      </c>
      <c r="I208" s="29" t="str">
        <f t="shared" si="27"/>
        <v>4</v>
      </c>
    </row>
    <row r="209" spans="3:9" x14ac:dyDescent="0.25">
      <c r="C209" s="193"/>
      <c r="D209" s="29"/>
      <c r="E209" s="29"/>
      <c r="F209" s="29"/>
      <c r="G209" s="29"/>
      <c r="H209" s="29">
        <f t="shared" si="26"/>
        <v>1900</v>
      </c>
      <c r="I209" s="29" t="str">
        <f t="shared" si="27"/>
        <v>4</v>
      </c>
    </row>
    <row r="210" spans="3:9" x14ac:dyDescent="0.25">
      <c r="C210" s="193"/>
      <c r="D210" s="29"/>
      <c r="E210" s="29"/>
      <c r="F210" s="29"/>
      <c r="G210" s="29"/>
      <c r="H210" s="29">
        <f t="shared" si="26"/>
        <v>1900</v>
      </c>
      <c r="I210" s="29" t="str">
        <f t="shared" si="27"/>
        <v>4</v>
      </c>
    </row>
    <row r="211" spans="3:9" x14ac:dyDescent="0.25">
      <c r="C211" s="193"/>
      <c r="D211" s="29"/>
      <c r="E211" s="29"/>
      <c r="F211" s="29"/>
      <c r="G211" s="29"/>
      <c r="H211" s="29">
        <f t="shared" si="26"/>
        <v>1900</v>
      </c>
      <c r="I211" s="29" t="str">
        <f t="shared" si="27"/>
        <v>4</v>
      </c>
    </row>
    <row r="212" spans="3:9" x14ac:dyDescent="0.25">
      <c r="C212" s="193"/>
      <c r="D212" s="29"/>
      <c r="E212" s="29"/>
      <c r="F212" s="29"/>
      <c r="G212" s="29"/>
      <c r="H212" s="29">
        <f t="shared" si="26"/>
        <v>1900</v>
      </c>
      <c r="I212" s="29" t="str">
        <f t="shared" si="27"/>
        <v>4</v>
      </c>
    </row>
    <row r="213" spans="3:9" x14ac:dyDescent="0.25">
      <c r="C213" s="193"/>
      <c r="D213" s="29"/>
      <c r="E213" s="29"/>
      <c r="F213" s="29"/>
      <c r="G213" s="29"/>
      <c r="H213" s="29">
        <f t="shared" si="26"/>
        <v>1900</v>
      </c>
      <c r="I213" s="29" t="str">
        <f t="shared" si="27"/>
        <v>4</v>
      </c>
    </row>
    <row r="214" spans="3:9" x14ac:dyDescent="0.25">
      <c r="C214" s="193"/>
      <c r="D214" s="29"/>
      <c r="E214" s="29"/>
      <c r="F214" s="29"/>
      <c r="G214" s="29"/>
      <c r="H214" s="29">
        <f t="shared" si="26"/>
        <v>1900</v>
      </c>
      <c r="I214" s="29" t="str">
        <f t="shared" si="27"/>
        <v>4</v>
      </c>
    </row>
    <row r="215" spans="3:9" x14ac:dyDescent="0.25">
      <c r="C215" s="193"/>
      <c r="D215" s="29"/>
      <c r="E215" s="29"/>
      <c r="F215" s="29"/>
      <c r="G215" s="29"/>
      <c r="H215" s="29">
        <f t="shared" si="26"/>
        <v>1900</v>
      </c>
      <c r="I215" s="29" t="str">
        <f t="shared" si="27"/>
        <v>4</v>
      </c>
    </row>
    <row r="216" spans="3:9" x14ac:dyDescent="0.25">
      <c r="C216" s="193"/>
      <c r="D216" s="29"/>
      <c r="E216" s="29"/>
      <c r="F216" s="29"/>
      <c r="G216" s="29"/>
      <c r="H216" s="29">
        <f t="shared" si="26"/>
        <v>1900</v>
      </c>
      <c r="I216" s="29" t="str">
        <f t="shared" si="27"/>
        <v>4</v>
      </c>
    </row>
    <row r="217" spans="3:9" x14ac:dyDescent="0.25">
      <c r="C217" s="193"/>
      <c r="D217" s="29"/>
      <c r="E217" s="29"/>
      <c r="F217" s="29"/>
      <c r="G217" s="29"/>
      <c r="H217" s="29">
        <f t="shared" si="26"/>
        <v>1900</v>
      </c>
      <c r="I217" s="29" t="str">
        <f t="shared" si="27"/>
        <v>4</v>
      </c>
    </row>
    <row r="218" spans="3:9" x14ac:dyDescent="0.25">
      <c r="C218" s="193"/>
      <c r="D218" s="29"/>
      <c r="E218" s="29"/>
      <c r="F218" s="29"/>
      <c r="G218" s="29"/>
      <c r="H218" s="29">
        <f t="shared" si="26"/>
        <v>1900</v>
      </c>
      <c r="I218" s="29" t="str">
        <f t="shared" si="27"/>
        <v>4</v>
      </c>
    </row>
    <row r="219" spans="3:9" x14ac:dyDescent="0.25">
      <c r="C219" s="193"/>
      <c r="D219" s="29"/>
      <c r="E219" s="29"/>
      <c r="F219" s="29"/>
      <c r="G219" s="29"/>
      <c r="H219" s="29">
        <f t="shared" si="26"/>
        <v>1900</v>
      </c>
      <c r="I219" s="29" t="str">
        <f t="shared" si="27"/>
        <v>4</v>
      </c>
    </row>
    <row r="220" spans="3:9" x14ac:dyDescent="0.25">
      <c r="C220" s="193"/>
      <c r="D220" s="29"/>
      <c r="E220" s="29"/>
      <c r="F220" s="29"/>
      <c r="G220" s="29"/>
      <c r="H220" s="29">
        <f t="shared" si="26"/>
        <v>1900</v>
      </c>
      <c r="I220" s="29" t="str">
        <f t="shared" si="27"/>
        <v>4</v>
      </c>
    </row>
    <row r="221" spans="3:9" x14ac:dyDescent="0.25">
      <c r="C221" s="193"/>
      <c r="D221" s="29"/>
      <c r="E221" s="29"/>
      <c r="F221" s="29"/>
      <c r="G221" s="29"/>
      <c r="H221" s="29">
        <f t="shared" si="26"/>
        <v>1900</v>
      </c>
      <c r="I221" s="29" t="str">
        <f t="shared" si="27"/>
        <v>4</v>
      </c>
    </row>
    <row r="222" spans="3:9" x14ac:dyDescent="0.25">
      <c r="C222" s="193"/>
      <c r="D222" s="29"/>
      <c r="E222" s="29"/>
      <c r="F222" s="29"/>
      <c r="G222" s="29"/>
      <c r="H222" s="29">
        <f t="shared" si="26"/>
        <v>1900</v>
      </c>
      <c r="I222" s="29" t="str">
        <f t="shared" si="27"/>
        <v>4</v>
      </c>
    </row>
    <row r="223" spans="3:9" x14ac:dyDescent="0.25">
      <c r="C223" s="193"/>
      <c r="D223" s="29"/>
      <c r="E223" s="29"/>
      <c r="F223" s="29"/>
      <c r="G223" s="29"/>
      <c r="H223" s="29">
        <f t="shared" si="26"/>
        <v>1900</v>
      </c>
      <c r="I223" s="29" t="str">
        <f t="shared" si="27"/>
        <v>4</v>
      </c>
    </row>
    <row r="224" spans="3:9" x14ac:dyDescent="0.25">
      <c r="C224" s="193"/>
      <c r="D224" s="29"/>
      <c r="E224" s="29"/>
      <c r="F224" s="29"/>
      <c r="G224" s="29"/>
      <c r="H224" s="29">
        <f t="shared" si="26"/>
        <v>1900</v>
      </c>
      <c r="I224" s="29" t="str">
        <f t="shared" si="27"/>
        <v>4</v>
      </c>
    </row>
    <row r="225" spans="3:9" x14ac:dyDescent="0.25">
      <c r="C225" s="193"/>
      <c r="D225" s="29"/>
      <c r="E225" s="29"/>
      <c r="F225" s="29"/>
      <c r="G225" s="29"/>
      <c r="H225" s="29">
        <f t="shared" si="26"/>
        <v>1900</v>
      </c>
      <c r="I225" s="29" t="str">
        <f t="shared" si="27"/>
        <v>4</v>
      </c>
    </row>
    <row r="226" spans="3:9" x14ac:dyDescent="0.25">
      <c r="C226" s="193"/>
      <c r="D226" s="29"/>
      <c r="E226" s="29"/>
      <c r="F226" s="29"/>
      <c r="G226" s="29"/>
      <c r="H226" s="29">
        <f t="shared" si="26"/>
        <v>1900</v>
      </c>
      <c r="I226" s="29" t="str">
        <f t="shared" si="27"/>
        <v>4</v>
      </c>
    </row>
    <row r="227" spans="3:9" x14ac:dyDescent="0.25">
      <c r="C227" s="193"/>
      <c r="D227" s="29"/>
      <c r="E227" s="29"/>
      <c r="F227" s="29"/>
      <c r="G227" s="29"/>
      <c r="H227" s="29">
        <f t="shared" si="26"/>
        <v>1900</v>
      </c>
      <c r="I227" s="29" t="str">
        <f t="shared" si="27"/>
        <v>4</v>
      </c>
    </row>
    <row r="228" spans="3:9" x14ac:dyDescent="0.25">
      <c r="C228" s="193"/>
      <c r="D228" s="29"/>
      <c r="E228" s="29"/>
      <c r="F228" s="29"/>
      <c r="G228" s="29"/>
      <c r="H228" s="29">
        <f t="shared" si="26"/>
        <v>1900</v>
      </c>
      <c r="I228" s="29" t="str">
        <f t="shared" si="27"/>
        <v>4</v>
      </c>
    </row>
    <row r="229" spans="3:9" x14ac:dyDescent="0.25">
      <c r="C229" s="193"/>
      <c r="D229" s="29"/>
      <c r="E229" s="29"/>
      <c r="F229" s="29"/>
      <c r="G229" s="29"/>
      <c r="H229" s="29">
        <f t="shared" si="26"/>
        <v>1900</v>
      </c>
      <c r="I229" s="29" t="str">
        <f t="shared" si="27"/>
        <v>4</v>
      </c>
    </row>
    <row r="230" spans="3:9" x14ac:dyDescent="0.25">
      <c r="C230" s="193"/>
      <c r="D230" s="29"/>
      <c r="E230" s="29"/>
      <c r="F230" s="29"/>
      <c r="G230" s="29"/>
      <c r="H230" s="29">
        <f t="shared" si="26"/>
        <v>1900</v>
      </c>
      <c r="I230" s="29" t="str">
        <f t="shared" si="27"/>
        <v>4</v>
      </c>
    </row>
    <row r="231" spans="3:9" x14ac:dyDescent="0.25">
      <c r="C231" s="193"/>
      <c r="D231" s="29"/>
      <c r="E231" s="29"/>
      <c r="F231" s="29"/>
      <c r="G231" s="29"/>
      <c r="H231" s="29">
        <f t="shared" si="26"/>
        <v>1900</v>
      </c>
      <c r="I231" s="29" t="str">
        <f t="shared" si="27"/>
        <v>4</v>
      </c>
    </row>
    <row r="232" spans="3:9" x14ac:dyDescent="0.25">
      <c r="C232" s="193"/>
      <c r="D232" s="29"/>
      <c r="E232" s="29"/>
      <c r="F232" s="29"/>
      <c r="G232" s="29"/>
      <c r="H232" s="29">
        <f t="shared" si="26"/>
        <v>1900</v>
      </c>
      <c r="I232" s="29" t="str">
        <f t="shared" si="27"/>
        <v>4</v>
      </c>
    </row>
    <row r="233" spans="3:9" x14ac:dyDescent="0.25">
      <c r="C233" s="193"/>
      <c r="D233" s="29"/>
      <c r="E233" s="29"/>
      <c r="F233" s="29"/>
      <c r="G233" s="29"/>
      <c r="H233" s="29">
        <f t="shared" si="26"/>
        <v>1900</v>
      </c>
      <c r="I233" s="29" t="str">
        <f t="shared" si="27"/>
        <v>4</v>
      </c>
    </row>
    <row r="234" spans="3:9" x14ac:dyDescent="0.25">
      <c r="C234" s="193"/>
      <c r="D234" s="29"/>
      <c r="E234" s="29"/>
      <c r="F234" s="29"/>
      <c r="G234" s="29"/>
      <c r="H234" s="29">
        <f t="shared" si="26"/>
        <v>1900</v>
      </c>
      <c r="I234" s="29" t="str">
        <f t="shared" si="27"/>
        <v>4</v>
      </c>
    </row>
    <row r="235" spans="3:9" x14ac:dyDescent="0.25">
      <c r="C235" s="193"/>
      <c r="D235" s="29"/>
      <c r="E235" s="29"/>
      <c r="F235" s="29"/>
      <c r="G235" s="29"/>
      <c r="H235" s="29">
        <f t="shared" si="26"/>
        <v>1900</v>
      </c>
      <c r="I235" s="29" t="str">
        <f t="shared" si="27"/>
        <v>4</v>
      </c>
    </row>
    <row r="236" spans="3:9" x14ac:dyDescent="0.25">
      <c r="C236" s="193"/>
      <c r="D236" s="29"/>
      <c r="E236" s="29"/>
      <c r="F236" s="29"/>
      <c r="G236" s="29"/>
      <c r="H236" s="29">
        <f t="shared" si="26"/>
        <v>1900</v>
      </c>
      <c r="I236" s="29" t="str">
        <f t="shared" si="27"/>
        <v>4</v>
      </c>
    </row>
    <row r="237" spans="3:9" x14ac:dyDescent="0.25">
      <c r="C237" s="193"/>
      <c r="D237" s="29"/>
      <c r="E237" s="29"/>
      <c r="F237" s="29"/>
      <c r="G237" s="29"/>
      <c r="H237" s="29">
        <f t="shared" si="26"/>
        <v>1900</v>
      </c>
      <c r="I237" s="29" t="str">
        <f t="shared" si="27"/>
        <v>4</v>
      </c>
    </row>
    <row r="238" spans="3:9" x14ac:dyDescent="0.25">
      <c r="C238" s="193"/>
      <c r="D238" s="29"/>
      <c r="E238" s="29"/>
      <c r="F238" s="29"/>
      <c r="G238" s="29"/>
      <c r="H238" s="29">
        <f t="shared" si="26"/>
        <v>1900</v>
      </c>
      <c r="I238" s="29" t="str">
        <f t="shared" si="27"/>
        <v>4</v>
      </c>
    </row>
    <row r="239" spans="3:9" x14ac:dyDescent="0.25">
      <c r="C239" s="193"/>
      <c r="D239" s="29"/>
      <c r="E239" s="29"/>
      <c r="F239" s="29"/>
      <c r="G239" s="29"/>
      <c r="H239" s="29">
        <f t="shared" si="26"/>
        <v>1900</v>
      </c>
      <c r="I239" s="29" t="str">
        <f t="shared" si="27"/>
        <v>4</v>
      </c>
    </row>
    <row r="240" spans="3:9" x14ac:dyDescent="0.25">
      <c r="C240" s="193"/>
      <c r="D240" s="29"/>
      <c r="E240" s="29"/>
      <c r="F240" s="29"/>
      <c r="G240" s="29"/>
      <c r="H240" s="29">
        <f t="shared" si="26"/>
        <v>1900</v>
      </c>
      <c r="I240" s="29" t="str">
        <f t="shared" si="27"/>
        <v>4</v>
      </c>
    </row>
    <row r="241" spans="3:9" x14ac:dyDescent="0.25">
      <c r="C241" s="193"/>
      <c r="D241" s="29"/>
      <c r="E241" s="29"/>
      <c r="F241" s="29"/>
      <c r="G241" s="29"/>
      <c r="H241" s="29">
        <f t="shared" si="26"/>
        <v>1900</v>
      </c>
      <c r="I241" s="29" t="str">
        <f t="shared" si="27"/>
        <v>4</v>
      </c>
    </row>
    <row r="242" spans="3:9" x14ac:dyDescent="0.25">
      <c r="C242" s="193"/>
      <c r="D242" s="29"/>
      <c r="E242" s="29"/>
      <c r="F242" s="29"/>
      <c r="G242" s="29"/>
      <c r="H242" s="29">
        <f t="shared" si="26"/>
        <v>1900</v>
      </c>
      <c r="I242" s="29" t="str">
        <f t="shared" si="27"/>
        <v>4</v>
      </c>
    </row>
    <row r="243" spans="3:9" x14ac:dyDescent="0.25">
      <c r="C243" s="193"/>
      <c r="D243" s="29"/>
      <c r="E243" s="29"/>
      <c r="F243" s="29"/>
      <c r="G243" s="29"/>
      <c r="H243" s="29">
        <f t="shared" si="26"/>
        <v>1900</v>
      </c>
      <c r="I243" s="29" t="str">
        <f t="shared" si="27"/>
        <v>4</v>
      </c>
    </row>
    <row r="244" spans="3:9" x14ac:dyDescent="0.25">
      <c r="C244" s="193"/>
      <c r="D244" s="29"/>
      <c r="E244" s="29"/>
      <c r="F244" s="29"/>
      <c r="G244" s="29"/>
      <c r="H244" s="29">
        <f t="shared" si="26"/>
        <v>1900</v>
      </c>
      <c r="I244" s="29" t="str">
        <f t="shared" si="27"/>
        <v>4</v>
      </c>
    </row>
    <row r="245" spans="3:9" x14ac:dyDescent="0.25">
      <c r="C245" s="193"/>
      <c r="D245" s="29"/>
      <c r="E245" s="29"/>
      <c r="F245" s="29"/>
      <c r="G245" s="29"/>
      <c r="H245" s="29">
        <f t="shared" si="26"/>
        <v>1900</v>
      </c>
      <c r="I245" s="29" t="str">
        <f t="shared" si="27"/>
        <v>4</v>
      </c>
    </row>
    <row r="246" spans="3:9" x14ac:dyDescent="0.25">
      <c r="C246" s="193"/>
      <c r="D246" s="29"/>
      <c r="E246" s="29"/>
      <c r="F246" s="29"/>
      <c r="G246" s="29"/>
      <c r="H246" s="29">
        <f t="shared" si="26"/>
        <v>1900</v>
      </c>
      <c r="I246" s="29" t="str">
        <f t="shared" si="27"/>
        <v>4</v>
      </c>
    </row>
    <row r="247" spans="3:9" x14ac:dyDescent="0.25">
      <c r="C247" s="193"/>
      <c r="D247" s="29"/>
      <c r="E247" s="29"/>
      <c r="F247" s="29"/>
      <c r="G247" s="29"/>
      <c r="H247" s="29">
        <f t="shared" si="26"/>
        <v>1900</v>
      </c>
      <c r="I247" s="29" t="str">
        <f t="shared" si="27"/>
        <v>4</v>
      </c>
    </row>
    <row r="248" spans="3:9" x14ac:dyDescent="0.25">
      <c r="C248" s="193"/>
      <c r="D248" s="29"/>
      <c r="E248" s="29"/>
      <c r="F248" s="29"/>
      <c r="G248" s="29"/>
      <c r="H248" s="29">
        <f t="shared" si="26"/>
        <v>1900</v>
      </c>
      <c r="I248" s="29" t="str">
        <f t="shared" si="27"/>
        <v>4</v>
      </c>
    </row>
    <row r="249" spans="3:9" x14ac:dyDescent="0.25">
      <c r="C249" s="193"/>
      <c r="D249" s="29"/>
      <c r="E249" s="29"/>
      <c r="F249" s="29"/>
      <c r="G249" s="29"/>
      <c r="H249" s="29">
        <f t="shared" si="26"/>
        <v>1900</v>
      </c>
      <c r="I249" s="29" t="str">
        <f t="shared" si="27"/>
        <v>4</v>
      </c>
    </row>
    <row r="250" spans="3:9" x14ac:dyDescent="0.25">
      <c r="C250" s="193"/>
      <c r="D250" s="29"/>
      <c r="E250" s="29"/>
      <c r="F250" s="29"/>
      <c r="G250" s="29"/>
      <c r="H250" s="29">
        <f t="shared" si="26"/>
        <v>1900</v>
      </c>
      <c r="I250" s="29" t="str">
        <f t="shared" si="27"/>
        <v>4</v>
      </c>
    </row>
    <row r="251" spans="3:9" x14ac:dyDescent="0.25">
      <c r="C251" s="193"/>
      <c r="D251" s="29"/>
      <c r="E251" s="29"/>
      <c r="F251" s="29"/>
      <c r="G251" s="29"/>
      <c r="H251" s="29">
        <f t="shared" si="26"/>
        <v>1900</v>
      </c>
      <c r="I251" s="29" t="str">
        <f t="shared" si="27"/>
        <v>4</v>
      </c>
    </row>
    <row r="252" spans="3:9" x14ac:dyDescent="0.25">
      <c r="C252" s="193"/>
      <c r="D252" s="29"/>
      <c r="E252" s="29"/>
      <c r="F252" s="29"/>
      <c r="G252" s="29"/>
      <c r="H252" s="29">
        <f t="shared" si="26"/>
        <v>1900</v>
      </c>
      <c r="I252" s="29" t="str">
        <f t="shared" si="27"/>
        <v>4</v>
      </c>
    </row>
  </sheetData>
  <mergeCells count="9">
    <mergeCell ref="T11:V11"/>
    <mergeCell ref="U34:V34"/>
    <mergeCell ref="T35:V35"/>
    <mergeCell ref="A6:G6"/>
    <mergeCell ref="A7:G7"/>
    <mergeCell ref="B8:C8"/>
    <mergeCell ref="D8:E8"/>
    <mergeCell ref="F8:G8"/>
    <mergeCell ref="T10:V10"/>
  </mergeCells>
  <dataValidations count="1">
    <dataValidation type="list" allowBlank="1" showInputMessage="1" showErrorMessage="1" promptTitle="Select a Period:" prompt="Select Financial or Calendar years." sqref="U34:V34" xr:uid="{4846D5E9-6997-4AA3-8F6F-B4FA8AE3B950}">
      <formula1>$A$1:$A$2</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A2EED-429A-449D-A648-CE5AFD477F44}">
  <sheetPr>
    <tabColor theme="6" tint="0.39997558519241921"/>
  </sheetPr>
  <dimension ref="A1:Z27"/>
  <sheetViews>
    <sheetView showGridLines="0" zoomScale="85" zoomScaleNormal="85" workbookViewId="0"/>
  </sheetViews>
  <sheetFormatPr defaultRowHeight="15" x14ac:dyDescent="0.25"/>
  <cols>
    <col min="1" max="1" width="24.42578125" customWidth="1"/>
    <col min="2" max="2" width="5.28515625" bestFit="1" customWidth="1"/>
    <col min="3" max="3" width="19.7109375" bestFit="1" customWidth="1"/>
    <col min="4" max="4" width="15.140625" bestFit="1" customWidth="1"/>
    <col min="5" max="8" width="15.42578125" customWidth="1"/>
    <col min="9" max="9" width="18" customWidth="1"/>
    <col min="10" max="10" width="15.42578125" customWidth="1"/>
    <col min="11" max="11" width="16.28515625" customWidth="1"/>
    <col min="12" max="14" width="15.42578125" customWidth="1"/>
    <col min="15" max="21" width="9.140625" customWidth="1"/>
    <col min="23" max="23" width="17.85546875" style="64" customWidth="1"/>
    <col min="24" max="24" width="9.140625" style="64"/>
    <col min="25" max="25" width="9.140625" style="132"/>
    <col min="26" max="26" width="9.140625" style="64"/>
  </cols>
  <sheetData>
    <row r="1" spans="1:26" ht="15" customHeight="1" x14ac:dyDescent="0.25">
      <c r="V1" s="58" t="s">
        <v>165</v>
      </c>
      <c r="W1" s="58" t="str">
        <f>"Alumina and Bauxite Exports "&amp;B8&amp;CHAR(10)&amp;"Total Value: $"&amp;TEXT(C23,"#,###")</f>
        <v>Alumina and Bauxite Exports 2025
Total Value: $7,088,050,000</v>
      </c>
      <c r="X1" s="132" t="s">
        <v>178</v>
      </c>
      <c r="Y1" s="132" cm="1">
        <f t="array" ref="Y1:Y19">IF($B$7="Calendar Year",
_xlfn._xlws.SORT(_xlfn.UNIQUE(_xlfn._xlws.FILTER('Commodity Prices'!$BB:$BB, 'Commodity Prices'!$BA:$BA=$V$1))),
_xlfn._xlws.SORT(_xlfn.UNIQUE(_xlfn._xlws.FILTER('Commodity Prices'!$BI:$BI, 'Commodity Prices'!$BH:$BH=$V$1)))
)</f>
        <v>2007</v>
      </c>
      <c r="Z1" s="132">
        <f t="array" ref="Z1">MIN(IF('Commodity Prices'!$BA$11:$BA$1516=V1,'Commodity Prices'!$BB$11:$BB$1516))</f>
        <v>2007</v>
      </c>
    </row>
    <row r="2" spans="1:26" ht="15" customHeight="1" x14ac:dyDescent="0.25">
      <c r="W2" s="58" t="str">
        <f>IF($B$7=X1,IF(RIGHT(LEFT(B8,5),1)="-","Mismatch Error",""),IF(LEN(B8)=4,"Mismatch Error",""))</f>
        <v/>
      </c>
      <c r="X2" s="132" t="s">
        <v>179</v>
      </c>
      <c r="Y2" s="132">
        <v>2008</v>
      </c>
      <c r="Z2" s="132"/>
    </row>
    <row r="3" spans="1:26" ht="15" customHeight="1" x14ac:dyDescent="0.25">
      <c r="W3" s="58"/>
      <c r="X3" s="132"/>
      <c r="Y3" s="132">
        <v>2009</v>
      </c>
      <c r="Z3" s="132"/>
    </row>
    <row r="4" spans="1:26" ht="15" customHeight="1" x14ac:dyDescent="0.25">
      <c r="W4" s="58"/>
      <c r="X4" s="132"/>
      <c r="Y4" s="132">
        <v>2010</v>
      </c>
      <c r="Z4" s="132"/>
    </row>
    <row r="5" spans="1:26" ht="15" customHeight="1" x14ac:dyDescent="0.25">
      <c r="W5" s="58"/>
      <c r="X5" s="132"/>
      <c r="Y5" s="132">
        <v>2011</v>
      </c>
      <c r="Z5" s="132"/>
    </row>
    <row r="6" spans="1:26" ht="15" customHeight="1" thickBot="1" x14ac:dyDescent="0.3">
      <c r="W6" s="58"/>
      <c r="X6" s="132"/>
      <c r="Y6" s="132">
        <v>2012</v>
      </c>
      <c r="Z6" s="132"/>
    </row>
    <row r="7" spans="1:26" x14ac:dyDescent="0.25">
      <c r="A7" s="404" t="s">
        <v>158</v>
      </c>
      <c r="B7" s="1411" t="s">
        <v>178</v>
      </c>
      <c r="C7" s="1411"/>
      <c r="D7" s="1412"/>
      <c r="E7" s="260"/>
      <c r="W7" s="58"/>
      <c r="X7" s="132"/>
      <c r="Y7" s="132">
        <v>2013</v>
      </c>
      <c r="Z7" s="132"/>
    </row>
    <row r="8" spans="1:26" ht="15.75" thickBot="1" x14ac:dyDescent="0.3">
      <c r="A8" s="501" t="s">
        <v>158</v>
      </c>
      <c r="B8" s="1413">
        <v>2025</v>
      </c>
      <c r="C8" s="1413"/>
      <c r="D8" s="1414"/>
      <c r="E8" s="260"/>
      <c r="W8" s="58"/>
      <c r="X8" s="132"/>
      <c r="Y8" s="132">
        <v>2014</v>
      </c>
      <c r="Z8" s="132"/>
    </row>
    <row r="9" spans="1:26" x14ac:dyDescent="0.25">
      <c r="W9" s="58"/>
      <c r="X9" s="132"/>
      <c r="Y9" s="132">
        <v>2015</v>
      </c>
      <c r="Z9" s="132"/>
    </row>
    <row r="10" spans="1:26" ht="15.75" thickBot="1" x14ac:dyDescent="0.3">
      <c r="A10" s="1393" t="str">
        <f>IF($B$8="Click here to select an option","Select a year above for display.",CONCATENATE("Exports ",B8))</f>
        <v>Exports 2025</v>
      </c>
      <c r="B10" s="1393"/>
      <c r="C10" s="1393"/>
      <c r="D10" s="1393"/>
      <c r="W10" s="58"/>
      <c r="X10" s="132"/>
      <c r="Y10" s="132">
        <v>2016</v>
      </c>
      <c r="Z10" s="132"/>
    </row>
    <row r="11" spans="1:26" x14ac:dyDescent="0.25">
      <c r="A11" s="404" t="s">
        <v>562</v>
      </c>
      <c r="B11" s="502" t="s">
        <v>274</v>
      </c>
      <c r="C11" s="502" t="s">
        <v>563</v>
      </c>
      <c r="D11" s="503" t="s">
        <v>276</v>
      </c>
      <c r="W11" s="58"/>
      <c r="X11" s="132"/>
      <c r="Y11" s="132">
        <v>2017</v>
      </c>
      <c r="Z11" s="132"/>
    </row>
    <row r="12" spans="1:26" x14ac:dyDescent="0.25">
      <c r="A12" s="504" t="str" cm="1">
        <f t="array" ref="A12">IF($W$2="Mismatch Error","Mismatch Error",
IF($B$7="Calendar Year",
INDEX('Commodity Prices'!$BA:$BF,MATCH(1,(('Commodity Prices'!$BA:$BA)=$V$1)*(('Commodity Prices'!$BB:$BB)=$B$8)*(('Commodity Prices'!$BD:$BD)=$B12),0),3),
INDEX('Commodity Prices'!$BH:$BM,MATCH(1,(('Commodity Prices'!$BH:$BH)=$V$1)*(('Commodity Prices'!$BI:$BI)=$B$8)*(('Commodity Prices'!$BK:$BK)=$B12),0),3)
)
)</f>
        <v>Bahrain</v>
      </c>
      <c r="B12" s="505">
        <v>1</v>
      </c>
      <c r="C12" s="506" cm="1">
        <f t="array" ref="C12">IF($W$2="Mismatch Error","Mismatch Error",
IF($B$7="Calendar Year",
INDEX('Commodity Prices'!$BA:$BF, MATCH(1,(('Commodity Prices'!$BA:$BA)=$V$1)*(('Commodity Prices'!$BB:$BB)=$B$8)*(('Commodity Prices'!$BD:$BD)=$B12),0), 5),
INDEX('Commodity Prices'!$BH:$BM, MATCH(1,(('Commodity Prices'!$BH:$BH)=$V$1)*(('Commodity Prices'!$BI:$BI)=$B$8)*(('Commodity Prices'!$BK:$BK)=$B12),0), 5)
)
)</f>
        <v>1637906000</v>
      </c>
      <c r="D12" s="507" cm="1">
        <f t="array" ref="D12">IF($W$2="Mismatch Error","Mismatch Error",
IF($B$7="Calendar Year",
INDEX('Commodity Prices'!$BA:$BF, MATCH(1,(('Commodity Prices'!$BA:$BA)=$V$1)*(('Commodity Prices'!$BB:$BB)=$B$8)*(('Commodity Prices'!$BD:$BD)=$B12),0), 6),
INDEX('Commodity Prices'!$BH:$BM, MATCH(1,(('Commodity Prices'!$BH:$BH)=$V$1)*(('Commodity Prices'!$BI:$BI)=$B$8)*(('Commodity Prices'!$BK:$BK)=$B12),0), 6)
)
)</f>
        <v>0.23107991619697943</v>
      </c>
      <c r="W12" s="58"/>
      <c r="X12" s="132"/>
      <c r="Y12" s="132">
        <v>2018</v>
      </c>
      <c r="Z12" s="132"/>
    </row>
    <row r="13" spans="1:26" x14ac:dyDescent="0.25">
      <c r="A13" s="508" t="str" cm="1">
        <f t="array" ref="A13">IF($W$2="Mismatch Error","Mismatch Error",
IF($B$7="Calendar Year",
INDEX('Commodity Prices'!$BA:$BF,MATCH(1,(('Commodity Prices'!$BA:$BA)=$V$1)*(('Commodity Prices'!$BB:$BB)=$B$8)*(('Commodity Prices'!$BD:$BD)=B13),0),3),
INDEX('Commodity Prices'!$BH:$BM,MATCH(1,(('Commodity Prices'!$BH:$BH)=$V$1)*(('Commodity Prices'!$BI:$BI)=$B$8)*(('Commodity Prices'!$BK:$BK)=B13),0),3)
)
)</f>
        <v>United Arab Emirates</v>
      </c>
      <c r="B13" s="509">
        <v>2</v>
      </c>
      <c r="C13" s="510" cm="1">
        <f t="array" ref="C13">IF($W$2="Mismatch Error","Mismatch Error",
IF($B$7="Calendar Year",
INDEX('Commodity Prices'!$BA:$BF, MATCH(1,(('Commodity Prices'!$BA:$BA)=$V$1)*(('Commodity Prices'!$BB:$BB)=$B$8)*(('Commodity Prices'!$BD:$BD)=$B13),0), 5),
INDEX('Commodity Prices'!$BH:$BM, MATCH(1,(('Commodity Prices'!$BH:$BH)=$V$1)*(('Commodity Prices'!$BI:$BI)=$B$8)*(('Commodity Prices'!$BK:$BK)=$B13),0), 5)
)
)</f>
        <v>1442738000</v>
      </c>
      <c r="D13" s="511" cm="1">
        <f t="array" ref="D13">IF($W$2="Mismatch Error","Mismatch Error",
IF($B$7="Calendar Year",
INDEX('Commodity Prices'!$BA:$BF, MATCH(1,(('Commodity Prices'!$BA:$BA)=$V$1)*(('Commodity Prices'!$BB:$BB)=$B$8)*(('Commodity Prices'!$BD:$BD)=$B13),0), 6),
INDEX('Commodity Prices'!$BH:$BM, MATCH(1,(('Commodity Prices'!$BH:$BH)=$V$1)*(('Commodity Prices'!$BI:$BI)=$B$8)*(('Commodity Prices'!$BK:$BK)=$B13),0), 6)
)
)</f>
        <v>0.20354512171894951</v>
      </c>
      <c r="W13" s="58"/>
      <c r="X13" s="132"/>
      <c r="Y13" s="132">
        <v>2019</v>
      </c>
      <c r="Z13" s="132"/>
    </row>
    <row r="14" spans="1:26" x14ac:dyDescent="0.25">
      <c r="A14" s="512" t="str" cm="1">
        <f t="array" ref="A14">IF($W$2="Mismatch Error","Mismatch Error",
IF($B$7="Calendar Year",
INDEX('Commodity Prices'!$BA:$BF,MATCH(1,(('Commodity Prices'!$BA:$BA)=$V$1)*(('Commodity Prices'!$BB:$BB)=$B$8)*(('Commodity Prices'!$BD:$BD)=B14),0),3),
INDEX('Commodity Prices'!$BH:$BM,MATCH(1,(('Commodity Prices'!$BH:$BH)=$V$1)*(('Commodity Prices'!$BI:$BI)=$B$8)*(('Commodity Prices'!$BK:$BK)=B14),0),3)
)
)</f>
        <v>South Africa</v>
      </c>
      <c r="B14" s="505">
        <v>3</v>
      </c>
      <c r="C14" s="506" cm="1">
        <f t="array" ref="C14">IF($W$2="Mismatch Error","Mismatch Error",
IF($B$7="Calendar Year",
INDEX('Commodity Prices'!$BA:$BF, MATCH(1,(('Commodity Prices'!$BA:$BA)=$V$1)*(('Commodity Prices'!$BB:$BB)=$B$8)*(('Commodity Prices'!$BD:$BD)=$B14),0), 5),
INDEX('Commodity Prices'!$BH:$BM, MATCH(1,(('Commodity Prices'!$BH:$BH)=$V$1)*(('Commodity Prices'!$BI:$BI)=$B$8)*(('Commodity Prices'!$BK:$BK)=$B14),0), 5)
)
)</f>
        <v>914015000</v>
      </c>
      <c r="D14" s="507" cm="1">
        <f t="array" ref="D14">IF($W$2="Mismatch Error","Mismatch Error",
IF($B$7="Calendar Year",
INDEX('Commodity Prices'!$BA:$BF, MATCH(1,(('Commodity Prices'!$BA:$BA)=$V$1)*(('Commodity Prices'!$BB:$BB)=$B$8)*(('Commodity Prices'!$BD:$BD)=$B14),0), 6),
INDEX('Commodity Prices'!$BH:$BM, MATCH(1,(('Commodity Prices'!$BH:$BH)=$V$1)*(('Commodity Prices'!$BI:$BI)=$B$8)*(('Commodity Prices'!$BK:$BK)=$B14),0), 6)
)
)</f>
        <v>0.12895154520636848</v>
      </c>
      <c r="W14" s="58"/>
      <c r="X14" s="132"/>
      <c r="Y14" s="132">
        <v>2020</v>
      </c>
      <c r="Z14" s="132"/>
    </row>
    <row r="15" spans="1:26" x14ac:dyDescent="0.25">
      <c r="A15" s="508" t="str" cm="1">
        <f t="array" ref="A15">IF($W$2="Mismatch Error","Mismatch Error",
IF($B$7="Calendar Year",
INDEX('Commodity Prices'!$BA:$BF,MATCH(1,(('Commodity Prices'!$BA:$BA)=$V$1)*(('Commodity Prices'!$BB:$BB)=$B$8)*(('Commodity Prices'!$BD:$BD)=B15),0),3),
INDEX('Commodity Prices'!$BH:$BM,MATCH(1,(('Commodity Prices'!$BH:$BH)=$V$1)*(('Commodity Prices'!$BI:$BI)=$B$8)*(('Commodity Prices'!$BK:$BK)=B15),0),3)
)
)</f>
        <v>Mozambique</v>
      </c>
      <c r="B15" s="509">
        <v>4</v>
      </c>
      <c r="C15" s="510" cm="1">
        <f t="array" ref="C15">IF($W$2="Mismatch Error","Mismatch Error",
IF($B$7="Calendar Year",
INDEX('Commodity Prices'!$BA:$BF, MATCH(1,(('Commodity Prices'!$BA:$BA)=$V$1)*(('Commodity Prices'!$BB:$BB)=$B$8)*(('Commodity Prices'!$BD:$BD)=$B15),0), 5),
INDEX('Commodity Prices'!$BH:$BM, MATCH(1,(('Commodity Prices'!$BH:$BH)=$V$1)*(('Commodity Prices'!$BI:$BI)=$B$8)*(('Commodity Prices'!$BK:$BK)=$B15),0), 5)
)
)</f>
        <v>725985000</v>
      </c>
      <c r="D15" s="511" cm="1">
        <f t="array" ref="D15">IF($W$2="Mismatch Error","Mismatch Error",
IF($B$7="Calendar Year",
INDEX('Commodity Prices'!$BA:$BF, MATCH(1,(('Commodity Prices'!$BA:$BA)=$V$1)*(('Commodity Prices'!$BB:$BB)=$B$8)*(('Commodity Prices'!$BD:$BD)=$B15),0), 6),
INDEX('Commodity Prices'!$BH:$BM, MATCH(1,(('Commodity Prices'!$BH:$BH)=$V$1)*(('Commodity Prices'!$BI:$BI)=$B$8)*(('Commodity Prices'!$BK:$BK)=$B15),0), 6)
)
)</f>
        <v>0.10242379780052342</v>
      </c>
      <c r="X15" s="132"/>
      <c r="Y15" s="132">
        <v>2021</v>
      </c>
      <c r="Z15" s="132"/>
    </row>
    <row r="16" spans="1:26" x14ac:dyDescent="0.25">
      <c r="A16" s="512" t="str" cm="1">
        <f t="array" ref="A16">IF($W$2="Mismatch Error","Mismatch Error",
IF($B$7="Calendar Year",
INDEX('Commodity Prices'!$BA:$BF,MATCH(1,(('Commodity Prices'!$BA:$BA)=$V$1)*(('Commodity Prices'!$BB:$BB)=$B$8)*(('Commodity Prices'!$BD:$BD)=B16),0),3),
INDEX('Commodity Prices'!$BH:$BM,MATCH(1,(('Commodity Prices'!$BH:$BH)=$V$1)*(('Commodity Prices'!$BI:$BI)=$B$8)*(('Commodity Prices'!$BK:$BK)=B16),0),3)
)
)</f>
        <v>Oman</v>
      </c>
      <c r="B16" s="505">
        <v>5</v>
      </c>
      <c r="C16" s="506" cm="1">
        <f t="array" ref="C16">IF($W$2="Mismatch Error","Mismatch Error",
IF($B$7="Calendar Year",
INDEX('Commodity Prices'!$BA:$BF, MATCH(1,(('Commodity Prices'!$BA:$BA)=$V$1)*(('Commodity Prices'!$BB:$BB)=$B$8)*(('Commodity Prices'!$BD:$BD)=$B16),0), 5),
INDEX('Commodity Prices'!$BH:$BM, MATCH(1,(('Commodity Prices'!$BH:$BH)=$V$1)*(('Commodity Prices'!$BI:$BI)=$B$8)*(('Commodity Prices'!$BK:$BK)=$B16),0), 5)
)
)</f>
        <v>474752000</v>
      </c>
      <c r="D16" s="507" cm="1">
        <f t="array" ref="D16">IF($W$2="Mismatch Error","Mismatch Error",
IF($B$7="Calendar Year",
INDEX('Commodity Prices'!$BA:$BF, MATCH(1,(('Commodity Prices'!$BA:$BA)=$V$1)*(('Commodity Prices'!$BB:$BB)=$B$8)*(('Commodity Prices'!$BD:$BD)=$B16),0), 6),
INDEX('Commodity Prices'!$BH:$BM, MATCH(1,(('Commodity Prices'!$BH:$BH)=$V$1)*(('Commodity Prices'!$BI:$BI)=$B$8)*(('Commodity Prices'!$BK:$BK)=$B16),0), 6)
)
)</f>
        <v>6.6979211489760937E-2</v>
      </c>
      <c r="X16" s="132"/>
      <c r="Y16" s="132">
        <v>2022</v>
      </c>
      <c r="Z16" s="132"/>
    </row>
    <row r="17" spans="1:26" x14ac:dyDescent="0.25">
      <c r="A17" s="508" t="str" cm="1">
        <f t="array" ref="A17">IF($W$2="Mismatch Error","Mismatch Error",
IF($B$7="Calendar Year",
INDEX('Commodity Prices'!$BA:$BF,MATCH(1,(('Commodity Prices'!$BA:$BA)=$V$1)*(('Commodity Prices'!$BB:$BB)=$B$8)*(('Commodity Prices'!$BD:$BD)=B17),0),3),
INDEX('Commodity Prices'!$BH:$BM,MATCH(1,(('Commodity Prices'!$BH:$BH)=$V$1)*(('Commodity Prices'!$BI:$BI)=$B$8)*(('Commodity Prices'!$BK:$BK)=B17),0),3)
)
)</f>
        <v>Argentina</v>
      </c>
      <c r="B17" s="509">
        <v>6</v>
      </c>
      <c r="C17" s="510" cm="1">
        <f t="array" ref="C17">IF($W$2="Mismatch Error","Mismatch Error",
IF($B$7="Calendar Year",
INDEX('Commodity Prices'!$BA:$BF, MATCH(1,(('Commodity Prices'!$BA:$BA)=$V$1)*(('Commodity Prices'!$BB:$BB)=$B$8)*(('Commodity Prices'!$BD:$BD)=$B17),0), 5),
INDEX('Commodity Prices'!$BH:$BM, MATCH(1,(('Commodity Prices'!$BH:$BH)=$V$1)*(('Commodity Prices'!$BI:$BI)=$B$8)*(('Commodity Prices'!$BK:$BK)=$B17),0), 5)
)
)</f>
        <v>382521000</v>
      </c>
      <c r="D17" s="511" cm="1">
        <f t="array" ref="D17">IF($W$2="Mismatch Error","Mismatch Error",
IF($B$7="Calendar Year",
INDEX('Commodity Prices'!$BA:$BF, MATCH(1,(('Commodity Prices'!$BA:$BA)=$V$1)*(('Commodity Prices'!$BB:$BB)=$B$8)*(('Commodity Prices'!$BD:$BD)=$B17),0), 6),
INDEX('Commodity Prices'!$BH:$BM, MATCH(1,(('Commodity Prices'!$BH:$BH)=$V$1)*(('Commodity Prices'!$BI:$BI)=$B$8)*(('Commodity Prices'!$BK:$BK)=$B17),0), 6)
)
)</f>
        <v>5.396702901362152E-2</v>
      </c>
      <c r="X17" s="132"/>
      <c r="Y17" s="132">
        <v>2023</v>
      </c>
      <c r="Z17" s="132"/>
    </row>
    <row r="18" spans="1:26" x14ac:dyDescent="0.25">
      <c r="A18" s="512" t="str" cm="1">
        <f t="array" ref="A18">IF($W$2="Mismatch Error","Mismatch Error",
IF($B$7="Calendar Year",
INDEX('Commodity Prices'!$BA:$BF,MATCH(1,(('Commodity Prices'!$BA:$BA)=$V$1)*(('Commodity Prices'!$BB:$BB)=$B$8)*(('Commodity Prices'!$BD:$BD)=B18),0),3),
INDEX('Commodity Prices'!$BH:$BM,MATCH(1,(('Commodity Prices'!$BH:$BH)=$V$1)*(('Commodity Prices'!$BI:$BI)=$B$8)*(('Commodity Prices'!$BK:$BK)=B18),0),3)
)
)</f>
        <v>Qatar</v>
      </c>
      <c r="B18" s="505">
        <v>7</v>
      </c>
      <c r="C18" s="506" cm="1">
        <f t="array" ref="C18">IF($W$2="Mismatch Error","Mismatch Error",
IF($B$7="Calendar Year",
INDEX('Commodity Prices'!$BA:$BF, MATCH(1,(('Commodity Prices'!$BA:$BA)=$V$1)*(('Commodity Prices'!$BB:$BB)=$B$8)*(('Commodity Prices'!$BD:$BD)=$B18),0), 5),
INDEX('Commodity Prices'!$BH:$BM, MATCH(1,(('Commodity Prices'!$BH:$BH)=$V$1)*(('Commodity Prices'!$BI:$BI)=$B$8)*(('Commodity Prices'!$BK:$BK)=$B18),0), 5)
)
)</f>
        <v>368461000</v>
      </c>
      <c r="D18" s="507" cm="1">
        <f t="array" ref="D18">IF($W$2="Mismatch Error","Mismatch Error",
IF($B$7="Calendar Year",
INDEX('Commodity Prices'!$BA:$BF, MATCH(1,(('Commodity Prices'!$BA:$BA)=$V$1)*(('Commodity Prices'!$BB:$BB)=$B$8)*(('Commodity Prices'!$BD:$BD)=$B18),0), 6),
INDEX('Commodity Prices'!$BH:$BM, MATCH(1,(('Commodity Prices'!$BH:$BH)=$V$1)*(('Commodity Prices'!$BI:$BI)=$B$8)*(('Commodity Prices'!$BK:$BK)=$B18),0), 6)
)
)</f>
        <v>5.1983408694916092E-2</v>
      </c>
      <c r="X18" s="132"/>
      <c r="Y18" s="132">
        <v>2024</v>
      </c>
      <c r="Z18" s="132"/>
    </row>
    <row r="19" spans="1:26" x14ac:dyDescent="0.25">
      <c r="A19" s="508" t="str" cm="1">
        <f t="array" ref="A19">IF($W$2="Mismatch Error","Mismatch Error",
IF($B$7="Calendar Year",
INDEX('Commodity Prices'!$BA:$BF,MATCH(1,(('Commodity Prices'!$BA:$BA)=$V$1)*(('Commodity Prices'!$BB:$BB)=$B$8)*(('Commodity Prices'!$BD:$BD)=B19),0),3),
INDEX('Commodity Prices'!$BH:$BM,MATCH(1,(('Commodity Prices'!$BH:$BH)=$V$1)*(('Commodity Prices'!$BI:$BI)=$B$8)*(('Commodity Prices'!$BK:$BK)=B19),0),3)
)
)</f>
        <v>China (excludes SARs and Taiwan)</v>
      </c>
      <c r="B19" s="509">
        <v>8</v>
      </c>
      <c r="C19" s="510" cm="1">
        <f t="array" ref="C19">IF($W$2="Mismatch Error","Mismatch Error",
IF($B$7="Calendar Year",
INDEX('Commodity Prices'!$BA:$BF, MATCH(1,(('Commodity Prices'!$BA:$BA)=$V$1)*(('Commodity Prices'!$BB:$BB)=$B$8)*(('Commodity Prices'!$BD:$BD)=$B19),0), 5),
INDEX('Commodity Prices'!$BH:$BM, MATCH(1,(('Commodity Prices'!$BH:$BH)=$V$1)*(('Commodity Prices'!$BI:$BI)=$B$8)*(('Commodity Prices'!$BK:$BK)=$B19),0), 5)
)
)</f>
        <v>295217000</v>
      </c>
      <c r="D19" s="511" cm="1">
        <f t="array" ref="D19">IF($W$2="Mismatch Error","Mismatch Error",
IF($B$7="Calendar Year",
INDEX('Commodity Prices'!$BA:$BF, MATCH(1,(('Commodity Prices'!$BA:$BA)=$V$1)*(('Commodity Prices'!$BB:$BB)=$B$8)*(('Commodity Prices'!$BD:$BD)=$B19),0), 6),
INDEX('Commodity Prices'!$BH:$BM, MATCH(1,(('Commodity Prices'!$BH:$BH)=$V$1)*(('Commodity Prices'!$BI:$BI)=$B$8)*(('Commodity Prices'!$BK:$BK)=$B19),0), 6)
)
)</f>
        <v>4.1649960144186343E-2</v>
      </c>
      <c r="X19" s="132"/>
      <c r="Y19" s="132">
        <v>2025</v>
      </c>
      <c r="Z19" s="132"/>
    </row>
    <row r="20" spans="1:26" x14ac:dyDescent="0.25">
      <c r="A20" s="512" t="str" cm="1">
        <f t="array" ref="A20">IF($W$2="Mismatch Error","Mismatch Error",
IF($B$7="Calendar Year",
INDEX('Commodity Prices'!$BA:$BF,MATCH(1,(('Commodity Prices'!$BA:$BA)=$V$1)*(('Commodity Prices'!$BB:$BB)=$B$8)*(('Commodity Prices'!$BD:$BD)=B20),0),3),
INDEX('Commodity Prices'!$BH:$BM,MATCH(1,(('Commodity Prices'!$BH:$BH)=$V$1)*(('Commodity Prices'!$BI:$BI)=$B$8)*(('Commodity Prices'!$BK:$BK)=B20),0),3)
)
)</f>
        <v>Iceland</v>
      </c>
      <c r="B20" s="505">
        <v>9</v>
      </c>
      <c r="C20" s="506" cm="1">
        <f t="array" ref="C20">IF($W$2="Mismatch Error","Mismatch Error",
IF($B$7="Calendar Year",
INDEX('Commodity Prices'!$BA:$BF, MATCH(1,(('Commodity Prices'!$BA:$BA)=$V$1)*(('Commodity Prices'!$BB:$BB)=$B$8)*(('Commodity Prices'!$BD:$BD)=$B20),0), 5),
INDEX('Commodity Prices'!$BH:$BM, MATCH(1,(('Commodity Prices'!$BH:$BH)=$V$1)*(('Commodity Prices'!$BI:$BI)=$B$8)*(('Commodity Prices'!$BK:$BK)=$B20),0), 5)
)
)</f>
        <v>278368000</v>
      </c>
      <c r="D20" s="507" cm="1">
        <f t="array" ref="D20">IF($W$2="Mismatch Error","Mismatch Error",
IF($B$7="Calendar Year",
INDEX('Commodity Prices'!$BA:$BF, MATCH(1,(('Commodity Prices'!$BA:$BA)=$V$1)*(('Commodity Prices'!$BB:$BB)=$B$8)*(('Commodity Prices'!$BD:$BD)=$B20),0), 6),
INDEX('Commodity Prices'!$BH:$BM, MATCH(1,(('Commodity Prices'!$BH:$BH)=$V$1)*(('Commodity Prices'!$BI:$BI)=$B$8)*(('Commodity Prices'!$BK:$BK)=$B20),0), 6)
)
)</f>
        <v>3.9272860659842979E-2</v>
      </c>
      <c r="X20" s="132"/>
      <c r="Z20" s="132"/>
    </row>
    <row r="21" spans="1:26" x14ac:dyDescent="0.25">
      <c r="A21" s="508" t="str" cm="1">
        <f t="array" ref="A21">IF($W$2="Mismatch Error","Mismatch Error",
IF($B$7="Calendar Year",
INDEX('Commodity Prices'!$BA:$BF,MATCH(1,(('Commodity Prices'!$BA:$BA)=$V$1)*(('Commodity Prices'!$BB:$BB)=$B$8)*(('Commodity Prices'!$BD:$BD)=B21),0),3),
INDEX('Commodity Prices'!$BH:$BM,MATCH(1,(('Commodity Prices'!$BH:$BH)=$V$1)*(('Commodity Prices'!$BI:$BI)=$B$8)*(('Commodity Prices'!$BK:$BK)=B21),0),3)
)
)</f>
        <v>Indonesia</v>
      </c>
      <c r="B21" s="509">
        <v>10</v>
      </c>
      <c r="C21" s="510" cm="1">
        <f t="array" ref="C21">IF($W$2="Mismatch Error","Mismatch Error",
IF($B$7="Calendar Year",
INDEX('Commodity Prices'!$BA:$BF, MATCH(1,(('Commodity Prices'!$BA:$BA)=$V$1)*(('Commodity Prices'!$BB:$BB)=$B$8)*(('Commodity Prices'!$BD:$BD)=$B21),0), 5),
INDEX('Commodity Prices'!$BH:$BM, MATCH(1,(('Commodity Prices'!$BH:$BH)=$V$1)*(('Commodity Prices'!$BI:$BI)=$B$8)*(('Commodity Prices'!$BK:$BK)=$B21),0), 5)
)
)</f>
        <v>172931000</v>
      </c>
      <c r="D21" s="511" cm="1">
        <f t="array" ref="D21">IF($W$2="Mismatch Error","Mismatch Error",
IF($B$7="Calendar Year",
INDEX('Commodity Prices'!$BA:$BF, MATCH(1,(('Commodity Prices'!$BA:$BA)=$V$1)*(('Commodity Prices'!$BB:$BB)=$B$8)*(('Commodity Prices'!$BD:$BD)=$B21),0), 6),
INDEX('Commodity Prices'!$BH:$BM, MATCH(1,(('Commodity Prices'!$BH:$BH)=$V$1)*(('Commodity Prices'!$BI:$BI)=$B$8)*(('Commodity Prices'!$BK:$BK)=$B21),0), 6)
)
)</f>
        <v>2.4397542342393184E-2</v>
      </c>
      <c r="X21" s="132"/>
      <c r="Z21" s="132"/>
    </row>
    <row r="22" spans="1:26" x14ac:dyDescent="0.25">
      <c r="A22" s="512" t="str">
        <f>IF($W$2="Mismatch Error","","Other")</f>
        <v>Other</v>
      </c>
      <c r="B22" s="505"/>
      <c r="C22" s="506" cm="1">
        <f t="array" ref="C22">IF($W$2="Mismatch Error","Mismatch Error",
IF($B$7="Calendar Year",
INDEX('Commodity Prices'!$BA:$BF, MATCH(1,(('Commodity Prices'!$BA:$BA)=$V$1)*(('Commodity Prices'!$BB:$BB)=$B$8)*(('Commodity Prices'!$BD:$BD)=$B22),0), 5),
INDEX('Commodity Prices'!$BH:$BM, MATCH(1,(('Commodity Prices'!$BH:$BH)=$V$1)*(('Commodity Prices'!$BI:$BI)=$B$8)*(('Commodity Prices'!$BK:$BK)=$B22),0), 5)
)
)</f>
        <v>395156000</v>
      </c>
      <c r="D22" s="507" cm="1">
        <f t="array" ref="D22">IF($W$2="Mismatch Error","Mismatch Error",
IF($B$7="Calendar Year",
INDEX('Commodity Prices'!$BA:$BF, MATCH(1,(('Commodity Prices'!$BA:$BA)=$V$1)*(('Commodity Prices'!$BB:$BB)=$B$8)*(('Commodity Prices'!$BD:$BD)=$B22),0), 6),
INDEX('Commodity Prices'!$BH:$BM, MATCH(1,(('Commodity Prices'!$BH:$BH)=$V$1)*(('Commodity Prices'!$BI:$BI)=$B$8)*(('Commodity Prices'!$BK:$BK)=$B22),0), 6)
)
)</f>
        <v>5.574960673245815E-2</v>
      </c>
      <c r="X22" s="132"/>
      <c r="Z22" s="132"/>
    </row>
    <row r="23" spans="1:26" ht="15.75" thickBot="1" x14ac:dyDescent="0.3">
      <c r="A23" s="513" t="str">
        <f>IF($W$2="Mismatch Error","","Grand Total")</f>
        <v>Grand Total</v>
      </c>
      <c r="B23" s="514"/>
      <c r="C23" s="515">
        <f>SUM(C12:C22)</f>
        <v>7088050000</v>
      </c>
      <c r="D23" s="516"/>
      <c r="E23" s="2"/>
      <c r="X23" s="132"/>
      <c r="Z23" s="132"/>
    </row>
    <row r="24" spans="1:26" x14ac:dyDescent="0.25">
      <c r="X24" s="132"/>
      <c r="Z24" s="132"/>
    </row>
    <row r="25" spans="1:26" x14ac:dyDescent="0.25">
      <c r="A25" s="517" t="str">
        <f>IF(A12="Mismatch Error","You have selected an incompatible year or year type. Change one or the other to display data.","")</f>
        <v/>
      </c>
      <c r="B25" s="517"/>
      <c r="C25" s="517"/>
      <c r="D25" s="517"/>
    </row>
    <row r="26" spans="1:26" x14ac:dyDescent="0.25">
      <c r="A26" s="517"/>
      <c r="B26" s="517"/>
      <c r="C26" s="517"/>
      <c r="D26" s="517"/>
    </row>
    <row r="27" spans="1:26" ht="15" customHeight="1" x14ac:dyDescent="0.25">
      <c r="A27" s="517" t="str">
        <f>IF(OR(ISNA(A12),ISNA(A13),ISNA(A14),ISNA(A15),ISNA(A16),ISNA(A17),ISNA(A18),ISNA(A19),ISNA(A20),ISNA(A21),ISNA(C12),ISNA(C13),ISNA(C14),ISNA(C15),ISNA(C16),ISNA(C17),ISNA(C18),ISNA(C19),ISNA(C20),ISNA(C21)),"You have encountered an N/A Error. This is most likely caused by the accidental loss of an array formula in the table above. Click on the cell showing #N/A above, then click the formula bar and press Ctrl, Shift and Enter.","")</f>
        <v/>
      </c>
      <c r="B27" s="517"/>
      <c r="C27" s="517"/>
      <c r="D27" s="517"/>
    </row>
  </sheetData>
  <mergeCells count="3">
    <mergeCell ref="B7:D7"/>
    <mergeCell ref="B8:D8"/>
    <mergeCell ref="A10:D10"/>
  </mergeCells>
  <conditionalFormatting sqref="A14 A16 A18 A20 A22">
    <cfRule type="containsText" dxfId="0" priority="1" operator="containsText" text="Mismatch Error">
      <formula>NOT(ISERROR(SEARCH("Mismatch Error",A14)))</formula>
    </cfRule>
  </conditionalFormatting>
  <dataValidations count="3">
    <dataValidation type="list" allowBlank="1" showInputMessage="1" showErrorMessage="1" promptTitle="Select a Display Factor:" prompt="Clicking here will bring up a message describing the selections you can make." sqref="B8:D8" xr:uid="{149FDA81-C321-41FC-A1C7-B8800D0C240A}">
      <formula1>$Y$1:$Y$27</formula1>
    </dataValidation>
    <dataValidation type="list" allowBlank="1" showInputMessage="1" showErrorMessage="1" promptTitle="Select a Display Factor:" prompt="Clicking here will bring up a message describing the selections you can make." sqref="B7:D7" xr:uid="{7B11470D-BA43-4F2B-9C9D-059CBEC703E7}">
      <formula1>$X$1:$X$2</formula1>
    </dataValidation>
    <dataValidation allowBlank="1" promptTitle="Select a Display Factor:" prompt="Clicking here will bring up a message describing the selections you can make." sqref="E7:E8" xr:uid="{1D68D7AE-8537-4D3E-9604-BF736621A523}"/>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C511C-1B90-4506-83B4-37ACAC430F4F}">
  <sheetPr>
    <tabColor theme="6" tint="0.39997558519241921"/>
  </sheetPr>
  <dimension ref="A7:U73"/>
  <sheetViews>
    <sheetView showGridLines="0" zoomScale="85" zoomScaleNormal="85" workbookViewId="0">
      <pane ySplit="8" topLeftCell="A9" activePane="bottomLeft" state="frozen"/>
      <selection pane="bottomLeft"/>
    </sheetView>
  </sheetViews>
  <sheetFormatPr defaultRowHeight="15" x14ac:dyDescent="0.25"/>
  <cols>
    <col min="1" max="1" width="12.7109375" customWidth="1"/>
    <col min="2" max="3" width="20.7109375" customWidth="1"/>
    <col min="4" max="4" width="3" customWidth="1"/>
    <col min="5" max="5" width="2.28515625" customWidth="1"/>
    <col min="18" max="18" width="4.5703125" customWidth="1"/>
    <col min="19" max="19" width="12.7109375" customWidth="1"/>
    <col min="20" max="21" width="20.7109375" customWidth="1"/>
  </cols>
  <sheetData>
    <row r="7" spans="1:21" ht="15.75" thickBot="1" x14ac:dyDescent="0.3">
      <c r="A7" s="1407" t="s">
        <v>564</v>
      </c>
      <c r="B7" s="1407"/>
      <c r="C7" s="1407"/>
    </row>
    <row r="8" spans="1:21" x14ac:dyDescent="0.25">
      <c r="A8" s="518" t="s">
        <v>272</v>
      </c>
      <c r="B8" s="502" t="s">
        <v>565</v>
      </c>
      <c r="C8" s="519" t="s">
        <v>566</v>
      </c>
    </row>
    <row r="9" spans="1:21" x14ac:dyDescent="0.25">
      <c r="A9" s="416">
        <v>1960</v>
      </c>
      <c r="B9" s="520">
        <v>0</v>
      </c>
      <c r="C9" s="521">
        <v>2.9801000000000001E-2</v>
      </c>
      <c r="S9" s="1393" t="s">
        <v>564</v>
      </c>
      <c r="T9" s="1393"/>
      <c r="U9" s="1393"/>
    </row>
    <row r="10" spans="1:21" ht="15.75" thickBot="1" x14ac:dyDescent="0.3">
      <c r="A10" s="416">
        <v>1961</v>
      </c>
      <c r="B10" s="523">
        <v>0</v>
      </c>
      <c r="C10" s="524">
        <v>2.9468000000000001E-2</v>
      </c>
      <c r="S10" s="1393" t="s">
        <v>567</v>
      </c>
      <c r="T10" s="1393"/>
      <c r="U10" s="1393"/>
    </row>
    <row r="11" spans="1:21" x14ac:dyDescent="0.25">
      <c r="A11" s="416">
        <v>1962</v>
      </c>
      <c r="B11" s="520">
        <v>0</v>
      </c>
      <c r="C11" s="521">
        <v>0.01</v>
      </c>
      <c r="S11" s="522" t="s">
        <v>272</v>
      </c>
      <c r="T11" s="460" t="str">
        <f>B8</f>
        <v>Western Australia (Mt)</v>
      </c>
      <c r="U11" s="461" t="str">
        <f>C8</f>
        <v>Rest of Australia (Mt)</v>
      </c>
    </row>
    <row r="12" spans="1:21" x14ac:dyDescent="0.25">
      <c r="A12" s="416">
        <v>1963</v>
      </c>
      <c r="B12" s="523">
        <v>0</v>
      </c>
      <c r="C12" s="524">
        <v>7.1437E-2</v>
      </c>
      <c r="S12" s="416">
        <f>LARGE(A$9:A$92,10)</f>
        <v>2015</v>
      </c>
      <c r="T12" s="525">
        <f t="shared" ref="T12:U21" si="0">SUMIF($A$9:$A$97,$S12,B$9:B$97)</f>
        <v>13.778493585999998</v>
      </c>
      <c r="U12" s="526">
        <f t="shared" si="0"/>
        <v>6.3186864140000019</v>
      </c>
    </row>
    <row r="13" spans="1:21" x14ac:dyDescent="0.25">
      <c r="A13" s="416">
        <v>1964</v>
      </c>
      <c r="B13" s="520">
        <v>0.119613</v>
      </c>
      <c r="C13" s="521">
        <v>4.1045230000000002E-2</v>
      </c>
      <c r="S13" s="416">
        <f>LARGE(A$9:A$92,9)</f>
        <v>2016</v>
      </c>
      <c r="T13" s="527">
        <f t="shared" si="0"/>
        <v>13.829773889999998</v>
      </c>
      <c r="U13" s="528">
        <f t="shared" si="0"/>
        <v>6.85105611</v>
      </c>
    </row>
    <row r="14" spans="1:21" x14ac:dyDescent="0.25">
      <c r="A14" s="416">
        <v>1965</v>
      </c>
      <c r="B14" s="523">
        <v>0.1508504</v>
      </c>
      <c r="C14" s="524">
        <v>5.1594839999999996E-2</v>
      </c>
      <c r="S14" s="416">
        <f>LARGE(A$9:A$92,8)</f>
        <v>2017</v>
      </c>
      <c r="T14" s="525">
        <f t="shared" si="0"/>
        <v>13.84700406</v>
      </c>
      <c r="U14" s="526">
        <f t="shared" si="0"/>
        <v>6.638765939999999</v>
      </c>
    </row>
    <row r="15" spans="1:21" x14ac:dyDescent="0.25">
      <c r="A15" s="416">
        <v>1966</v>
      </c>
      <c r="B15" s="520">
        <v>0.24705370000000001</v>
      </c>
      <c r="C15" s="521">
        <v>5.9915239999999995E-2</v>
      </c>
      <c r="S15" s="416">
        <f>LARGE(A$9:A$92,7)</f>
        <v>2018</v>
      </c>
      <c r="T15" s="527">
        <f t="shared" si="0"/>
        <v>13.498431119999999</v>
      </c>
      <c r="U15" s="528">
        <f t="shared" si="0"/>
        <v>6.563368879999997</v>
      </c>
    </row>
    <row r="16" spans="1:21" x14ac:dyDescent="0.25">
      <c r="A16" s="416">
        <v>1967</v>
      </c>
      <c r="B16" s="523">
        <v>0.41172740000000002</v>
      </c>
      <c r="C16" s="524">
        <v>0.44268940000000001</v>
      </c>
      <c r="S16" s="416">
        <f>LARGE(A$9:A$92,6)</f>
        <v>2019</v>
      </c>
      <c r="T16" s="525">
        <f t="shared" si="0"/>
        <v>14.019717422999999</v>
      </c>
      <c r="U16" s="526">
        <f t="shared" si="0"/>
        <v>6.1802830000000002</v>
      </c>
    </row>
    <row r="17" spans="1:21" x14ac:dyDescent="0.25">
      <c r="A17" s="416">
        <v>1968</v>
      </c>
      <c r="B17" s="520">
        <v>0.4885832</v>
      </c>
      <c r="C17" s="521">
        <v>0.82087299999999996</v>
      </c>
      <c r="S17" s="416">
        <f>LARGE(A$9:A$92,5)</f>
        <v>2020</v>
      </c>
      <c r="T17" s="527">
        <f t="shared" si="0"/>
        <v>14.242609689999998</v>
      </c>
      <c r="U17" s="528">
        <f t="shared" si="0"/>
        <v>6.5945320000000001</v>
      </c>
    </row>
    <row r="18" spans="1:21" x14ac:dyDescent="0.25">
      <c r="A18" s="416">
        <v>1969</v>
      </c>
      <c r="B18" s="523">
        <v>0.77114260000000001</v>
      </c>
      <c r="C18" s="524">
        <v>1.1598729999999999</v>
      </c>
      <c r="S18" s="416">
        <f>LARGE(A$9:A$92,4)</f>
        <v>2021</v>
      </c>
      <c r="T18" s="525">
        <f t="shared" si="0"/>
        <v>14.193521710000001</v>
      </c>
      <c r="U18" s="526">
        <f t="shared" si="0"/>
        <v>6.4305662899999998</v>
      </c>
    </row>
    <row r="19" spans="1:21" x14ac:dyDescent="0.25">
      <c r="A19" s="416">
        <v>1970</v>
      </c>
      <c r="B19" s="520">
        <v>0.9652309</v>
      </c>
      <c r="C19" s="521">
        <v>1.186992</v>
      </c>
      <c r="S19" s="416">
        <f>LARGE(A$9:A$92,3)</f>
        <v>2022</v>
      </c>
      <c r="T19" s="527">
        <f t="shared" si="0"/>
        <v>13.451525954000001</v>
      </c>
      <c r="U19" s="528">
        <f t="shared" si="0"/>
        <v>6.1139330459999996</v>
      </c>
    </row>
    <row r="20" spans="1:21" x14ac:dyDescent="0.25">
      <c r="A20" s="416">
        <v>1971</v>
      </c>
      <c r="B20" s="523">
        <v>1.2753509999999999</v>
      </c>
      <c r="C20" s="524">
        <v>1.3944049999999999</v>
      </c>
      <c r="S20" s="416">
        <f>LARGE(A$9:A$92,2)</f>
        <v>2023</v>
      </c>
      <c r="T20" s="525">
        <f t="shared" si="0"/>
        <v>12.733554529999999</v>
      </c>
      <c r="U20" s="526">
        <f t="shared" si="0"/>
        <v>6.0689104489999988</v>
      </c>
    </row>
    <row r="21" spans="1:21" ht="15.75" thickBot="1" x14ac:dyDescent="0.3">
      <c r="A21" s="416">
        <v>1972</v>
      </c>
      <c r="B21" s="520">
        <v>1.435859</v>
      </c>
      <c r="C21" s="521">
        <v>1.6322190000000001</v>
      </c>
      <c r="S21" s="417">
        <f>LARGE(A$9:A$92,1)</f>
        <v>2024</v>
      </c>
      <c r="T21" s="529">
        <f t="shared" si="0"/>
        <v>11.422483994</v>
      </c>
      <c r="U21" s="530">
        <f t="shared" si="0"/>
        <v>5.6615160059999994</v>
      </c>
    </row>
    <row r="22" spans="1:21" x14ac:dyDescent="0.25">
      <c r="A22" s="416">
        <v>1973</v>
      </c>
      <c r="B22" s="523">
        <v>1.7291289999999999</v>
      </c>
      <c r="C22" s="524">
        <v>2.3597670000000002</v>
      </c>
    </row>
    <row r="23" spans="1:21" x14ac:dyDescent="0.25">
      <c r="A23" s="416">
        <v>1974</v>
      </c>
      <c r="B23" s="520">
        <v>1.9812050000000001</v>
      </c>
      <c r="C23" s="521">
        <v>2.9182839999999999</v>
      </c>
    </row>
    <row r="24" spans="1:21" x14ac:dyDescent="0.25">
      <c r="A24" s="416">
        <v>1975</v>
      </c>
      <c r="B24" s="523">
        <v>2.2302550000000001</v>
      </c>
      <c r="C24" s="524">
        <v>2.2837450000000001</v>
      </c>
    </row>
    <row r="25" spans="1:21" x14ac:dyDescent="0.25">
      <c r="A25" s="416">
        <v>1976</v>
      </c>
      <c r="B25" s="520">
        <v>3.1200570000000001</v>
      </c>
      <c r="C25" s="521">
        <v>2.7349429999999999</v>
      </c>
    </row>
    <row r="26" spans="1:21" x14ac:dyDescent="0.25">
      <c r="A26" s="416">
        <v>1977</v>
      </c>
      <c r="B26" s="523">
        <v>3.4569869999999998</v>
      </c>
      <c r="C26" s="524">
        <v>2.6140129999999999</v>
      </c>
    </row>
    <row r="27" spans="1:21" x14ac:dyDescent="0.25">
      <c r="A27" s="416">
        <v>1978</v>
      </c>
      <c r="B27" s="520">
        <v>3.47038</v>
      </c>
      <c r="C27" s="521">
        <v>2.77962</v>
      </c>
    </row>
    <row r="28" spans="1:21" x14ac:dyDescent="0.25">
      <c r="A28" s="416">
        <v>1979</v>
      </c>
      <c r="B28" s="523">
        <v>3.9454449999999999</v>
      </c>
      <c r="C28" s="524">
        <v>3.4691610000000002</v>
      </c>
    </row>
    <row r="29" spans="1:21" x14ac:dyDescent="0.25">
      <c r="A29" s="416">
        <v>1980</v>
      </c>
      <c r="B29" s="520">
        <v>3.6639889999999999</v>
      </c>
      <c r="C29" s="521">
        <v>3.5825100000000001</v>
      </c>
    </row>
    <row r="30" spans="1:21" x14ac:dyDescent="0.25">
      <c r="A30" s="416">
        <v>1981</v>
      </c>
      <c r="B30" s="523">
        <v>3.67848</v>
      </c>
      <c r="C30" s="524">
        <v>3.4005290000000001</v>
      </c>
    </row>
    <row r="31" spans="1:21" x14ac:dyDescent="0.25">
      <c r="A31" s="416">
        <v>1982</v>
      </c>
      <c r="B31" s="520">
        <v>3.6763849999999998</v>
      </c>
      <c r="C31" s="521">
        <v>2.9541219999999999</v>
      </c>
    </row>
    <row r="32" spans="1:21" x14ac:dyDescent="0.25">
      <c r="A32" s="416">
        <v>1983</v>
      </c>
      <c r="B32" s="523">
        <v>3.983098</v>
      </c>
      <c r="C32" s="524">
        <v>3.2474280000000002</v>
      </c>
    </row>
    <row r="33" spans="1:3" x14ac:dyDescent="0.25">
      <c r="A33" s="416">
        <v>1984</v>
      </c>
      <c r="B33" s="520">
        <v>5.004988</v>
      </c>
      <c r="C33" s="521">
        <v>3.7757139999999998</v>
      </c>
    </row>
    <row r="34" spans="1:3" x14ac:dyDescent="0.25">
      <c r="A34" s="416">
        <v>1985</v>
      </c>
      <c r="B34" s="523">
        <v>5.4196229999999996</v>
      </c>
      <c r="C34" s="524">
        <v>3.3718780000000002</v>
      </c>
    </row>
    <row r="35" spans="1:3" x14ac:dyDescent="0.25">
      <c r="A35" s="416">
        <v>1986</v>
      </c>
      <c r="B35" s="520">
        <v>5.4427899999999996</v>
      </c>
      <c r="C35" s="521">
        <v>3.9804300000000001</v>
      </c>
    </row>
    <row r="36" spans="1:3" x14ac:dyDescent="0.25">
      <c r="A36" s="416">
        <v>1987</v>
      </c>
      <c r="B36" s="523">
        <v>5.928763</v>
      </c>
      <c r="C36" s="524">
        <v>4.1805269999999997</v>
      </c>
    </row>
    <row r="37" spans="1:3" x14ac:dyDescent="0.25">
      <c r="A37" s="416">
        <v>1988</v>
      </c>
      <c r="B37" s="520">
        <v>6.1764140000000003</v>
      </c>
      <c r="C37" s="521">
        <v>4.3341000000000003</v>
      </c>
    </row>
    <row r="38" spans="1:3" x14ac:dyDescent="0.25">
      <c r="A38" s="416">
        <v>1989</v>
      </c>
      <c r="B38" s="523">
        <v>6.3847959999999997</v>
      </c>
      <c r="C38" s="524">
        <v>4.42</v>
      </c>
    </row>
    <row r="39" spans="1:3" x14ac:dyDescent="0.25">
      <c r="A39" s="416">
        <v>1990</v>
      </c>
      <c r="B39" s="520">
        <v>6.7222920000000004</v>
      </c>
      <c r="C39" s="521">
        <v>4.5090000000000003</v>
      </c>
    </row>
    <row r="40" spans="1:3" x14ac:dyDescent="0.25">
      <c r="A40" s="416">
        <v>1991</v>
      </c>
      <c r="B40" s="523">
        <v>7.0091840000000003</v>
      </c>
      <c r="C40" s="524">
        <v>4.7039999999999997</v>
      </c>
    </row>
    <row r="41" spans="1:3" x14ac:dyDescent="0.25">
      <c r="A41" s="416">
        <v>1992</v>
      </c>
      <c r="B41" s="520">
        <v>7.0927569999999998</v>
      </c>
      <c r="C41" s="521">
        <v>4.6892430000000003</v>
      </c>
    </row>
    <row r="42" spans="1:3" x14ac:dyDescent="0.25">
      <c r="A42" s="416">
        <v>1993</v>
      </c>
      <c r="B42" s="523">
        <v>7.8012740000000003</v>
      </c>
      <c r="C42" s="524">
        <v>4.7737259999999999</v>
      </c>
    </row>
    <row r="43" spans="1:3" x14ac:dyDescent="0.25">
      <c r="A43" s="416">
        <v>1994</v>
      </c>
      <c r="B43" s="520">
        <v>7.9333210000000003</v>
      </c>
      <c r="C43" s="521">
        <v>4.9586790000000001</v>
      </c>
    </row>
    <row r="44" spans="1:3" x14ac:dyDescent="0.25">
      <c r="A44" s="416">
        <v>1995</v>
      </c>
      <c r="B44" s="523">
        <v>8.06738</v>
      </c>
      <c r="C44" s="524">
        <v>5.0796200000000002</v>
      </c>
    </row>
    <row r="45" spans="1:3" x14ac:dyDescent="0.25">
      <c r="A45" s="416">
        <v>1996</v>
      </c>
      <c r="B45" s="520">
        <v>8.2496600000000004</v>
      </c>
      <c r="C45" s="521">
        <v>5.0683400000000001</v>
      </c>
    </row>
    <row r="46" spans="1:3" x14ac:dyDescent="0.25">
      <c r="A46" s="416">
        <v>1997</v>
      </c>
      <c r="B46" s="523">
        <v>8.4818949999999997</v>
      </c>
      <c r="C46" s="524">
        <v>4.9050000000000002</v>
      </c>
    </row>
    <row r="47" spans="1:3" x14ac:dyDescent="0.25">
      <c r="A47" s="416">
        <v>1998</v>
      </c>
      <c r="B47" s="520">
        <f>SUMIF('Alumina and Bauxite - Q&amp;V'!$H$10:$H$202,'Alumina and Bauxite - WA vs Aus'!A47,'Alumina and Bauxite - Q&amp;V'!$B$10:$B$202)</f>
        <v>8.7480000000000011</v>
      </c>
      <c r="C47" s="521">
        <v>5.1029999999999998</v>
      </c>
    </row>
    <row r="48" spans="1:3" x14ac:dyDescent="0.25">
      <c r="A48" s="416">
        <v>1999</v>
      </c>
      <c r="B48" s="523">
        <f>SUMIF('Alumina and Bauxite - Q&amp;V'!$H$10:$H$202,'Alumina and Bauxite - WA vs Aus'!A48,'Alumina and Bauxite - Q&amp;V'!$B$10:$B$202)</f>
        <v>8.9310000000000009</v>
      </c>
      <c r="C48" s="524">
        <v>5.6</v>
      </c>
    </row>
    <row r="49" spans="1:3" x14ac:dyDescent="0.25">
      <c r="A49" s="416">
        <v>2000</v>
      </c>
      <c r="B49" s="520">
        <f>SUMIF('Alumina and Bauxite - Q&amp;V'!$H$10:$H$202,'Alumina and Bauxite - WA vs Aus'!A49,'Alumina and Bauxite - Q&amp;V'!$B$10:$B$202)</f>
        <v>10.001999999999999</v>
      </c>
      <c r="C49" s="521">
        <v>5.681</v>
      </c>
    </row>
    <row r="50" spans="1:3" x14ac:dyDescent="0.25">
      <c r="A50" s="416">
        <v>2001</v>
      </c>
      <c r="B50" s="523">
        <f>SUMIF('Alumina and Bauxite - Q&amp;V'!$H$10:$H$202,'Alumina and Bauxite - WA vs Aus'!A50,'Alumina and Bauxite - Q&amp;V'!$B$10:$B$202)</f>
        <v>10.758000000000001</v>
      </c>
      <c r="C50" s="524">
        <v>5.35</v>
      </c>
    </row>
    <row r="51" spans="1:3" x14ac:dyDescent="0.25">
      <c r="A51" s="416">
        <v>2002</v>
      </c>
      <c r="B51" s="520">
        <f>SUMIF('Alumina and Bauxite - Q&amp;V'!$H$10:$H$202,'Alumina and Bauxite - WA vs Aus'!A51,'Alumina and Bauxite - Q&amp;V'!$B$10:$B$202)</f>
        <v>11</v>
      </c>
      <c r="C51" s="521">
        <v>5.3819860000000013</v>
      </c>
    </row>
    <row r="52" spans="1:3" x14ac:dyDescent="0.25">
      <c r="A52" s="416">
        <v>2003</v>
      </c>
      <c r="B52" s="523">
        <f>SUMIF('Alumina and Bauxite - Q&amp;V'!$H$10:$H$202,'Alumina and Bauxite - WA vs Aus'!A52,'Alumina and Bauxite - Q&amp;V'!$B$10:$B$202)</f>
        <v>11.227864</v>
      </c>
      <c r="C52" s="524">
        <v>4.9242849999999994</v>
      </c>
    </row>
    <row r="53" spans="1:3" x14ac:dyDescent="0.25">
      <c r="A53" s="416">
        <v>2004</v>
      </c>
      <c r="B53" s="520">
        <f>SUMIF('Alumina and Bauxite - Q&amp;V'!$H$10:$H$202,'Alumina and Bauxite - WA vs Aus'!A53,'Alumina and Bauxite - Q&amp;V'!$B$10:$B$202)</f>
        <v>10.988386</v>
      </c>
      <c r="C53" s="521">
        <v>5.5366139999999984</v>
      </c>
    </row>
    <row r="54" spans="1:3" x14ac:dyDescent="0.25">
      <c r="A54" s="416">
        <v>2005</v>
      </c>
      <c r="B54" s="523">
        <f>SUMIF('Alumina and Bauxite - Q&amp;V'!$H$10:$H$202,'Alumina and Bauxite - WA vs Aus'!A54,'Alumina and Bauxite - Q&amp;V'!$B$10:$B$202)</f>
        <v>11.352183</v>
      </c>
      <c r="C54" s="524">
        <v>6.3500370000000004</v>
      </c>
    </row>
    <row r="55" spans="1:3" x14ac:dyDescent="0.25">
      <c r="A55" s="416">
        <v>2006</v>
      </c>
      <c r="B55" s="520">
        <f>SUMIF('Alumina and Bauxite - Q&amp;V'!$H$10:$H$202,'Alumina and Bauxite - WA vs Aus'!A55,'Alumina and Bauxite - Q&amp;V'!$B$10:$B$202)</f>
        <v>11.82174775</v>
      </c>
      <c r="C55" s="521">
        <v>6.708000000000002</v>
      </c>
    </row>
    <row r="56" spans="1:3" x14ac:dyDescent="0.25">
      <c r="A56" s="416">
        <v>2007</v>
      </c>
      <c r="B56" s="523">
        <f>SUMIF('Alumina and Bauxite - Q&amp;V'!$H$10:$H$202,'Alumina and Bauxite - WA vs Aus'!A56,'Alumina and Bauxite - Q&amp;V'!$B$10:$B$202)</f>
        <v>12.193625759000001</v>
      </c>
      <c r="C56" s="524">
        <v>6.6770000000000014</v>
      </c>
    </row>
    <row r="57" spans="1:3" x14ac:dyDescent="0.25">
      <c r="A57" s="416">
        <v>2008</v>
      </c>
      <c r="B57" s="520">
        <f>SUMIF('Alumina and Bauxite - Q&amp;V'!$H$10:$H$202,'Alumina and Bauxite - WA vs Aus'!A57,'Alumina and Bauxite - Q&amp;V'!$B$10:$B$202)</f>
        <v>12.245763095999999</v>
      </c>
      <c r="C57" s="521">
        <v>7.200489000000001</v>
      </c>
    </row>
    <row r="58" spans="1:3" x14ac:dyDescent="0.25">
      <c r="A58" s="416">
        <v>2009</v>
      </c>
      <c r="B58" s="523">
        <f>SUMIF('Alumina and Bauxite - Q&amp;V'!$H$10:$H$202,'Alumina and Bauxite - WA vs Aus'!A58,'Alumina and Bauxite - Q&amp;V'!$B$10:$B$202)</f>
        <v>12.42197</v>
      </c>
      <c r="C58" s="524">
        <v>7.5180300000000013</v>
      </c>
    </row>
    <row r="59" spans="1:3" x14ac:dyDescent="0.25">
      <c r="A59" s="416">
        <v>2010</v>
      </c>
      <c r="B59" s="520">
        <f>SUMIF('Alumina and Bauxite - Q&amp;V'!$H$10:$H$202,'Alumina and Bauxite - WA vs Aus'!A59,'Alumina and Bauxite - Q&amp;V'!$B$10:$B$202)</f>
        <v>12.563285</v>
      </c>
      <c r="C59" s="521">
        <v>7.426714999999998</v>
      </c>
    </row>
    <row r="60" spans="1:3" x14ac:dyDescent="0.25">
      <c r="A60" s="416">
        <v>2011</v>
      </c>
      <c r="B60" s="523">
        <f>SUMIF('Alumina and Bauxite - Q&amp;V'!$H$10:$H$202,'Alumina and Bauxite - WA vs Aus'!A60,'Alumina and Bauxite - Q&amp;V'!$B$10:$B$202)</f>
        <v>12.291484000000001</v>
      </c>
      <c r="C60" s="524">
        <v>7.1075160000000004</v>
      </c>
    </row>
    <row r="61" spans="1:3" x14ac:dyDescent="0.25">
      <c r="A61" s="416">
        <v>2012</v>
      </c>
      <c r="B61" s="520">
        <f>SUMIF('Alumina and Bauxite - Q&amp;V'!$H$10:$H$202,'Alumina and Bauxite - WA vs Aus'!A61,'Alumina and Bauxite - Q&amp;V'!$B$10:$B$202)</f>
        <v>12.81154939</v>
      </c>
      <c r="C61" s="521">
        <v>8.5454506099999996</v>
      </c>
    </row>
    <row r="62" spans="1:3" x14ac:dyDescent="0.25">
      <c r="A62" s="416">
        <v>2013</v>
      </c>
      <c r="B62" s="523">
        <f>SUMIF('Alumina and Bauxite - Q&amp;V'!$H$10:$H$202,'Alumina and Bauxite - WA vs Aus'!A62,'Alumina and Bauxite - Q&amp;V'!$B$10:$B$202)</f>
        <v>13.625703529999999</v>
      </c>
      <c r="C62" s="524">
        <v>7.9025564700000004</v>
      </c>
    </row>
    <row r="63" spans="1:3" x14ac:dyDescent="0.25">
      <c r="A63" s="416">
        <v>2014</v>
      </c>
      <c r="B63" s="520">
        <f>SUMIF('Alumina and Bauxite - Q&amp;V'!$H$10:$H$202,'Alumina and Bauxite - WA vs Aus'!A63,'Alumina and Bauxite - Q&amp;V'!$B$10:$B$202)</f>
        <v>13.876846259999999</v>
      </c>
      <c r="C63" s="521">
        <v>6.5986737399999997</v>
      </c>
    </row>
    <row r="64" spans="1:3" x14ac:dyDescent="0.25">
      <c r="A64" s="416">
        <v>2015</v>
      </c>
      <c r="B64" s="523">
        <f>SUMIF('Alumina and Bauxite - Q&amp;V'!$H$10:$H$202,'Alumina and Bauxite - WA vs Aus'!A64,'Alumina and Bauxite - Q&amp;V'!$B$10:$B$202)</f>
        <v>13.778493585999998</v>
      </c>
      <c r="C64" s="524">
        <v>6.3186864140000019</v>
      </c>
    </row>
    <row r="65" spans="1:3" x14ac:dyDescent="0.25">
      <c r="A65" s="416">
        <v>2016</v>
      </c>
      <c r="B65" s="520">
        <f>SUMIF('Alumina and Bauxite - Q&amp;V'!$H$10:$H$202,'Alumina and Bauxite - WA vs Aus'!A65,'Alumina and Bauxite - Q&amp;V'!$B$10:$B$202)</f>
        <v>13.829773889999998</v>
      </c>
      <c r="C65" s="521">
        <v>6.85105611</v>
      </c>
    </row>
    <row r="66" spans="1:3" x14ac:dyDescent="0.25">
      <c r="A66" s="531">
        <v>2017</v>
      </c>
      <c r="B66" s="532">
        <f>SUMIF('Alumina and Bauxite - Q&amp;V'!$H$10:$H$202,'Alumina and Bauxite - WA vs Aus'!A66,'Alumina and Bauxite - Q&amp;V'!$B$10:$B$202)</f>
        <v>13.84700406</v>
      </c>
      <c r="C66" s="533">
        <v>6.638765939999999</v>
      </c>
    </row>
    <row r="67" spans="1:3" x14ac:dyDescent="0.25">
      <c r="A67" s="531">
        <v>2018</v>
      </c>
      <c r="B67" s="534">
        <f>SUMIF('Alumina and Bauxite - Q&amp;V'!$H$10:$H$202,'Alumina and Bauxite - WA vs Aus'!A67,'Alumina and Bauxite - Q&amp;V'!$B$10:$B$202)</f>
        <v>13.498431119999999</v>
      </c>
      <c r="C67" s="535">
        <v>6.563368879999997</v>
      </c>
    </row>
    <row r="68" spans="1:3" x14ac:dyDescent="0.25">
      <c r="A68" s="531">
        <v>2019</v>
      </c>
      <c r="B68" s="532">
        <f>SUMIF('Alumina and Bauxite - Q&amp;V'!$H$10:$H$202,'Alumina and Bauxite - WA vs Aus'!A68,'Alumina and Bauxite - Q&amp;V'!$B$10:$B$202)</f>
        <v>14.019717422999999</v>
      </c>
      <c r="C68" s="533">
        <v>6.1802830000000002</v>
      </c>
    </row>
    <row r="69" spans="1:3" x14ac:dyDescent="0.25">
      <c r="A69" s="531">
        <v>2020</v>
      </c>
      <c r="B69" s="536">
        <f>SUMIF('Alumina and Bauxite - Q&amp;V'!$H$10:$H$202,'Alumina and Bauxite - WA vs Aus'!A69,'Alumina and Bauxite - Q&amp;V'!$B$10:$B$202)</f>
        <v>14.242609689999998</v>
      </c>
      <c r="C69" s="537">
        <v>6.5945320000000001</v>
      </c>
    </row>
    <row r="70" spans="1:3" x14ac:dyDescent="0.25">
      <c r="A70" s="531">
        <v>2021</v>
      </c>
      <c r="B70" s="538">
        <f>SUMIF('Alumina and Bauxite - Q&amp;V'!$H$10:$H$202,'Alumina and Bauxite - WA vs Aus'!A70,'Alumina and Bauxite - Q&amp;V'!$B$10:$B$202)</f>
        <v>14.193521710000001</v>
      </c>
      <c r="C70" s="533">
        <v>6.4305662899999998</v>
      </c>
    </row>
    <row r="71" spans="1:3" x14ac:dyDescent="0.25">
      <c r="A71" s="531">
        <v>2022</v>
      </c>
      <c r="B71" s="536">
        <f>SUMIF('Alumina and Bauxite - Q&amp;V'!$H$10:$H$202,'Alumina and Bauxite - WA vs Aus'!A71,'Alumina and Bauxite - Q&amp;V'!$B$10:$B$202)</f>
        <v>13.451525954000001</v>
      </c>
      <c r="C71" s="537">
        <v>6.1139330459999996</v>
      </c>
    </row>
    <row r="72" spans="1:3" x14ac:dyDescent="0.25">
      <c r="A72" s="531">
        <v>2023</v>
      </c>
      <c r="B72" s="538">
        <f>SUMIF('Alumina and Bauxite - Q&amp;V'!$H$10:$H$202,'Alumina and Bauxite - WA vs Aus'!A72,'Alumina and Bauxite - Q&amp;V'!$B$10:$B$202)</f>
        <v>12.733554529999999</v>
      </c>
      <c r="C72" s="533">
        <v>6.0689104489999988</v>
      </c>
    </row>
    <row r="73" spans="1:3" ht="15.75" thickBot="1" x14ac:dyDescent="0.3">
      <c r="A73" s="539">
        <v>2024</v>
      </c>
      <c r="B73" s="1181">
        <f>SUMIF('Alumina and Bauxite - Q&amp;V'!$H$10:$H$202,'Alumina and Bauxite - WA vs Aus'!A73,'Alumina and Bauxite - Q&amp;V'!$B$10:$B$202)</f>
        <v>11.422483994</v>
      </c>
      <c r="C73" s="1182">
        <v>5.6615160059999994</v>
      </c>
    </row>
  </sheetData>
  <mergeCells count="3">
    <mergeCell ref="A7:C7"/>
    <mergeCell ref="S9:U9"/>
    <mergeCell ref="S10:U10"/>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4B97B-5729-4171-9C7A-E5182AA915DE}">
  <sheetPr>
    <tabColor rgb="FFF6B4E8"/>
  </sheetPr>
  <dimension ref="A1:V71"/>
  <sheetViews>
    <sheetView showGridLines="0" zoomScale="85" zoomScaleNormal="85" workbookViewId="0">
      <pane ySplit="10" topLeftCell="A11" activePane="bottomLeft" state="frozen"/>
      <selection pane="bottomLeft"/>
    </sheetView>
  </sheetViews>
  <sheetFormatPr defaultColWidth="9.140625" defaultRowHeight="15" x14ac:dyDescent="0.25"/>
  <cols>
    <col min="1" max="1" width="12.7109375" customWidth="1"/>
    <col min="2" max="4" width="15.7109375" customWidth="1"/>
    <col min="5" max="5" width="8.7109375" customWidth="1"/>
    <col min="6" max="6" width="12.7109375" customWidth="1"/>
    <col min="7" max="9" width="15.7109375" customWidth="1"/>
  </cols>
  <sheetData>
    <row r="1" spans="1:22" x14ac:dyDescent="0.25">
      <c r="V1" s="58" t="s">
        <v>551</v>
      </c>
    </row>
    <row r="2" spans="1:22" x14ac:dyDescent="0.25">
      <c r="V2" s="58" t="s">
        <v>552</v>
      </c>
    </row>
    <row r="3" spans="1:22" x14ac:dyDescent="0.25">
      <c r="H3" s="421"/>
    </row>
    <row r="7" spans="1:22" x14ac:dyDescent="0.25">
      <c r="A7" s="1393" t="s">
        <v>568</v>
      </c>
      <c r="B7" s="1393"/>
      <c r="C7" s="1393"/>
      <c r="D7" s="1393"/>
      <c r="F7" s="1393" t="s">
        <v>553</v>
      </c>
      <c r="G7" s="1393"/>
      <c r="H7" s="1393"/>
      <c r="I7" s="1393"/>
    </row>
    <row r="8" spans="1:22" ht="15.75" thickBot="1" x14ac:dyDescent="0.3">
      <c r="A8" s="1395" t="s">
        <v>569</v>
      </c>
      <c r="B8" s="1395"/>
      <c r="C8" s="1395"/>
      <c r="D8" s="1395"/>
      <c r="F8" s="1393" t="str">
        <f>F53</f>
        <v>Historic Calendar Year</v>
      </c>
      <c r="G8" s="1393"/>
      <c r="H8" s="1393"/>
      <c r="I8" s="1393"/>
    </row>
    <row r="9" spans="1:22" x14ac:dyDescent="0.25">
      <c r="A9" s="540"/>
      <c r="B9" s="541" t="s">
        <v>169</v>
      </c>
      <c r="C9" s="541" t="s">
        <v>253</v>
      </c>
      <c r="D9" s="542" t="s">
        <v>254</v>
      </c>
      <c r="F9" s="540"/>
      <c r="G9" s="541" t="s">
        <v>169</v>
      </c>
      <c r="H9" s="541" t="s">
        <v>253</v>
      </c>
      <c r="I9" s="543" t="s">
        <v>254</v>
      </c>
    </row>
    <row r="10" spans="1:22" s="233" customFormat="1" x14ac:dyDescent="0.25">
      <c r="A10" s="544" t="s">
        <v>269</v>
      </c>
      <c r="B10" s="545" t="s">
        <v>258</v>
      </c>
      <c r="C10" s="545" t="s">
        <v>258</v>
      </c>
      <c r="D10" s="546" t="s">
        <v>258</v>
      </c>
      <c r="F10" s="544" t="s">
        <v>272</v>
      </c>
      <c r="G10" s="545" t="s">
        <v>258</v>
      </c>
      <c r="H10" s="545" t="s">
        <v>258</v>
      </c>
      <c r="I10" s="546" t="s">
        <v>258</v>
      </c>
    </row>
    <row r="11" spans="1:22" x14ac:dyDescent="0.25">
      <c r="A11" s="547">
        <f>LARGE('Commodity Prices'!C$161:C$904,61)</f>
        <v>44166</v>
      </c>
      <c r="B11" s="548">
        <f>SUMIF('Commodity Prices'!$C$161:$C$904,$A11,'Commodity Prices'!O$161:O$904)</f>
        <v>7755.24</v>
      </c>
      <c r="C11" s="548">
        <f>SUMIF('Commodity Prices'!$C$161:$C$904,$A11,'Commodity Prices'!Q$161:Q$904)</f>
        <v>2018.6</v>
      </c>
      <c r="D11" s="434">
        <f>SUMIF('Commodity Prices'!$C$161:$C$904,$A11,'Commodity Prices'!S$161:S$904)</f>
        <v>2782.36</v>
      </c>
      <c r="F11" s="549">
        <f>IF(F8="Historic Calendar Year", 1986, "1986-87")</f>
        <v>1986</v>
      </c>
      <c r="G11" s="579">
        <f>IF($F$8="Historic Calendar Year",
 IF(COUNTIFS('Commodity Prices'!$O:$O, "&gt;0", 'Commodity Prices'!$A:$A, $F11)=12, AVERAGEIFS('Commodity Prices'!$O:$O, 'Commodity Prices'!$A:$A, $F11), NA()),
 IF(COUNTIFS('Commodity Prices'!$O:$O, "&gt;0", 'Commodity Prices'!$B:$B, $F11)=12, AVERAGEIFS('Commodity Prices'!$O:$O, 'Commodity Prices'!$B:$B, $F11), NA())
)</f>
        <v>1373.5153651336814</v>
      </c>
      <c r="H11" s="579">
        <f>IF($F$8="Historic Calendar Year",
 IF(COUNTIFS('Commodity Prices'!$Q:$Q, "&gt;0", 'Commodity Prices'!$A:$A, $F11)=12, AVERAGEIFS('Commodity Prices'!$Q:$Q, 'Commodity Prices'!$A:$A, $F11), NA()),
 IF(COUNTIFS('Commodity Prices'!$Q:$Q, "&gt;0", 'Commodity Prices'!$B:$B, $F11)=12, AVERAGEIFS('Commodity Prices'!$Q:$Q, 'Commodity Prices'!$B:$B, $F11), NA())
)</f>
        <v>405.64174291666671</v>
      </c>
      <c r="I11" s="580">
        <f>IF($F$8="Historic Calendar Year",
 IF(COUNTIFS('Commodity Prices'!$S:$S, "&gt;0", 'Commodity Prices'!$A:$A, $F11)=12, AVERAGEIFS('Commodity Prices'!$S:$S, 'Commodity Prices'!$A:$A, $F11), NA()),
 IF(COUNTIFS('Commodity Prices'!$S:$S, "&gt;0", 'Commodity Prices'!$B:$B, $F11)=12, AVERAGEIFS('Commodity Prices'!$S:$S, 'Commodity Prices'!$B:$B, $F11), NA())
)</f>
        <v>753.58994358333337</v>
      </c>
    </row>
    <row r="12" spans="1:22" x14ac:dyDescent="0.25">
      <c r="A12" s="550">
        <f>LARGE('Commodity Prices'!C$161:C$904,60)</f>
        <v>44197</v>
      </c>
      <c r="B12" s="551">
        <f>SUMIF('Commodity Prices'!$C$161:$C$904,$A12,'Commodity Prices'!O$161:O$904)</f>
        <v>7970.5</v>
      </c>
      <c r="C12" s="551">
        <f>SUMIF('Commodity Prices'!$C$161:$C$904,$A12,'Commodity Prices'!Q$161:Q$904)</f>
        <v>2014.93</v>
      </c>
      <c r="D12" s="552">
        <f>SUMIF('Commodity Prices'!$C$161:$C$904,$A12,'Commodity Prices'!S$161:S$904)</f>
        <v>2707.7</v>
      </c>
      <c r="F12" s="553">
        <f>IF($F$8="Historic Calendar Year", F11+1, LEFT(F11, 4)+1 &amp; "-" &amp; RIGHT( LEFT(F11, 4)+2, 2))</f>
        <v>1987</v>
      </c>
      <c r="G12" s="554">
        <f>IF($F$8="Historic Calendar Year",
 IF(COUNTIFS('Commodity Prices'!$O:$O, "&gt;0", 'Commodity Prices'!$A:$A, $F12)=12, AVERAGEIFS('Commodity Prices'!$O:$O, 'Commodity Prices'!$A:$A, $F12), NA()),
 IF(COUNTIFS('Commodity Prices'!$O:$O, "&gt;0", 'Commodity Prices'!$B:$B, $F12)=12, AVERAGEIFS('Commodity Prices'!$O:$O, 'Commodity Prices'!$B:$B, $F12), NA())
)</f>
        <v>1780.7876515504031</v>
      </c>
      <c r="H12" s="554">
        <f>IF($F$8="Historic Calendar Year",
 IF(COUNTIFS('Commodity Prices'!$Q:$Q, "&gt;0", 'Commodity Prices'!$A:$A, $F12)=12, AVERAGEIFS('Commodity Prices'!$Q:$Q, 'Commodity Prices'!$A:$A, $F12), NA()),
 IF(COUNTIFS('Commodity Prices'!$Q:$Q, "&gt;0", 'Commodity Prices'!$B:$B, $F12)=12, AVERAGEIFS('Commodity Prices'!$Q:$Q, 'Commodity Prices'!$B:$B, $F12), NA())
)</f>
        <v>596.01365683333336</v>
      </c>
      <c r="I12" s="552">
        <f>IF($F$8="Historic Calendar Year",
 IF(COUNTIFS('Commodity Prices'!$S:$S, "&gt;0", 'Commodity Prices'!$A:$A, $F12)=12, AVERAGEIFS('Commodity Prices'!$S:$S, 'Commodity Prices'!$A:$A, $F12), NA()),
 IF(COUNTIFS('Commodity Prices'!$S:$S, "&gt;0", 'Commodity Prices'!$B:$B, $F12)=12, AVERAGEIFS('Commodity Prices'!$S:$S, 'Commodity Prices'!$B:$B, $F12), NA())
)</f>
        <v>797.81946716666664</v>
      </c>
    </row>
    <row r="13" spans="1:22" x14ac:dyDescent="0.25">
      <c r="A13" s="547">
        <f>LARGE('Commodity Prices'!C$161:C$904,59)</f>
        <v>44228</v>
      </c>
      <c r="B13" s="548">
        <f>SUMIF('Commodity Prices'!$C$161:$C$904,$A13,'Commodity Prices'!O$161:O$904)</f>
        <v>8460.25</v>
      </c>
      <c r="C13" s="548">
        <f>SUMIF('Commodity Prices'!$C$161:$C$904,$A13,'Commodity Prices'!Q$161:Q$904)</f>
        <v>2085.75</v>
      </c>
      <c r="D13" s="434">
        <f>SUMIF('Commodity Prices'!$C$161:$C$904,$A13,'Commodity Prices'!S$161:S$904)</f>
        <v>2713.2</v>
      </c>
      <c r="F13" s="549">
        <f t="shared" ref="F13:F50" si="0">IF($F$8="Historic Calendar Year", F12+1, LEFT(F12, 4)+1 &amp; "-" &amp; RIGHT( LEFT(F12, 4)+2, 2))</f>
        <v>1988</v>
      </c>
      <c r="G13" s="579">
        <f>IF($F$8="Historic Calendar Year",
 IF(COUNTIFS('Commodity Prices'!$O:$O, "&gt;0", 'Commodity Prices'!$A:$A, $F13)=12, AVERAGEIFS('Commodity Prices'!$O:$O, 'Commodity Prices'!$A:$A, $F13), NA()),
 IF(COUNTIFS('Commodity Prices'!$O:$O, "&gt;0", 'Commodity Prices'!$B:$B, $F13)=12, AVERAGEIFS('Commodity Prices'!$O:$O, 'Commodity Prices'!$B:$B, $F13), NA())
)</f>
        <v>2575.9583333333335</v>
      </c>
      <c r="H13" s="579">
        <f>IF($F$8="Historic Calendar Year",
 IF(COUNTIFS('Commodity Prices'!$Q:$Q, "&gt;0", 'Commodity Prices'!$A:$A, $F13)=12, AVERAGEIFS('Commodity Prices'!$Q:$Q, 'Commodity Prices'!$A:$A, $F13), NA()),
 IF(COUNTIFS('Commodity Prices'!$Q:$Q, "&gt;0", 'Commodity Prices'!$B:$B, $F13)=12, AVERAGEIFS('Commodity Prices'!$Q:$Q, 'Commodity Prices'!$B:$B, $F13), NA())
)</f>
        <v>648.41666666666663</v>
      </c>
      <c r="I13" s="580">
        <f>IF($F$8="Historic Calendar Year",
 IF(COUNTIFS('Commodity Prices'!$S:$S, "&gt;0", 'Commodity Prices'!$A:$A, $F13)=12, AVERAGEIFS('Commodity Prices'!$S:$S, 'Commodity Prices'!$A:$A, $F13), NA()),
 IF(COUNTIFS('Commodity Prices'!$S:$S, "&gt;0", 'Commodity Prices'!$B:$B, $F13)=12, AVERAGEIFS('Commodity Prices'!$S:$S, 'Commodity Prices'!$B:$B, $F13), NA())
)</f>
        <v>1246.2324999999998</v>
      </c>
    </row>
    <row r="14" spans="1:22" x14ac:dyDescent="0.25">
      <c r="A14" s="550">
        <f>LARGE('Commodity Prices'!C$161:C$904,58)</f>
        <v>44256</v>
      </c>
      <c r="B14" s="551">
        <f>SUMIF('Commodity Prices'!$C$161:$C$904,$A14,'Commodity Prices'!O$161:O$904)</f>
        <v>9004.98</v>
      </c>
      <c r="C14" s="551">
        <f>SUMIF('Commodity Prices'!$C$161:$C$904,$A14,'Commodity Prices'!Q$161:Q$904)</f>
        <v>1960.76</v>
      </c>
      <c r="D14" s="552">
        <f>SUMIF('Commodity Prices'!$C$161:$C$904,$A14,'Commodity Prices'!S$161:S$904)</f>
        <v>2791.65</v>
      </c>
      <c r="F14" s="553">
        <f t="shared" si="0"/>
        <v>1989</v>
      </c>
      <c r="G14" s="554">
        <f>IF($F$8="Historic Calendar Year",
 IF(COUNTIFS('Commodity Prices'!$O:$O, "&gt;0", 'Commodity Prices'!$A:$A, $F14)=12, AVERAGEIFS('Commodity Prices'!$O:$O, 'Commodity Prices'!$A:$A, $F14), NA()),
 IF(COUNTIFS('Commodity Prices'!$O:$O, "&gt;0", 'Commodity Prices'!$B:$B, $F14)=12, AVERAGEIFS('Commodity Prices'!$O:$O, 'Commodity Prices'!$B:$B, $F14), NA())
)</f>
        <v>2831.4749999999999</v>
      </c>
      <c r="H14" s="554">
        <f>IF($F$8="Historic Calendar Year",
 IF(COUNTIFS('Commodity Prices'!$Q:$Q, "&gt;0", 'Commodity Prices'!$A:$A, $F14)=12, AVERAGEIFS('Commodity Prices'!$Q:$Q, 'Commodity Prices'!$A:$A, $F14), NA()),
 IF(COUNTIFS('Commodity Prices'!$Q:$Q, "&gt;0", 'Commodity Prices'!$B:$B, $F14)=12, AVERAGEIFS('Commodity Prices'!$Q:$Q, 'Commodity Prices'!$B:$B, $F14), NA())
)</f>
        <v>673.96333333333337</v>
      </c>
      <c r="I14" s="552">
        <f>IF($F$8="Historic Calendar Year",
 IF(COUNTIFS('Commodity Prices'!$S:$S, "&gt;0", 'Commodity Prices'!$A:$A, $F14)=12, AVERAGEIFS('Commodity Prices'!$S:$S, 'Commodity Prices'!$A:$A, $F14), NA()),
 IF(COUNTIFS('Commodity Prices'!$S:$S, "&gt;0", 'Commodity Prices'!$B:$B, $F14)=12, AVERAGEIFS('Commodity Prices'!$S:$S, 'Commodity Prices'!$B:$B, $F14), NA())
)</f>
        <v>1710.9416666666666</v>
      </c>
    </row>
    <row r="15" spans="1:22" x14ac:dyDescent="0.25">
      <c r="A15" s="547">
        <f>LARGE('Commodity Prices'!C$161:C$904,57)</f>
        <v>44287</v>
      </c>
      <c r="B15" s="548">
        <f>SUMIF('Commodity Prices'!$C$161:$C$904,$A15,'Commodity Prices'!O$161:O$904)</f>
        <v>9335.5499999999993</v>
      </c>
      <c r="C15" s="548">
        <f>SUMIF('Commodity Prices'!$C$161:$C$904,$A15,'Commodity Prices'!Q$161:Q$904)</f>
        <v>2006.33</v>
      </c>
      <c r="D15" s="434">
        <f>SUMIF('Commodity Prices'!$C$161:$C$904,$A15,'Commodity Prices'!S$161:S$904)</f>
        <v>2827.35</v>
      </c>
      <c r="F15" s="549">
        <f t="shared" si="0"/>
        <v>1990</v>
      </c>
      <c r="G15" s="579">
        <f>IF($F$8="Historic Calendar Year",
 IF(COUNTIFS('Commodity Prices'!$O:$O, "&gt;0", 'Commodity Prices'!$A:$A, $F15)=12, AVERAGEIFS('Commodity Prices'!$O:$O, 'Commodity Prices'!$A:$A, $F15), NA()),
 IF(COUNTIFS('Commodity Prices'!$O:$O, "&gt;0", 'Commodity Prices'!$B:$B, $F15)=12, AVERAGEIFS('Commodity Prices'!$O:$O, 'Commodity Prices'!$B:$B, $F15), NA())
)</f>
        <v>2663.3250000000003</v>
      </c>
      <c r="H15" s="579">
        <f>IF($F$8="Historic Calendar Year",
 IF(COUNTIFS('Commodity Prices'!$Q:$Q, "&gt;0", 'Commodity Prices'!$A:$A, $F15)=12, AVERAGEIFS('Commodity Prices'!$Q:$Q, 'Commodity Prices'!$A:$A, $F15), NA()),
 IF(COUNTIFS('Commodity Prices'!$Q:$Q, "&gt;0", 'Commodity Prices'!$B:$B, $F15)=12, AVERAGEIFS('Commodity Prices'!$Q:$Q, 'Commodity Prices'!$B:$B, $F15), NA())
)</f>
        <v>809.77499999999998</v>
      </c>
      <c r="I15" s="580">
        <f>IF($F$8="Historic Calendar Year",
 IF(COUNTIFS('Commodity Prices'!$S:$S, "&gt;0", 'Commodity Prices'!$A:$A, $F15)=12, AVERAGEIFS('Commodity Prices'!$S:$S, 'Commodity Prices'!$A:$A, $F15), NA()),
 IF(COUNTIFS('Commodity Prices'!$S:$S, "&gt;0", 'Commodity Prices'!$B:$B, $F15)=12, AVERAGEIFS('Commodity Prices'!$S:$S, 'Commodity Prices'!$B:$B, $F15), NA())
)</f>
        <v>1518.4666666666669</v>
      </c>
    </row>
    <row r="16" spans="1:22" x14ac:dyDescent="0.25">
      <c r="A16" s="550">
        <f>LARGE('Commodity Prices'!C$161:C$904,56)</f>
        <v>44317</v>
      </c>
      <c r="B16" s="551">
        <f>SUMIF('Commodity Prices'!$C$161:$C$904,$A16,'Commodity Prices'!O$161:O$904)</f>
        <v>10183.969999999999</v>
      </c>
      <c r="C16" s="551">
        <f>SUMIF('Commodity Prices'!$C$161:$C$904,$A16,'Commodity Prices'!Q$161:Q$904)</f>
        <v>2185.92</v>
      </c>
      <c r="D16" s="552">
        <f>SUMIF('Commodity Prices'!$C$161:$C$904,$A16,'Commodity Prices'!S$161:S$904)</f>
        <v>2970.29</v>
      </c>
      <c r="F16" s="553">
        <f t="shared" si="0"/>
        <v>1991</v>
      </c>
      <c r="G16" s="554">
        <f>IF($F$8="Historic Calendar Year",
 IF(COUNTIFS('Commodity Prices'!$O:$O, "&gt;0", 'Commodity Prices'!$A:$A, $F16)=12, AVERAGEIFS('Commodity Prices'!$O:$O, 'Commodity Prices'!$A:$A, $F16), NA()),
 IF(COUNTIFS('Commodity Prices'!$O:$O, "&gt;0", 'Commodity Prices'!$B:$B, $F16)=12, AVERAGEIFS('Commodity Prices'!$O:$O, 'Commodity Prices'!$B:$B, $F16), NA())
)</f>
        <v>2339.7666666666669</v>
      </c>
      <c r="H16" s="554">
        <f>IF($F$8="Historic Calendar Year",
 IF(COUNTIFS('Commodity Prices'!$Q:$Q, "&gt;0", 'Commodity Prices'!$A:$A, $F16)=12, AVERAGEIFS('Commodity Prices'!$Q:$Q, 'Commodity Prices'!$A:$A, $F16), NA()),
 IF(COUNTIFS('Commodity Prices'!$Q:$Q, "&gt;0", 'Commodity Prices'!$B:$B, $F16)=12, AVERAGEIFS('Commodity Prices'!$Q:$Q, 'Commodity Prices'!$B:$B, $F16), NA())
)</f>
        <v>557.82833333333338</v>
      </c>
      <c r="I16" s="552">
        <f>IF($F$8="Historic Calendar Year",
 IF(COUNTIFS('Commodity Prices'!$S:$S, "&gt;0", 'Commodity Prices'!$A:$A, $F16)=12, AVERAGEIFS('Commodity Prices'!$S:$S, 'Commodity Prices'!$A:$A, $F16), NA()),
 IF(COUNTIFS('Commodity Prices'!$S:$S, "&gt;0", 'Commodity Prices'!$B:$B, $F16)=12, AVERAGEIFS('Commodity Prices'!$S:$S, 'Commodity Prices'!$B:$B, $F16), NA())
)</f>
        <v>1117.3741666666667</v>
      </c>
    </row>
    <row r="17" spans="1:9" x14ac:dyDescent="0.25">
      <c r="A17" s="547">
        <f>LARGE('Commodity Prices'!C$161:C$904,56)</f>
        <v>44317</v>
      </c>
      <c r="B17" s="548">
        <f>SUMIF('Commodity Prices'!$C$161:$C$904,$A17,'Commodity Prices'!O$161:O$904)</f>
        <v>10183.969999999999</v>
      </c>
      <c r="C17" s="548">
        <f>SUMIF('Commodity Prices'!$C$161:$C$904,$A17,'Commodity Prices'!Q$161:Q$904)</f>
        <v>2185.92</v>
      </c>
      <c r="D17" s="434">
        <f>SUMIF('Commodity Prices'!$C$161:$C$904,$A17,'Commodity Prices'!S$161:S$904)</f>
        <v>2970.29</v>
      </c>
      <c r="F17" s="549">
        <f t="shared" si="0"/>
        <v>1992</v>
      </c>
      <c r="G17" s="579">
        <f>IF($F$8="Historic Calendar Year",
 IF(COUNTIFS('Commodity Prices'!$O:$O, "&gt;0", 'Commodity Prices'!$A:$A, $F17)=12, AVERAGEIFS('Commodity Prices'!$O:$O, 'Commodity Prices'!$A:$A, $F17), NA()),
 IF(COUNTIFS('Commodity Prices'!$O:$O, "&gt;0", 'Commodity Prices'!$B:$B, $F17)=12, AVERAGEIFS('Commodity Prices'!$O:$O, 'Commodity Prices'!$B:$B, $F17), NA())
)</f>
        <v>2301.6916666666666</v>
      </c>
      <c r="H17" s="579">
        <f>IF($F$8="Historic Calendar Year",
 IF(COUNTIFS('Commodity Prices'!$Q:$Q, "&gt;0", 'Commodity Prices'!$A:$A, $F17)=12, AVERAGEIFS('Commodity Prices'!$Q:$Q, 'Commodity Prices'!$A:$A, $F17), NA()),
 IF(COUNTIFS('Commodity Prices'!$Q:$Q, "&gt;0", 'Commodity Prices'!$B:$B, $F17)=12, AVERAGEIFS('Commodity Prices'!$Q:$Q, 'Commodity Prices'!$B:$B, $F17), NA())
)</f>
        <v>546.88749999999993</v>
      </c>
      <c r="I17" s="580">
        <f>IF($F$8="Historic Calendar Year",
 IF(COUNTIFS('Commodity Prices'!$S:$S, "&gt;0", 'Commodity Prices'!$A:$A, $F17)=12, AVERAGEIFS('Commodity Prices'!$S:$S, 'Commodity Prices'!$A:$A, $F17), NA()),
 IF(COUNTIFS('Commodity Prices'!$S:$S, "&gt;0", 'Commodity Prices'!$B:$B, $F17)=12, AVERAGEIFS('Commodity Prices'!$S:$S, 'Commodity Prices'!$B:$B, $F17), NA())
)</f>
        <v>1251.3083333333332</v>
      </c>
    </row>
    <row r="18" spans="1:9" x14ac:dyDescent="0.25">
      <c r="A18" s="550">
        <f>LARGE('Commodity Prices'!C$161:C$904,54)</f>
        <v>44378</v>
      </c>
      <c r="B18" s="551">
        <f>SUMIF('Commodity Prices'!$C$161:$C$904,$A18,'Commodity Prices'!O$161:O$904)</f>
        <v>9433.59</v>
      </c>
      <c r="C18" s="551">
        <f>SUMIF('Commodity Prices'!$C$161:$C$904,$A18,'Commodity Prices'!Q$161:Q$904)</f>
        <v>2336.98</v>
      </c>
      <c r="D18" s="552">
        <f>SUMIF('Commodity Prices'!$C$161:$C$904,$A18,'Commodity Prices'!S$161:S$904)</f>
        <v>2942.98</v>
      </c>
      <c r="F18" s="553">
        <f t="shared" si="0"/>
        <v>1993</v>
      </c>
      <c r="G18" s="554">
        <f>IF($F$8="Historic Calendar Year",
 IF(COUNTIFS('Commodity Prices'!$O:$O, "&gt;0", 'Commodity Prices'!$A:$A, $F18)=12, AVERAGEIFS('Commodity Prices'!$O:$O, 'Commodity Prices'!$A:$A, $F18), NA()),
 IF(COUNTIFS('Commodity Prices'!$O:$O, "&gt;0", 'Commodity Prices'!$B:$B, $F18)=12, AVERAGEIFS('Commodity Prices'!$O:$O, 'Commodity Prices'!$B:$B, $F18), NA())
)</f>
        <v>1914.6916666666666</v>
      </c>
      <c r="H18" s="554">
        <f>IF($F$8="Historic Calendar Year",
 IF(COUNTIFS('Commodity Prices'!$Q:$Q, "&gt;0", 'Commodity Prices'!$A:$A, $F18)=12, AVERAGEIFS('Commodity Prices'!$Q:$Q, 'Commodity Prices'!$A:$A, $F18), NA()),
 IF(COUNTIFS('Commodity Prices'!$Q:$Q, "&gt;0", 'Commodity Prices'!$B:$B, $F18)=12, AVERAGEIFS('Commodity Prices'!$Q:$Q, 'Commodity Prices'!$B:$B, $F18), NA())
)</f>
        <v>406.6658333333333</v>
      </c>
      <c r="I18" s="552">
        <f>IF($F$8="Historic Calendar Year",
 IF(COUNTIFS('Commodity Prices'!$S:$S, "&gt;0", 'Commodity Prices'!$A:$A, $F18)=12, AVERAGEIFS('Commodity Prices'!$S:$S, 'Commodity Prices'!$A:$A, $F18), NA()),
 IF(COUNTIFS('Commodity Prices'!$S:$S, "&gt;0", 'Commodity Prices'!$B:$B, $F18)=12, AVERAGEIFS('Commodity Prices'!$S:$S, 'Commodity Prices'!$B:$B, $F18), NA())
)</f>
        <v>962.27333333333343</v>
      </c>
    </row>
    <row r="19" spans="1:9" x14ac:dyDescent="0.25">
      <c r="A19" s="547">
        <f>LARGE('Commodity Prices'!C$161:C$904,53)</f>
        <v>44409</v>
      </c>
      <c r="B19" s="548">
        <f>SUMIF('Commodity Prices'!$C$161:$C$904,$A19,'Commodity Prices'!O$161:O$904)</f>
        <v>9357.19</v>
      </c>
      <c r="C19" s="548">
        <f>SUMIF('Commodity Prices'!$C$161:$C$904,$A19,'Commodity Prices'!Q$161:Q$904)</f>
        <v>2428.52</v>
      </c>
      <c r="D19" s="434">
        <f>SUMIF('Commodity Prices'!$C$161:$C$904,$A19,'Commodity Prices'!S$161:S$904)</f>
        <v>2988.9</v>
      </c>
      <c r="F19" s="549">
        <f t="shared" si="0"/>
        <v>1994</v>
      </c>
      <c r="G19" s="579">
        <f>IF($F$8="Historic Calendar Year",
 IF(COUNTIFS('Commodity Prices'!$O:$O, "&gt;0", 'Commodity Prices'!$A:$A, $F19)=12, AVERAGEIFS('Commodity Prices'!$O:$O, 'Commodity Prices'!$A:$A, $F19), NA()),
 IF(COUNTIFS('Commodity Prices'!$O:$O, "&gt;0", 'Commodity Prices'!$B:$B, $F19)=12, AVERAGEIFS('Commodity Prices'!$O:$O, 'Commodity Prices'!$B:$B, $F19), NA())
)</f>
        <v>2307.1916666666666</v>
      </c>
      <c r="H19" s="579">
        <f>IF($F$8="Historic Calendar Year",
 IF(COUNTIFS('Commodity Prices'!$Q:$Q, "&gt;0", 'Commodity Prices'!$A:$A, $F19)=12, AVERAGEIFS('Commodity Prices'!$Q:$Q, 'Commodity Prices'!$A:$A, $F19), NA()),
 IF(COUNTIFS('Commodity Prices'!$Q:$Q, "&gt;0", 'Commodity Prices'!$B:$B, $F19)=12, AVERAGEIFS('Commodity Prices'!$Q:$Q, 'Commodity Prices'!$B:$B, $F19), NA())
)</f>
        <v>547.93333333333328</v>
      </c>
      <c r="I19" s="580">
        <f>IF($F$8="Historic Calendar Year",
 IF(COUNTIFS('Commodity Prices'!$S:$S, "&gt;0", 'Commodity Prices'!$A:$A, $F19)=12, AVERAGEIFS('Commodity Prices'!$S:$S, 'Commodity Prices'!$A:$A, $F19), NA()),
 IF(COUNTIFS('Commodity Prices'!$S:$S, "&gt;0", 'Commodity Prices'!$B:$B, $F19)=12, AVERAGEIFS('Commodity Prices'!$S:$S, 'Commodity Prices'!$B:$B, $F19), NA())
)</f>
        <v>998.13583333333327</v>
      </c>
    </row>
    <row r="20" spans="1:9" x14ac:dyDescent="0.25">
      <c r="A20" s="550">
        <f>LARGE('Commodity Prices'!C$161:C$904,52)</f>
        <v>44440</v>
      </c>
      <c r="B20" s="551">
        <f>SUMIF('Commodity Prices'!$C$161:$C$904,$A20,'Commodity Prices'!O$161:O$904)</f>
        <v>9323.69</v>
      </c>
      <c r="C20" s="551">
        <f>SUMIF('Commodity Prices'!$C$161:$C$904,$A20,'Commodity Prices'!Q$161:Q$904)</f>
        <v>2256.48</v>
      </c>
      <c r="D20" s="552">
        <f>SUMIF('Commodity Prices'!$C$161:$C$904,$A20,'Commodity Prices'!S$161:S$904)</f>
        <v>3041.05</v>
      </c>
      <c r="F20" s="553">
        <f t="shared" si="0"/>
        <v>1995</v>
      </c>
      <c r="G20" s="554">
        <f>IF($F$8="Historic Calendar Year",
 IF(COUNTIFS('Commodity Prices'!$O:$O, "&gt;0", 'Commodity Prices'!$A:$A, $F20)=12, AVERAGEIFS('Commodity Prices'!$O:$O, 'Commodity Prices'!$A:$A, $F20), NA()),
 IF(COUNTIFS('Commodity Prices'!$O:$O, "&gt;0", 'Commodity Prices'!$B:$B, $F20)=12, AVERAGEIFS('Commodity Prices'!$O:$O, 'Commodity Prices'!$B:$B, $F20), NA())
)</f>
        <v>2936.7249999999999</v>
      </c>
      <c r="H20" s="554">
        <f>IF($F$8="Historic Calendar Year",
 IF(COUNTIFS('Commodity Prices'!$Q:$Q, "&gt;0", 'Commodity Prices'!$A:$A, $F20)=12, AVERAGEIFS('Commodity Prices'!$Q:$Q, 'Commodity Prices'!$A:$A, $F20), NA()),
 IF(COUNTIFS('Commodity Prices'!$Q:$Q, "&gt;0", 'Commodity Prices'!$B:$B, $F20)=12, AVERAGEIFS('Commodity Prices'!$Q:$Q, 'Commodity Prices'!$B:$B, $F20), NA())
)</f>
        <v>632.92916666666667</v>
      </c>
      <c r="I20" s="552">
        <f>IF($F$8="Historic Calendar Year",
 IF(COUNTIFS('Commodity Prices'!$S:$S, "&gt;0", 'Commodity Prices'!$A:$A, $F20)=12, AVERAGEIFS('Commodity Prices'!$S:$S, 'Commodity Prices'!$A:$A, $F20), NA()),
 IF(COUNTIFS('Commodity Prices'!$S:$S, "&gt;0", 'Commodity Prices'!$B:$B, $F20)=12, AVERAGEIFS('Commodity Prices'!$S:$S, 'Commodity Prices'!$B:$B, $F20), NA())
)</f>
        <v>1031.5891666666666</v>
      </c>
    </row>
    <row r="21" spans="1:9" x14ac:dyDescent="0.25">
      <c r="A21" s="547">
        <f>LARGE('Commodity Prices'!C$161:C$904,51)</f>
        <v>44470</v>
      </c>
      <c r="B21" s="548">
        <f>SUMIF('Commodity Prices'!$C$161:$C$904,$A21,'Commodity Prices'!O$161:O$904)</f>
        <v>9777.43</v>
      </c>
      <c r="C21" s="548">
        <f>SUMIF('Commodity Prices'!$C$161:$C$904,$A21,'Commodity Prices'!Q$161:Q$904)</f>
        <v>2338.83</v>
      </c>
      <c r="D21" s="434">
        <f>SUMIF('Commodity Prices'!$C$161:$C$904,$A21,'Commodity Prices'!S$161:S$904)</f>
        <v>3369.49</v>
      </c>
      <c r="F21" s="549">
        <f t="shared" si="0"/>
        <v>1996</v>
      </c>
      <c r="G21" s="579">
        <f>IF($F$8="Historic Calendar Year",
 IF(COUNTIFS('Commodity Prices'!$O:$O, "&gt;0", 'Commodity Prices'!$A:$A, $F21)=12, AVERAGEIFS('Commodity Prices'!$O:$O, 'Commodity Prices'!$A:$A, $F21), NA()),
 IF(COUNTIFS('Commodity Prices'!$O:$O, "&gt;0", 'Commodity Prices'!$B:$B, $F21)=12, AVERAGEIFS('Commodity Prices'!$O:$O, 'Commodity Prices'!$B:$B, $F21), NA())
)</f>
        <v>2294.1083333333331</v>
      </c>
      <c r="H21" s="579">
        <f>IF($F$8="Historic Calendar Year",
 IF(COUNTIFS('Commodity Prices'!$Q:$Q, "&gt;0", 'Commodity Prices'!$A:$A, $F21)=12, AVERAGEIFS('Commodity Prices'!$Q:$Q, 'Commodity Prices'!$A:$A, $F21), NA()),
 IF(COUNTIFS('Commodity Prices'!$Q:$Q, "&gt;0", 'Commodity Prices'!$B:$B, $F21)=12, AVERAGEIFS('Commodity Prices'!$Q:$Q, 'Commodity Prices'!$B:$B, $F21), NA())
)</f>
        <v>774.58583333333343</v>
      </c>
      <c r="I21" s="580">
        <f>IF($F$8="Historic Calendar Year",
 IF(COUNTIFS('Commodity Prices'!$S:$S, "&gt;0", 'Commodity Prices'!$A:$A, $F21)=12, AVERAGEIFS('Commodity Prices'!$S:$S, 'Commodity Prices'!$A:$A, $F21), NA()),
 IF(COUNTIFS('Commodity Prices'!$S:$S, "&gt;0", 'Commodity Prices'!$B:$B, $F21)=12, AVERAGEIFS('Commodity Prices'!$S:$S, 'Commodity Prices'!$B:$B, $F21), NA())
)</f>
        <v>1025.5249999999999</v>
      </c>
    </row>
    <row r="22" spans="1:9" x14ac:dyDescent="0.25">
      <c r="A22" s="550">
        <f>LARGE('Commodity Prices'!C$161:C$904,50)</f>
        <v>44501</v>
      </c>
      <c r="B22" s="551">
        <f>SUMIF('Commodity Prices'!$C$161:$C$904,$A22,'Commodity Prices'!O$161:O$904)</f>
        <v>9764.59</v>
      </c>
      <c r="C22" s="551">
        <f>SUMIF('Commodity Prices'!$C$161:$C$904,$A22,'Commodity Prices'!Q$161:Q$904)</f>
        <v>2346.94</v>
      </c>
      <c r="D22" s="552">
        <f>SUMIF('Commodity Prices'!$C$161:$C$904,$A22,'Commodity Prices'!S$161:S$904)</f>
        <v>3316.65</v>
      </c>
      <c r="F22" s="553">
        <f t="shared" si="0"/>
        <v>1997</v>
      </c>
      <c r="G22" s="554">
        <f>IF($F$8="Historic Calendar Year",
 IF(COUNTIFS('Commodity Prices'!$O:$O, "&gt;0", 'Commodity Prices'!$A:$A, $F22)=12, AVERAGEIFS('Commodity Prices'!$O:$O, 'Commodity Prices'!$A:$A, $F22), NA()),
 IF(COUNTIFS('Commodity Prices'!$O:$O, "&gt;0", 'Commodity Prices'!$B:$B, $F22)=12, AVERAGEIFS('Commodity Prices'!$O:$O, 'Commodity Prices'!$B:$B, $F22), NA())
)</f>
        <v>2249.2249999999999</v>
      </c>
      <c r="H22" s="554">
        <f>IF($F$8="Historic Calendar Year",
 IF(COUNTIFS('Commodity Prices'!$Q:$Q, "&gt;0", 'Commodity Prices'!$A:$A, $F22)=12, AVERAGEIFS('Commodity Prices'!$Q:$Q, 'Commodity Prices'!$A:$A, $F22), NA()),
 IF(COUNTIFS('Commodity Prices'!$Q:$Q, "&gt;0", 'Commodity Prices'!$B:$B, $F22)=12, AVERAGEIFS('Commodity Prices'!$Q:$Q, 'Commodity Prices'!$B:$B, $F22), NA())
)</f>
        <v>624.17250000000001</v>
      </c>
      <c r="I22" s="552">
        <f>IF($F$8="Historic Calendar Year",
 IF(COUNTIFS('Commodity Prices'!$S:$S, "&gt;0", 'Commodity Prices'!$A:$A, $F22)=12, AVERAGEIFS('Commodity Prices'!$S:$S, 'Commodity Prices'!$A:$A, $F22), NA()),
 IF(COUNTIFS('Commodity Prices'!$S:$S, "&gt;0", 'Commodity Prices'!$B:$B, $F22)=12, AVERAGEIFS('Commodity Prices'!$S:$S, 'Commodity Prices'!$B:$B, $F22), NA())
)</f>
        <v>1316.3666666666666</v>
      </c>
    </row>
    <row r="23" spans="1:9" x14ac:dyDescent="0.25">
      <c r="A23" s="547">
        <f>LARGE('Commodity Prices'!C$161:C$904,49)</f>
        <v>44531</v>
      </c>
      <c r="B23" s="548">
        <f>SUMIF('Commodity Prices'!$C$161:$C$904,$A23,'Commodity Prices'!O$161:O$904)</f>
        <v>9549.11</v>
      </c>
      <c r="C23" s="548">
        <f>SUMIF('Commodity Prices'!$C$161:$C$904,$A23,'Commodity Prices'!Q$161:Q$904)</f>
        <v>2304.1999999999998</v>
      </c>
      <c r="D23" s="434">
        <f>SUMIF('Commodity Prices'!$C$161:$C$904,$A23,'Commodity Prices'!S$161:S$904)</f>
        <v>3407.32</v>
      </c>
      <c r="F23" s="549">
        <f t="shared" si="0"/>
        <v>1998</v>
      </c>
      <c r="G23" s="579">
        <f>IF($F$8="Historic Calendar Year",
 IF(COUNTIFS('Commodity Prices'!$O:$O, "&gt;0", 'Commodity Prices'!$A:$A, $F23)=12, AVERAGEIFS('Commodity Prices'!$O:$O, 'Commodity Prices'!$A:$A, $F23), NA()),
 IF(COUNTIFS('Commodity Prices'!$O:$O, "&gt;0", 'Commodity Prices'!$B:$B, $F23)=12, AVERAGEIFS('Commodity Prices'!$O:$O, 'Commodity Prices'!$B:$B, $F23), NA())
)</f>
        <v>1654.0576666666666</v>
      </c>
      <c r="H23" s="579">
        <f>IF($F$8="Historic Calendar Year",
 IF(COUNTIFS('Commodity Prices'!$Q:$Q, "&gt;0", 'Commodity Prices'!$A:$A, $F23)=12, AVERAGEIFS('Commodity Prices'!$Q:$Q, 'Commodity Prices'!$A:$A, $F23), NA()),
 IF(COUNTIFS('Commodity Prices'!$Q:$Q, "&gt;0", 'Commodity Prices'!$B:$B, $F23)=12, AVERAGEIFS('Commodity Prices'!$Q:$Q, 'Commodity Prices'!$B:$B, $F23), NA())
)</f>
        <v>528.65250000000003</v>
      </c>
      <c r="I23" s="580">
        <f>IF($F$8="Historic Calendar Year",
 IF(COUNTIFS('Commodity Prices'!$S:$S, "&gt;0", 'Commodity Prices'!$A:$A, $F23)=12, AVERAGEIFS('Commodity Prices'!$S:$S, 'Commodity Prices'!$A:$A, $F23), NA()),
 IF(COUNTIFS('Commodity Prices'!$S:$S, "&gt;0", 'Commodity Prices'!$B:$B, $F23)=12, AVERAGEIFS('Commodity Prices'!$S:$S, 'Commodity Prices'!$B:$B, $F23), NA())
)</f>
        <v>1024.4920833333333</v>
      </c>
    </row>
    <row r="24" spans="1:9" x14ac:dyDescent="0.25">
      <c r="A24" s="550">
        <f>LARGE('Commodity Prices'!C$161:C$904,48)</f>
        <v>44562</v>
      </c>
      <c r="B24" s="551">
        <f>SUMIF('Commodity Prices'!$C$161:$C$904,$A24,'Commodity Prices'!O$161:O$904)</f>
        <v>9774.51</v>
      </c>
      <c r="C24" s="551">
        <f>SUMIF('Commodity Prices'!$C$161:$C$904,$A24,'Commodity Prices'!Q$161:Q$904)</f>
        <v>2341.9899999999998</v>
      </c>
      <c r="D24" s="552">
        <f>SUMIF('Commodity Prices'!$C$161:$C$904,$A24,'Commodity Prices'!S$161:S$904)</f>
        <v>3674.5</v>
      </c>
      <c r="F24" s="553">
        <f t="shared" si="0"/>
        <v>1999</v>
      </c>
      <c r="G24" s="554">
        <f>IF($F$8="Historic Calendar Year",
 IF(COUNTIFS('Commodity Prices'!$O:$O, "&gt;0", 'Commodity Prices'!$A:$A, $F24)=12, AVERAGEIFS('Commodity Prices'!$O:$O, 'Commodity Prices'!$A:$A, $F24), NA()),
 IF(COUNTIFS('Commodity Prices'!$O:$O, "&gt;0", 'Commodity Prices'!$B:$B, $F24)=12, AVERAGEIFS('Commodity Prices'!$O:$O, 'Commodity Prices'!$B:$B, $F24), NA())
)</f>
        <v>1572.8538333333333</v>
      </c>
      <c r="H24" s="554">
        <f>IF($F$8="Historic Calendar Year",
 IF(COUNTIFS('Commodity Prices'!$Q:$Q, "&gt;0", 'Commodity Prices'!$A:$A, $F24)=12, AVERAGEIFS('Commodity Prices'!$Q:$Q, 'Commodity Prices'!$A:$A, $F24), NA()),
 IF(COUNTIFS('Commodity Prices'!$Q:$Q, "&gt;0", 'Commodity Prices'!$B:$B, $F24)=12, AVERAGEIFS('Commodity Prices'!$Q:$Q, 'Commodity Prices'!$B:$B, $F24), NA())
)</f>
        <v>502.53925000000004</v>
      </c>
      <c r="I24" s="552">
        <f>IF($F$8="Historic Calendar Year",
 IF(COUNTIFS('Commodity Prices'!$S:$S, "&gt;0", 'Commodity Prices'!$A:$A, $F24)=12, AVERAGEIFS('Commodity Prices'!$S:$S, 'Commodity Prices'!$A:$A, $F24), NA()),
 IF(COUNTIFS('Commodity Prices'!$S:$S, "&gt;0", 'Commodity Prices'!$B:$B, $F24)=12, AVERAGEIFS('Commodity Prices'!$S:$S, 'Commodity Prices'!$B:$B, $F24), NA())
)</f>
        <v>1076.3670833333333</v>
      </c>
    </row>
    <row r="25" spans="1:9" x14ac:dyDescent="0.25">
      <c r="A25" s="547">
        <f>LARGE('Commodity Prices'!C$161:C$904,47)</f>
        <v>44593</v>
      </c>
      <c r="B25" s="548">
        <f>SUMIF('Commodity Prices'!$C$161:$C$904,$A25,'Commodity Prices'!O$161:O$904)</f>
        <v>9939.98</v>
      </c>
      <c r="C25" s="548">
        <f>SUMIF('Commodity Prices'!$C$161:$C$904,$A25,'Commodity Prices'!Q$161:Q$904)</f>
        <v>2299.16</v>
      </c>
      <c r="D25" s="434">
        <f>SUMIF('Commodity Prices'!$C$161:$C$904,$A25,'Commodity Prices'!S$161:S$904)</f>
        <v>3643.68</v>
      </c>
      <c r="F25" s="549">
        <f t="shared" si="0"/>
        <v>2000</v>
      </c>
      <c r="G25" s="579">
        <f>IF($F$8="Historic Calendar Year",
 IF(COUNTIFS('Commodity Prices'!$O:$O, "&gt;0", 'Commodity Prices'!$A:$A, $F25)=12, AVERAGEIFS('Commodity Prices'!$O:$O, 'Commodity Prices'!$A:$A, $F25), NA()),
 IF(COUNTIFS('Commodity Prices'!$O:$O, "&gt;0", 'Commodity Prices'!$B:$B, $F25)=12, AVERAGEIFS('Commodity Prices'!$O:$O, 'Commodity Prices'!$B:$B, $F25), NA())
)</f>
        <v>1813.4683333333332</v>
      </c>
      <c r="H25" s="579">
        <f>IF($F$8="Historic Calendar Year",
 IF(COUNTIFS('Commodity Prices'!$Q:$Q, "&gt;0", 'Commodity Prices'!$A:$A, $F25)=12, AVERAGEIFS('Commodity Prices'!$Q:$Q, 'Commodity Prices'!$A:$A, $F25), NA()),
 IF(COUNTIFS('Commodity Prices'!$Q:$Q, "&gt;0", 'Commodity Prices'!$B:$B, $F25)=12, AVERAGEIFS('Commodity Prices'!$Q:$Q, 'Commodity Prices'!$B:$B, $F25), NA())
)</f>
        <v>453.94416666666666</v>
      </c>
      <c r="I25" s="580">
        <f>IF($F$8="Historic Calendar Year",
 IF(COUNTIFS('Commodity Prices'!$S:$S, "&gt;0", 'Commodity Prices'!$A:$A, $F25)=12, AVERAGEIFS('Commodity Prices'!$S:$S, 'Commodity Prices'!$A:$A, $F25), NA()),
 IF(COUNTIFS('Commodity Prices'!$S:$S, "&gt;0", 'Commodity Prices'!$B:$B, $F25)=12, AVERAGEIFS('Commodity Prices'!$S:$S, 'Commodity Prices'!$B:$B, $F25), NA())
)</f>
        <v>1128.085</v>
      </c>
    </row>
    <row r="26" spans="1:9" x14ac:dyDescent="0.25">
      <c r="A26" s="550">
        <f>LARGE('Commodity Prices'!C$161:C$904,46)</f>
        <v>44621</v>
      </c>
      <c r="B26" s="551">
        <f>SUMIF('Commodity Prices'!$C$161:$C$904,$A26,'Commodity Prices'!O$161:O$904)</f>
        <v>10236.700000000001</v>
      </c>
      <c r="C26" s="551">
        <f>SUMIF('Commodity Prices'!$C$161:$C$904,$A26,'Commodity Prices'!Q$161:Q$904)</f>
        <v>2358.79</v>
      </c>
      <c r="D26" s="552">
        <f>SUMIF('Commodity Prices'!$C$161:$C$904,$A26,'Commodity Prices'!S$161:S$904)</f>
        <v>3973.62</v>
      </c>
      <c r="F26" s="553">
        <f t="shared" si="0"/>
        <v>2001</v>
      </c>
      <c r="G26" s="554">
        <f>IF($F$8="Historic Calendar Year",
 IF(COUNTIFS('Commodity Prices'!$O:$O, "&gt;0", 'Commodity Prices'!$A:$A, $F26)=12, AVERAGEIFS('Commodity Prices'!$O:$O, 'Commodity Prices'!$A:$A, $F26), NA()),
 IF(COUNTIFS('Commodity Prices'!$O:$O, "&gt;0", 'Commodity Prices'!$B:$B, $F26)=12, AVERAGEIFS('Commodity Prices'!$O:$O, 'Commodity Prices'!$B:$B, $F26), NA())
)</f>
        <v>1578.5108333333337</v>
      </c>
      <c r="H26" s="554">
        <f>IF($F$8="Historic Calendar Year",
 IF(COUNTIFS('Commodity Prices'!$Q:$Q, "&gt;0", 'Commodity Prices'!$A:$A, $F26)=12, AVERAGEIFS('Commodity Prices'!$Q:$Q, 'Commodity Prices'!$A:$A, $F26), NA()),
 IF(COUNTIFS('Commodity Prices'!$Q:$Q, "&gt;0", 'Commodity Prices'!$B:$B, $F26)=12, AVERAGEIFS('Commodity Prices'!$Q:$Q, 'Commodity Prices'!$B:$B, $F26), NA())
)</f>
        <v>476.04416666666657</v>
      </c>
      <c r="I26" s="552">
        <f>IF($F$8="Historic Calendar Year",
 IF(COUNTIFS('Commodity Prices'!$S:$S, "&gt;0", 'Commodity Prices'!$A:$A, $F26)=12, AVERAGEIFS('Commodity Prices'!$S:$S, 'Commodity Prices'!$A:$A, $F26), NA()),
 IF(COUNTIFS('Commodity Prices'!$S:$S, "&gt;0", 'Commodity Prices'!$B:$B, $F26)=12, AVERAGEIFS('Commodity Prices'!$S:$S, 'Commodity Prices'!$B:$B, $F26), NA())
)</f>
        <v>886.88583333333327</v>
      </c>
    </row>
    <row r="27" spans="1:9" x14ac:dyDescent="0.25">
      <c r="A27" s="547">
        <f>LARGE('Commodity Prices'!C$161:C$904,45)</f>
        <v>44652</v>
      </c>
      <c r="B27" s="548">
        <f>SUMIF('Commodity Prices'!$C$161:$C$904,$A27,'Commodity Prices'!O$161:O$904)</f>
        <v>10182.33</v>
      </c>
      <c r="C27" s="548">
        <f>SUMIF('Commodity Prices'!$C$161:$C$904,$A27,'Commodity Prices'!Q$161:Q$904)</f>
        <v>2396.0500000000002</v>
      </c>
      <c r="D27" s="434">
        <f>SUMIF('Commodity Prices'!$C$161:$C$904,$A27,'Commodity Prices'!S$161:S$904)</f>
        <v>4370.41</v>
      </c>
      <c r="F27" s="549">
        <f t="shared" si="0"/>
        <v>2002</v>
      </c>
      <c r="G27" s="579">
        <f>IF($F$8="Historic Calendar Year",
 IF(COUNTIFS('Commodity Prices'!$O:$O, "&gt;0", 'Commodity Prices'!$A:$A, $F27)=12, AVERAGEIFS('Commodity Prices'!$O:$O, 'Commodity Prices'!$A:$A, $F27), NA()),
 IF(COUNTIFS('Commodity Prices'!$O:$O, "&gt;0", 'Commodity Prices'!$B:$B, $F27)=12, AVERAGEIFS('Commodity Prices'!$O:$O, 'Commodity Prices'!$B:$B, $F27), NA())
)</f>
        <v>1559.7058333333332</v>
      </c>
      <c r="H27" s="579">
        <f>IF($F$8="Historic Calendar Year",
 IF(COUNTIFS('Commodity Prices'!$Q:$Q, "&gt;0", 'Commodity Prices'!$A:$A, $F27)=12, AVERAGEIFS('Commodity Prices'!$Q:$Q, 'Commodity Prices'!$A:$A, $F27), NA()),
 IF(COUNTIFS('Commodity Prices'!$Q:$Q, "&gt;0", 'Commodity Prices'!$B:$B, $F27)=12, AVERAGEIFS('Commodity Prices'!$Q:$Q, 'Commodity Prices'!$B:$B, $F27), NA())
)</f>
        <v>452.72999999999996</v>
      </c>
      <c r="I27" s="580">
        <f>IF($F$8="Historic Calendar Year",
 IF(COUNTIFS('Commodity Prices'!$S:$S, "&gt;0", 'Commodity Prices'!$A:$A, $F27)=12, AVERAGEIFS('Commodity Prices'!$S:$S, 'Commodity Prices'!$A:$A, $F27), NA()),
 IF(COUNTIFS('Commodity Prices'!$S:$S, "&gt;0", 'Commodity Prices'!$B:$B, $F27)=12, AVERAGEIFS('Commodity Prices'!$S:$S, 'Commodity Prices'!$B:$B, $F27), NA())
)</f>
        <v>778.73833333333323</v>
      </c>
    </row>
    <row r="28" spans="1:9" x14ac:dyDescent="0.25">
      <c r="A28" s="550">
        <f>LARGE('Commodity Prices'!C$161:C$904,44)</f>
        <v>44682</v>
      </c>
      <c r="B28" s="551">
        <f>SUMIF('Commodity Prices'!$C$161:$C$904,$A28,'Commodity Prices'!O$161:O$904)</f>
        <v>9362.08</v>
      </c>
      <c r="C28" s="551">
        <f>SUMIF('Commodity Prices'!$C$161:$C$904,$A28,'Commodity Prices'!Q$161:Q$904)</f>
        <v>2144.48</v>
      </c>
      <c r="D28" s="552">
        <f>SUMIF('Commodity Prices'!$C$161:$C$904,$A28,'Commodity Prices'!S$161:S$904)</f>
        <v>3758.77</v>
      </c>
      <c r="F28" s="553">
        <f t="shared" si="0"/>
        <v>2003</v>
      </c>
      <c r="G28" s="554">
        <f>IF($F$8="Historic Calendar Year",
 IF(COUNTIFS('Commodity Prices'!$O:$O, "&gt;0", 'Commodity Prices'!$A:$A, $F28)=12, AVERAGEIFS('Commodity Prices'!$O:$O, 'Commodity Prices'!$A:$A, $F28), NA()),
 IF(COUNTIFS('Commodity Prices'!$O:$O, "&gt;0", 'Commodity Prices'!$B:$B, $F28)=12, AVERAGEIFS('Commodity Prices'!$O:$O, 'Commodity Prices'!$B:$B, $F28), NA())
)</f>
        <v>1779.1466666666668</v>
      </c>
      <c r="H28" s="554">
        <f>IF($F$8="Historic Calendar Year",
 IF(COUNTIFS('Commodity Prices'!$Q:$Q, "&gt;0", 'Commodity Prices'!$A:$A, $F28)=12, AVERAGEIFS('Commodity Prices'!$Q:$Q, 'Commodity Prices'!$A:$A, $F28), NA()),
 IF(COUNTIFS('Commodity Prices'!$Q:$Q, "&gt;0", 'Commodity Prices'!$B:$B, $F28)=12, AVERAGEIFS('Commodity Prices'!$Q:$Q, 'Commodity Prices'!$B:$B, $F28), NA())
)</f>
        <v>515.00833333333333</v>
      </c>
      <c r="I28" s="552">
        <f>IF($F$8="Historic Calendar Year",
 IF(COUNTIFS('Commodity Prices'!$S:$S, "&gt;0", 'Commodity Prices'!$A:$A, $F28)=12, AVERAGEIFS('Commodity Prices'!$S:$S, 'Commodity Prices'!$A:$A, $F28), NA()),
 IF(COUNTIFS('Commodity Prices'!$S:$S, "&gt;0", 'Commodity Prices'!$B:$B, $F28)=12, AVERAGEIFS('Commodity Prices'!$S:$S, 'Commodity Prices'!$B:$B, $F28), NA())
)</f>
        <v>827.69583333333333</v>
      </c>
    </row>
    <row r="29" spans="1:9" x14ac:dyDescent="0.25">
      <c r="A29" s="547">
        <f>LARGE('Commodity Prices'!C$161:C$904,43)</f>
        <v>44713</v>
      </c>
      <c r="B29" s="548">
        <f>SUMIF('Commodity Prices'!$C$161:$C$904,$A29,'Commodity Prices'!O$161:O$904)</f>
        <v>9031.99</v>
      </c>
      <c r="C29" s="548">
        <f>SUMIF('Commodity Prices'!$C$161:$C$904,$A29,'Commodity Prices'!Q$161:Q$904)</f>
        <v>2066.73</v>
      </c>
      <c r="D29" s="434">
        <f>SUMIF('Commodity Prices'!$C$161:$C$904,$A29,'Commodity Prices'!S$161:S$904)</f>
        <v>3643.29</v>
      </c>
      <c r="F29" s="549">
        <f t="shared" si="0"/>
        <v>2004</v>
      </c>
      <c r="G29" s="579">
        <f>IF($F$8="Historic Calendar Year",
 IF(COUNTIFS('Commodity Prices'!$O:$O, "&gt;0", 'Commodity Prices'!$A:$A, $F29)=12, AVERAGEIFS('Commodity Prices'!$O:$O, 'Commodity Prices'!$A:$A, $F29), NA()),
 IF(COUNTIFS('Commodity Prices'!$O:$O, "&gt;0", 'Commodity Prices'!$B:$B, $F29)=12, AVERAGEIFS('Commodity Prices'!$O:$O, 'Commodity Prices'!$B:$B, $F29), NA())
)</f>
        <v>2865.8858333333333</v>
      </c>
      <c r="H29" s="579">
        <f>IF($F$8="Historic Calendar Year",
 IF(COUNTIFS('Commodity Prices'!$Q:$Q, "&gt;0", 'Commodity Prices'!$A:$A, $F29)=12, AVERAGEIFS('Commodity Prices'!$Q:$Q, 'Commodity Prices'!$A:$A, $F29), NA()),
 IF(COUNTIFS('Commodity Prices'!$Q:$Q, "&gt;0", 'Commodity Prices'!$B:$B, $F29)=12, AVERAGEIFS('Commodity Prices'!$Q:$Q, 'Commodity Prices'!$B:$B, $F29), NA())
)</f>
        <v>886.54499999999973</v>
      </c>
      <c r="I29" s="580">
        <f>IF($F$8="Historic Calendar Year",
 IF(COUNTIFS('Commodity Prices'!$S:$S, "&gt;0", 'Commodity Prices'!$A:$A, $F29)=12, AVERAGEIFS('Commodity Prices'!$S:$S, 'Commodity Prices'!$A:$A, $F29), NA()),
 IF(COUNTIFS('Commodity Prices'!$S:$S, "&gt;0", 'Commodity Prices'!$B:$B, $F29)=12, AVERAGEIFS('Commodity Prices'!$S:$S, 'Commodity Prices'!$B:$B, $F29), NA())
)</f>
        <v>1047.7533333333333</v>
      </c>
    </row>
    <row r="30" spans="1:9" x14ac:dyDescent="0.25">
      <c r="A30" s="550">
        <f>LARGE('Commodity Prices'!C$161:C$904,42)</f>
        <v>44743</v>
      </c>
      <c r="B30" s="551">
        <f>SUMIF('Commodity Prices'!$C$161:$C$904,$A30,'Commodity Prices'!O$161:O$904)</f>
        <v>7529.08</v>
      </c>
      <c r="C30" s="551">
        <f>SUMIF('Commodity Prices'!$C$161:$C$904,$A30,'Commodity Prices'!Q$161:Q$904)</f>
        <v>1975.54</v>
      </c>
      <c r="D30" s="552">
        <f>SUMIF('Commodity Prices'!$C$161:$C$904,$A30,'Commodity Prices'!S$161:S$904)</f>
        <v>3096.58</v>
      </c>
      <c r="F30" s="553">
        <f t="shared" si="0"/>
        <v>2005</v>
      </c>
      <c r="G30" s="554">
        <f>IF($F$8="Historic Calendar Year",
 IF(COUNTIFS('Commodity Prices'!$O:$O, "&gt;0", 'Commodity Prices'!$A:$A, $F30)=12, AVERAGEIFS('Commodity Prices'!$O:$O, 'Commodity Prices'!$A:$A, $F30), NA()),
 IF(COUNTIFS('Commodity Prices'!$O:$O, "&gt;0", 'Commodity Prices'!$B:$B, $F30)=12, AVERAGEIFS('Commodity Prices'!$O:$O, 'Commodity Prices'!$B:$B, $F30), NA())
)</f>
        <v>3678.8858333333333</v>
      </c>
      <c r="H30" s="554">
        <f>IF($F$8="Historic Calendar Year",
 IF(COUNTIFS('Commodity Prices'!$Q:$Q, "&gt;0", 'Commodity Prices'!$A:$A, $F30)=12, AVERAGEIFS('Commodity Prices'!$Q:$Q, 'Commodity Prices'!$A:$A, $F30), NA()),
 IF(COUNTIFS('Commodity Prices'!$Q:$Q, "&gt;0", 'Commodity Prices'!$B:$B, $F30)=12, AVERAGEIFS('Commodity Prices'!$Q:$Q, 'Commodity Prices'!$B:$B, $F30), NA())
)</f>
        <v>976.34083333333331</v>
      </c>
      <c r="I30" s="552">
        <f>IF($F$8="Historic Calendar Year",
 IF(COUNTIFS('Commodity Prices'!$S:$S, "&gt;0", 'Commodity Prices'!$A:$A, $F30)=12, AVERAGEIFS('Commodity Prices'!$S:$S, 'Commodity Prices'!$A:$A, $F30), NA()),
 IF(COUNTIFS('Commodity Prices'!$S:$S, "&gt;0", 'Commodity Prices'!$B:$B, $F30)=12, AVERAGEIFS('Commodity Prices'!$S:$S, 'Commodity Prices'!$B:$B, $F30), NA())
)</f>
        <v>1381.7683333333334</v>
      </c>
    </row>
    <row r="31" spans="1:9" x14ac:dyDescent="0.25">
      <c r="A31" s="547">
        <f>LARGE('Commodity Prices'!C$161:C$904,41)</f>
        <v>44774</v>
      </c>
      <c r="B31" s="548">
        <f>SUMIF('Commodity Prices'!$C$161:$C$904,$A31,'Commodity Prices'!O$161:O$904)</f>
        <v>7960.24</v>
      </c>
      <c r="C31" s="548">
        <f>SUMIF('Commodity Prices'!$C$161:$C$904,$A31,'Commodity Prices'!Q$161:Q$904)</f>
        <v>2077.2399999999998</v>
      </c>
      <c r="D31" s="434">
        <f>SUMIF('Commodity Prices'!$C$161:$C$904,$A31,'Commodity Prices'!S$161:S$904)</f>
        <v>3572.13</v>
      </c>
      <c r="F31" s="549">
        <f t="shared" si="0"/>
        <v>2006</v>
      </c>
      <c r="G31" s="579">
        <f>IF($F$8="Historic Calendar Year",
 IF(COUNTIFS('Commodity Prices'!$O:$O, "&gt;0", 'Commodity Prices'!$A:$A, $F31)=12, AVERAGEIFS('Commodity Prices'!$O:$O, 'Commodity Prices'!$A:$A, $F31), NA()),
 IF(COUNTIFS('Commodity Prices'!$O:$O, "&gt;0", 'Commodity Prices'!$B:$B, $F31)=12, AVERAGEIFS('Commodity Prices'!$O:$O, 'Commodity Prices'!$B:$B, $F31), NA())
)</f>
        <v>6722.3975</v>
      </c>
      <c r="H31" s="579">
        <f>IF($F$8="Historic Calendar Year",
 IF(COUNTIFS('Commodity Prices'!$Q:$Q, "&gt;0", 'Commodity Prices'!$A:$A, $F31)=12, AVERAGEIFS('Commodity Prices'!$Q:$Q, 'Commodity Prices'!$A:$A, $F31), NA()),
 IF(COUNTIFS('Commodity Prices'!$Q:$Q, "&gt;0", 'Commodity Prices'!$B:$B, $F31)=12, AVERAGEIFS('Commodity Prices'!$Q:$Q, 'Commodity Prices'!$B:$B, $F31), NA())
)</f>
        <v>1295.4408333333333</v>
      </c>
      <c r="I31" s="580">
        <f>IF($F$8="Historic Calendar Year",
 IF(COUNTIFS('Commodity Prices'!$S:$S, "&gt;0", 'Commodity Prices'!$A:$A, $F31)=12, AVERAGEIFS('Commodity Prices'!$S:$S, 'Commodity Prices'!$A:$A, $F31), NA()),
 IF(COUNTIFS('Commodity Prices'!$S:$S, "&gt;0", 'Commodity Prices'!$B:$B, $F31)=12, AVERAGEIFS('Commodity Prices'!$S:$S, 'Commodity Prices'!$B:$B, $F31), NA())
)</f>
        <v>3275.123333333333</v>
      </c>
    </row>
    <row r="32" spans="1:9" x14ac:dyDescent="0.25">
      <c r="A32" s="550">
        <f>LARGE('Commodity Prices'!C$161:C$904,40)</f>
        <v>44805</v>
      </c>
      <c r="B32" s="551">
        <f>SUMIF('Commodity Prices'!$C$161:$C$904,$A32,'Commodity Prices'!O$161:O$904)</f>
        <v>7733.82</v>
      </c>
      <c r="C32" s="551">
        <f>SUMIF('Commodity Prices'!$C$161:$C$904,$A32,'Commodity Prices'!Q$161:Q$904)</f>
        <v>1873.66</v>
      </c>
      <c r="D32" s="552">
        <f>SUMIF('Commodity Prices'!$C$161:$C$904,$A32,'Commodity Prices'!S$161:S$904)</f>
        <v>3135.72</v>
      </c>
      <c r="F32" s="553">
        <f t="shared" si="0"/>
        <v>2007</v>
      </c>
      <c r="G32" s="554">
        <f>IF($F$8="Historic Calendar Year",
 IF(COUNTIFS('Commodity Prices'!$O:$O, "&gt;0", 'Commodity Prices'!$A:$A, $F32)=12, AVERAGEIFS('Commodity Prices'!$O:$O, 'Commodity Prices'!$A:$A, $F32), NA()),
 IF(COUNTIFS('Commodity Prices'!$O:$O, "&gt;0", 'Commodity Prices'!$B:$B, $F32)=12, AVERAGEIFS('Commodity Prices'!$O:$O, 'Commodity Prices'!$B:$B, $F32), NA())
)</f>
        <v>7118.5249999999987</v>
      </c>
      <c r="H32" s="554">
        <f>IF($F$8="Historic Calendar Year",
 IF(COUNTIFS('Commodity Prices'!$Q:$Q, "&gt;0", 'Commodity Prices'!$A:$A, $F32)=12, AVERAGEIFS('Commodity Prices'!$Q:$Q, 'Commodity Prices'!$A:$A, $F32), NA()),
 IF(COUNTIFS('Commodity Prices'!$Q:$Q, "&gt;0", 'Commodity Prices'!$B:$B, $F32)=12, AVERAGEIFS('Commodity Prices'!$Q:$Q, 'Commodity Prices'!$B:$B, $F32), NA())
)</f>
        <v>2580.0658333333336</v>
      </c>
      <c r="I32" s="552">
        <f>IF($F$8="Historic Calendar Year",
 IF(COUNTIFS('Commodity Prices'!$S:$S, "&gt;0", 'Commodity Prices'!$A:$A, $F32)=12, AVERAGEIFS('Commodity Prices'!$S:$S, 'Commodity Prices'!$A:$A, $F32), NA()),
 IF(COUNTIFS('Commodity Prices'!$S:$S, "&gt;0", 'Commodity Prices'!$B:$B, $F32)=12, AVERAGEIFS('Commodity Prices'!$S:$S, 'Commodity Prices'!$B:$B, $F32), NA())
)</f>
        <v>3226.4958333333338</v>
      </c>
    </row>
    <row r="33" spans="1:9" x14ac:dyDescent="0.25">
      <c r="A33" s="547">
        <f>LARGE('Commodity Prices'!C$161:C$904,39)</f>
        <v>44835</v>
      </c>
      <c r="B33" s="548">
        <f>SUMIF('Commodity Prices'!$C$161:$C$904,$A33,'Commodity Prices'!O$161:O$904)</f>
        <v>7620.25</v>
      </c>
      <c r="C33" s="548">
        <f>SUMIF('Commodity Prices'!$C$161:$C$904,$A33,'Commodity Prices'!Q$161:Q$904)</f>
        <v>1987.32</v>
      </c>
      <c r="D33" s="434">
        <f>SUMIF('Commodity Prices'!$C$161:$C$904,$A33,'Commodity Prices'!S$161:S$904)</f>
        <v>2959.05</v>
      </c>
      <c r="F33" s="549">
        <f t="shared" si="0"/>
        <v>2008</v>
      </c>
      <c r="G33" s="579">
        <f>IF($F$8="Historic Calendar Year",
 IF(COUNTIFS('Commodity Prices'!$O:$O, "&gt;0", 'Commodity Prices'!$A:$A, $F33)=12, AVERAGEIFS('Commodity Prices'!$O:$O, 'Commodity Prices'!$A:$A, $F33), NA()),
 IF(COUNTIFS('Commodity Prices'!$O:$O, "&gt;0", 'Commodity Prices'!$B:$B, $F33)=12, AVERAGEIFS('Commodity Prices'!$O:$O, 'Commodity Prices'!$B:$B, $F33), NA())
)</f>
        <v>6955.9691666666658</v>
      </c>
      <c r="H33" s="579">
        <f>IF($F$8="Historic Calendar Year",
 IF(COUNTIFS('Commodity Prices'!$Q:$Q, "&gt;0", 'Commodity Prices'!$A:$A, $F33)=12, AVERAGEIFS('Commodity Prices'!$Q:$Q, 'Commodity Prices'!$A:$A, $F33), NA()),
 IF(COUNTIFS('Commodity Prices'!$Q:$Q, "&gt;0", 'Commodity Prices'!$B:$B, $F33)=12, AVERAGEIFS('Commodity Prices'!$Q:$Q, 'Commodity Prices'!$B:$B, $F33), NA())
)</f>
        <v>2090.6641666666665</v>
      </c>
      <c r="I33" s="580">
        <f>IF($F$8="Historic Calendar Year",
 IF(COUNTIFS('Commodity Prices'!$S:$S, "&gt;0", 'Commodity Prices'!$A:$A, $F33)=12, AVERAGEIFS('Commodity Prices'!$S:$S, 'Commodity Prices'!$A:$A, $F33), NA()),
 IF(COUNTIFS('Commodity Prices'!$S:$S, "&gt;0", 'Commodity Prices'!$B:$B, $F33)=12, AVERAGEIFS('Commodity Prices'!$S:$S, 'Commodity Prices'!$B:$B, $F33), NA())
)</f>
        <v>1874.6458333333333</v>
      </c>
    </row>
    <row r="34" spans="1:9" x14ac:dyDescent="0.25">
      <c r="A34" s="550">
        <f>LARGE('Commodity Prices'!C$161:C$904,38)</f>
        <v>44866</v>
      </c>
      <c r="B34" s="551">
        <f>SUMIF('Commodity Prices'!$C$161:$C$904,$A34,'Commodity Prices'!O$161:O$904)</f>
        <v>8028.88</v>
      </c>
      <c r="C34" s="551">
        <f>SUMIF('Commodity Prices'!$C$161:$C$904,$A34,'Commodity Prices'!Q$161:Q$904)</f>
        <v>2098.65</v>
      </c>
      <c r="D34" s="552">
        <f>SUMIF('Commodity Prices'!$C$161:$C$904,$A34,'Commodity Prices'!S$161:S$904)</f>
        <v>2922.97</v>
      </c>
      <c r="F34" s="553">
        <f t="shared" si="0"/>
        <v>2009</v>
      </c>
      <c r="G34" s="554">
        <f>IF($F$8="Historic Calendar Year",
 IF(COUNTIFS('Commodity Prices'!$O:$O, "&gt;0", 'Commodity Prices'!$A:$A, $F34)=12, AVERAGEIFS('Commodity Prices'!$O:$O, 'Commodity Prices'!$A:$A, $F34), NA()),
 IF(COUNTIFS('Commodity Prices'!$O:$O, "&gt;0", 'Commodity Prices'!$B:$B, $F34)=12, AVERAGEIFS('Commodity Prices'!$O:$O, 'Commodity Prices'!$B:$B, $F34), NA())
)</f>
        <v>5151.9275000000007</v>
      </c>
      <c r="H34" s="554">
        <f>IF($F$8="Historic Calendar Year",
 IF(COUNTIFS('Commodity Prices'!$Q:$Q, "&gt;0", 'Commodity Prices'!$A:$A, $F34)=12, AVERAGEIFS('Commodity Prices'!$Q:$Q, 'Commodity Prices'!$A:$A, $F34), NA()),
 IF(COUNTIFS('Commodity Prices'!$Q:$Q, "&gt;0", 'Commodity Prices'!$B:$B, $F34)=12, AVERAGEIFS('Commodity Prices'!$Q:$Q, 'Commodity Prices'!$B:$B, $F34), NA())
)</f>
        <v>1720.8525000000002</v>
      </c>
      <c r="I34" s="552">
        <f>IF($F$8="Historic Calendar Year",
 IF(COUNTIFS('Commodity Prices'!$S:$S, "&gt;0", 'Commodity Prices'!$A:$A, $F34)=12, AVERAGEIFS('Commodity Prices'!$S:$S, 'Commodity Prices'!$A:$A, $F34), NA()),
 IF(COUNTIFS('Commodity Prices'!$S:$S, "&gt;0", 'Commodity Prices'!$B:$B, $F34)=12, AVERAGEIFS('Commodity Prices'!$S:$S, 'Commodity Prices'!$B:$B, $F34), NA())
)</f>
        <v>1653.8325000000002</v>
      </c>
    </row>
    <row r="35" spans="1:9" x14ac:dyDescent="0.25">
      <c r="A35" s="547">
        <f>LARGE('Commodity Prices'!C$161:C$904,37)</f>
        <v>44896</v>
      </c>
      <c r="B35" s="548">
        <f>SUMIF('Commodity Prices'!$C$161:$C$904,$A35,'Commodity Prices'!O$161:O$904)</f>
        <v>8366.7900000000009</v>
      </c>
      <c r="C35" s="548">
        <f>SUMIF('Commodity Prices'!$C$161:$C$904,$A35,'Commodity Prices'!Q$161:Q$904)</f>
        <v>2211.8000000000002</v>
      </c>
      <c r="D35" s="434">
        <f>SUMIF('Commodity Prices'!$C$161:$C$904,$A35,'Commodity Prices'!S$161:S$904)</f>
        <v>3127.5</v>
      </c>
      <c r="F35" s="549">
        <f t="shared" si="0"/>
        <v>2010</v>
      </c>
      <c r="G35" s="579">
        <f>IF($F$8="Historic Calendar Year",
 IF(COUNTIFS('Commodity Prices'!$O:$O, "&gt;0", 'Commodity Prices'!$A:$A, $F35)=12, AVERAGEIFS('Commodity Prices'!$O:$O, 'Commodity Prices'!$A:$A, $F35), NA()),
 IF(COUNTIFS('Commodity Prices'!$O:$O, "&gt;0", 'Commodity Prices'!$B:$B, $F35)=12, AVERAGEIFS('Commodity Prices'!$O:$O, 'Commodity Prices'!$B:$B, $F35), NA())
)</f>
        <v>7534.7816666666668</v>
      </c>
      <c r="H35" s="579">
        <f>IF($F$8="Historic Calendar Year",
 IF(COUNTIFS('Commodity Prices'!$Q:$Q, "&gt;0", 'Commodity Prices'!$A:$A, $F35)=12, AVERAGEIFS('Commodity Prices'!$Q:$Q, 'Commodity Prices'!$A:$A, $F35), NA()),
 IF(COUNTIFS('Commodity Prices'!$Q:$Q, "&gt;0", 'Commodity Prices'!$B:$B, $F35)=12, AVERAGEIFS('Commodity Prices'!$Q:$Q, 'Commodity Prices'!$B:$B, $F35), NA())
)</f>
        <v>2148.4508333333333</v>
      </c>
      <c r="I35" s="580">
        <f>IF($F$8="Historic Calendar Year",
 IF(COUNTIFS('Commodity Prices'!$S:$S, "&gt;0", 'Commodity Prices'!$A:$A, $F35)=12, AVERAGEIFS('Commodity Prices'!$S:$S, 'Commodity Prices'!$A:$A, $F35), NA()),
 IF(COUNTIFS('Commodity Prices'!$S:$S, "&gt;0", 'Commodity Prices'!$B:$B, $F35)=12, AVERAGEIFS('Commodity Prices'!$S:$S, 'Commodity Prices'!$B:$B, $F35), NA())
)</f>
        <v>2160.7441666666668</v>
      </c>
    </row>
    <row r="36" spans="1:9" x14ac:dyDescent="0.25">
      <c r="A36" s="550">
        <f>LARGE('Commodity Prices'!C$161:C$904,36)</f>
        <v>44927</v>
      </c>
      <c r="B36" s="551">
        <f>SUMIF('Commodity Prices'!$C$161:$C$904,$A36,'Commodity Prices'!O$161:O$904)</f>
        <v>8999.27</v>
      </c>
      <c r="C36" s="551">
        <f>SUMIF('Commodity Prices'!$C$161:$C$904,$A36,'Commodity Prices'!Q$161:Q$904)</f>
        <v>2207.5</v>
      </c>
      <c r="D36" s="552">
        <f>SUMIF('Commodity Prices'!$C$161:$C$904,$A36,'Commodity Prices'!S$161:S$904)</f>
        <v>3288.55</v>
      </c>
      <c r="F36" s="553">
        <f t="shared" si="0"/>
        <v>2011</v>
      </c>
      <c r="G36" s="554">
        <f>IF($F$8="Historic Calendar Year",
 IF(COUNTIFS('Commodity Prices'!$O:$O, "&gt;0", 'Commodity Prices'!$A:$A, $F36)=12, AVERAGEIFS('Commodity Prices'!$O:$O, 'Commodity Prices'!$A:$A, $F36), NA()),
 IF(COUNTIFS('Commodity Prices'!$O:$O, "&gt;0", 'Commodity Prices'!$B:$B, $F36)=12, AVERAGEIFS('Commodity Prices'!$O:$O, 'Commodity Prices'!$B:$B, $F36), NA())
)</f>
        <v>8820.99</v>
      </c>
      <c r="H36" s="554">
        <f>IF($F$8="Historic Calendar Year",
 IF(COUNTIFS('Commodity Prices'!$Q:$Q, "&gt;0", 'Commodity Prices'!$A:$A, $F36)=12, AVERAGEIFS('Commodity Prices'!$Q:$Q, 'Commodity Prices'!$A:$A, $F36), NA()),
 IF(COUNTIFS('Commodity Prices'!$Q:$Q, "&gt;0", 'Commodity Prices'!$B:$B, $F36)=12, AVERAGEIFS('Commodity Prices'!$Q:$Q, 'Commodity Prices'!$B:$B, $F36), NA())
)</f>
        <v>2401.8316666666665</v>
      </c>
      <c r="I36" s="552">
        <f>IF($F$8="Historic Calendar Year",
 IF(COUNTIFS('Commodity Prices'!$S:$S, "&gt;0", 'Commodity Prices'!$A:$A, $F36)=12, AVERAGEIFS('Commodity Prices'!$S:$S, 'Commodity Prices'!$A:$A, $F36), NA()),
 IF(COUNTIFS('Commodity Prices'!$S:$S, "&gt;0", 'Commodity Prices'!$B:$B, $F36)=12, AVERAGEIFS('Commodity Prices'!$S:$S, 'Commodity Prices'!$B:$B, $F36), NA())
)</f>
        <v>2193.335</v>
      </c>
    </row>
    <row r="37" spans="1:9" x14ac:dyDescent="0.25">
      <c r="A37" s="547">
        <f>LARGE('Commodity Prices'!C$161:C$904,35)</f>
        <v>44958</v>
      </c>
      <c r="B37" s="548">
        <f>SUMIF('Commodity Prices'!$C$161:$C$904,$A37,'Commodity Prices'!O$161:O$904)</f>
        <v>8954.4</v>
      </c>
      <c r="C37" s="548">
        <f>SUMIF('Commodity Prices'!$C$161:$C$904,$A37,'Commodity Prices'!Q$161:Q$904)</f>
        <v>2098.29</v>
      </c>
      <c r="D37" s="434">
        <f>SUMIF('Commodity Prices'!$C$161:$C$904,$A37,'Commodity Prices'!S$161:S$904)</f>
        <v>3143.04</v>
      </c>
      <c r="F37" s="549">
        <f t="shared" si="0"/>
        <v>2012</v>
      </c>
      <c r="G37" s="579">
        <f>IF($F$8="Historic Calendar Year",
 IF(COUNTIFS('Commodity Prices'!$O:$O, "&gt;0", 'Commodity Prices'!$A:$A, $F37)=12, AVERAGEIFS('Commodity Prices'!$O:$O, 'Commodity Prices'!$A:$A, $F37), NA()),
 IF(COUNTIFS('Commodity Prices'!$O:$O, "&gt;0", 'Commodity Prices'!$B:$B, $F37)=12, AVERAGEIFS('Commodity Prices'!$O:$O, 'Commodity Prices'!$B:$B, $F37), NA())
)</f>
        <v>7949.9472500000002</v>
      </c>
      <c r="H37" s="579">
        <f>IF($F$8="Historic Calendar Year",
 IF(COUNTIFS('Commodity Prices'!$Q:$Q, "&gt;0", 'Commodity Prices'!$A:$A, $F37)=12, AVERAGEIFS('Commodity Prices'!$Q:$Q, 'Commodity Prices'!$A:$A, $F37), NA()),
 IF(COUNTIFS('Commodity Prices'!$Q:$Q, "&gt;0", 'Commodity Prices'!$B:$B, $F37)=12, AVERAGEIFS('Commodity Prices'!$Q:$Q, 'Commodity Prices'!$B:$B, $F37), NA())
)</f>
        <v>2062.2622583333332</v>
      </c>
      <c r="I37" s="580">
        <f>IF($F$8="Historic Calendar Year",
 IF(COUNTIFS('Commodity Prices'!$S:$S, "&gt;0", 'Commodity Prices'!$A:$A, $F37)=12, AVERAGEIFS('Commodity Prices'!$S:$S, 'Commodity Prices'!$A:$A, $F37), NA()),
 IF(COUNTIFS('Commodity Prices'!$S:$S, "&gt;0", 'Commodity Prices'!$B:$B, $F37)=12, AVERAGEIFS('Commodity Prices'!$S:$S, 'Commodity Prices'!$B:$B, $F37), NA())
)</f>
        <v>1948.0039166666666</v>
      </c>
    </row>
    <row r="38" spans="1:9" x14ac:dyDescent="0.25">
      <c r="A38" s="550">
        <f>LARGE('Commodity Prices'!C$161:C$904,34)</f>
        <v>44986</v>
      </c>
      <c r="B38" s="551">
        <f>SUMIF('Commodity Prices'!$C$161:$C$904,$A38,'Commodity Prices'!O$161:O$904)</f>
        <v>8834.68</v>
      </c>
      <c r="C38" s="551">
        <f>SUMIF('Commodity Prices'!$C$161:$C$904,$A38,'Commodity Prices'!Q$161:Q$904)</f>
        <v>2114.08</v>
      </c>
      <c r="D38" s="552">
        <f>SUMIF('Commodity Prices'!$C$161:$C$904,$A38,'Commodity Prices'!S$161:S$904)</f>
        <v>2955.59</v>
      </c>
      <c r="F38" s="553">
        <f t="shared" si="0"/>
        <v>2013</v>
      </c>
      <c r="G38" s="554">
        <f>IF($F$8="Historic Calendar Year",
 IF(COUNTIFS('Commodity Prices'!$O:$O, "&gt;0", 'Commodity Prices'!$A:$A, $F38)=12, AVERAGEIFS('Commodity Prices'!$O:$O, 'Commodity Prices'!$A:$A, $F38), NA()),
 IF(COUNTIFS('Commodity Prices'!$O:$O, "&gt;0", 'Commodity Prices'!$B:$B, $F38)=12, AVERAGEIFS('Commodity Prices'!$O:$O, 'Commodity Prices'!$B:$B, $F38), NA())
)</f>
        <v>7326.1654916666675</v>
      </c>
      <c r="H38" s="554">
        <f>IF($F$8="Historic Calendar Year",
 IF(COUNTIFS('Commodity Prices'!$Q:$Q, "&gt;0", 'Commodity Prices'!$A:$A, $F38)=12, AVERAGEIFS('Commodity Prices'!$Q:$Q, 'Commodity Prices'!$A:$A, $F38), NA()),
 IF(COUNTIFS('Commodity Prices'!$Q:$Q, "&gt;0", 'Commodity Prices'!$B:$B, $F38)=12, AVERAGEIFS('Commodity Prices'!$Q:$Q, 'Commodity Prices'!$B:$B, $F38), NA())
)</f>
        <v>2142.2553750000002</v>
      </c>
      <c r="I38" s="552">
        <f>IF($F$8="Historic Calendar Year",
 IF(COUNTIFS('Commodity Prices'!$S:$S, "&gt;0", 'Commodity Prices'!$A:$A, $F38)=12, AVERAGEIFS('Commodity Prices'!$S:$S, 'Commodity Prices'!$A:$A, $F38), NA()),
 IF(COUNTIFS('Commodity Prices'!$S:$S, "&gt;0", 'Commodity Prices'!$B:$B, $F38)=12, AVERAGEIFS('Commodity Prices'!$S:$S, 'Commodity Prices'!$B:$B, $F38), NA())
)</f>
        <v>1910.343175</v>
      </c>
    </row>
    <row r="39" spans="1:9" x14ac:dyDescent="0.25">
      <c r="A39" s="547">
        <f>LARGE('Commodity Prices'!C$161:C$904,33)</f>
        <v>45017</v>
      </c>
      <c r="B39" s="548">
        <f>SUMIF('Commodity Prices'!$C$161:$C$904,$A39,'Commodity Prices'!O$161:O$904)</f>
        <v>8813.35</v>
      </c>
      <c r="C39" s="548">
        <f>SUMIF('Commodity Prices'!$C$161:$C$904,$A39,'Commodity Prices'!Q$161:Q$904)</f>
        <v>2148.31</v>
      </c>
      <c r="D39" s="434">
        <f>SUMIF('Commodity Prices'!$C$161:$C$904,$A39,'Commodity Prices'!S$161:S$904)</f>
        <v>2772.06</v>
      </c>
      <c r="F39" s="549">
        <f t="shared" si="0"/>
        <v>2014</v>
      </c>
      <c r="G39" s="579">
        <f>IF($F$8="Historic Calendar Year",
 IF(COUNTIFS('Commodity Prices'!$O:$O, "&gt;0", 'Commodity Prices'!$A:$A, $F39)=12, AVERAGEIFS('Commodity Prices'!$O:$O, 'Commodity Prices'!$A:$A, $F39), NA()),
 IF(COUNTIFS('Commodity Prices'!$O:$O, "&gt;0", 'Commodity Prices'!$B:$B, $F39)=12, AVERAGEIFS('Commodity Prices'!$O:$O, 'Commodity Prices'!$B:$B, $F39), NA())
)</f>
        <v>6859.684608333333</v>
      </c>
      <c r="H39" s="579">
        <f>IF($F$8="Historic Calendar Year",
 IF(COUNTIFS('Commodity Prices'!$Q:$Q, "&gt;0", 'Commodity Prices'!$A:$A, $F39)=12, AVERAGEIFS('Commodity Prices'!$Q:$Q, 'Commodity Prices'!$A:$A, $F39), NA()),
 IF(COUNTIFS('Commodity Prices'!$Q:$Q, "&gt;0", 'Commodity Prices'!$B:$B, $F39)=12, AVERAGEIFS('Commodity Prices'!$Q:$Q, 'Commodity Prices'!$B:$B, $F39), NA())
)</f>
        <v>2095.6746749999998</v>
      </c>
      <c r="I39" s="580">
        <f>IF($F$8="Historic Calendar Year",
 IF(COUNTIFS('Commodity Prices'!$S:$S, "&gt;0", 'Commodity Prices'!$A:$A, $F39)=12, AVERAGEIFS('Commodity Prices'!$S:$S, 'Commodity Prices'!$A:$A, $F39), NA()),
 IF(COUNTIFS('Commodity Prices'!$S:$S, "&gt;0", 'Commodity Prices'!$B:$B, $F39)=12, AVERAGEIFS('Commodity Prices'!$S:$S, 'Commodity Prices'!$B:$B, $F39), NA())
)</f>
        <v>2162.0022333333332</v>
      </c>
    </row>
    <row r="40" spans="1:9" x14ac:dyDescent="0.25">
      <c r="A40" s="550">
        <f>LARGE('Commodity Prices'!C$161:C$904,32)</f>
        <v>45047</v>
      </c>
      <c r="B40" s="551">
        <f>SUMIF('Commodity Prices'!$C$161:$C$904,$A40,'Commodity Prices'!O$161:O$904)</f>
        <v>8233.58</v>
      </c>
      <c r="C40" s="551">
        <f>SUMIF('Commodity Prices'!$C$161:$C$904,$A40,'Commodity Prices'!Q$161:Q$904)</f>
        <v>2086.84</v>
      </c>
      <c r="D40" s="552">
        <f>SUMIF('Commodity Prices'!$C$161:$C$904,$A40,'Commodity Prices'!S$161:S$904)</f>
        <v>2477.1</v>
      </c>
      <c r="F40" s="553">
        <f t="shared" si="0"/>
        <v>2015</v>
      </c>
      <c r="G40" s="554">
        <f>IF($F$8="Historic Calendar Year",
 IF(COUNTIFS('Commodity Prices'!$O:$O, "&gt;0", 'Commodity Prices'!$A:$A, $F40)=12, AVERAGEIFS('Commodity Prices'!$O:$O, 'Commodity Prices'!$A:$A, $F40), NA()),
 IF(COUNTIFS('Commodity Prices'!$O:$O, "&gt;0", 'Commodity Prices'!$B:$B, $F40)=12, AVERAGEIFS('Commodity Prices'!$O:$O, 'Commodity Prices'!$B:$B, $F40), NA())
)</f>
        <v>5501.6853083333335</v>
      </c>
      <c r="H40" s="554">
        <f>IF($F$8="Historic Calendar Year",
 IF(COUNTIFS('Commodity Prices'!$Q:$Q, "&gt;0", 'Commodity Prices'!$A:$A, $F40)=12, AVERAGEIFS('Commodity Prices'!$Q:$Q, 'Commodity Prices'!$A:$A, $F40), NA()),
 IF(COUNTIFS('Commodity Prices'!$Q:$Q, "&gt;0", 'Commodity Prices'!$B:$B, $F40)=12, AVERAGEIFS('Commodity Prices'!$Q:$Q, 'Commodity Prices'!$B:$B, $F40), NA())
)</f>
        <v>1786.4937833333333</v>
      </c>
      <c r="I40" s="552">
        <f>IF($F$8="Historic Calendar Year",
 IF(COUNTIFS('Commodity Prices'!$S:$S, "&gt;0", 'Commodity Prices'!$A:$A, $F40)=12, AVERAGEIFS('Commodity Prices'!$S:$S, 'Commodity Prices'!$A:$A, $F40), NA()),
 IF(COUNTIFS('Commodity Prices'!$S:$S, "&gt;0", 'Commodity Prices'!$B:$B, $F40)=12, AVERAGEIFS('Commodity Prices'!$S:$S, 'Commodity Prices'!$B:$B, $F40), NA())
)</f>
        <v>1932.5104333333336</v>
      </c>
    </row>
    <row r="41" spans="1:9" x14ac:dyDescent="0.25">
      <c r="A41" s="547">
        <f>LARGE('Commodity Prices'!C$161:C$904,31)</f>
        <v>45078</v>
      </c>
      <c r="B41" s="548">
        <f>SUMIF('Commodity Prices'!$C$161:$C$904,$A41,'Commodity Prices'!O$161:O$904)</f>
        <v>8385.56</v>
      </c>
      <c r="C41" s="548">
        <f>SUMIF('Commodity Prices'!$C$161:$C$904,$A41,'Commodity Prices'!Q$161:Q$904)</f>
        <v>2117.64</v>
      </c>
      <c r="D41" s="434">
        <f>SUMIF('Commodity Prices'!$C$161:$C$904,$A41,'Commodity Prices'!S$161:S$904)</f>
        <v>2367.64</v>
      </c>
      <c r="F41" s="549">
        <f t="shared" si="0"/>
        <v>2016</v>
      </c>
      <c r="G41" s="579">
        <f>IF($F$8="Historic Calendar Year",
 IF(COUNTIFS('Commodity Prices'!$O:$O, "&gt;0", 'Commodity Prices'!$A:$A, $F41)=12, AVERAGEIFS('Commodity Prices'!$O:$O, 'Commodity Prices'!$A:$A, $F41), NA()),
 IF(COUNTIFS('Commodity Prices'!$O:$O, "&gt;0", 'Commodity Prices'!$B:$B, $F41)=12, AVERAGEIFS('Commodity Prices'!$O:$O, 'Commodity Prices'!$B:$B, $F41), NA())
)</f>
        <v>4863.2245083333337</v>
      </c>
      <c r="H41" s="579">
        <f>IF($F$8="Historic Calendar Year",
 IF(COUNTIFS('Commodity Prices'!$Q:$Q, "&gt;0", 'Commodity Prices'!$A:$A, $F41)=12, AVERAGEIFS('Commodity Prices'!$Q:$Q, 'Commodity Prices'!$A:$A, $F41), NA()),
 IF(COUNTIFS('Commodity Prices'!$Q:$Q, "&gt;0", 'Commodity Prices'!$B:$B, $F41)=12, AVERAGEIFS('Commodity Prices'!$Q:$Q, 'Commodity Prices'!$B:$B, $F41), NA())
)</f>
        <v>1870.7442166666667</v>
      </c>
      <c r="I41" s="580">
        <f>IF($F$8="Historic Calendar Year",
 IF(COUNTIFS('Commodity Prices'!$S:$S, "&gt;0", 'Commodity Prices'!$A:$A, $F41)=12, AVERAGEIFS('Commodity Prices'!$S:$S, 'Commodity Prices'!$A:$A, $F41), NA()),
 IF(COUNTIFS('Commodity Prices'!$S:$S, "&gt;0", 'Commodity Prices'!$B:$B, $F41)=12, AVERAGEIFS('Commodity Prices'!$S:$S, 'Commodity Prices'!$B:$B, $F41), NA())
)</f>
        <v>2090.7071083333335</v>
      </c>
    </row>
    <row r="42" spans="1:9" x14ac:dyDescent="0.25">
      <c r="A42" s="550">
        <f>LARGE('Commodity Prices'!C$161:C$904,30)</f>
        <v>45108</v>
      </c>
      <c r="B42" s="551">
        <f>SUMIF('Commodity Prices'!$C$161:$C$904,$A42,'Commodity Prices'!O$161:O$904)</f>
        <v>8444.6200000000008</v>
      </c>
      <c r="C42" s="551">
        <f>SUMIF('Commodity Prices'!$C$161:$C$904,$A42,'Commodity Prices'!Q$161:Q$904)</f>
        <v>2106.13</v>
      </c>
      <c r="D42" s="552">
        <f>SUMIF('Commodity Prices'!$C$161:$C$904,$A42,'Commodity Prices'!S$161:S$904)</f>
        <v>2395.9899999999998</v>
      </c>
      <c r="F42" s="553">
        <f t="shared" si="0"/>
        <v>2017</v>
      </c>
      <c r="G42" s="554">
        <f>IF($F$8="Historic Calendar Year",
 IF(COUNTIFS('Commodity Prices'!$O:$O, "&gt;0", 'Commodity Prices'!$A:$A, $F42)=12, AVERAGEIFS('Commodity Prices'!$O:$O, 'Commodity Prices'!$A:$A, $F42), NA()),
 IF(COUNTIFS('Commodity Prices'!$O:$O, "&gt;0", 'Commodity Prices'!$B:$B, $F42)=12, AVERAGEIFS('Commodity Prices'!$O:$O, 'Commodity Prices'!$B:$B, $F42), NA())
)</f>
        <v>6162.7687181818183</v>
      </c>
      <c r="H42" s="554">
        <f>IF($F$8="Historic Calendar Year",
 IF(COUNTIFS('Commodity Prices'!$Q:$Q, "&gt;0", 'Commodity Prices'!$A:$A, $F42)=12, AVERAGEIFS('Commodity Prices'!$Q:$Q, 'Commodity Prices'!$A:$A, $F42), NA()),
 IF(COUNTIFS('Commodity Prices'!$Q:$Q, "&gt;0", 'Commodity Prices'!$B:$B, $F42)=12, AVERAGEIFS('Commodity Prices'!$Q:$Q, 'Commodity Prices'!$B:$B, $F42), NA())
)</f>
        <v>2317.5336234848487</v>
      </c>
      <c r="I42" s="552">
        <f>IF($F$8="Historic Calendar Year",
 IF(COUNTIFS('Commodity Prices'!$S:$S, "&gt;0", 'Commodity Prices'!$A:$A, $F42)=12, AVERAGEIFS('Commodity Prices'!$S:$S, 'Commodity Prices'!$A:$A, $F42), NA()),
 IF(COUNTIFS('Commodity Prices'!$S:$S, "&gt;0", 'Commodity Prices'!$B:$B, $F42)=12, AVERAGEIFS('Commodity Prices'!$S:$S, 'Commodity Prices'!$B:$B, $F42), NA())
)</f>
        <v>2893.9725840909091</v>
      </c>
    </row>
    <row r="43" spans="1:9" x14ac:dyDescent="0.25">
      <c r="A43" s="547">
        <f>LARGE('Commodity Prices'!C$161:C$904,29)</f>
        <v>45139</v>
      </c>
      <c r="B43" s="548">
        <f>SUMIF('Commodity Prices'!$C$161:$C$904,$A43,'Commodity Prices'!O$161:O$904)</f>
        <v>8351.19</v>
      </c>
      <c r="C43" s="548">
        <f>SUMIF('Commodity Prices'!$C$161:$C$904,$A43,'Commodity Prices'!Q$161:Q$904)</f>
        <v>2151.06</v>
      </c>
      <c r="D43" s="434">
        <f>SUMIF('Commodity Prices'!$C$161:$C$904,$A43,'Commodity Prices'!S$161:S$904)</f>
        <v>2400.48</v>
      </c>
      <c r="F43" s="549">
        <f t="shared" si="0"/>
        <v>2018</v>
      </c>
      <c r="G43" s="579">
        <f>IF($F$8="Historic Calendar Year",
 IF(COUNTIFS('Commodity Prices'!$O:$O, "&gt;0", 'Commodity Prices'!$A:$A, $F43)=12, AVERAGEIFS('Commodity Prices'!$O:$O, 'Commodity Prices'!$A:$A, $F43), NA()),
 IF(COUNTIFS('Commodity Prices'!$O:$O, "&gt;0", 'Commodity Prices'!$B:$B, $F43)=12, AVERAGEIFS('Commodity Prices'!$O:$O, 'Commodity Prices'!$B:$B, $F43), NA())
)</f>
        <v>6525.3342864357865</v>
      </c>
      <c r="H43" s="579">
        <f>IF($F$8="Historic Calendar Year",
 IF(COUNTIFS('Commodity Prices'!$Q:$Q, "&gt;0", 'Commodity Prices'!$A:$A, $F43)=12, AVERAGEIFS('Commodity Prices'!$Q:$Q, 'Commodity Prices'!$A:$A, $F43), NA()),
 IF(COUNTIFS('Commodity Prices'!$Q:$Q, "&gt;0", 'Commodity Prices'!$B:$B, $F43)=12, AVERAGEIFS('Commodity Prices'!$Q:$Q, 'Commodity Prices'!$B:$B, $F43), NA())
)</f>
        <v>2243.8643791500722</v>
      </c>
      <c r="I43" s="580">
        <f>IF($F$8="Historic Calendar Year",
 IF(COUNTIFS('Commodity Prices'!$S:$S, "&gt;0", 'Commodity Prices'!$A:$A, $F43)=12, AVERAGEIFS('Commodity Prices'!$S:$S, 'Commodity Prices'!$A:$A, $F43), NA()),
 IF(COUNTIFS('Commodity Prices'!$S:$S, "&gt;0", 'Commodity Prices'!$B:$B, $F43)=12, AVERAGEIFS('Commodity Prices'!$S:$S, 'Commodity Prices'!$B:$B, $F43), NA())
)</f>
        <v>2925.0660569985571</v>
      </c>
    </row>
    <row r="44" spans="1:9" x14ac:dyDescent="0.25">
      <c r="A44" s="550">
        <f>LARGE('Commodity Prices'!C$161:C$904,28)</f>
        <v>45170</v>
      </c>
      <c r="B44" s="551">
        <f>SUMIF('Commodity Prices'!$C$161:$C$904,$A44,'Commodity Prices'!O$161:O$904)</f>
        <v>8270.19</v>
      </c>
      <c r="C44" s="551">
        <f>SUMIF('Commodity Prices'!$C$161:$C$904,$A44,'Commodity Prices'!Q$161:Q$904)</f>
        <v>2252.2399999999998</v>
      </c>
      <c r="D44" s="552">
        <f>SUMIF('Commodity Prices'!$C$161:$C$904,$A44,'Commodity Prices'!S$161:S$904)</f>
        <v>2487.75</v>
      </c>
      <c r="F44" s="553">
        <f t="shared" si="0"/>
        <v>2019</v>
      </c>
      <c r="G44" s="554">
        <f>IF($F$8="Historic Calendar Year",
 IF(COUNTIFS('Commodity Prices'!$O:$O, "&gt;0", 'Commodity Prices'!$A:$A, $F44)=12, AVERAGEIFS('Commodity Prices'!$O:$O, 'Commodity Prices'!$A:$A, $F44), NA()),
 IF(COUNTIFS('Commodity Prices'!$O:$O, "&gt;0", 'Commodity Prices'!$B:$B, $F44)=12, AVERAGEIFS('Commodity Prices'!$O:$O, 'Commodity Prices'!$B:$B, $F44), NA())
)</f>
        <v>6005.1166666666659</v>
      </c>
      <c r="H44" s="554">
        <f>IF($F$8="Historic Calendar Year",
 IF(COUNTIFS('Commodity Prices'!$Q:$Q, "&gt;0", 'Commodity Prices'!$A:$A, $F44)=12, AVERAGEIFS('Commodity Prices'!$Q:$Q, 'Commodity Prices'!$A:$A, $F44), NA()),
 IF(COUNTIFS('Commodity Prices'!$Q:$Q, "&gt;0", 'Commodity Prices'!$B:$B, $F44)=12, AVERAGEIFS('Commodity Prices'!$Q:$Q, 'Commodity Prices'!$B:$B, $F44), NA())
)</f>
        <v>1997.6575</v>
      </c>
      <c r="I44" s="552">
        <f>IF($F$8="Historic Calendar Year",
 IF(COUNTIFS('Commodity Prices'!$S:$S, "&gt;0", 'Commodity Prices'!$A:$A, $F44)=12, AVERAGEIFS('Commodity Prices'!$S:$S, 'Commodity Prices'!$A:$A, $F44), NA()),
 IF(COUNTIFS('Commodity Prices'!$S:$S, "&gt;0", 'Commodity Prices'!$B:$B, $F44)=12, AVERAGEIFS('Commodity Prices'!$S:$S, 'Commodity Prices'!$B:$B, $F44), NA())
)</f>
        <v>2549.2399999999998</v>
      </c>
    </row>
    <row r="45" spans="1:9" x14ac:dyDescent="0.25">
      <c r="A45" s="547">
        <f>LARGE('Commodity Prices'!C$161:C$904,27)</f>
        <v>45200</v>
      </c>
      <c r="B45" s="548">
        <f>SUMIF('Commodity Prices'!$C$161:$C$904,$A45,'Commodity Prices'!O$161:O$904)</f>
        <v>7939.24</v>
      </c>
      <c r="C45" s="548">
        <f>SUMIF('Commodity Prices'!$C$161:$C$904,$A45,'Commodity Prices'!Q$161:Q$904)</f>
        <v>2135.8000000000002</v>
      </c>
      <c r="D45" s="434">
        <f>SUMIF('Commodity Prices'!$C$161:$C$904,$A45,'Commodity Prices'!S$161:S$904)</f>
        <v>2448.75</v>
      </c>
      <c r="F45" s="549">
        <f t="shared" si="0"/>
        <v>2020</v>
      </c>
      <c r="G45" s="579">
        <f>IF($F$8="Historic Calendar Year",
 IF(COUNTIFS('Commodity Prices'!$O:$O, "&gt;0", 'Commodity Prices'!$A:$A, $F45)=12, AVERAGEIFS('Commodity Prices'!$O:$O, 'Commodity Prices'!$A:$A, $F45), NA()),
 IF(COUNTIFS('Commodity Prices'!$O:$O, "&gt;0", 'Commodity Prices'!$B:$B, $F45)=12, AVERAGEIFS('Commodity Prices'!$O:$O, 'Commodity Prices'!$B:$B, $F45), NA())
)</f>
        <v>6168.5916666666681</v>
      </c>
      <c r="H45" s="579">
        <f>IF($F$8="Historic Calendar Year",
 IF(COUNTIFS('Commodity Prices'!$Q:$Q, "&gt;0", 'Commodity Prices'!$A:$A, $F45)=12, AVERAGEIFS('Commodity Prices'!$Q:$Q, 'Commodity Prices'!$A:$A, $F45), NA()),
 IF(COUNTIFS('Commodity Prices'!$Q:$Q, "&gt;0", 'Commodity Prices'!$B:$B, $F45)=12, AVERAGEIFS('Commodity Prices'!$Q:$Q, 'Commodity Prices'!$B:$B, $F45), NA())
)</f>
        <v>1824.2091666666668</v>
      </c>
      <c r="I45" s="580">
        <f>IF($F$8="Historic Calendar Year",
 IF(COUNTIFS('Commodity Prices'!$S:$S, "&gt;0", 'Commodity Prices'!$A:$A, $F45)=12, AVERAGEIFS('Commodity Prices'!$S:$S, 'Commodity Prices'!$A:$A, $F45), NA()),
 IF(COUNTIFS('Commodity Prices'!$S:$S, "&gt;0", 'Commodity Prices'!$B:$B, $F45)=12, AVERAGEIFS('Commodity Prices'!$S:$S, 'Commodity Prices'!$B:$B, $F45), NA())
)</f>
        <v>2264.5508333333332</v>
      </c>
    </row>
    <row r="46" spans="1:9" x14ac:dyDescent="0.25">
      <c r="A46" s="550">
        <f>LARGE('Commodity Prices'!C$161:C$904,26)</f>
        <v>45231</v>
      </c>
      <c r="B46" s="551">
        <f>SUMIF('Commodity Prices'!$C$161:$C$904,$A46,'Commodity Prices'!O$161:O$904)</f>
        <v>8173.48</v>
      </c>
      <c r="C46" s="551">
        <f>SUMIF('Commodity Prices'!$C$161:$C$904,$A46,'Commodity Prices'!Q$161:Q$904)</f>
        <v>2184.64</v>
      </c>
      <c r="D46" s="552">
        <f>SUMIF('Commodity Prices'!$C$161:$C$904,$A46,'Commodity Prices'!S$161:S$904)</f>
        <v>2543.25</v>
      </c>
      <c r="F46" s="553">
        <f t="shared" si="0"/>
        <v>2021</v>
      </c>
      <c r="G46" s="554">
        <f>IF($F$8="Historic Calendar Year",
 IF(COUNTIFS('Commodity Prices'!$O:$O, "&gt;0", 'Commodity Prices'!$A:$A, $F46)=12, AVERAGEIFS('Commodity Prices'!$O:$O, 'Commodity Prices'!$A:$A, $F46), NA()),
 IF(COUNTIFS('Commodity Prices'!$O:$O, "&gt;0", 'Commodity Prices'!$B:$B, $F46)=12, AVERAGEIFS('Commodity Prices'!$O:$O, 'Commodity Prices'!$B:$B, $F46), NA())
)</f>
        <v>9312.3750000000018</v>
      </c>
      <c r="H46" s="554">
        <f>IF($F$8="Historic Calendar Year",
 IF(COUNTIFS('Commodity Prices'!$Q:$Q, "&gt;0", 'Commodity Prices'!$A:$A, $F46)=12, AVERAGEIFS('Commodity Prices'!$Q:$Q, 'Commodity Prices'!$A:$A, $F46), NA()),
 IF(COUNTIFS('Commodity Prices'!$Q:$Q, "&gt;0", 'Commodity Prices'!$B:$B, $F46)=12, AVERAGEIFS('Commodity Prices'!$Q:$Q, 'Commodity Prices'!$B:$B, $F46), NA())
)</f>
        <v>2204.5516666666663</v>
      </c>
      <c r="I46" s="552">
        <f>IF($F$8="Historic Calendar Year",
 IF(COUNTIFS('Commodity Prices'!$S:$S, "&gt;0", 'Commodity Prices'!$A:$A, $F46)=12, AVERAGEIFS('Commodity Prices'!$S:$S, 'Commodity Prices'!$A:$A, $F46), NA()),
 IF(COUNTIFS('Commodity Prices'!$S:$S, "&gt;0", 'Commodity Prices'!$B:$B, $F46)=12, AVERAGEIFS('Commodity Prices'!$S:$S, 'Commodity Prices'!$B:$B, $F46), NA())
)</f>
        <v>3002.2208333333333</v>
      </c>
    </row>
    <row r="47" spans="1:9" x14ac:dyDescent="0.25">
      <c r="A47" s="547">
        <f>LARGE('Commodity Prices'!C$161:C$904,25)</f>
        <v>45261</v>
      </c>
      <c r="B47" s="548">
        <f>SUMIF('Commodity Prices'!$C$161:$C$904,$A47,'Commodity Prices'!O$161:O$904)</f>
        <v>8393.64</v>
      </c>
      <c r="C47" s="548">
        <f>SUMIF('Commodity Prices'!$C$161:$C$904,$A47,'Commodity Prices'!Q$161:Q$904)</f>
        <v>2035.8</v>
      </c>
      <c r="D47" s="434">
        <f>SUMIF('Commodity Prices'!$C$161:$C$904,$A47,'Commodity Prices'!S$161:S$904)</f>
        <v>2501.29</v>
      </c>
      <c r="F47" s="549">
        <f t="shared" si="0"/>
        <v>2022</v>
      </c>
      <c r="G47" s="579">
        <f>IF($F$8="Historic Calendar Year",
 IF(COUNTIFS('Commodity Prices'!$O:$O, "&gt;0", 'Commodity Prices'!$A:$A, $F47)=12, AVERAGEIFS('Commodity Prices'!$O:$O, 'Commodity Prices'!$A:$A, $F47), NA()),
 IF(COUNTIFS('Commodity Prices'!$O:$O, "&gt;0", 'Commodity Prices'!$B:$B, $F47)=12, AVERAGEIFS('Commodity Prices'!$O:$O, 'Commodity Prices'!$B:$B, $F47), NA())
)</f>
        <v>8813.8875000000025</v>
      </c>
      <c r="H47" s="579">
        <f>IF($F$8="Historic Calendar Year",
 IF(COUNTIFS('Commodity Prices'!$Q:$Q, "&gt;0", 'Commodity Prices'!$A:$A, $F47)=12, AVERAGEIFS('Commodity Prices'!$Q:$Q, 'Commodity Prices'!$A:$A, $F47), NA()),
 IF(COUNTIFS('Commodity Prices'!$Q:$Q, "&gt;0", 'Commodity Prices'!$B:$B, $F47)=12, AVERAGEIFS('Commodity Prices'!$Q:$Q, 'Commodity Prices'!$B:$B, $F47), NA())
)</f>
        <v>2152.6174999999998</v>
      </c>
      <c r="I47" s="580">
        <f>IF($F$8="Historic Calendar Year",
 IF(COUNTIFS('Commodity Prices'!$S:$S, "&gt;0", 'Commodity Prices'!$A:$A, $F47)=12, AVERAGEIFS('Commodity Prices'!$S:$S, 'Commodity Prices'!$A:$A, $F47), NA()),
 IF(COUNTIFS('Commodity Prices'!$S:$S, "&gt;0", 'Commodity Prices'!$B:$B, $F47)=12, AVERAGEIFS('Commodity Prices'!$S:$S, 'Commodity Prices'!$B:$B, $F47), NA())
)</f>
        <v>3489.8516666666669</v>
      </c>
    </row>
    <row r="48" spans="1:9" x14ac:dyDescent="0.25">
      <c r="A48" s="550">
        <f>LARGE('Commodity Prices'!C$161:C$904,24)</f>
        <v>45292</v>
      </c>
      <c r="B48" s="551">
        <f>SUMIF('Commodity Prices'!$C$161:$C$904,$A48,'Commodity Prices'!O$161:O$904)</f>
        <v>8343.51</v>
      </c>
      <c r="C48" s="551">
        <f>SUMIF('Commodity Prices'!$C$161:$C$904,$A48,'Commodity Prices'!Q$161:Q$904)</f>
        <v>2086.9</v>
      </c>
      <c r="D48" s="552">
        <f>SUMIF('Commodity Prices'!$C$161:$C$904,$A48,'Commodity Prices'!S$161:S$904)</f>
        <v>2520.88</v>
      </c>
      <c r="F48" s="553">
        <f t="shared" si="0"/>
        <v>2023</v>
      </c>
      <c r="G48" s="554">
        <f>IF($F$8="Historic Calendar Year",
 IF(COUNTIFS('Commodity Prices'!$O:$O, "&gt;0", 'Commodity Prices'!$A:$A, $F48)=12, AVERAGEIFS('Commodity Prices'!$O:$O, 'Commodity Prices'!$A:$A, $F48), NA()),
 IF(COUNTIFS('Commodity Prices'!$O:$O, "&gt;0", 'Commodity Prices'!$B:$B, $F48)=12, AVERAGEIFS('Commodity Prices'!$O:$O, 'Commodity Prices'!$B:$B, $F48), NA())
)</f>
        <v>8482.7666666666664</v>
      </c>
      <c r="H48" s="554">
        <f>IF($F$8="Historic Calendar Year",
 IF(COUNTIFS('Commodity Prices'!$Q:$Q, "&gt;0", 'Commodity Prices'!$A:$A, $F48)=12, AVERAGEIFS('Commodity Prices'!$Q:$Q, 'Commodity Prices'!$A:$A, $F48), NA()),
 IF(COUNTIFS('Commodity Prices'!$Q:$Q, "&gt;0", 'Commodity Prices'!$B:$B, $F48)=12, AVERAGEIFS('Commodity Prices'!$Q:$Q, 'Commodity Prices'!$B:$B, $F48), NA())
)</f>
        <v>2136.5275000000001</v>
      </c>
      <c r="I48" s="552">
        <f>IF($F$8="Historic Calendar Year",
 IF(COUNTIFS('Commodity Prices'!$S:$S, "&gt;0", 'Commodity Prices'!$A:$A, $F48)=12, AVERAGEIFS('Commodity Prices'!$S:$S, 'Commodity Prices'!$A:$A, $F48), NA()),
 IF(COUNTIFS('Commodity Prices'!$S:$S, "&gt;0", 'Commodity Prices'!$B:$B, $F48)=12, AVERAGEIFS('Commodity Prices'!$S:$S, 'Commodity Prices'!$B:$B, $F48), NA())
)</f>
        <v>2648.4575</v>
      </c>
    </row>
    <row r="49" spans="1:9" x14ac:dyDescent="0.25">
      <c r="A49" s="547">
        <f>LARGE('Commodity Prices'!C$161:C$904,23)</f>
        <v>45323</v>
      </c>
      <c r="B49" s="548">
        <f>SUMIF('Commodity Prices'!$C$161:$C$904,$A49,'Commodity Prices'!O$161:O$904)</f>
        <v>8310.0499999999993</v>
      </c>
      <c r="C49" s="548">
        <f>SUMIF('Commodity Prices'!$C$161:$C$904,$A49,'Commodity Prices'!Q$161:Q$904)</f>
        <v>2083.63</v>
      </c>
      <c r="D49" s="434">
        <f>SUMIF('Commodity Prices'!$C$161:$C$904,$A49,'Commodity Prices'!S$161:S$904)</f>
        <v>2363.86</v>
      </c>
      <c r="F49" s="553">
        <f t="shared" si="0"/>
        <v>2024</v>
      </c>
      <c r="G49" s="1014">
        <f>IF($F$8="Historic Calendar Year",
 IF(COUNTIFS('Commodity Prices'!$O:$O, "&gt;0", 'Commodity Prices'!$A:$A, $F49)=12, AVERAGEIFS('Commodity Prices'!$O:$O, 'Commodity Prices'!$A:$A, $F49), NA()),
 IF(COUNTIFS('Commodity Prices'!$O:$O, "&gt;0", 'Commodity Prices'!$B:$B, $F49)=12, AVERAGEIFS('Commodity Prices'!$O:$O, 'Commodity Prices'!$B:$B, $F49), NA())
)</f>
        <v>9143.4874999999993</v>
      </c>
      <c r="H49" s="1014">
        <f>IF($F$8="Historic Calendar Year",
 IF(COUNTIFS('Commodity Prices'!$Q:$Q, "&gt;0", 'Commodity Prices'!$A:$A, $F49)=12, AVERAGEIFS('Commodity Prices'!$Q:$Q, 'Commodity Prices'!$A:$A, $F49), NA()),
 IF(COUNTIFS('Commodity Prices'!$Q:$Q, "&gt;0", 'Commodity Prices'!$B:$B, $F49)=12, AVERAGEIFS('Commodity Prices'!$Q:$Q, 'Commodity Prices'!$B:$B, $F49), NA())
)</f>
        <v>2071.9058333333337</v>
      </c>
      <c r="I49" s="1210">
        <f>IF($F$8="Historic Calendar Year",
 IF(COUNTIFS('Commodity Prices'!$S:$S, "&gt;0", 'Commodity Prices'!$A:$A, $F49)=12, AVERAGEIFS('Commodity Prices'!$S:$S, 'Commodity Prices'!$A:$A, $F49), NA()),
 IF(COUNTIFS('Commodity Prices'!$S:$S, "&gt;0", 'Commodity Prices'!$B:$B, $F49)=12, AVERAGEIFS('Commodity Prices'!$S:$S, 'Commodity Prices'!$B:$B, $F49), NA())
)</f>
        <v>2776.8391666666666</v>
      </c>
    </row>
    <row r="50" spans="1:9" ht="15.75" thickBot="1" x14ac:dyDescent="0.3">
      <c r="A50" s="550">
        <f>LARGE('Commodity Prices'!C$161:C$904,22)</f>
        <v>45352</v>
      </c>
      <c r="B50" s="551">
        <f>SUMIF('Commodity Prices'!$C$161:$C$904,$A50,'Commodity Prices'!O$161:O$904)</f>
        <v>8675.11</v>
      </c>
      <c r="C50" s="551">
        <f>SUMIF('Commodity Prices'!$C$161:$C$904,$A50,'Commodity Prices'!Q$161:Q$904)</f>
        <v>2056.4</v>
      </c>
      <c r="D50" s="552">
        <f>SUMIF('Commodity Prices'!$C$161:$C$904,$A50,'Commodity Prices'!S$161:S$904)</f>
        <v>2461.88</v>
      </c>
      <c r="F50" s="555">
        <f t="shared" si="0"/>
        <v>2025</v>
      </c>
      <c r="G50" s="556">
        <f>IF($F$8="Historic Calendar Year",
 IF(COUNTIFS('Commodity Prices'!$O:$O, "&gt;0", 'Commodity Prices'!$A:$A, $F50)=12, AVERAGEIFS('Commodity Prices'!$O:$O, 'Commodity Prices'!$A:$A, $F50), NA()),
 IF(COUNTIFS('Commodity Prices'!$O:$O, "&gt;0", 'Commodity Prices'!$B:$B, $F50)=12, AVERAGEIFS('Commodity Prices'!$O:$O, 'Commodity Prices'!$B:$B, $F50), NA())
)</f>
        <v>9938.6391666666659</v>
      </c>
      <c r="H50" s="556">
        <f>IF($F$8="Historic Calendar Year",
 IF(COUNTIFS('Commodity Prices'!$Q:$Q, "&gt;0", 'Commodity Prices'!$A:$A, $F50)=12, AVERAGEIFS('Commodity Prices'!$Q:$Q, 'Commodity Prices'!$A:$A, $F50), NA()),
 IF(COUNTIFS('Commodity Prices'!$Q:$Q, "&gt;0", 'Commodity Prices'!$B:$B, $F50)=12, AVERAGEIFS('Commodity Prices'!$Q:$Q, 'Commodity Prices'!$B:$B, $F50), NA())
)</f>
        <v>1962.5933333333335</v>
      </c>
      <c r="I50" s="557">
        <f>IF($F$8="Historic Calendar Year",
 IF(COUNTIFS('Commodity Prices'!$S:$S, "&gt;0", 'Commodity Prices'!$A:$A, $F50)=12, AVERAGEIFS('Commodity Prices'!$S:$S, 'Commodity Prices'!$A:$A, $F50), NA()),
 IF(COUNTIFS('Commodity Prices'!$S:$S, "&gt;0", 'Commodity Prices'!$B:$B, $F50)=12, AVERAGEIFS('Commodity Prices'!$S:$S, 'Commodity Prices'!$B:$B, $F50), NA())
)</f>
        <v>2866.5291666666672</v>
      </c>
    </row>
    <row r="51" spans="1:9" ht="15.75" thickBot="1" x14ac:dyDescent="0.3">
      <c r="A51" s="547">
        <f>LARGE('Commodity Prices'!C$161:C$904,21)</f>
        <v>45383</v>
      </c>
      <c r="B51" s="548">
        <f>SUMIF('Commodity Prices'!$C$161:$C$904,$A51,'Commodity Prices'!O$161:O$904)</f>
        <v>9481.5400000000009</v>
      </c>
      <c r="C51" s="548">
        <f>SUMIF('Commodity Prices'!$C$161:$C$904,$A51,'Commodity Prices'!Q$161:Q$904)</f>
        <v>2129.1999999999998</v>
      </c>
      <c r="D51" s="434">
        <f>SUMIF('Commodity Prices'!$C$161:$C$904,$A51,'Commodity Prices'!S$161:S$904)</f>
        <v>2730.11</v>
      </c>
    </row>
    <row r="52" spans="1:9" x14ac:dyDescent="0.25">
      <c r="A52" s="550">
        <f>LARGE('Commodity Prices'!C$161:C$904,20)</f>
        <v>45413</v>
      </c>
      <c r="B52" s="551">
        <f>SUMIF('Commodity Prices'!$C$161:$C$904,$A52,'Commodity Prices'!O$161:O$904)</f>
        <v>10128.42</v>
      </c>
      <c r="C52" s="551">
        <f>SUMIF('Commodity Prices'!$C$161:$C$904,$A52,'Commodity Prices'!Q$161:Q$904)</f>
        <v>2220.64</v>
      </c>
      <c r="D52" s="552">
        <f>SUMIF('Commodity Prices'!$C$161:$C$904,$A52,'Commodity Prices'!S$161:S$904)</f>
        <v>2955.12</v>
      </c>
      <c r="F52" s="1415" t="s">
        <v>156</v>
      </c>
      <c r="G52" s="1416"/>
      <c r="H52" s="1416"/>
      <c r="I52" s="1417"/>
    </row>
    <row r="53" spans="1:9" ht="15.75" thickBot="1" x14ac:dyDescent="0.3">
      <c r="A53" s="547">
        <f>LARGE('Commodity Prices'!C$161:C$904,19)</f>
        <v>45444</v>
      </c>
      <c r="B53" s="548">
        <f>SUMIF('Commodity Prices'!$C$161:$C$904,$A53,'Commodity Prices'!O$161:O$904)</f>
        <v>9640.73</v>
      </c>
      <c r="C53" s="548">
        <f>SUMIF('Commodity Prices'!$C$161:$C$904,$A53,'Commodity Prices'!Q$161:Q$904)</f>
        <v>2147.1999999999998</v>
      </c>
      <c r="D53" s="434">
        <f>SUMIF('Commodity Prices'!$C$161:$C$904,$A53,'Commodity Prices'!S$161:S$904)</f>
        <v>2812.35</v>
      </c>
      <c r="F53" s="1400" t="s">
        <v>551</v>
      </c>
      <c r="G53" s="1395"/>
      <c r="H53" s="1395"/>
      <c r="I53" s="1401"/>
    </row>
    <row r="54" spans="1:9" x14ac:dyDescent="0.25">
      <c r="A54" s="550">
        <f>LARGE('Commodity Prices'!C$161:C$904,18)</f>
        <v>45474</v>
      </c>
      <c r="B54" s="551">
        <f>SUMIF('Commodity Prices'!$C$161:$C$904,$A54,'Commodity Prices'!O$161:O$904)</f>
        <v>9393.17</v>
      </c>
      <c r="C54" s="551">
        <f>SUMIF('Commodity Prices'!$C$161:$C$904,$A54,'Commodity Prices'!Q$161:Q$904)</f>
        <v>2113.7800000000002</v>
      </c>
      <c r="D54" s="552">
        <f>SUMIF('Commodity Prices'!$C$161:$C$904,$A54,'Commodity Prices'!S$161:S$904)</f>
        <v>2784.71</v>
      </c>
      <c r="F54" s="1394" t="s">
        <v>554</v>
      </c>
      <c r="G54" s="1394"/>
      <c r="H54" s="1394"/>
      <c r="I54" s="1394"/>
    </row>
    <row r="55" spans="1:9" x14ac:dyDescent="0.25">
      <c r="A55" s="547">
        <f>LARGE('Commodity Prices'!C$161:C$904,17)</f>
        <v>45505</v>
      </c>
      <c r="B55" s="548">
        <f>SUMIF('Commodity Prices'!$C$161:$C$904,$A55,'Commodity Prices'!O$161:O$904)</f>
        <v>8963.24</v>
      </c>
      <c r="C55" s="548">
        <f>SUMIF('Commodity Prices'!$C$161:$C$904,$A55,'Commodity Prices'!Q$161:Q$904)</f>
        <v>2001.81</v>
      </c>
      <c r="D55" s="434">
        <f>SUMIF('Commodity Prices'!$C$161:$C$904,$A55,'Commodity Prices'!S$161:S$904)</f>
        <v>2709.24</v>
      </c>
    </row>
    <row r="56" spans="1:9" x14ac:dyDescent="0.25">
      <c r="A56" s="550">
        <f>LARGE('Commodity Prices'!C$161:C$904,16)</f>
        <v>45536</v>
      </c>
      <c r="B56" s="551">
        <f>SUMIF('Commodity Prices'!$C$161:$C$904,$A56,'Commodity Prices'!O$161:O$904)</f>
        <v>9253.8700000000008</v>
      </c>
      <c r="C56" s="551">
        <f>SUMIF('Commodity Prices'!$C$161:$C$904,$A56,'Commodity Prices'!Q$161:Q$904)</f>
        <v>2006.73</v>
      </c>
      <c r="D56" s="552">
        <f>SUMIF('Commodity Prices'!$C$161:$C$904,$A56,'Commodity Prices'!S$161:S$904)</f>
        <v>2840.31</v>
      </c>
    </row>
    <row r="57" spans="1:9" x14ac:dyDescent="0.25">
      <c r="A57" s="547">
        <f>LARGE('Commodity Prices'!C$161:C$904,15)</f>
        <v>45566</v>
      </c>
      <c r="B57" s="548">
        <f>SUMIF('Commodity Prices'!$C$161:$C$904,$A57,'Commodity Prices'!O$161:O$904)</f>
        <v>9538.7900000000009</v>
      </c>
      <c r="C57" s="548">
        <f>SUMIF('Commodity Prices'!$C$161:$C$904,$A57,'Commodity Prices'!Q$161:Q$904)</f>
        <v>2035.24</v>
      </c>
      <c r="D57" s="434">
        <f>SUMIF('Commodity Prices'!$C$161:$C$904,$A57,'Commodity Prices'!S$161:S$904)</f>
        <v>3102.46</v>
      </c>
    </row>
    <row r="58" spans="1:9" x14ac:dyDescent="0.25">
      <c r="A58" s="550">
        <f>LARGE('Commodity Prices'!C$161:C$904,14)</f>
        <v>45597</v>
      </c>
      <c r="B58" s="551">
        <f>SUMIF('Commodity Prices'!$C$161:$C$904,$A58,'Commodity Prices'!O$161:O$904)</f>
        <v>9074.27</v>
      </c>
      <c r="C58" s="551">
        <f>SUMIF('Commodity Prices'!$C$161:$C$904,$A58,'Commodity Prices'!Q$161:Q$904)</f>
        <v>1987.8</v>
      </c>
      <c r="D58" s="552">
        <f>SUMIF('Commodity Prices'!$C$161:$C$904,$A58,'Commodity Prices'!S$161:S$904)</f>
        <v>2998.62</v>
      </c>
    </row>
    <row r="59" spans="1:9" x14ac:dyDescent="0.25">
      <c r="A59" s="547">
        <f>LARGE('Commodity Prices'!C$161:C$904,13)</f>
        <v>45627</v>
      </c>
      <c r="B59" s="548">
        <f>SUMIF('Commodity Prices'!$C$161:$C$904,$A59,'Commodity Prices'!O$161:O$904)</f>
        <v>8919.15</v>
      </c>
      <c r="C59" s="548">
        <f>SUMIF('Commodity Prices'!$C$161:$C$904,$A59,'Commodity Prices'!Q$161:Q$904)</f>
        <v>1993.54</v>
      </c>
      <c r="D59" s="434">
        <f>SUMIF('Commodity Prices'!$C$161:$C$904,$A59,'Commodity Prices'!S$161:S$904)</f>
        <v>3042.53</v>
      </c>
    </row>
    <row r="60" spans="1:9" x14ac:dyDescent="0.25">
      <c r="A60" s="550">
        <f>LARGE('Commodity Prices'!C$161:C$904,12)</f>
        <v>45658</v>
      </c>
      <c r="B60" s="551">
        <f>SUMIF('Commodity Prices'!$C$161:$C$904,$A60,'Commodity Prices'!O$161:O$904)</f>
        <v>8977.2199999999993</v>
      </c>
      <c r="C60" s="551">
        <f>SUMIF('Commodity Prices'!$C$161:$C$904,$A60,'Commodity Prices'!Q$161:Q$904)</f>
        <v>1921.23</v>
      </c>
      <c r="D60" s="552">
        <f>SUMIF('Commodity Prices'!$C$161:$C$904,$A60,'Commodity Prices'!S$161:S$904)</f>
        <v>2824.82</v>
      </c>
    </row>
    <row r="61" spans="1:9" x14ac:dyDescent="0.25">
      <c r="A61" s="547">
        <f>LARGE('Commodity Prices'!C$161:C$904,11)</f>
        <v>45689</v>
      </c>
      <c r="B61" s="548">
        <f>SUMIF('Commodity Prices'!$C$161:$C$904,$A61,'Commodity Prices'!O$161:O$904)</f>
        <v>9328.65</v>
      </c>
      <c r="C61" s="548">
        <f>SUMIF('Commodity Prices'!$C$161:$C$904,$A61,'Commodity Prices'!Q$161:Q$904)</f>
        <v>1954.74</v>
      </c>
      <c r="D61" s="434">
        <f>SUMIF('Commodity Prices'!$C$161:$C$904,$A61,'Commodity Prices'!S$161:S$904)</f>
        <v>2799.23</v>
      </c>
    </row>
    <row r="62" spans="1:9" x14ac:dyDescent="0.25">
      <c r="A62" s="550">
        <f>LARGE('Commodity Prices'!C$161:C$904,10)</f>
        <v>45717</v>
      </c>
      <c r="B62" s="551">
        <f>SUMIF('Commodity Prices'!$C$161:$C$904,$A62,'Commodity Prices'!O$161:O$904)</f>
        <v>9730.6</v>
      </c>
      <c r="C62" s="551">
        <f>SUMIF('Commodity Prices'!$C$161:$C$904,$A62,'Commodity Prices'!Q$161:Q$904)</f>
        <v>2033.1</v>
      </c>
      <c r="D62" s="552">
        <f>SUMIF('Commodity Prices'!$C$161:$C$904,$A62,'Commodity Prices'!S$161:S$904)</f>
        <v>2887.36</v>
      </c>
    </row>
    <row r="63" spans="1:9" x14ac:dyDescent="0.25">
      <c r="A63" s="547">
        <f>LARGE('Commodity Prices'!C$161:C$904,9)</f>
        <v>45748</v>
      </c>
      <c r="B63" s="548">
        <f>SUMIF('Commodity Prices'!$C$161:$C$904,$A63,'Commodity Prices'!O$161:O$904)</f>
        <v>9191.49</v>
      </c>
      <c r="C63" s="548">
        <f>SUMIF('Commodity Prices'!$C$161:$C$904,$A63,'Commodity Prices'!Q$161:Q$904)</f>
        <v>1908.53</v>
      </c>
      <c r="D63" s="434">
        <f>SUMIF('Commodity Prices'!$C$161:$C$904,$A63,'Commodity Prices'!S$161:S$904)</f>
        <v>2624.75</v>
      </c>
    </row>
    <row r="64" spans="1:9" x14ac:dyDescent="0.25">
      <c r="A64" s="550">
        <f>LARGE('Commodity Prices'!C$161:C$904,8)</f>
        <v>45778</v>
      </c>
      <c r="B64" s="551">
        <f>SUMIF('Commodity Prices'!$C$161:$C$904,$A64,'Commodity Prices'!O$161:O$904)</f>
        <v>9529.0499999999993</v>
      </c>
      <c r="C64" s="551">
        <f>SUMIF('Commodity Prices'!$C$161:$C$904,$A64,'Commodity Prices'!Q$161:Q$904)</f>
        <v>1957.64</v>
      </c>
      <c r="D64" s="552">
        <f>SUMIF('Commodity Prices'!$C$161:$C$904,$A64,'Commodity Prices'!S$161:S$904)</f>
        <v>2645.73</v>
      </c>
    </row>
    <row r="65" spans="1:4" x14ac:dyDescent="0.25">
      <c r="A65" s="547">
        <f>LARGE('Commodity Prices'!C$161:C$904,7)</f>
        <v>45809</v>
      </c>
      <c r="B65" s="548">
        <f>SUMIF('Commodity Prices'!$C$161:$C$904,$A65,'Commodity Prices'!O$161:O$904)</f>
        <v>9832.98</v>
      </c>
      <c r="C65" s="548">
        <f>SUMIF('Commodity Prices'!$C$161:$C$904,$A65,'Commodity Prices'!Q$161:Q$904)</f>
        <v>1972.31</v>
      </c>
      <c r="D65" s="434">
        <f>SUMIF('Commodity Prices'!$C$161:$C$904,$A65,'Commodity Prices'!S$161:S$904)</f>
        <v>2650.36</v>
      </c>
    </row>
    <row r="66" spans="1:4" x14ac:dyDescent="0.25">
      <c r="A66" s="550">
        <f>LARGE('Commodity Prices'!C$161:C$904,6)</f>
        <v>45839</v>
      </c>
      <c r="B66" s="551">
        <f>SUMIF('Commodity Prices'!$C$161:$C$904,$A66,'Commodity Prices'!O$161:O$904)</f>
        <v>9777.66</v>
      </c>
      <c r="C66" s="551">
        <f>SUMIF('Commodity Prices'!$C$161:$C$904,$A66,'Commodity Prices'!Q$161:Q$904)</f>
        <v>1994.34</v>
      </c>
      <c r="D66" s="552">
        <f>SUMIF('Commodity Prices'!$C$161:$C$904,$A66,'Commodity Prices'!S$161:S$904)</f>
        <v>2758.41</v>
      </c>
    </row>
    <row r="67" spans="1:4" x14ac:dyDescent="0.25">
      <c r="A67" s="550">
        <f>LARGE('Commodity Prices'!C$161:C$904,5)</f>
        <v>45870</v>
      </c>
      <c r="B67" s="548">
        <f>SUMIF('Commodity Prices'!$C$161:$C$904,$A67,'Commodity Prices'!O$161:O$904)</f>
        <v>9645.5</v>
      </c>
      <c r="C67" s="548">
        <f>SUMIF('Commodity Prices'!$C$161:$C$904,$A67,'Commodity Prices'!Q$161:Q$904)</f>
        <v>1944.63</v>
      </c>
      <c r="D67" s="434">
        <f>SUMIF('Commodity Prices'!$C$161:$C$904,$A67,'Commodity Prices'!S$161:S$904)</f>
        <v>2783.9</v>
      </c>
    </row>
    <row r="68" spans="1:4" x14ac:dyDescent="0.25">
      <c r="A68" s="550">
        <f>LARGE('Commodity Prices'!C$161:C$904,4)</f>
        <v>45901</v>
      </c>
      <c r="B68" s="551">
        <f>SUMIF('Commodity Prices'!$C$161:$C$904,$A68,'Commodity Prices'!O$161:O$904)</f>
        <v>9952.09</v>
      </c>
      <c r="C68" s="551">
        <f>SUMIF('Commodity Prices'!$C$161:$C$904,$A68,'Commodity Prices'!Q$161:Q$904)</f>
        <v>1953.95</v>
      </c>
      <c r="D68" s="552">
        <f>SUMIF('Commodity Prices'!$C$161:$C$904,$A68,'Commodity Prices'!S$161:S$904)</f>
        <v>2929.48</v>
      </c>
    </row>
    <row r="69" spans="1:4" x14ac:dyDescent="0.25">
      <c r="A69" s="550">
        <f>LARGE('Commodity Prices'!C$161:C$904,3)</f>
        <v>45931</v>
      </c>
      <c r="B69" s="548">
        <f>SUMIF('Commodity Prices'!$C$161:$C$904,$A69,'Commodity Prices'!O$161:O$904)</f>
        <v>10695.63</v>
      </c>
      <c r="C69" s="548">
        <f>SUMIF('Commodity Prices'!$C$161:$C$904,$A69,'Commodity Prices'!Q$161:Q$904)</f>
        <v>1967.7</v>
      </c>
      <c r="D69" s="434">
        <f>SUMIF('Commodity Prices'!$C$161:$C$904,$A69,'Commodity Prices'!S$161:S$904)</f>
        <v>3148.45</v>
      </c>
    </row>
    <row r="70" spans="1:4" x14ac:dyDescent="0.25">
      <c r="A70" s="558">
        <f>LARGE('Commodity Prices'!C$161:C$904,2)</f>
        <v>45962</v>
      </c>
      <c r="B70" s="551">
        <f>SUMIF('Commodity Prices'!$C$161:$C$904,$A70,'Commodity Prices'!O$161:O$904)</f>
        <v>10800.01</v>
      </c>
      <c r="C70" s="551">
        <f>SUMIF('Commodity Prices'!$C$161:$C$904,$A70,'Commodity Prices'!Q$161:Q$904)</f>
        <v>2001.2</v>
      </c>
      <c r="D70" s="552">
        <f>SUMIF('Commodity Prices'!$C$161:$C$904,$A70,'Commodity Prices'!S$161:S$904)</f>
        <v>3186.65</v>
      </c>
    </row>
    <row r="71" spans="1:4" ht="15.75" thickBot="1" x14ac:dyDescent="0.3">
      <c r="A71" s="559">
        <f>LARGE('Commodity Prices'!C$161:C$904,1)</f>
        <v>45992</v>
      </c>
      <c r="B71" s="560">
        <f>SUMIF('Commodity Prices'!$C$161:$C$904,$A71,'Commodity Prices'!O$161:O$904)</f>
        <v>11802.79</v>
      </c>
      <c r="C71" s="560">
        <f>SUMIF('Commodity Prices'!$C$161:$C$904,$A71,'Commodity Prices'!Q$161:Q$904)</f>
        <v>1941.75</v>
      </c>
      <c r="D71" s="447">
        <f>SUMIF('Commodity Prices'!$C$161:$C$904,$A71,'Commodity Prices'!S$161:S$904)</f>
        <v>3159.21</v>
      </c>
    </row>
  </sheetData>
  <mergeCells count="7">
    <mergeCell ref="F54:I54"/>
    <mergeCell ref="A7:D7"/>
    <mergeCell ref="F7:I7"/>
    <mergeCell ref="A8:D8"/>
    <mergeCell ref="F8:I8"/>
    <mergeCell ref="F52:I52"/>
    <mergeCell ref="F53:I53"/>
  </mergeCells>
  <dataValidations count="1">
    <dataValidation type="list" allowBlank="1" showInputMessage="1" showErrorMessage="1" promptTitle="Select a Period:" prompt="Select Financial or Calendar years." sqref="F53:I53" xr:uid="{3F1CC60C-C9B0-4BBC-9675-B01FB02C290F}">
      <formula1>$V$1:$V$2</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B7B4D-2581-4077-936B-BDB1E3B06A95}">
  <sheetPr>
    <tabColor rgb="FFF6B4E8"/>
  </sheetPr>
  <dimension ref="A1:Q251"/>
  <sheetViews>
    <sheetView showGridLines="0" zoomScale="85" zoomScaleNormal="85" workbookViewId="0">
      <pane ySplit="9" topLeftCell="A10" activePane="bottomLeft" state="frozen"/>
      <selection pane="bottomLeft"/>
    </sheetView>
  </sheetViews>
  <sheetFormatPr defaultColWidth="9.140625" defaultRowHeight="15" x14ac:dyDescent="0.25"/>
  <cols>
    <col min="1" max="1" width="12.7109375" customWidth="1"/>
    <col min="2" max="7" width="15.7109375" customWidth="1"/>
    <col min="8" max="9" width="10.7109375" hidden="1" customWidth="1"/>
    <col min="10" max="10" width="8.7109375" customWidth="1"/>
    <col min="11" max="11" width="12.7109375" customWidth="1"/>
    <col min="12" max="17" width="15.7109375" customWidth="1"/>
  </cols>
  <sheetData>
    <row r="1" spans="1:17" x14ac:dyDescent="0.25">
      <c r="A1" s="64" t="s">
        <v>178</v>
      </c>
    </row>
    <row r="2" spans="1:17" x14ac:dyDescent="0.25">
      <c r="A2" s="64" t="s">
        <v>179</v>
      </c>
    </row>
    <row r="3" spans="1:17" x14ac:dyDescent="0.25">
      <c r="L3" s="2"/>
    </row>
    <row r="5" spans="1:17" x14ac:dyDescent="0.25">
      <c r="A5" s="27"/>
      <c r="B5" s="27"/>
      <c r="C5" s="27"/>
      <c r="D5" s="27"/>
      <c r="E5" s="27"/>
      <c r="F5" s="27"/>
      <c r="G5" s="27"/>
      <c r="H5" s="145"/>
      <c r="I5" s="145"/>
    </row>
    <row r="6" spans="1:17" x14ac:dyDescent="0.25">
      <c r="A6" s="145"/>
      <c r="B6" s="145"/>
      <c r="C6" s="145"/>
      <c r="D6" s="145"/>
      <c r="E6" s="145"/>
      <c r="F6" s="145"/>
      <c r="G6" s="145"/>
      <c r="H6" s="145"/>
      <c r="I6" s="145"/>
    </row>
    <row r="7" spans="1:17" ht="15.75" thickBot="1" x14ac:dyDescent="0.3">
      <c r="A7" s="1408" t="s">
        <v>555</v>
      </c>
      <c r="B7" s="1408"/>
      <c r="C7" s="1408"/>
      <c r="D7" s="1408"/>
      <c r="E7" s="1408"/>
      <c r="F7" s="1408"/>
      <c r="G7" s="1408"/>
      <c r="H7" s="145"/>
      <c r="I7" s="145"/>
    </row>
    <row r="8" spans="1:17" x14ac:dyDescent="0.25">
      <c r="A8" s="561"/>
      <c r="B8" s="1418" t="s">
        <v>169</v>
      </c>
      <c r="C8" s="1419"/>
      <c r="D8" s="1418" t="s">
        <v>253</v>
      </c>
      <c r="E8" s="1419"/>
      <c r="F8" s="1418" t="s">
        <v>254</v>
      </c>
      <c r="G8" s="1420"/>
      <c r="H8" s="146"/>
      <c r="I8" s="146"/>
    </row>
    <row r="9" spans="1:17" x14ac:dyDescent="0.25">
      <c r="A9" s="562" t="s">
        <v>557</v>
      </c>
      <c r="B9" s="563" t="s">
        <v>571</v>
      </c>
      <c r="C9" s="564" t="s">
        <v>559</v>
      </c>
      <c r="D9" s="563" t="s">
        <v>571</v>
      </c>
      <c r="E9" s="564" t="s">
        <v>559</v>
      </c>
      <c r="F9" s="563" t="s">
        <v>571</v>
      </c>
      <c r="G9" s="565" t="s">
        <v>559</v>
      </c>
      <c r="H9" s="29"/>
      <c r="I9" s="29"/>
    </row>
    <row r="10" spans="1:17" x14ac:dyDescent="0.25">
      <c r="A10" s="558">
        <v>36586</v>
      </c>
      <c r="B10" s="455">
        <v>7.681</v>
      </c>
      <c r="C10" s="455">
        <v>18.056524</v>
      </c>
      <c r="D10" s="455">
        <v>13.048999999999999</v>
      </c>
      <c r="E10" s="455">
        <v>4.2357139999999998</v>
      </c>
      <c r="F10" s="455">
        <v>62.015999999999998</v>
      </c>
      <c r="G10" s="456">
        <v>67.439318999999998</v>
      </c>
      <c r="H10" s="29">
        <f>YEAR(A10)</f>
        <v>2000</v>
      </c>
      <c r="I10" s="29" t="str">
        <f>IF(MONTH(A10)=3,"1",IF(MONTH(A10)=6,"2",IF(MONTH(A10)=9,"3","4")))</f>
        <v>1</v>
      </c>
      <c r="K10" s="1393" t="s">
        <v>570</v>
      </c>
      <c r="L10" s="1393"/>
      <c r="M10" s="1393"/>
      <c r="N10" s="1393"/>
      <c r="O10" s="1393"/>
      <c r="P10" s="1393"/>
      <c r="Q10" s="1393"/>
    </row>
    <row r="11" spans="1:17" ht="15.75" thickBot="1" x14ac:dyDescent="0.3">
      <c r="A11" s="558">
        <v>36678</v>
      </c>
      <c r="B11" s="566">
        <v>8.0039999999999996</v>
      </c>
      <c r="C11" s="566">
        <v>17.899384000000001</v>
      </c>
      <c r="D11" s="566">
        <v>22.609000000000002</v>
      </c>
      <c r="E11" s="566">
        <v>6.6396030000000001</v>
      </c>
      <c r="F11" s="566">
        <v>55.244999999999997</v>
      </c>
      <c r="G11" s="567">
        <v>60.587583000000002</v>
      </c>
      <c r="H11" s="29">
        <f t="shared" ref="H11:H74" si="0">YEAR(A11)</f>
        <v>2000</v>
      </c>
      <c r="I11" s="29" t="str">
        <f t="shared" ref="I11:I74" si="1">IF(MONTH(A11)=3,"1",IF(MONTH(A11)=6,"2",IF(MONTH(A11)=9,"3","4")))</f>
        <v>2</v>
      </c>
      <c r="K11" s="1395" t="s">
        <v>561</v>
      </c>
      <c r="L11" s="1395"/>
      <c r="M11" s="1395"/>
      <c r="N11" s="1395"/>
      <c r="O11" s="1395"/>
      <c r="P11" s="1395"/>
      <c r="Q11" s="1395"/>
    </row>
    <row r="12" spans="1:17" x14ac:dyDescent="0.25">
      <c r="A12" s="558">
        <v>36770</v>
      </c>
      <c r="B12" s="455">
        <v>9.2100000000000009</v>
      </c>
      <c r="C12" s="455">
        <v>22.628861000000001</v>
      </c>
      <c r="D12" s="455">
        <v>17.123000000000001</v>
      </c>
      <c r="E12" s="455">
        <v>5.8403790000000004</v>
      </c>
      <c r="F12" s="455">
        <v>59.823</v>
      </c>
      <c r="G12" s="456">
        <v>74.251819999999995</v>
      </c>
      <c r="H12" s="29">
        <f t="shared" si="0"/>
        <v>2000</v>
      </c>
      <c r="I12" s="29" t="str">
        <f t="shared" si="1"/>
        <v>3</v>
      </c>
      <c r="K12" s="561"/>
      <c r="L12" s="1418" t="s">
        <v>169</v>
      </c>
      <c r="M12" s="1425"/>
      <c r="N12" s="1418" t="s">
        <v>253</v>
      </c>
      <c r="O12" s="1419"/>
      <c r="P12" s="1425" t="s">
        <v>254</v>
      </c>
      <c r="Q12" s="1420"/>
    </row>
    <row r="13" spans="1:17" x14ac:dyDescent="0.25">
      <c r="A13" s="558">
        <v>36861</v>
      </c>
      <c r="B13" s="566">
        <v>9.1430000000000007</v>
      </c>
      <c r="C13" s="566">
        <v>24.024092</v>
      </c>
      <c r="D13" s="566">
        <v>20.3</v>
      </c>
      <c r="E13" s="566">
        <v>9.0457520000000002</v>
      </c>
      <c r="F13" s="566">
        <v>80.628</v>
      </c>
      <c r="G13" s="567">
        <v>87.835560999999998</v>
      </c>
      <c r="H13" s="29">
        <f t="shared" si="0"/>
        <v>2000</v>
      </c>
      <c r="I13" s="29" t="str">
        <f t="shared" si="1"/>
        <v>4</v>
      </c>
      <c r="K13" s="562" t="s">
        <v>557</v>
      </c>
      <c r="L13" s="563" t="s">
        <v>571</v>
      </c>
      <c r="M13" s="568" t="s">
        <v>559</v>
      </c>
      <c r="N13" s="563" t="s">
        <v>571</v>
      </c>
      <c r="O13" s="564" t="s">
        <v>559</v>
      </c>
      <c r="P13" s="568" t="s">
        <v>571</v>
      </c>
      <c r="Q13" s="565" t="s">
        <v>559</v>
      </c>
    </row>
    <row r="14" spans="1:17" x14ac:dyDescent="0.25">
      <c r="A14" s="558">
        <v>36951</v>
      </c>
      <c r="B14" s="455">
        <v>9.9540000000000006</v>
      </c>
      <c r="C14" s="455">
        <v>28.795444</v>
      </c>
      <c r="D14" s="455">
        <v>23.103000000000002</v>
      </c>
      <c r="E14" s="455">
        <v>11.693618000000001</v>
      </c>
      <c r="F14" s="455">
        <v>45.084000000000003</v>
      </c>
      <c r="G14" s="456">
        <v>57.100099</v>
      </c>
      <c r="H14" s="29">
        <f t="shared" si="0"/>
        <v>2001</v>
      </c>
      <c r="I14" s="29" t="str">
        <f t="shared" si="1"/>
        <v>1</v>
      </c>
      <c r="K14" s="558">
        <f>LARGE($A:$A, 9)</f>
        <v>45261</v>
      </c>
      <c r="L14" s="569">
        <f t="shared" ref="L14:Q22" si="2">SUMIF($A$10:$A$736,$K14,B$10:B$736)</f>
        <v>21.038934422526392</v>
      </c>
      <c r="M14" s="548">
        <f t="shared" si="2"/>
        <v>263.76942199999996</v>
      </c>
      <c r="N14" s="433">
        <f t="shared" si="2"/>
        <v>13.449295000000001</v>
      </c>
      <c r="O14" s="433">
        <f t="shared" si="2"/>
        <v>42.902200000000001</v>
      </c>
      <c r="P14" s="569">
        <f t="shared" si="2"/>
        <v>11.127524000000001</v>
      </c>
      <c r="Q14" s="434">
        <f t="shared" si="2"/>
        <v>48.379213</v>
      </c>
    </row>
    <row r="15" spans="1:17" x14ac:dyDescent="0.25">
      <c r="A15" s="558">
        <v>37043</v>
      </c>
      <c r="B15" s="566">
        <v>13.672000000000001</v>
      </c>
      <c r="C15" s="566">
        <v>34.115588000000002</v>
      </c>
      <c r="D15" s="566">
        <v>21.8</v>
      </c>
      <c r="E15" s="566">
        <v>10.72903</v>
      </c>
      <c r="F15" s="566">
        <v>50.554000000000002</v>
      </c>
      <c r="G15" s="567">
        <v>61.052177999999998</v>
      </c>
      <c r="H15" s="29">
        <f t="shared" si="0"/>
        <v>2001</v>
      </c>
      <c r="I15" s="29" t="str">
        <f t="shared" si="1"/>
        <v>2</v>
      </c>
      <c r="K15" s="558">
        <f>LARGE($A:$A, 8)</f>
        <v>45352</v>
      </c>
      <c r="L15" s="570">
        <f t="shared" si="2"/>
        <v>16.923514000000001</v>
      </c>
      <c r="M15" s="551">
        <f t="shared" si="2"/>
        <v>228.11335895946982</v>
      </c>
      <c r="N15" s="554">
        <f t="shared" si="2"/>
        <v>10.695444999999999</v>
      </c>
      <c r="O15" s="554">
        <f t="shared" si="2"/>
        <v>35.425722999999998</v>
      </c>
      <c r="P15" s="570">
        <f t="shared" si="2"/>
        <v>12.49198</v>
      </c>
      <c r="Q15" s="552">
        <f t="shared" si="2"/>
        <v>48.644610999999998</v>
      </c>
    </row>
    <row r="16" spans="1:17" x14ac:dyDescent="0.25">
      <c r="A16" s="558">
        <v>37135</v>
      </c>
      <c r="B16" s="455">
        <v>10.818</v>
      </c>
      <c r="C16" s="455">
        <v>25.455144000000001</v>
      </c>
      <c r="D16" s="455">
        <v>16.63</v>
      </c>
      <c r="E16" s="455">
        <v>8.1511069999999997</v>
      </c>
      <c r="F16" s="455">
        <v>59.197000000000003</v>
      </c>
      <c r="G16" s="456">
        <v>40.097408999999999</v>
      </c>
      <c r="H16" s="29">
        <f t="shared" si="0"/>
        <v>2001</v>
      </c>
      <c r="I16" s="29" t="str">
        <f t="shared" si="1"/>
        <v>3</v>
      </c>
      <c r="K16" s="558">
        <f>LARGE($A:$A, 7)</f>
        <v>45444</v>
      </c>
      <c r="L16" s="569">
        <f t="shared" si="2"/>
        <v>17.369184000000004</v>
      </c>
      <c r="M16" s="548">
        <f t="shared" si="2"/>
        <v>237.68358763900719</v>
      </c>
      <c r="N16" s="433">
        <f t="shared" si="2"/>
        <v>11.016684</v>
      </c>
      <c r="O16" s="433">
        <f t="shared" si="2"/>
        <v>35.804186000000001</v>
      </c>
      <c r="P16" s="569">
        <f t="shared" si="2"/>
        <v>11.944270000000001</v>
      </c>
      <c r="Q16" s="434">
        <f t="shared" si="2"/>
        <v>50.351239999999997</v>
      </c>
    </row>
    <row r="17" spans="1:17" x14ac:dyDescent="0.25">
      <c r="A17" s="558">
        <v>37226</v>
      </c>
      <c r="B17" s="566">
        <v>15.792999999999999</v>
      </c>
      <c r="C17" s="566">
        <v>32.344365000000003</v>
      </c>
      <c r="D17" s="566">
        <v>29.85</v>
      </c>
      <c r="E17" s="566">
        <v>14.329164</v>
      </c>
      <c r="F17" s="566">
        <v>56.002000000000002</v>
      </c>
      <c r="G17" s="567">
        <v>50.467827999999997</v>
      </c>
      <c r="H17" s="29">
        <f t="shared" si="0"/>
        <v>2001</v>
      </c>
      <c r="I17" s="29" t="str">
        <f t="shared" si="1"/>
        <v>4</v>
      </c>
      <c r="K17" s="558">
        <f>LARGE($A:$A, 6)</f>
        <v>45536</v>
      </c>
      <c r="L17" s="570">
        <f t="shared" si="2"/>
        <v>17.335262000000004</v>
      </c>
      <c r="M17" s="551">
        <f t="shared" si="2"/>
        <v>227.159029</v>
      </c>
      <c r="N17" s="554">
        <f t="shared" si="2"/>
        <v>17.424968</v>
      </c>
      <c r="O17" s="554">
        <f t="shared" si="2"/>
        <v>52.497943999999997</v>
      </c>
      <c r="P17" s="570">
        <f t="shared" si="2"/>
        <v>16.39723</v>
      </c>
      <c r="Q17" s="552">
        <f t="shared" si="2"/>
        <v>70.735243999999994</v>
      </c>
    </row>
    <row r="18" spans="1:17" x14ac:dyDescent="0.25">
      <c r="A18" s="558">
        <v>37316</v>
      </c>
      <c r="B18" s="455">
        <v>18.728000000000002</v>
      </c>
      <c r="C18" s="455">
        <v>39.500411</v>
      </c>
      <c r="D18" s="455">
        <v>11.782999999999999</v>
      </c>
      <c r="E18" s="455">
        <v>6.8930600000000002</v>
      </c>
      <c r="F18" s="455">
        <v>48.823999999999998</v>
      </c>
      <c r="G18" s="456">
        <v>37.999014000000003</v>
      </c>
      <c r="H18" s="29">
        <f t="shared" si="0"/>
        <v>2002</v>
      </c>
      <c r="I18" s="29" t="str">
        <f t="shared" si="1"/>
        <v>1</v>
      </c>
      <c r="K18" s="558">
        <f>LARGE($A:$A, 5)</f>
        <v>45627</v>
      </c>
      <c r="L18" s="569">
        <f t="shared" si="2"/>
        <v>20.686555000000002</v>
      </c>
      <c r="M18" s="548">
        <f t="shared" si="2"/>
        <v>284.078642</v>
      </c>
      <c r="N18" s="433">
        <f t="shared" si="2"/>
        <v>17.080195</v>
      </c>
      <c r="O18" s="433">
        <f t="shared" si="2"/>
        <v>52.350564999999996</v>
      </c>
      <c r="P18" s="569">
        <f t="shared" si="2"/>
        <v>12.58032</v>
      </c>
      <c r="Q18" s="434">
        <f t="shared" si="2"/>
        <v>55.337585999999995</v>
      </c>
    </row>
    <row r="19" spans="1:17" x14ac:dyDescent="0.25">
      <c r="A19" s="558">
        <v>37408</v>
      </c>
      <c r="B19" s="566">
        <v>12.295999999999999</v>
      </c>
      <c r="C19" s="566">
        <v>29.750125000000001</v>
      </c>
      <c r="D19" s="566">
        <v>16.812999999999999</v>
      </c>
      <c r="E19" s="566">
        <v>7.3497880000000002</v>
      </c>
      <c r="F19" s="566">
        <v>59.646000000000001</v>
      </c>
      <c r="G19" s="567">
        <v>45.251676000000003</v>
      </c>
      <c r="H19" s="29">
        <f t="shared" si="0"/>
        <v>2002</v>
      </c>
      <c r="I19" s="29" t="str">
        <f t="shared" si="1"/>
        <v>2</v>
      </c>
      <c r="K19" s="558">
        <f>LARGE($A:$A, 4)</f>
        <v>45717</v>
      </c>
      <c r="L19" s="570">
        <f t="shared" si="2"/>
        <v>14.337950999999999</v>
      </c>
      <c r="M19" s="551">
        <f t="shared" si="2"/>
        <v>213.995487</v>
      </c>
      <c r="N19" s="554">
        <f t="shared" si="2"/>
        <v>10.780507</v>
      </c>
      <c r="O19" s="554">
        <f t="shared" si="2"/>
        <v>33.625239000000001</v>
      </c>
      <c r="P19" s="570">
        <f t="shared" si="2"/>
        <v>16.707520000000002</v>
      </c>
      <c r="Q19" s="552">
        <f t="shared" si="2"/>
        <v>71.792137999999994</v>
      </c>
    </row>
    <row r="20" spans="1:17" x14ac:dyDescent="0.25">
      <c r="A20" s="558">
        <v>37500</v>
      </c>
      <c r="B20" s="455">
        <v>17.913</v>
      </c>
      <c r="C20" s="455">
        <v>41.170180000000002</v>
      </c>
      <c r="D20" s="455">
        <v>16.065000000000001</v>
      </c>
      <c r="E20" s="455">
        <v>7.3971</v>
      </c>
      <c r="F20" s="455">
        <v>58.856999999999999</v>
      </c>
      <c r="G20" s="456">
        <v>45.744605999999997</v>
      </c>
      <c r="H20" s="29">
        <f t="shared" si="0"/>
        <v>2002</v>
      </c>
      <c r="I20" s="29" t="str">
        <f t="shared" si="1"/>
        <v>3</v>
      </c>
      <c r="K20" s="558">
        <f>LARGE($A:$A, 3)</f>
        <v>45809</v>
      </c>
      <c r="L20" s="569">
        <f t="shared" si="2"/>
        <v>19.326414</v>
      </c>
      <c r="M20" s="548">
        <f t="shared" si="2"/>
        <v>295.83100999999999</v>
      </c>
      <c r="N20" s="433">
        <f t="shared" si="2"/>
        <v>23.512173999999998</v>
      </c>
      <c r="O20" s="433">
        <f t="shared" si="2"/>
        <v>71.64855399999999</v>
      </c>
      <c r="P20" s="569">
        <f t="shared" si="2"/>
        <v>8.1327999999999996</v>
      </c>
      <c r="Q20" s="434">
        <f t="shared" si="2"/>
        <v>33.644244</v>
      </c>
    </row>
    <row r="21" spans="1:17" x14ac:dyDescent="0.25">
      <c r="A21" s="558">
        <v>37591</v>
      </c>
      <c r="B21" s="566">
        <v>15.35</v>
      </c>
      <c r="C21" s="566">
        <v>35.069124000000002</v>
      </c>
      <c r="D21" s="566">
        <v>25.736000000000001</v>
      </c>
      <c r="E21" s="566">
        <v>11.050075</v>
      </c>
      <c r="F21" s="566">
        <v>51.475999999999999</v>
      </c>
      <c r="G21" s="567">
        <v>44.068821</v>
      </c>
      <c r="H21" s="29">
        <f t="shared" si="0"/>
        <v>2002</v>
      </c>
      <c r="I21" s="29" t="str">
        <f t="shared" si="1"/>
        <v>4</v>
      </c>
      <c r="K21" s="558">
        <f>LARGE($A:$A, 2)</f>
        <v>45901</v>
      </c>
      <c r="L21" s="570">
        <f t="shared" si="2"/>
        <v>17.455362000000001</v>
      </c>
      <c r="M21" s="551">
        <f t="shared" si="2"/>
        <v>280.03752700000001</v>
      </c>
      <c r="N21" s="554">
        <f t="shared" si="2"/>
        <v>18.645424999999999</v>
      </c>
      <c r="O21" s="554">
        <f t="shared" si="2"/>
        <v>58.631788</v>
      </c>
      <c r="P21" s="570">
        <f t="shared" si="2"/>
        <v>7.9391400000000001</v>
      </c>
      <c r="Q21" s="552">
        <f t="shared" si="2"/>
        <v>35.964956999999998</v>
      </c>
    </row>
    <row r="22" spans="1:17" ht="15.75" thickBot="1" x14ac:dyDescent="0.3">
      <c r="A22" s="558">
        <v>37681</v>
      </c>
      <c r="B22" s="455">
        <v>11.138</v>
      </c>
      <c r="C22" s="455">
        <v>26.82959</v>
      </c>
      <c r="D22" s="455">
        <v>11.25</v>
      </c>
      <c r="E22" s="455">
        <v>6.67</v>
      </c>
      <c r="F22" s="455">
        <v>33.770000000000003</v>
      </c>
      <c r="G22" s="456">
        <v>35.200000000000003</v>
      </c>
      <c r="H22" s="29">
        <f t="shared" si="0"/>
        <v>2003</v>
      </c>
      <c r="I22" s="29" t="str">
        <f t="shared" si="1"/>
        <v>1</v>
      </c>
      <c r="K22" s="559">
        <f>LARGE($A:$A, 1)</f>
        <v>45992</v>
      </c>
      <c r="L22" s="571">
        <f t="shared" si="2"/>
        <v>14.898131000000001</v>
      </c>
      <c r="M22" s="560">
        <f t="shared" si="2"/>
        <v>249.11851999999999</v>
      </c>
      <c r="N22" s="446">
        <f t="shared" si="2"/>
        <v>18.971409999999999</v>
      </c>
      <c r="O22" s="446">
        <f t="shared" si="2"/>
        <v>58.842118999999997</v>
      </c>
      <c r="P22" s="571">
        <f t="shared" si="2"/>
        <v>0</v>
      </c>
      <c r="Q22" s="447">
        <f>SUMIF($A$10:$A$736,$K22,G$10:G$736)</f>
        <v>0</v>
      </c>
    </row>
    <row r="23" spans="1:17" x14ac:dyDescent="0.25">
      <c r="A23" s="558">
        <v>37773</v>
      </c>
      <c r="B23" s="566">
        <v>15.023999999999999</v>
      </c>
      <c r="C23" s="566">
        <v>35.565981999999998</v>
      </c>
      <c r="D23" s="566">
        <v>15.18</v>
      </c>
      <c r="E23" s="566">
        <v>8.35</v>
      </c>
      <c r="F23" s="566">
        <v>38.11</v>
      </c>
      <c r="G23" s="567">
        <v>35.26</v>
      </c>
      <c r="H23" s="29">
        <f t="shared" si="0"/>
        <v>2003</v>
      </c>
      <c r="I23" s="29" t="str">
        <f t="shared" si="1"/>
        <v>2</v>
      </c>
      <c r="K23" s="572"/>
      <c r="L23" s="573"/>
      <c r="M23" s="573"/>
      <c r="N23" s="573"/>
      <c r="O23" s="573"/>
      <c r="P23" s="573"/>
      <c r="Q23" s="573"/>
    </row>
    <row r="24" spans="1:17" ht="15.75" thickBot="1" x14ac:dyDescent="0.3">
      <c r="A24" s="558">
        <v>37865</v>
      </c>
      <c r="B24" s="455">
        <v>20.244250000000001</v>
      </c>
      <c r="C24" s="455">
        <v>48.337485280000003</v>
      </c>
      <c r="D24" s="455">
        <v>17.481000000000002</v>
      </c>
      <c r="E24" s="455">
        <v>8.2900741</v>
      </c>
      <c r="F24" s="455">
        <v>37.886850000000003</v>
      </c>
      <c r="G24" s="456">
        <v>30.06951887</v>
      </c>
      <c r="H24" s="29">
        <f t="shared" si="0"/>
        <v>2003</v>
      </c>
      <c r="I24" s="29" t="str">
        <f t="shared" si="1"/>
        <v>3</v>
      </c>
    </row>
    <row r="25" spans="1:17" x14ac:dyDescent="0.25">
      <c r="A25" s="558">
        <v>37956</v>
      </c>
      <c r="B25" s="566">
        <v>13.76984</v>
      </c>
      <c r="C25" s="566">
        <v>38.777166459999997</v>
      </c>
      <c r="D25" s="566">
        <v>5.9119999999999999</v>
      </c>
      <c r="E25" s="566">
        <v>3.6816138199999999</v>
      </c>
      <c r="F25" s="566">
        <v>39.073090000000001</v>
      </c>
      <c r="G25" s="567">
        <v>33.125015990000001</v>
      </c>
      <c r="H25" s="29">
        <f t="shared" si="0"/>
        <v>2003</v>
      </c>
      <c r="I25" s="29" t="str">
        <f t="shared" si="1"/>
        <v>4</v>
      </c>
      <c r="K25" s="574" t="s">
        <v>158</v>
      </c>
      <c r="L25" s="1426" t="s">
        <v>178</v>
      </c>
      <c r="M25" s="1427"/>
      <c r="N25" s="1427"/>
      <c r="O25" s="1427"/>
      <c r="P25" s="1427"/>
      <c r="Q25" s="1428"/>
    </row>
    <row r="26" spans="1:17" x14ac:dyDescent="0.25">
      <c r="A26" s="558">
        <v>38047</v>
      </c>
      <c r="B26" s="455">
        <v>9.4638200000000001</v>
      </c>
      <c r="C26" s="455">
        <v>32.519124169999998</v>
      </c>
      <c r="D26" s="455">
        <v>0</v>
      </c>
      <c r="E26" s="455">
        <v>0</v>
      </c>
      <c r="F26" s="455">
        <v>24.983440000000002</v>
      </c>
      <c r="G26" s="456">
        <v>33.018951549999997</v>
      </c>
      <c r="H26" s="29">
        <f t="shared" si="0"/>
        <v>2004</v>
      </c>
      <c r="I26" s="29" t="str">
        <f t="shared" si="1"/>
        <v>1</v>
      </c>
      <c r="K26" s="1404" t="str">
        <f>CONCATENATE(A5," Quantity And Value By Year")</f>
        <v xml:space="preserve"> Quantity And Value By Year</v>
      </c>
      <c r="L26" s="1405"/>
      <c r="M26" s="1405"/>
      <c r="N26" s="1405"/>
      <c r="O26" s="1405"/>
      <c r="P26" s="1405"/>
      <c r="Q26" s="1406"/>
    </row>
    <row r="27" spans="1:17" x14ac:dyDescent="0.25">
      <c r="A27" s="558">
        <v>38139</v>
      </c>
      <c r="B27" s="566">
        <v>11.466984</v>
      </c>
      <c r="C27" s="566">
        <v>47.288723140000002</v>
      </c>
      <c r="D27" s="566">
        <v>0</v>
      </c>
      <c r="E27" s="566">
        <v>0</v>
      </c>
      <c r="F27" s="566">
        <v>4.5332499999999998</v>
      </c>
      <c r="G27" s="567">
        <v>6.6091462600000002</v>
      </c>
      <c r="H27" s="29">
        <f t="shared" si="0"/>
        <v>2004</v>
      </c>
      <c r="I27" s="29" t="str">
        <f t="shared" si="1"/>
        <v>2</v>
      </c>
      <c r="K27" s="575"/>
      <c r="L27" s="1421" t="str">
        <f>B8</f>
        <v>Copper</v>
      </c>
      <c r="M27" s="1422"/>
      <c r="N27" s="1421" t="str">
        <f>D8</f>
        <v>Lead</v>
      </c>
      <c r="O27" s="1423"/>
      <c r="P27" s="1422" t="str">
        <f>F8</f>
        <v>Zinc</v>
      </c>
      <c r="Q27" s="1424"/>
    </row>
    <row r="28" spans="1:17" x14ac:dyDescent="0.25">
      <c r="A28" s="558">
        <v>38231</v>
      </c>
      <c r="B28" s="455">
        <v>8.9878099999999996</v>
      </c>
      <c r="C28" s="455">
        <v>36.506440849999997</v>
      </c>
      <c r="D28" s="455">
        <v>1.1747399999999999</v>
      </c>
      <c r="E28" s="455">
        <v>1.5446158400000001</v>
      </c>
      <c r="F28" s="455">
        <v>12.29382</v>
      </c>
      <c r="G28" s="456">
        <v>17.24516753</v>
      </c>
      <c r="H28" s="29">
        <f t="shared" si="0"/>
        <v>2004</v>
      </c>
      <c r="I28" s="29" t="str">
        <f t="shared" si="1"/>
        <v>3</v>
      </c>
      <c r="K28" s="562" t="s">
        <v>272</v>
      </c>
      <c r="L28" s="563" t="str">
        <f>B9</f>
        <v>Quantity (Kt)</v>
      </c>
      <c r="M28" s="568" t="str">
        <f>C9</f>
        <v>Value ($ Million)</v>
      </c>
      <c r="N28" s="563" t="str">
        <f>D9</f>
        <v>Quantity (Kt)</v>
      </c>
      <c r="O28" s="564" t="str">
        <f>E9</f>
        <v>Value ($ Million)</v>
      </c>
      <c r="P28" s="568" t="str">
        <f>F9</f>
        <v>Quantity (Kt)</v>
      </c>
      <c r="Q28" s="565" t="str">
        <f>G9</f>
        <v>Value ($ Million)</v>
      </c>
    </row>
    <row r="29" spans="1:17" x14ac:dyDescent="0.25">
      <c r="A29" s="558">
        <v>38322</v>
      </c>
      <c r="B29" s="566">
        <v>12.341480000000001</v>
      </c>
      <c r="C29" s="566">
        <v>51.820087790000002</v>
      </c>
      <c r="D29" s="566">
        <v>0</v>
      </c>
      <c r="E29" s="566">
        <v>0</v>
      </c>
      <c r="F29" s="566">
        <v>9.9733599999999996</v>
      </c>
      <c r="G29" s="567">
        <v>14.29507703</v>
      </c>
      <c r="H29" s="29">
        <f t="shared" si="0"/>
        <v>2004</v>
      </c>
      <c r="I29" s="29" t="str">
        <f t="shared" si="1"/>
        <v>4</v>
      </c>
      <c r="K29" s="576">
        <f t="shared" ref="K29:K46" si="3">IF($L$25="Calendar Year", K30-1, LEFT(K30,4)-1 &amp; "-" &amp; MID(K30,3,2))</f>
        <v>2006</v>
      </c>
      <c r="L29" s="577">
        <f>IF($L$25="Calendar Year",SUMIF($H$10:$H$202,$K29,$B$10:$B$202),SUMIFS($B$10:$B$202,$H$10:$H$202,LEFT($K29,4),$I$10:$I$202,3)+SUMIFS($B$10:$B$202,$H$10:$H$202,LEFT($K29,4),$I$10:$I$202,4)+SUMIFS($B$10:$B$202,$H$10:$H$202,LEFT($K29,4)+1,$I$10:$I$202,1)+SUMIFS($B$10:$B$202,$H$10:$H$202,LEFT($K29,4)+1,$I$10:$I$202,2))</f>
        <v>99.242470999999995</v>
      </c>
      <c r="M29" s="578">
        <f>IF($L$25="Calendar Year",SUMIF($H$10:$H$202,$K29,$C$10:$C$202),SUMIFS($C$10:$C$202,$H$10:$H$202,LEFT($K29,4),$I$10:$I$202,3)+SUMIFS($C$10:$C$202,$H$10:$H$202,LEFT($K29,4),$I$10:$I$202,4)+SUMIFS($C$10:$C$202,$H$10:$H$202,LEFT($K29,4)+1,$I$10:$I$202,1)+SUMIFS($C$10:$C$202,$H$10:$H$202,LEFT($K29,4)+1,$I$10:$I$202,2))</f>
        <v>865.00019402999988</v>
      </c>
      <c r="N29" s="579">
        <f>IF($L$25="Calendar Year",SUMIF($H$10:$H$202,$K29,$D$10:$D$202),SUMIFS($D$10:$D$202,$H$10:$H$202,LEFT($K29,4),$I$10:$I$202,3)+SUMIFS($D$10:$D$202,$H$10:$H$202,LEFT($K29,4),$I$10:$I$202,4)+SUMIFS($D$10:$D$202,$H$10:$H$202,LEFT($K29,4)+1,$I$10:$I$202,1)+SUMIFS($D$10:$D$202,$H$10:$H$202,LEFT($K29,4)+1,$I$10:$I$202,2))</f>
        <v>70.95348899999999</v>
      </c>
      <c r="O29" s="579">
        <f>IF($L$25="Calendar Year",SUMIF($H$10:$H$202,$K29,$E$10:$E$202),SUMIFS($E$10:$E$202,$H$10:$H$202,LEFT($K29,4),$I$10:$I$202,3)+SUMIFS($E$10:$E$202,$H$10:$H$202,LEFT($K29,4),$I$10:$I$202,4)+SUMIFS($E$10:$E$202,$H$10:$H$202,LEFT($K29,4)+1,$I$10:$I$202,1)+SUMIFS($E$10:$E$202,$H$10:$H$202,LEFT($K29,4)+1,$I$10:$I$202,2))</f>
        <v>127.85454053000001</v>
      </c>
      <c r="P29" s="577">
        <f>IF($L$25="Calendar Year",SUMIF($H$10:$H$202,$K29,$F$10:$F$202),SUMIFS($F$10:$F$202,$H$10:$H$202,LEFT($K29,4),$I$10:$I$202,3)+SUMIFS($F$10:$F$202,$H$10:$H$202,LEFT($K29,4),$I$10:$I$202,4)+SUMIFS($F$10:$F$202,$H$10:$H$202,LEFT($K29,4)+1,$I$10:$I$202,1)+SUMIFS($F$10:$F$202,$H$10:$H$202,LEFT($K29,4)+1,$I$10:$I$202,2))</f>
        <v>109.06339100000001</v>
      </c>
      <c r="Q29" s="580">
        <f>IF($L$25="Calendar Year",SUMIF($H$10:$H$202,$K29,$G$10:$G$202),SUMIFS($G$10:$G$202,$H$10:$H$202,LEFT($K29,4),$I$10:$I$202,3)+SUMIFS($G$10:$G$202,$H$10:$H$202,LEFT($K29,4),$I$10:$I$202,4)+SUMIFS($G$10:$G$202,$H$10:$H$202,LEFT($K29,4)+1,$I$10:$I$202,1)+SUMIFS($G$10:$G$202,$H$10:$H$202,LEFT($K29,4)+1,$I$10:$I$202,2))</f>
        <v>491.08046987</v>
      </c>
    </row>
    <row r="30" spans="1:17" x14ac:dyDescent="0.25">
      <c r="A30" s="558">
        <v>38412</v>
      </c>
      <c r="B30" s="455">
        <v>10.86936</v>
      </c>
      <c r="C30" s="455">
        <v>46.321934990000003</v>
      </c>
      <c r="D30" s="455">
        <v>1.1496</v>
      </c>
      <c r="E30" s="455">
        <v>1.4617513799999999</v>
      </c>
      <c r="F30" s="455">
        <v>13.123620000000001</v>
      </c>
      <c r="G30" s="456">
        <v>19.535581140000001</v>
      </c>
      <c r="H30" s="29">
        <f t="shared" si="0"/>
        <v>2005</v>
      </c>
      <c r="I30" s="29" t="str">
        <f t="shared" si="1"/>
        <v>1</v>
      </c>
      <c r="K30" s="576">
        <f t="shared" si="3"/>
        <v>2007</v>
      </c>
      <c r="L30" s="581">
        <f t="shared" ref="L30:L48" si="4">IF(K30="","",IF($L$25="Calendar Year",SUMIF($H$10:$H$202,$K30,$B$10:$B$202),SUMIFS($B$10:$B$202,$H$10:$H$202,LEFT($K30,4),$I$10:$I$202,3)+SUMIFS($B$10:$B$202,$H$10:$H$202,LEFT($K30,4),$I$10:$I$202,4)+SUMIFS($B$10:$B$202,$H$10:$H$202,LEFT($K30,4)+1,$I$10:$I$202,1)+SUMIFS($B$10:$B$202,$H$10:$H$202,LEFT($K30,4)+1,$I$10:$I$202,2)))</f>
        <v>105.40498599999999</v>
      </c>
      <c r="M30" s="582">
        <f t="shared" ref="M30:M48" si="5">IF(K30="","",IF($L$25="Calendar Year",SUMIF($H$10:$H$202,$K30,$C$10:$C$202),SUMIFS($C$10:$C$202,$H$10:$H$202,LEFT($K30,4),$I$10:$I$202,3)+SUMIFS($C$10:$C$202,$H$10:$H$202,LEFT($K30,4),$I$10:$I$202,4)+SUMIFS($C$10:$C$202,$H$10:$H$202,LEFT($K30,4)+1,$I$10:$I$202,1)+SUMIFS($C$10:$C$202,$H$10:$H$202,LEFT($K30,4)+1,$I$10:$I$202,2)))</f>
        <v>885.58278529999995</v>
      </c>
      <c r="N30" s="583">
        <f t="shared" ref="N30:N48" si="6">IF(K30="","",IF($L$25="Calendar Year",SUMIF($H$10:$H$202,$K30,$D$10:$D$202),SUMIFS($D$10:$D$202,$H$10:$H$202,LEFT($K30,4),$I$10:$I$202,3)+SUMIFS($D$10:$D$202,$H$10:$H$202,LEFT($K30,4),$I$10:$I$202,4)+SUMIFS($D$10:$D$202,$H$10:$H$202,LEFT($K30,4)+1,$I$10:$I$202,1)+SUMIFS($D$10:$D$202,$H$10:$H$202,LEFT($K30,4)+1,$I$10:$I$202,2)))</f>
        <v>37.091524999999997</v>
      </c>
      <c r="O30" s="583">
        <f t="shared" ref="O30:O48" si="7">IF(K30="","",IF($L$25="Calendar Year",SUMIF($H$10:$H$202,$K30,$E$10:$E$202),SUMIFS($E$10:$E$202,$H$10:$H$202,LEFT($K30,4),$I$10:$I$202,3)+SUMIFS($E$10:$E$202,$H$10:$H$202,LEFT($K30,4),$I$10:$I$202,4)+SUMIFS($E$10:$E$202,$H$10:$H$202,LEFT($K30,4)+1,$I$10:$I$202,1)+SUMIFS($E$10:$E$202,$H$10:$H$202,LEFT($K30,4)+1,$I$10:$I$202,2)))</f>
        <v>96.781479340000004</v>
      </c>
      <c r="P30" s="581">
        <f t="shared" ref="P30:P48" si="8">IF(K30="","",IF($L$25="Calendar Year",SUMIF($H$10:$H$202,$K30,$F$10:$F$202),SUMIFS($F$10:$F$202,$H$10:$H$202,LEFT($K30,4),$I$10:$I$202,3)+SUMIFS($F$10:$F$202,$H$10:$H$202,LEFT($K30,4),$I$10:$I$202,4)+SUMIFS($F$10:$F$202,$H$10:$H$202,LEFT($K30,4)+1,$I$10:$I$202,1)+SUMIFS($F$10:$F$202,$H$10:$H$202,LEFT($K30,4)+1,$I$10:$I$202,2)))</f>
        <v>173.33780000000002</v>
      </c>
      <c r="Q30" s="584">
        <f t="shared" ref="Q30:Q48" si="9">IF(K30="","",IF($L$25="Calendar Year",SUMIF($H$10:$H$202,$K30,$G$10:$G$202),SUMIFS($G$10:$G$202,$H$10:$H$202,LEFT($K30,4),$I$10:$I$202,3)+SUMIFS($G$10:$G$202,$H$10:$H$202,LEFT($K30,4),$I$10:$I$202,4)+SUMIFS($G$10:$G$202,$H$10:$H$202,LEFT($K30,4)+1,$I$10:$I$202,1)+SUMIFS($G$10:$G$202,$H$10:$H$202,LEFT($K30,4)+1,$I$10:$I$202,2)))</f>
        <v>482.88467758000002</v>
      </c>
    </row>
    <row r="31" spans="1:17" x14ac:dyDescent="0.25">
      <c r="A31" s="558">
        <v>38504</v>
      </c>
      <c r="B31" s="566">
        <v>28.512177000000001</v>
      </c>
      <c r="C31" s="566">
        <v>133.03050275999999</v>
      </c>
      <c r="D31" s="566">
        <v>0</v>
      </c>
      <c r="E31" s="566">
        <v>0</v>
      </c>
      <c r="F31" s="566">
        <v>13.01009</v>
      </c>
      <c r="G31" s="567">
        <v>21.44047909</v>
      </c>
      <c r="H31" s="29">
        <f t="shared" si="0"/>
        <v>2005</v>
      </c>
      <c r="I31" s="29" t="str">
        <f t="shared" si="1"/>
        <v>2</v>
      </c>
      <c r="K31" s="576">
        <f t="shared" si="3"/>
        <v>2008</v>
      </c>
      <c r="L31" s="577">
        <f t="shared" si="4"/>
        <v>119.055948</v>
      </c>
      <c r="M31" s="578">
        <f t="shared" si="5"/>
        <v>832.51515368000003</v>
      </c>
      <c r="N31" s="579">
        <f t="shared" si="6"/>
        <v>18.538827999999999</v>
      </c>
      <c r="O31" s="579">
        <f t="shared" si="7"/>
        <v>28.815419949999999</v>
      </c>
      <c r="P31" s="577">
        <f t="shared" si="8"/>
        <v>189.81195299999999</v>
      </c>
      <c r="Q31" s="580">
        <f t="shared" si="9"/>
        <v>293.49248021000005</v>
      </c>
    </row>
    <row r="32" spans="1:17" x14ac:dyDescent="0.25">
      <c r="A32" s="558">
        <v>38596</v>
      </c>
      <c r="B32" s="455">
        <v>23.733232000000001</v>
      </c>
      <c r="C32" s="455">
        <v>130.06300292</v>
      </c>
      <c r="D32" s="455">
        <v>8.9459370000000007</v>
      </c>
      <c r="E32" s="455">
        <v>10.864582990000001</v>
      </c>
      <c r="F32" s="455">
        <v>12.67141</v>
      </c>
      <c r="G32" s="456">
        <v>22.451677100000001</v>
      </c>
      <c r="H32" s="29">
        <f t="shared" si="0"/>
        <v>2005</v>
      </c>
      <c r="I32" s="29" t="str">
        <f t="shared" si="1"/>
        <v>3</v>
      </c>
      <c r="K32" s="576">
        <f t="shared" si="3"/>
        <v>2009</v>
      </c>
      <c r="L32" s="581">
        <f t="shared" si="4"/>
        <v>151.49643399999999</v>
      </c>
      <c r="M32" s="582">
        <f t="shared" si="5"/>
        <v>933.12328494000008</v>
      </c>
      <c r="N32" s="583">
        <f t="shared" si="6"/>
        <v>22.755433000000004</v>
      </c>
      <c r="O32" s="583">
        <f t="shared" si="7"/>
        <v>48.874789219999997</v>
      </c>
      <c r="P32" s="581">
        <f t="shared" si="8"/>
        <v>99.811695999999984</v>
      </c>
      <c r="Q32" s="584">
        <f t="shared" si="9"/>
        <v>215.92451084000001</v>
      </c>
    </row>
    <row r="33" spans="1:17" x14ac:dyDescent="0.25">
      <c r="A33" s="558">
        <v>38687</v>
      </c>
      <c r="B33" s="566">
        <v>22.105712</v>
      </c>
      <c r="C33" s="566">
        <v>161.79295521</v>
      </c>
      <c r="D33" s="566">
        <v>18.499777999999999</v>
      </c>
      <c r="E33" s="566">
        <v>27.44674947</v>
      </c>
      <c r="F33" s="566">
        <v>20.29926</v>
      </c>
      <c r="G33" s="567">
        <v>63.467582290000003</v>
      </c>
      <c r="H33" s="29">
        <f t="shared" si="0"/>
        <v>2005</v>
      </c>
      <c r="I33" s="29" t="str">
        <f t="shared" si="1"/>
        <v>4</v>
      </c>
      <c r="K33" s="576">
        <f t="shared" si="3"/>
        <v>2010</v>
      </c>
      <c r="L33" s="577">
        <f t="shared" si="4"/>
        <v>155.65068099999999</v>
      </c>
      <c r="M33" s="578">
        <f t="shared" si="5"/>
        <v>1302.14808608</v>
      </c>
      <c r="N33" s="579">
        <f t="shared" si="6"/>
        <v>52.922928999999996</v>
      </c>
      <c r="O33" s="579">
        <f t="shared" si="7"/>
        <v>126.64476232</v>
      </c>
      <c r="P33" s="577">
        <f t="shared" si="8"/>
        <v>81.515219999999999</v>
      </c>
      <c r="Q33" s="580">
        <f t="shared" si="9"/>
        <v>191.88413472000002</v>
      </c>
    </row>
    <row r="34" spans="1:17" x14ac:dyDescent="0.25">
      <c r="A34" s="558">
        <v>38777</v>
      </c>
      <c r="B34" s="455">
        <v>12.024084999999999</v>
      </c>
      <c r="C34" s="455">
        <v>90.567247140000006</v>
      </c>
      <c r="D34" s="455">
        <v>14.169449</v>
      </c>
      <c r="E34" s="455">
        <v>22.678185710000001</v>
      </c>
      <c r="F34" s="455">
        <v>27.308706000000001</v>
      </c>
      <c r="G34" s="456">
        <v>99.958763950000005</v>
      </c>
      <c r="H34" s="29">
        <f t="shared" si="0"/>
        <v>2006</v>
      </c>
      <c r="I34" s="29" t="str">
        <f t="shared" si="1"/>
        <v>1</v>
      </c>
      <c r="K34" s="576">
        <f t="shared" si="3"/>
        <v>2011</v>
      </c>
      <c r="L34" s="581">
        <f t="shared" si="4"/>
        <v>144.95804783199998</v>
      </c>
      <c r="M34" s="582">
        <f t="shared" si="5"/>
        <v>1195.22360826</v>
      </c>
      <c r="N34" s="583">
        <f t="shared" si="6"/>
        <v>8.3429219999999997</v>
      </c>
      <c r="O34" s="583">
        <f t="shared" si="7"/>
        <v>19.57646712</v>
      </c>
      <c r="P34" s="581">
        <f t="shared" si="8"/>
        <v>74.400736999999992</v>
      </c>
      <c r="Q34" s="584">
        <f t="shared" si="9"/>
        <v>153.04113046000001</v>
      </c>
    </row>
    <row r="35" spans="1:17" x14ac:dyDescent="0.25">
      <c r="A35" s="558">
        <v>38869</v>
      </c>
      <c r="B35" s="566">
        <v>26.810188</v>
      </c>
      <c r="C35" s="566">
        <v>228.69050462000001</v>
      </c>
      <c r="D35" s="566">
        <v>15.650221999999999</v>
      </c>
      <c r="E35" s="566">
        <v>23.981002220000001</v>
      </c>
      <c r="F35" s="566">
        <v>19.727896999999999</v>
      </c>
      <c r="G35" s="567">
        <v>88.366812190000005</v>
      </c>
      <c r="H35" s="29">
        <f t="shared" si="0"/>
        <v>2006</v>
      </c>
      <c r="I35" s="29" t="str">
        <f t="shared" si="1"/>
        <v>2</v>
      </c>
      <c r="K35" s="576">
        <f t="shared" si="3"/>
        <v>2012</v>
      </c>
      <c r="L35" s="577">
        <f t="shared" si="4"/>
        <v>185.75001993699999</v>
      </c>
      <c r="M35" s="578">
        <f t="shared" si="5"/>
        <v>1370.4501023600001</v>
      </c>
      <c r="N35" s="579">
        <f t="shared" si="6"/>
        <v>8.135294</v>
      </c>
      <c r="O35" s="579">
        <f t="shared" si="7"/>
        <v>16.53442321</v>
      </c>
      <c r="P35" s="577">
        <f t="shared" si="8"/>
        <v>57.112677000000005</v>
      </c>
      <c r="Q35" s="580">
        <f t="shared" si="9"/>
        <v>107.3024735</v>
      </c>
    </row>
    <row r="36" spans="1:17" x14ac:dyDescent="0.25">
      <c r="A36" s="558">
        <v>38961</v>
      </c>
      <c r="B36" s="455">
        <v>24.652287000000001</v>
      </c>
      <c r="C36" s="455">
        <v>230.93300636999999</v>
      </c>
      <c r="D36" s="455">
        <v>19.155919000000001</v>
      </c>
      <c r="E36" s="455">
        <v>33.62997712</v>
      </c>
      <c r="F36" s="455">
        <v>30.505755000000001</v>
      </c>
      <c r="G36" s="456">
        <v>155.48276697</v>
      </c>
      <c r="H36" s="29">
        <f t="shared" si="0"/>
        <v>2006</v>
      </c>
      <c r="I36" s="29" t="str">
        <f t="shared" si="1"/>
        <v>3</v>
      </c>
      <c r="K36" s="576">
        <f t="shared" si="3"/>
        <v>2013</v>
      </c>
      <c r="L36" s="581">
        <f t="shared" si="4"/>
        <v>216.05661499999999</v>
      </c>
      <c r="M36" s="582">
        <f t="shared" si="5"/>
        <v>1492.7644329999998</v>
      </c>
      <c r="N36" s="583">
        <f t="shared" si="6"/>
        <v>52.261510000000001</v>
      </c>
      <c r="O36" s="583">
        <f t="shared" si="7"/>
        <v>116.056679</v>
      </c>
      <c r="P36" s="581">
        <f t="shared" si="8"/>
        <v>47.985600000000005</v>
      </c>
      <c r="Q36" s="584">
        <f t="shared" si="9"/>
        <v>96.281334999999999</v>
      </c>
    </row>
    <row r="37" spans="1:17" x14ac:dyDescent="0.25">
      <c r="A37" s="558">
        <v>39052</v>
      </c>
      <c r="B37" s="566">
        <v>35.755910999999998</v>
      </c>
      <c r="C37" s="566">
        <v>314.80943589999998</v>
      </c>
      <c r="D37" s="566">
        <v>21.977899000000001</v>
      </c>
      <c r="E37" s="566">
        <v>47.56537548</v>
      </c>
      <c r="F37" s="566">
        <v>31.521032999999999</v>
      </c>
      <c r="G37" s="567">
        <v>147.27212675999999</v>
      </c>
      <c r="H37" s="29">
        <f t="shared" si="0"/>
        <v>2006</v>
      </c>
      <c r="I37" s="29" t="str">
        <f t="shared" si="1"/>
        <v>4</v>
      </c>
      <c r="K37" s="576">
        <f t="shared" si="3"/>
        <v>2014</v>
      </c>
      <c r="L37" s="577">
        <f t="shared" si="4"/>
        <v>197.08071799999999</v>
      </c>
      <c r="M37" s="578">
        <f t="shared" si="5"/>
        <v>1401.6056509999999</v>
      </c>
      <c r="N37" s="579">
        <f t="shared" si="6"/>
        <v>80.888499999999993</v>
      </c>
      <c r="O37" s="579">
        <f t="shared" si="7"/>
        <v>184.89006699999999</v>
      </c>
      <c r="P37" s="577">
        <f t="shared" si="8"/>
        <v>72.763530000000003</v>
      </c>
      <c r="Q37" s="580">
        <f t="shared" si="9"/>
        <v>173.001879</v>
      </c>
    </row>
    <row r="38" spans="1:17" x14ac:dyDescent="0.25">
      <c r="A38" s="558">
        <v>39142</v>
      </c>
      <c r="B38" s="455">
        <v>20.220680000000002</v>
      </c>
      <c r="C38" s="455">
        <v>168.79466108</v>
      </c>
      <c r="D38" s="455">
        <v>15.126576999999999</v>
      </c>
      <c r="E38" s="455">
        <v>36.63672519</v>
      </c>
      <c r="F38" s="455">
        <v>28.006328</v>
      </c>
      <c r="G38" s="456">
        <v>125.448381</v>
      </c>
      <c r="H38" s="29">
        <f t="shared" si="0"/>
        <v>2007</v>
      </c>
      <c r="I38" s="29" t="str">
        <f t="shared" si="1"/>
        <v>1</v>
      </c>
      <c r="K38" s="576">
        <f t="shared" si="3"/>
        <v>2015</v>
      </c>
      <c r="L38" s="581">
        <f t="shared" si="4"/>
        <v>189.41435100000001</v>
      </c>
      <c r="M38" s="582">
        <f t="shared" si="5"/>
        <v>1244.427187</v>
      </c>
      <c r="N38" s="583">
        <f t="shared" si="6"/>
        <v>20.259029999999999</v>
      </c>
      <c r="O38" s="583">
        <f t="shared" si="7"/>
        <v>48.685219000000004</v>
      </c>
      <c r="P38" s="581">
        <f t="shared" si="8"/>
        <v>77.178319999999999</v>
      </c>
      <c r="Q38" s="584">
        <f t="shared" si="9"/>
        <v>185.219379</v>
      </c>
    </row>
    <row r="39" spans="1:17" x14ac:dyDescent="0.25">
      <c r="A39" s="558">
        <v>39234</v>
      </c>
      <c r="B39" s="566">
        <v>28.048957999999999</v>
      </c>
      <c r="C39" s="566">
        <v>237.11961246999999</v>
      </c>
      <c r="D39" s="566">
        <v>3.3026089999999999</v>
      </c>
      <c r="E39" s="566">
        <v>9.9276881899999996</v>
      </c>
      <c r="F39" s="566">
        <v>32.931809000000001</v>
      </c>
      <c r="G39" s="567">
        <v>111.75150897</v>
      </c>
      <c r="H39" s="29">
        <f t="shared" si="0"/>
        <v>2007</v>
      </c>
      <c r="I39" s="29" t="str">
        <f t="shared" si="1"/>
        <v>2</v>
      </c>
      <c r="K39" s="576">
        <f t="shared" si="3"/>
        <v>2016</v>
      </c>
      <c r="L39" s="577">
        <f t="shared" si="4"/>
        <v>181.53603299999997</v>
      </c>
      <c r="M39" s="578">
        <f t="shared" si="5"/>
        <v>1188.4528879999998</v>
      </c>
      <c r="N39" s="579">
        <f t="shared" si="6"/>
        <v>4.76091</v>
      </c>
      <c r="O39" s="579">
        <f t="shared" si="7"/>
        <v>12.78299</v>
      </c>
      <c r="P39" s="577">
        <f t="shared" si="8"/>
        <v>94.963539999999995</v>
      </c>
      <c r="Q39" s="580">
        <f t="shared" si="9"/>
        <v>204.52397599999998</v>
      </c>
    </row>
    <row r="40" spans="1:17" x14ac:dyDescent="0.25">
      <c r="A40" s="558">
        <v>39326</v>
      </c>
      <c r="B40" s="455">
        <v>33.598118999999997</v>
      </c>
      <c r="C40" s="455">
        <v>283.00854938999998</v>
      </c>
      <c r="D40" s="455">
        <v>4.5670000000000002</v>
      </c>
      <c r="E40" s="455">
        <v>15.013902440000001</v>
      </c>
      <c r="F40" s="455">
        <v>50.316916999999997</v>
      </c>
      <c r="G40" s="456">
        <v>108.15036569</v>
      </c>
      <c r="H40" s="29">
        <f t="shared" si="0"/>
        <v>2007</v>
      </c>
      <c r="I40" s="29" t="str">
        <f t="shared" si="1"/>
        <v>3</v>
      </c>
      <c r="K40" s="576">
        <f t="shared" si="3"/>
        <v>2017</v>
      </c>
      <c r="L40" s="581">
        <f t="shared" si="4"/>
        <v>160.27640700000001</v>
      </c>
      <c r="M40" s="582">
        <f t="shared" si="5"/>
        <v>1244.4373860000001</v>
      </c>
      <c r="N40" s="583">
        <f t="shared" si="6"/>
        <v>5.9010800000000003</v>
      </c>
      <c r="O40" s="583">
        <f t="shared" si="7"/>
        <v>18.548734</v>
      </c>
      <c r="P40" s="581">
        <f t="shared" si="8"/>
        <v>71.788228000000004</v>
      </c>
      <c r="Q40" s="584">
        <f t="shared" si="9"/>
        <v>292.12296499999997</v>
      </c>
    </row>
    <row r="41" spans="1:17" x14ac:dyDescent="0.25">
      <c r="A41" s="558">
        <v>39417</v>
      </c>
      <c r="B41" s="566">
        <v>23.537229</v>
      </c>
      <c r="C41" s="566">
        <v>196.65996236000001</v>
      </c>
      <c r="D41" s="566">
        <v>14.095338999999999</v>
      </c>
      <c r="E41" s="566">
        <v>35.203163519999997</v>
      </c>
      <c r="F41" s="566">
        <v>62.082746</v>
      </c>
      <c r="G41" s="567">
        <v>137.53442192</v>
      </c>
      <c r="H41" s="29">
        <f t="shared" si="0"/>
        <v>2007</v>
      </c>
      <c r="I41" s="29" t="str">
        <f t="shared" si="1"/>
        <v>4</v>
      </c>
      <c r="K41" s="576">
        <f t="shared" si="3"/>
        <v>2018</v>
      </c>
      <c r="L41" s="577">
        <f t="shared" si="4"/>
        <v>165.92057600000001</v>
      </c>
      <c r="M41" s="578">
        <f t="shared" si="5"/>
        <v>1349.6936430000001</v>
      </c>
      <c r="N41" s="579">
        <f t="shared" si="6"/>
        <v>6.0910000000000011</v>
      </c>
      <c r="O41" s="579">
        <f t="shared" si="7"/>
        <v>17.155192</v>
      </c>
      <c r="P41" s="577">
        <f t="shared" si="8"/>
        <v>68.823993000000002</v>
      </c>
      <c r="Q41" s="580">
        <f t="shared" si="9"/>
        <v>256.93268499999999</v>
      </c>
    </row>
    <row r="42" spans="1:17" x14ac:dyDescent="0.25">
      <c r="A42" s="558">
        <v>39508</v>
      </c>
      <c r="B42" s="455">
        <v>33.965018999999998</v>
      </c>
      <c r="C42" s="455">
        <v>281.65695162999998</v>
      </c>
      <c r="D42" s="455">
        <v>3.9412419999999999</v>
      </c>
      <c r="E42" s="455">
        <v>8.3185494999999996</v>
      </c>
      <c r="F42" s="455">
        <v>34.518994999999997</v>
      </c>
      <c r="G42" s="456">
        <v>64.190742040000003</v>
      </c>
      <c r="H42" s="29">
        <f t="shared" si="0"/>
        <v>2008</v>
      </c>
      <c r="I42" s="29" t="str">
        <f t="shared" si="1"/>
        <v>1</v>
      </c>
      <c r="K42" s="576">
        <f t="shared" si="3"/>
        <v>2019</v>
      </c>
      <c r="L42" s="581">
        <f t="shared" si="4"/>
        <v>172.11437000000001</v>
      </c>
      <c r="M42" s="582">
        <f t="shared" si="5"/>
        <v>1415.0997299999999</v>
      </c>
      <c r="N42" s="583">
        <f t="shared" si="6"/>
        <v>2.9168000000000003</v>
      </c>
      <c r="O42" s="583">
        <f t="shared" si="7"/>
        <v>8.3506509999999992</v>
      </c>
      <c r="P42" s="581">
        <f t="shared" si="8"/>
        <v>77.819270000000003</v>
      </c>
      <c r="Q42" s="584">
        <f t="shared" si="9"/>
        <v>262.55607299999997</v>
      </c>
    </row>
    <row r="43" spans="1:17" x14ac:dyDescent="0.25">
      <c r="A43" s="558">
        <v>39600</v>
      </c>
      <c r="B43" s="566">
        <v>32.261223000000001</v>
      </c>
      <c r="C43" s="566">
        <v>269.80962576000002</v>
      </c>
      <c r="D43" s="566">
        <v>3.247484</v>
      </c>
      <c r="E43" s="566">
        <v>4.7775501199999999</v>
      </c>
      <c r="F43" s="566">
        <v>69.099602000000004</v>
      </c>
      <c r="G43" s="567">
        <v>106.05687184</v>
      </c>
      <c r="H43" s="29">
        <f t="shared" si="0"/>
        <v>2008</v>
      </c>
      <c r="I43" s="29" t="str">
        <f t="shared" si="1"/>
        <v>2</v>
      </c>
      <c r="K43" s="576">
        <f t="shared" si="3"/>
        <v>2020</v>
      </c>
      <c r="L43" s="577">
        <f t="shared" si="4"/>
        <v>147.23582699999997</v>
      </c>
      <c r="M43" s="578">
        <f t="shared" si="5"/>
        <v>1294.5384939999999</v>
      </c>
      <c r="N43" s="579">
        <f t="shared" si="6"/>
        <v>1.3745150000000002</v>
      </c>
      <c r="O43" s="579">
        <f t="shared" si="7"/>
        <v>3.3216389999999998</v>
      </c>
      <c r="P43" s="577">
        <f t="shared" si="8"/>
        <v>62.050920000000005</v>
      </c>
      <c r="Q43" s="580">
        <f t="shared" si="9"/>
        <v>204.01091199999999</v>
      </c>
    </row>
    <row r="44" spans="1:17" x14ac:dyDescent="0.25">
      <c r="A44" s="558">
        <v>39692</v>
      </c>
      <c r="B44" s="455">
        <v>32.756293999999997</v>
      </c>
      <c r="C44" s="455">
        <v>188.16778449</v>
      </c>
      <c r="D44" s="455">
        <v>6.5189919999999999</v>
      </c>
      <c r="E44" s="455">
        <v>6.9632501600000003</v>
      </c>
      <c r="F44" s="455">
        <v>50.435758999999997</v>
      </c>
      <c r="G44" s="456">
        <v>62.002122460000002</v>
      </c>
      <c r="H44" s="29">
        <f t="shared" si="0"/>
        <v>2008</v>
      </c>
      <c r="I44" s="29" t="str">
        <f t="shared" si="1"/>
        <v>3</v>
      </c>
      <c r="K44" s="576">
        <f t="shared" si="3"/>
        <v>2021</v>
      </c>
      <c r="L44" s="581">
        <f t="shared" si="4"/>
        <v>148.743044</v>
      </c>
      <c r="M44" s="582">
        <f t="shared" si="5"/>
        <v>1827.9389209999999</v>
      </c>
      <c r="N44" s="583">
        <f t="shared" si="6"/>
        <v>1.2656350000000001</v>
      </c>
      <c r="O44" s="583">
        <f t="shared" si="7"/>
        <v>3.9687389999999998</v>
      </c>
      <c r="P44" s="581">
        <f t="shared" si="8"/>
        <v>69.051431000000008</v>
      </c>
      <c r="Q44" s="584">
        <f t="shared" si="9"/>
        <v>285.99623299999996</v>
      </c>
    </row>
    <row r="45" spans="1:17" x14ac:dyDescent="0.25">
      <c r="A45" s="558">
        <v>39783</v>
      </c>
      <c r="B45" s="566">
        <v>20.073412000000001</v>
      </c>
      <c r="C45" s="566">
        <v>92.880791799999997</v>
      </c>
      <c r="D45" s="566">
        <v>4.8311099999999998</v>
      </c>
      <c r="E45" s="566">
        <v>8.7560701699999992</v>
      </c>
      <c r="F45" s="566">
        <v>35.757596999999997</v>
      </c>
      <c r="G45" s="567">
        <v>61.242743869999998</v>
      </c>
      <c r="H45" s="29">
        <f t="shared" si="0"/>
        <v>2008</v>
      </c>
      <c r="I45" s="29" t="str">
        <f t="shared" si="1"/>
        <v>4</v>
      </c>
      <c r="K45" s="576">
        <f t="shared" si="3"/>
        <v>2022</v>
      </c>
      <c r="L45" s="577">
        <f t="shared" si="4"/>
        <v>144.10000300000002</v>
      </c>
      <c r="M45" s="578">
        <f t="shared" si="5"/>
        <v>1705.5636969999998</v>
      </c>
      <c r="N45" s="579">
        <f t="shared" si="6"/>
        <v>0</v>
      </c>
      <c r="O45" s="579">
        <f t="shared" si="7"/>
        <v>0</v>
      </c>
      <c r="P45" s="577">
        <f t="shared" si="8"/>
        <v>70.478444999999994</v>
      </c>
      <c r="Q45" s="580">
        <f t="shared" si="9"/>
        <v>336.06413600000002</v>
      </c>
    </row>
    <row r="46" spans="1:17" x14ac:dyDescent="0.25">
      <c r="A46" s="558">
        <v>39873</v>
      </c>
      <c r="B46" s="455">
        <v>40.978549000000001</v>
      </c>
      <c r="C46" s="455">
        <v>136.36955429</v>
      </c>
      <c r="D46" s="455">
        <v>7.1936819999999999</v>
      </c>
      <c r="E46" s="455">
        <v>12.657921869999999</v>
      </c>
      <c r="F46" s="455">
        <v>47.770938999999998</v>
      </c>
      <c r="G46" s="456">
        <v>92.671081389999998</v>
      </c>
      <c r="H46" s="29">
        <f t="shared" si="0"/>
        <v>2009</v>
      </c>
      <c r="I46" s="29" t="str">
        <f t="shared" si="1"/>
        <v>1</v>
      </c>
      <c r="K46" s="576">
        <f t="shared" si="3"/>
        <v>2023</v>
      </c>
      <c r="L46" s="581">
        <f t="shared" si="4"/>
        <v>107.19488042252641</v>
      </c>
      <c r="M46" s="582">
        <f t="shared" si="5"/>
        <v>1303.1828209999999</v>
      </c>
      <c r="N46" s="583">
        <f t="shared" si="6"/>
        <v>36.339978000000002</v>
      </c>
      <c r="O46" s="583">
        <f t="shared" si="7"/>
        <v>116.59488299999998</v>
      </c>
      <c r="P46" s="581">
        <f t="shared" si="8"/>
        <v>48.765287000000001</v>
      </c>
      <c r="Q46" s="584">
        <f t="shared" si="9"/>
        <v>193.15337</v>
      </c>
    </row>
    <row r="47" spans="1:17" x14ac:dyDescent="0.25">
      <c r="A47" s="558">
        <v>39965</v>
      </c>
      <c r="B47" s="566">
        <v>34.424179000000002</v>
      </c>
      <c r="C47" s="566">
        <v>239.30018798</v>
      </c>
      <c r="D47" s="566">
        <v>6.6593210000000003</v>
      </c>
      <c r="E47" s="566">
        <v>13.73808545</v>
      </c>
      <c r="F47" s="566">
        <v>8.6459510000000002</v>
      </c>
      <c r="G47" s="567">
        <v>16.687580570000002</v>
      </c>
      <c r="H47" s="29">
        <f t="shared" si="0"/>
        <v>2009</v>
      </c>
      <c r="I47" s="29" t="str">
        <f t="shared" si="1"/>
        <v>2</v>
      </c>
      <c r="K47" s="576">
        <f>IF($L$25="Calendar Year", K48-1, LEFT(K48,4)-1 &amp; "-" &amp; MID(K48,3,2))</f>
        <v>2024</v>
      </c>
      <c r="L47" s="577">
        <f t="shared" si="4"/>
        <v>72.314515</v>
      </c>
      <c r="M47" s="578">
        <f t="shared" si="5"/>
        <v>977.0346175984771</v>
      </c>
      <c r="N47" s="579">
        <f t="shared" si="6"/>
        <v>56.217292</v>
      </c>
      <c r="O47" s="579">
        <f t="shared" si="7"/>
        <v>176.07841799999997</v>
      </c>
      <c r="P47" s="577">
        <f t="shared" si="8"/>
        <v>53.413800000000002</v>
      </c>
      <c r="Q47" s="580">
        <f t="shared" si="9"/>
        <v>225.06868099999997</v>
      </c>
    </row>
    <row r="48" spans="1:17" ht="15.75" thickBot="1" x14ac:dyDescent="0.3">
      <c r="A48" s="558">
        <v>40057</v>
      </c>
      <c r="B48" s="455">
        <v>29.808917999999998</v>
      </c>
      <c r="C48" s="455">
        <v>227.63924206999999</v>
      </c>
      <c r="D48" s="455">
        <v>0.28944799999999998</v>
      </c>
      <c r="E48" s="455">
        <v>0.78659206000000004</v>
      </c>
      <c r="F48" s="455">
        <v>16.88036</v>
      </c>
      <c r="G48" s="456">
        <v>42.378443079999997</v>
      </c>
      <c r="H48" s="29">
        <f t="shared" si="0"/>
        <v>2009</v>
      </c>
      <c r="I48" s="29" t="str">
        <f t="shared" si="1"/>
        <v>3</v>
      </c>
      <c r="K48" s="585">
        <f>IF($L$25="Calendar Year",
    YEAR(LARGE($A:$A, 4)),
    IF(MONTH(LARGE($A:$A, 4))&gt;6,
        YEAR(LARGE($A:$A, 4)) &amp; "-" &amp; RIGHT(YEAR(LARGE($A:$A, 4))+1, 2),
        YEAR(LARGE($A:$A, 4))-1 &amp; "-" &amp; RIGHT(YEAR(LARGE($A:$A, 4)), 2)
    ))</f>
        <v>2025</v>
      </c>
      <c r="L48" s="586">
        <f t="shared" si="4"/>
        <v>66.017858000000004</v>
      </c>
      <c r="M48" s="587">
        <f t="shared" si="5"/>
        <v>1038.982544</v>
      </c>
      <c r="N48" s="556">
        <f t="shared" si="6"/>
        <v>71.909515999999996</v>
      </c>
      <c r="O48" s="556">
        <f t="shared" si="7"/>
        <v>222.74769999999998</v>
      </c>
      <c r="P48" s="586">
        <f t="shared" si="8"/>
        <v>32.77946</v>
      </c>
      <c r="Q48" s="557">
        <f t="shared" si="9"/>
        <v>141.40133900000001</v>
      </c>
    </row>
    <row r="49" spans="1:17" x14ac:dyDescent="0.25">
      <c r="A49" s="558">
        <v>40148</v>
      </c>
      <c r="B49" s="566">
        <v>46.284787999999999</v>
      </c>
      <c r="C49" s="566">
        <v>329.81430060000002</v>
      </c>
      <c r="D49" s="566">
        <v>8.6129820000000006</v>
      </c>
      <c r="E49" s="566">
        <v>21.692189840000001</v>
      </c>
      <c r="F49" s="566">
        <v>26.514446</v>
      </c>
      <c r="G49" s="567">
        <v>64.187405799999993</v>
      </c>
      <c r="H49" s="29">
        <f t="shared" si="0"/>
        <v>2009</v>
      </c>
      <c r="I49" s="29" t="str">
        <f t="shared" si="1"/>
        <v>4</v>
      </c>
      <c r="K49" s="588"/>
      <c r="L49" s="573"/>
      <c r="M49" s="573"/>
      <c r="N49" s="573"/>
      <c r="O49" s="573"/>
      <c r="P49" s="573"/>
      <c r="Q49" s="573"/>
    </row>
    <row r="50" spans="1:17" x14ac:dyDescent="0.25">
      <c r="A50" s="558">
        <v>40238</v>
      </c>
      <c r="B50" s="455">
        <v>39.983745999999996</v>
      </c>
      <c r="C50" s="455">
        <v>322.31750172</v>
      </c>
      <c r="D50" s="455">
        <v>7.012308</v>
      </c>
      <c r="E50" s="455">
        <v>17.37599844</v>
      </c>
      <c r="F50" s="455">
        <v>8.6564560000000004</v>
      </c>
      <c r="G50" s="456">
        <v>22.647604449999999</v>
      </c>
      <c r="H50" s="29">
        <f t="shared" si="0"/>
        <v>2010</v>
      </c>
      <c r="I50" s="29" t="str">
        <f t="shared" si="1"/>
        <v>1</v>
      </c>
      <c r="K50" s="588"/>
      <c r="L50" s="573"/>
      <c r="M50" s="573"/>
      <c r="N50" s="573"/>
      <c r="O50" s="573"/>
      <c r="P50" s="573"/>
      <c r="Q50" s="573"/>
    </row>
    <row r="51" spans="1:17" x14ac:dyDescent="0.25">
      <c r="A51" s="558">
        <v>40330</v>
      </c>
      <c r="B51" s="566">
        <v>35.885897</v>
      </c>
      <c r="C51" s="566">
        <v>292.70540636999999</v>
      </c>
      <c r="D51" s="566">
        <v>10.096719999999999</v>
      </c>
      <c r="E51" s="566">
        <v>21.700185579999999</v>
      </c>
      <c r="F51" s="566">
        <v>35.507662000000003</v>
      </c>
      <c r="G51" s="567">
        <v>80.905283100000005</v>
      </c>
      <c r="H51" s="29">
        <f t="shared" si="0"/>
        <v>2010</v>
      </c>
      <c r="I51" s="29" t="str">
        <f t="shared" si="1"/>
        <v>2</v>
      </c>
      <c r="K51" s="588"/>
      <c r="L51" s="573"/>
      <c r="M51" s="573"/>
      <c r="N51" s="573"/>
      <c r="O51" s="573"/>
      <c r="P51" s="573"/>
    </row>
    <row r="52" spans="1:17" x14ac:dyDescent="0.25">
      <c r="A52" s="558">
        <v>40422</v>
      </c>
      <c r="B52" s="455">
        <v>36.742528999999998</v>
      </c>
      <c r="C52" s="455">
        <v>292.37399484999997</v>
      </c>
      <c r="D52" s="455">
        <v>18.800816999999999</v>
      </c>
      <c r="E52" s="455">
        <v>45.276855220000002</v>
      </c>
      <c r="F52" s="455">
        <v>17.518726999999998</v>
      </c>
      <c r="G52" s="456">
        <v>42.093774359999998</v>
      </c>
      <c r="H52" s="29">
        <f t="shared" si="0"/>
        <v>2010</v>
      </c>
      <c r="I52" s="29" t="str">
        <f t="shared" si="1"/>
        <v>3</v>
      </c>
      <c r="K52" s="589" t="str">
        <f>IFERROR(IF(YEAR(MAX('Commodity Prices'!$C$11:$C1516))=VALUE(RIGHT(K51,4)),"",IF($L$25="Calendar Year",K51+1,CONCATENATE(LEFT(K51,4)+1,"-",RIGHT(K51,4)+1))),"")</f>
        <v/>
      </c>
      <c r="L52" s="590" t="str">
        <f>IF(K52="","",IF($L$25="Calendar Year",SUMIF($H$10:$H$202,$K52,$B$10:$B$202),SUMIFS($B$10:$B$202,$H$10:$H$202,LEFT($K52,4),$I$10:$I$202,3)+SUMIFS($B$10:$B$202,$H$10:$H$202,LEFT($K52,4),$I$10:$I$202,4)+SUMIFS($B$10:$B$202,$H$10:$H$202,LEFT($K52,4)+1,$I$10:$I$202,1)+SUMIFS($B$10:$B$202,$H$10:$H$202,LEFT($K52,4)+1,$I$10:$I$202,2)))</f>
        <v/>
      </c>
      <c r="M52" s="64" t="str">
        <f>IF(K52="","",IF($L$25="Calendar Year",SUMIF($H$10:$H$202,$K52,$C$10:$C$202),SUMIFS($C$10:$C$202,$H$10:$H$202,LEFT($K52,4),$I$10:$I$202,3)+SUMIFS($C$10:$C$202,$H$10:$H$202,LEFT($K52,4),$I$10:$I$202,4)+SUMIFS($C$10:$C$202,$H$10:$H$202,LEFT($K52,4)+1,$I$10:$I$202,1)+SUMIFS($C$10:$C$202,$H$10:$H$202,LEFT($K52,4)+1,$I$10:$I$202,2)))</f>
        <v/>
      </c>
      <c r="N52" s="590" t="str">
        <f>IF(K52="","",IF($L$25="Calendar Year",SUMIF($H$10:$H$202,$K52,$D$10:$D$202),SUMIFS($D$10:$D$202,$H$10:$H$202,LEFT($K52,4),$I$10:$I$202,3)+SUMIFS($D$10:$D$202,$H$10:$H$202,LEFT($K52,4),$I$10:$I$202,4)+SUMIFS($D$10:$D$202,$H$10:$H$202,LEFT($K52,4)+1,$I$10:$I$202,1)+SUMIFS($D$10:$D$202,$H$10:$H$202,LEFT($K52,4)+1,$I$10:$I$202,2)))</f>
        <v/>
      </c>
      <c r="O52" s="64" t="str">
        <f>IF(K52="","",IF($L$25="Calendar Year",SUMIF($H$10:$H$202,$K52,$E$10:$E$202),SUMIFS($E$10:$E$202,$H$10:$H$202,LEFT($K52,4),$I$10:$I$202,3)+SUMIFS($E$10:$E$202,$H$10:$H$202,LEFT($K52,4),$I$10:$I$202,4)+SUMIFS($E$10:$E$202,$H$10:$H$202,LEFT($K52,4)+1,$I$10:$I$202,1)+SUMIFS($E$10:$E$202,$H$10:$H$202,LEFT($K52,4)+1,$I$10:$I$202,2)))</f>
        <v/>
      </c>
      <c r="P52" s="590" t="str">
        <f>IF(K52="","",IF($L$25="Calendar Year",SUMIF($H$10:$H$202,$K52,$F$10:$F$202),SUMIFS($F$10:$F$202,$H$10:$H$202,LEFT($K52,4),$I$10:$I$202,3)+SUMIFS($F$10:$F$202,$H$10:$H$202,LEFT($K52,4),$I$10:$I$202,4)+SUMIFS($F$10:$F$202,$H$10:$H$202,LEFT($K52,4)+1,$I$10:$I$202,1)+SUMIFS($F$10:$F$202,$H$10:$H$202,LEFT($K52,4)+1,$I$10:$I$202,2)))</f>
        <v/>
      </c>
      <c r="Q52" s="64" t="str">
        <f>IF(K52="","",IF($L$25="Calendar Year",SUMIF($H$10:$H$202,$K52,$G$10:$G$202),SUMIFS($G$10:$G$202,$H$10:$H$202,LEFT($K52,4),$I$10:$I$202,3)+SUMIFS($G$10:$G$202,$H$10:$H$202,LEFT($K52,4),$I$10:$I$202,4)+SUMIFS($G$10:$G$202,$H$10:$H$202,LEFT($K52,4)+1,$I$10:$I$202,1)+SUMIFS($G$10:$G$202,$H$10:$H$202,LEFT($K52,4)+1,$I$10:$I$202,2)))</f>
        <v/>
      </c>
    </row>
    <row r="53" spans="1:17" x14ac:dyDescent="0.25">
      <c r="A53" s="558">
        <v>40513</v>
      </c>
      <c r="B53" s="566">
        <v>43.038508999999998</v>
      </c>
      <c r="C53" s="566">
        <v>394.75118314000002</v>
      </c>
      <c r="D53" s="566">
        <v>17.013083999999999</v>
      </c>
      <c r="E53" s="566">
        <v>42.291723079999997</v>
      </c>
      <c r="F53" s="566">
        <v>19.832374999999999</v>
      </c>
      <c r="G53" s="567">
        <v>46.23747281</v>
      </c>
      <c r="H53" s="29">
        <f t="shared" si="0"/>
        <v>2010</v>
      </c>
      <c r="I53" s="29" t="str">
        <f t="shared" si="1"/>
        <v>4</v>
      </c>
      <c r="K53" s="589" t="str">
        <f>IFERROR(IF(YEAR(MAX('Commodity Prices'!$C$11:$C1516))=VALUE(RIGHT(K52,4)),"",IF($L$25="Calendar Year",K52+1,CONCATENATE(LEFT(K52,4)+1,"-",RIGHT(K52,4)+1))),"")</f>
        <v/>
      </c>
      <c r="L53" s="590" t="str">
        <f>IF(K53="","",IF($L$25="Calendar Year",SUMIF($H$10:$H$202,$K53,$B$10:$B$202),SUMIFS($B$10:$B$202,$H$10:$H$202,LEFT($K53,4),$I$10:$I$202,3)+SUMIFS($B$10:$B$202,$H$10:$H$202,LEFT($K53,4),$I$10:$I$202,4)+SUMIFS($B$10:$B$202,$H$10:$H$202,LEFT($K53,4)+1,$I$10:$I$202,1)+SUMIFS($B$10:$B$202,$H$10:$H$202,LEFT($K53,4)+1,$I$10:$I$202,2)))</f>
        <v/>
      </c>
      <c r="M53" s="64" t="str">
        <f>IF(K53="","",IF($L$25="Calendar Year",SUMIF($H$10:$H$202,$K53,$C$10:$C$202),SUMIFS($C$10:$C$202,$H$10:$H$202,LEFT($K53,4),$I$10:$I$202,3)+SUMIFS($C$10:$C$202,$H$10:$H$202,LEFT($K53,4),$I$10:$I$202,4)+SUMIFS($C$10:$C$202,$H$10:$H$202,LEFT($K53,4)+1,$I$10:$I$202,1)+SUMIFS($C$10:$C$202,$H$10:$H$202,LEFT($K53,4)+1,$I$10:$I$202,2)))</f>
        <v/>
      </c>
      <c r="N53" s="590" t="str">
        <f>IF(K53="","",IF($L$25="Calendar Year",SUMIF($H$10:$H$202,$K53,$D$10:$D$202),SUMIFS($D$10:$D$202,$H$10:$H$202,LEFT($K53,4),$I$10:$I$202,3)+SUMIFS($D$10:$D$202,$H$10:$H$202,LEFT($K53,4),$I$10:$I$202,4)+SUMIFS($D$10:$D$202,$H$10:$H$202,LEFT($K53,4)+1,$I$10:$I$202,1)+SUMIFS($D$10:$D$202,$H$10:$H$202,LEFT($K53,4)+1,$I$10:$I$202,2)))</f>
        <v/>
      </c>
      <c r="O53" s="64" t="str">
        <f>IF(K53="","",IF($L$25="Calendar Year",SUMIF($H$10:$H$202,$K53,$E$10:$E$202),SUMIFS($E$10:$E$202,$H$10:$H$202,LEFT($K53,4),$I$10:$I$202,3)+SUMIFS($E$10:$E$202,$H$10:$H$202,LEFT($K53,4),$I$10:$I$202,4)+SUMIFS($E$10:$E$202,$H$10:$H$202,LEFT($K53,4)+1,$I$10:$I$202,1)+SUMIFS($E$10:$E$202,$H$10:$H$202,LEFT($K53,4)+1,$I$10:$I$202,2)))</f>
        <v/>
      </c>
      <c r="P53" s="590" t="str">
        <f>IF(K53="","",IF($L$25="Calendar Year",SUMIF($H$10:$H$202,$K53,$F$10:$F$202),SUMIFS($F$10:$F$202,$H$10:$H$202,LEFT($K53,4),$I$10:$I$202,3)+SUMIFS($F$10:$F$202,$H$10:$H$202,LEFT($K53,4),$I$10:$I$202,4)+SUMIFS($F$10:$F$202,$H$10:$H$202,LEFT($K53,4)+1,$I$10:$I$202,1)+SUMIFS($F$10:$F$202,$H$10:$H$202,LEFT($K53,4)+1,$I$10:$I$202,2)))</f>
        <v/>
      </c>
      <c r="Q53" s="64" t="str">
        <f>IF(K53="","",IF($L$25="Calendar Year",SUMIF($H$10:$H$202,$K53,$G$10:$G$202),SUMIFS($G$10:$G$202,$H$10:$H$202,LEFT($K53,4),$I$10:$I$202,3)+SUMIFS($G$10:$G$202,$H$10:$H$202,LEFT($K53,4),$I$10:$I$202,4)+SUMIFS($G$10:$G$202,$H$10:$H$202,LEFT($K53,4)+1,$I$10:$I$202,1)+SUMIFS($G$10:$G$202,$H$10:$H$202,LEFT($K53,4)+1,$I$10:$I$202,2)))</f>
        <v/>
      </c>
    </row>
    <row r="54" spans="1:17" x14ac:dyDescent="0.25">
      <c r="A54" s="558">
        <v>40603</v>
      </c>
      <c r="B54" s="455">
        <v>36.091535</v>
      </c>
      <c r="C54" s="455">
        <v>356.02338121000003</v>
      </c>
      <c r="D54" s="455">
        <v>2.5361099999999999</v>
      </c>
      <c r="E54" s="455">
        <v>6.5025722000000004</v>
      </c>
      <c r="F54" s="455">
        <v>15.705038999999999</v>
      </c>
      <c r="G54" s="456">
        <v>37.563437639999997</v>
      </c>
      <c r="H54" s="29">
        <f t="shared" si="0"/>
        <v>2011</v>
      </c>
      <c r="I54" s="29" t="str">
        <f t="shared" si="1"/>
        <v>1</v>
      </c>
      <c r="K54" s="589" t="str">
        <f>IFERROR(IF(YEAR(MAX('Commodity Prices'!$C$11:$C1516))=VALUE(RIGHT(K53,4)),"",IF($L$25="Calendar Year",K53+1,CONCATENATE(LEFT(K53,4)+1,"-",RIGHT(K53,4)+1))),"")</f>
        <v/>
      </c>
      <c r="L54" s="590" t="str">
        <f>IF(K54="","",IF($L$25="Calendar Year",SUMIF($H$10:$H$202,$K54,$B$10:$B$202),SUMIFS($B$10:$B$202,$H$10:$H$202,LEFT($K54,4),$I$10:$I$202,3)+SUMIFS($B$10:$B$202,$H$10:$H$202,LEFT($K54,4),$I$10:$I$202,4)+SUMIFS($B$10:$B$202,$H$10:$H$202,LEFT($K54,4)+1,$I$10:$I$202,1)+SUMIFS($B$10:$B$202,$H$10:$H$202,LEFT($K54,4)+1,$I$10:$I$202,2)))</f>
        <v/>
      </c>
      <c r="M54" s="64" t="str">
        <f>IF(K54="","",IF($L$25="Calendar Year",SUMIF($H$10:$H$202,$K54,$C$10:$C$202),SUMIFS($C$10:$C$202,$H$10:$H$202,LEFT($K54,4),$I$10:$I$202,3)+SUMIFS($C$10:$C$202,$H$10:$H$202,LEFT($K54,4),$I$10:$I$202,4)+SUMIFS($C$10:$C$202,$H$10:$H$202,LEFT($K54,4)+1,$I$10:$I$202,1)+SUMIFS($C$10:$C$202,$H$10:$H$202,LEFT($K54,4)+1,$I$10:$I$202,2)))</f>
        <v/>
      </c>
      <c r="N54" s="590" t="str">
        <f>IF(K54="","",IF($L$25="Calendar Year",SUMIF($H$10:$H$202,$K54,$D$10:$D$202),SUMIFS($D$10:$D$202,$H$10:$H$202,LEFT($K54,4),$I$10:$I$202,3)+SUMIFS($D$10:$D$202,$H$10:$H$202,LEFT($K54,4),$I$10:$I$202,4)+SUMIFS($D$10:$D$202,$H$10:$H$202,LEFT($K54,4)+1,$I$10:$I$202,1)+SUMIFS($D$10:$D$202,$H$10:$H$202,LEFT($K54,4)+1,$I$10:$I$202,2)))</f>
        <v/>
      </c>
      <c r="O54" s="64" t="str">
        <f>IF(K54="","",IF($L$25="Calendar Year",SUMIF($H$10:$H$202,$K54,$E$10:$E$202),SUMIFS($E$10:$E$202,$H$10:$H$202,LEFT($K54,4),$I$10:$I$202,3)+SUMIFS($E$10:$E$202,$H$10:$H$202,LEFT($K54,4),$I$10:$I$202,4)+SUMIFS($E$10:$E$202,$H$10:$H$202,LEFT($K54,4)+1,$I$10:$I$202,1)+SUMIFS($E$10:$E$202,$H$10:$H$202,LEFT($K54,4)+1,$I$10:$I$202,2)))</f>
        <v/>
      </c>
      <c r="P54" s="590" t="str">
        <f>IF(K54="","",IF($L$25="Calendar Year",SUMIF($H$10:$H$202,$K54,$F$10:$F$202),SUMIFS($F$10:$F$202,$H$10:$H$202,LEFT($K54,4),$I$10:$I$202,3)+SUMIFS($F$10:$F$202,$H$10:$H$202,LEFT($K54,4),$I$10:$I$202,4)+SUMIFS($F$10:$F$202,$H$10:$H$202,LEFT($K54,4)+1,$I$10:$I$202,1)+SUMIFS($F$10:$F$202,$H$10:$H$202,LEFT($K54,4)+1,$I$10:$I$202,2)))</f>
        <v/>
      </c>
      <c r="Q54" s="64" t="str">
        <f>IF(K54="","",IF($L$25="Calendar Year",SUMIF($H$10:$H$202,$K54,$G$10:$G$202),SUMIFS($G$10:$G$202,$H$10:$H$202,LEFT($K54,4),$I$10:$I$202,3)+SUMIFS($G$10:$G$202,$H$10:$H$202,LEFT($K54,4),$I$10:$I$202,4)+SUMIFS($G$10:$G$202,$H$10:$H$202,LEFT($K54,4)+1,$I$10:$I$202,1)+SUMIFS($G$10:$G$202,$H$10:$H$202,LEFT($K54,4)+1,$I$10:$I$202,2)))</f>
        <v/>
      </c>
    </row>
    <row r="55" spans="1:17" x14ac:dyDescent="0.25">
      <c r="A55" s="558">
        <v>40695</v>
      </c>
      <c r="B55" s="566">
        <v>34.157747999999998</v>
      </c>
      <c r="C55" s="566">
        <v>289.20759103</v>
      </c>
      <c r="D55" s="566">
        <v>2.4136899999999999</v>
      </c>
      <c r="E55" s="566">
        <v>5.9973186299999997</v>
      </c>
      <c r="F55" s="566">
        <v>17.480404</v>
      </c>
      <c r="G55" s="567">
        <v>36.213579729999999</v>
      </c>
      <c r="H55" s="29">
        <f t="shared" si="0"/>
        <v>2011</v>
      </c>
      <c r="I55" s="29" t="str">
        <f t="shared" si="1"/>
        <v>2</v>
      </c>
    </row>
    <row r="56" spans="1:17" x14ac:dyDescent="0.25">
      <c r="A56" s="558">
        <v>40787</v>
      </c>
      <c r="B56" s="455">
        <v>39.834222885000003</v>
      </c>
      <c r="C56" s="455">
        <v>306.99842307</v>
      </c>
      <c r="D56" s="455">
        <v>0</v>
      </c>
      <c r="E56" s="455">
        <v>0</v>
      </c>
      <c r="F56" s="455">
        <v>15.565058000000001</v>
      </c>
      <c r="G56" s="456">
        <v>30.27872494</v>
      </c>
      <c r="H56" s="29">
        <f t="shared" si="0"/>
        <v>2011</v>
      </c>
      <c r="I56" s="29" t="str">
        <f t="shared" si="1"/>
        <v>3</v>
      </c>
    </row>
    <row r="57" spans="1:17" x14ac:dyDescent="0.25">
      <c r="A57" s="558">
        <v>40878</v>
      </c>
      <c r="B57" s="566">
        <v>34.874541946999997</v>
      </c>
      <c r="C57" s="566">
        <v>242.99421294999999</v>
      </c>
      <c r="D57" s="566">
        <v>3.393122</v>
      </c>
      <c r="E57" s="566">
        <v>7.0765762900000002</v>
      </c>
      <c r="F57" s="566">
        <v>25.650236</v>
      </c>
      <c r="G57" s="567">
        <v>48.985388149999999</v>
      </c>
      <c r="H57" s="29">
        <f t="shared" si="0"/>
        <v>2011</v>
      </c>
      <c r="I57" s="29" t="str">
        <f t="shared" si="1"/>
        <v>4</v>
      </c>
    </row>
    <row r="58" spans="1:17" x14ac:dyDescent="0.25">
      <c r="A58" s="558">
        <v>40969</v>
      </c>
      <c r="B58" s="455">
        <v>41.897940028999997</v>
      </c>
      <c r="C58" s="455">
        <v>305.30757376000003</v>
      </c>
      <c r="D58" s="455">
        <v>1.789914</v>
      </c>
      <c r="E58" s="455">
        <v>3.49851972</v>
      </c>
      <c r="F58" s="455">
        <v>15.587477</v>
      </c>
      <c r="G58" s="456">
        <v>29.91564674</v>
      </c>
      <c r="H58" s="29">
        <f t="shared" si="0"/>
        <v>2012</v>
      </c>
      <c r="I58" s="29" t="str">
        <f t="shared" si="1"/>
        <v>1</v>
      </c>
    </row>
    <row r="59" spans="1:17" x14ac:dyDescent="0.25">
      <c r="A59" s="558">
        <v>41061</v>
      </c>
      <c r="B59" s="566">
        <v>42.564607090999999</v>
      </c>
      <c r="C59" s="566">
        <v>325.47948958000001</v>
      </c>
      <c r="D59" s="566">
        <v>1.7386699999999999</v>
      </c>
      <c r="E59" s="566">
        <v>3.26473462</v>
      </c>
      <c r="F59" s="566">
        <v>6.7004299999999999</v>
      </c>
      <c r="G59" s="567">
        <v>12.804450170000001</v>
      </c>
      <c r="H59" s="29">
        <f t="shared" si="0"/>
        <v>2012</v>
      </c>
      <c r="I59" s="29" t="str">
        <f t="shared" si="1"/>
        <v>2</v>
      </c>
    </row>
    <row r="60" spans="1:17" x14ac:dyDescent="0.25">
      <c r="A60" s="558">
        <v>41153</v>
      </c>
      <c r="B60" s="455">
        <v>43.906038315000004</v>
      </c>
      <c r="C60" s="455">
        <v>302.55236682999998</v>
      </c>
      <c r="D60" s="455">
        <v>1.63544</v>
      </c>
      <c r="E60" s="455">
        <v>3.39103544</v>
      </c>
      <c r="F60" s="455">
        <v>23.52028</v>
      </c>
      <c r="G60" s="456">
        <v>43.076269709999998</v>
      </c>
      <c r="H60" s="29">
        <f t="shared" si="0"/>
        <v>2012</v>
      </c>
      <c r="I60" s="29" t="str">
        <f t="shared" si="1"/>
        <v>3</v>
      </c>
    </row>
    <row r="61" spans="1:17" x14ac:dyDescent="0.25">
      <c r="A61" s="558">
        <v>41244</v>
      </c>
      <c r="B61" s="566">
        <v>57.381434501999998</v>
      </c>
      <c r="C61" s="566">
        <v>437.11067219</v>
      </c>
      <c r="D61" s="566">
        <v>2.9712700000000001</v>
      </c>
      <c r="E61" s="566">
        <v>6.3801334299999999</v>
      </c>
      <c r="F61" s="566">
        <v>11.304489999999999</v>
      </c>
      <c r="G61" s="567">
        <v>21.506106880000001</v>
      </c>
      <c r="H61" s="29">
        <f t="shared" si="0"/>
        <v>2012</v>
      </c>
      <c r="I61" s="29" t="str">
        <f t="shared" si="1"/>
        <v>4</v>
      </c>
    </row>
    <row r="62" spans="1:17" x14ac:dyDescent="0.25">
      <c r="A62" s="558">
        <v>41334</v>
      </c>
      <c r="B62" s="455">
        <v>63.868406999999991</v>
      </c>
      <c r="C62" s="455">
        <v>384.64021299999996</v>
      </c>
      <c r="D62" s="455">
        <v>0</v>
      </c>
      <c r="E62" s="455">
        <v>0</v>
      </c>
      <c r="F62" s="455">
        <v>10.36923</v>
      </c>
      <c r="G62" s="456">
        <v>19.32968</v>
      </c>
      <c r="H62" s="29">
        <f t="shared" si="0"/>
        <v>2013</v>
      </c>
      <c r="I62" s="29" t="str">
        <f t="shared" si="1"/>
        <v>1</v>
      </c>
    </row>
    <row r="63" spans="1:17" x14ac:dyDescent="0.25">
      <c r="A63" s="558">
        <v>41426</v>
      </c>
      <c r="B63" s="566">
        <v>44.110455000000002</v>
      </c>
      <c r="C63" s="566">
        <v>298.74030299999998</v>
      </c>
      <c r="D63" s="566">
        <v>12.034130000000001</v>
      </c>
      <c r="E63" s="566">
        <v>25.278355999999999</v>
      </c>
      <c r="F63" s="566">
        <v>10.65368</v>
      </c>
      <c r="G63" s="567">
        <v>19.955856000000001</v>
      </c>
      <c r="H63" s="29">
        <f t="shared" si="0"/>
        <v>2013</v>
      </c>
      <c r="I63" s="29" t="str">
        <f t="shared" si="1"/>
        <v>2</v>
      </c>
    </row>
    <row r="64" spans="1:17" x14ac:dyDescent="0.25">
      <c r="A64" s="558">
        <v>41518</v>
      </c>
      <c r="B64" s="455">
        <v>59.303641000000006</v>
      </c>
      <c r="C64" s="455">
        <v>441.96587599999998</v>
      </c>
      <c r="D64" s="455">
        <v>19.257619999999999</v>
      </c>
      <c r="E64" s="455">
        <v>44.064206999999996</v>
      </c>
      <c r="F64" s="455">
        <v>9.9487000000000005</v>
      </c>
      <c r="G64" s="456">
        <v>20.489159999999998</v>
      </c>
      <c r="H64" s="29">
        <f t="shared" si="0"/>
        <v>2013</v>
      </c>
      <c r="I64" s="29" t="str">
        <f t="shared" si="1"/>
        <v>3</v>
      </c>
    </row>
    <row r="65" spans="1:9" x14ac:dyDescent="0.25">
      <c r="A65" s="558">
        <v>41609</v>
      </c>
      <c r="B65" s="566">
        <v>48.774112000000002</v>
      </c>
      <c r="C65" s="566">
        <v>367.41804099999996</v>
      </c>
      <c r="D65" s="566">
        <v>20.969759999999997</v>
      </c>
      <c r="E65" s="566">
        <v>46.714115999999997</v>
      </c>
      <c r="F65" s="566">
        <v>17.013990000000003</v>
      </c>
      <c r="G65" s="567">
        <v>36.506639</v>
      </c>
      <c r="H65" s="29">
        <f t="shared" si="0"/>
        <v>2013</v>
      </c>
      <c r="I65" s="29" t="str">
        <f t="shared" si="1"/>
        <v>4</v>
      </c>
    </row>
    <row r="66" spans="1:9" x14ac:dyDescent="0.25">
      <c r="A66" s="558">
        <v>41699</v>
      </c>
      <c r="B66" s="455">
        <v>55.770699</v>
      </c>
      <c r="C66" s="455">
        <v>415.81928999999997</v>
      </c>
      <c r="D66" s="455">
        <v>16.971529999999998</v>
      </c>
      <c r="E66" s="455">
        <v>39.460066999999995</v>
      </c>
      <c r="F66" s="455">
        <v>14.580270000000001</v>
      </c>
      <c r="G66" s="456">
        <v>33.067428999999997</v>
      </c>
      <c r="H66" s="29">
        <f t="shared" si="0"/>
        <v>2014</v>
      </c>
      <c r="I66" s="29" t="str">
        <f t="shared" si="1"/>
        <v>1</v>
      </c>
    </row>
    <row r="67" spans="1:9" x14ac:dyDescent="0.25">
      <c r="A67" s="558">
        <v>41791</v>
      </c>
      <c r="B67" s="566">
        <v>47.337870000000002</v>
      </c>
      <c r="C67" s="566">
        <v>334.36239899999998</v>
      </c>
      <c r="D67" s="566">
        <v>21.451799999999999</v>
      </c>
      <c r="E67" s="566">
        <v>48.525669000000001</v>
      </c>
      <c r="F67" s="566">
        <v>12.517329999999999</v>
      </c>
      <c r="G67" s="567">
        <v>28.198347999999999</v>
      </c>
      <c r="H67" s="29">
        <f t="shared" si="0"/>
        <v>2014</v>
      </c>
      <c r="I67" s="29" t="str">
        <f t="shared" si="1"/>
        <v>2</v>
      </c>
    </row>
    <row r="68" spans="1:9" x14ac:dyDescent="0.25">
      <c r="A68" s="558">
        <v>41883</v>
      </c>
      <c r="B68" s="455">
        <v>37.452018000000002</v>
      </c>
      <c r="C68" s="455">
        <v>266.114981</v>
      </c>
      <c r="D68" s="455">
        <v>18.383560000000003</v>
      </c>
      <c r="E68" s="455">
        <v>41.064085999999996</v>
      </c>
      <c r="F68" s="455">
        <v>12.253399999999999</v>
      </c>
      <c r="G68" s="456">
        <v>30.285148999999997</v>
      </c>
      <c r="H68" s="29">
        <f t="shared" si="0"/>
        <v>2014</v>
      </c>
      <c r="I68" s="29" t="str">
        <f t="shared" si="1"/>
        <v>3</v>
      </c>
    </row>
    <row r="69" spans="1:9" x14ac:dyDescent="0.25">
      <c r="A69" s="558">
        <v>41974</v>
      </c>
      <c r="B69" s="566">
        <v>56.520130999999999</v>
      </c>
      <c r="C69" s="566">
        <v>385.30898099999996</v>
      </c>
      <c r="D69" s="566">
        <v>24.081610000000001</v>
      </c>
      <c r="E69" s="566">
        <v>55.840244999999996</v>
      </c>
      <c r="F69" s="566">
        <v>33.412529999999997</v>
      </c>
      <c r="G69" s="567">
        <v>81.450952999999998</v>
      </c>
      <c r="H69" s="29">
        <f t="shared" si="0"/>
        <v>2014</v>
      </c>
      <c r="I69" s="29" t="str">
        <f t="shared" si="1"/>
        <v>4</v>
      </c>
    </row>
    <row r="70" spans="1:9" x14ac:dyDescent="0.25">
      <c r="A70" s="558">
        <v>42064</v>
      </c>
      <c r="B70" s="455">
        <v>38.671419</v>
      </c>
      <c r="C70" s="455">
        <v>273.34245899999996</v>
      </c>
      <c r="D70" s="455">
        <v>15.08001</v>
      </c>
      <c r="E70" s="455">
        <v>36.501576</v>
      </c>
      <c r="F70" s="455">
        <v>8.1486499999999999</v>
      </c>
      <c r="G70" s="456">
        <v>22.29665</v>
      </c>
      <c r="H70" s="29">
        <f t="shared" si="0"/>
        <v>2015</v>
      </c>
      <c r="I70" s="29" t="str">
        <f t="shared" si="1"/>
        <v>1</v>
      </c>
    </row>
    <row r="71" spans="1:9" x14ac:dyDescent="0.25">
      <c r="A71" s="558">
        <v>42156</v>
      </c>
      <c r="B71" s="566">
        <v>51.851329</v>
      </c>
      <c r="C71" s="566">
        <v>358.28037599999999</v>
      </c>
      <c r="D71" s="566">
        <v>1.7032400000000001</v>
      </c>
      <c r="E71" s="566">
        <v>3.7713969999999999</v>
      </c>
      <c r="F71" s="566">
        <v>24.016330000000004</v>
      </c>
      <c r="G71" s="567">
        <v>63.007653999999995</v>
      </c>
      <c r="H71" s="29">
        <f t="shared" si="0"/>
        <v>2015</v>
      </c>
      <c r="I71" s="29" t="str">
        <f t="shared" si="1"/>
        <v>2</v>
      </c>
    </row>
    <row r="72" spans="1:9" x14ac:dyDescent="0.25">
      <c r="A72" s="558">
        <v>42248</v>
      </c>
      <c r="B72" s="455">
        <v>47.839148999999999</v>
      </c>
      <c r="C72" s="455">
        <v>308.55401000000001</v>
      </c>
      <c r="D72" s="455">
        <v>1.8742700000000001</v>
      </c>
      <c r="E72" s="455">
        <v>4.3930509999999998</v>
      </c>
      <c r="F72" s="455">
        <v>20.545400000000001</v>
      </c>
      <c r="G72" s="456">
        <v>49.244045999999997</v>
      </c>
      <c r="H72" s="29">
        <f t="shared" si="0"/>
        <v>2015</v>
      </c>
      <c r="I72" s="29" t="str">
        <f t="shared" si="1"/>
        <v>3</v>
      </c>
    </row>
    <row r="73" spans="1:9" x14ac:dyDescent="0.25">
      <c r="A73" s="558">
        <v>42339</v>
      </c>
      <c r="B73" s="566">
        <v>51.052453999999997</v>
      </c>
      <c r="C73" s="566">
        <v>304.25034199999999</v>
      </c>
      <c r="D73" s="566">
        <v>1.60151</v>
      </c>
      <c r="E73" s="566">
        <v>4.0191949999999999</v>
      </c>
      <c r="F73" s="566">
        <v>24.467940000000002</v>
      </c>
      <c r="G73" s="567">
        <v>50.671028999999997</v>
      </c>
      <c r="H73" s="29">
        <f t="shared" si="0"/>
        <v>2015</v>
      </c>
      <c r="I73" s="29" t="str">
        <f t="shared" si="1"/>
        <v>4</v>
      </c>
    </row>
    <row r="74" spans="1:9" x14ac:dyDescent="0.25">
      <c r="A74" s="558">
        <v>42430</v>
      </c>
      <c r="B74" s="455">
        <v>49.264921000000001</v>
      </c>
      <c r="C74" s="455">
        <v>313.77903399999997</v>
      </c>
      <c r="D74" s="455">
        <v>1.2788200000000001</v>
      </c>
      <c r="E74" s="455">
        <v>3.204637</v>
      </c>
      <c r="F74" s="455">
        <v>20.972740000000002</v>
      </c>
      <c r="G74" s="456">
        <v>50.677760999999997</v>
      </c>
      <c r="H74" s="29">
        <f t="shared" si="0"/>
        <v>2016</v>
      </c>
      <c r="I74" s="29" t="str">
        <f t="shared" si="1"/>
        <v>1</v>
      </c>
    </row>
    <row r="75" spans="1:9" x14ac:dyDescent="0.25">
      <c r="A75" s="558">
        <v>42522</v>
      </c>
      <c r="B75" s="566">
        <v>42.326561999999988</v>
      </c>
      <c r="C75" s="566">
        <v>254.67870099999999</v>
      </c>
      <c r="D75" s="566">
        <v>1.2334000000000001</v>
      </c>
      <c r="E75" s="566">
        <v>3.1937119999999997</v>
      </c>
      <c r="F75" s="566">
        <v>16.689859999999999</v>
      </c>
      <c r="G75" s="567">
        <v>44.901616999999995</v>
      </c>
      <c r="H75" s="29">
        <f t="shared" ref="H75:H138" si="10">YEAR(A75)</f>
        <v>2016</v>
      </c>
      <c r="I75" s="29" t="str">
        <f t="shared" ref="I75:I138" si="11">IF(MONTH(A75)=3,"1",IF(MONTH(A75)=6,"2",IF(MONTH(A75)=9,"3","4")))</f>
        <v>2</v>
      </c>
    </row>
    <row r="76" spans="1:9" x14ac:dyDescent="0.25">
      <c r="A76" s="558">
        <v>42614</v>
      </c>
      <c r="B76" s="455">
        <v>39.905644000000002</v>
      </c>
      <c r="C76" s="455">
        <v>251.52089699999999</v>
      </c>
      <c r="D76" s="455">
        <v>1.00857</v>
      </c>
      <c r="E76" s="455">
        <v>2.7969390000000001</v>
      </c>
      <c r="F76" s="455">
        <v>17.261869999999998</v>
      </c>
      <c r="G76" s="456">
        <v>36.058555999999996</v>
      </c>
      <c r="H76" s="29">
        <f t="shared" si="10"/>
        <v>2016</v>
      </c>
      <c r="I76" s="29" t="str">
        <f t="shared" si="11"/>
        <v>3</v>
      </c>
    </row>
    <row r="77" spans="1:9" x14ac:dyDescent="0.25">
      <c r="A77" s="558">
        <v>42705</v>
      </c>
      <c r="B77" s="566">
        <v>50.038905999999997</v>
      </c>
      <c r="C77" s="566">
        <v>368.47425599999997</v>
      </c>
      <c r="D77" s="566">
        <v>1.2401199999999999</v>
      </c>
      <c r="E77" s="566">
        <v>3.5877019999999997</v>
      </c>
      <c r="F77" s="566">
        <v>40.039070000000002</v>
      </c>
      <c r="G77" s="567">
        <v>72.886042000000003</v>
      </c>
      <c r="H77" s="29">
        <f t="shared" si="10"/>
        <v>2016</v>
      </c>
      <c r="I77" s="29" t="str">
        <f t="shared" si="11"/>
        <v>4</v>
      </c>
    </row>
    <row r="78" spans="1:9" x14ac:dyDescent="0.25">
      <c r="A78" s="558">
        <v>42795</v>
      </c>
      <c r="B78" s="455">
        <v>37.568611000000011</v>
      </c>
      <c r="C78" s="455">
        <v>272.32097399999998</v>
      </c>
      <c r="D78" s="455">
        <v>1.2587900000000001</v>
      </c>
      <c r="E78" s="455">
        <v>3.762076</v>
      </c>
      <c r="F78" s="455">
        <v>13.381470000000002</v>
      </c>
      <c r="G78" s="456">
        <v>47.819058999999996</v>
      </c>
      <c r="H78" s="29">
        <f t="shared" si="10"/>
        <v>2017</v>
      </c>
      <c r="I78" s="29" t="str">
        <f t="shared" si="11"/>
        <v>1</v>
      </c>
    </row>
    <row r="79" spans="1:9" x14ac:dyDescent="0.25">
      <c r="A79" s="558">
        <v>42887</v>
      </c>
      <c r="B79" s="566">
        <v>43.217054000000005</v>
      </c>
      <c r="C79" s="566">
        <v>348.21192199999996</v>
      </c>
      <c r="D79" s="566">
        <v>0</v>
      </c>
      <c r="E79" s="566">
        <v>0</v>
      </c>
      <c r="F79" s="566">
        <v>12.260250000000001</v>
      </c>
      <c r="G79" s="567">
        <v>47.397601999999999</v>
      </c>
      <c r="H79" s="29">
        <f t="shared" si="10"/>
        <v>2017</v>
      </c>
      <c r="I79" s="29" t="str">
        <f t="shared" si="11"/>
        <v>2</v>
      </c>
    </row>
    <row r="80" spans="1:9" x14ac:dyDescent="0.25">
      <c r="A80" s="558">
        <v>42979</v>
      </c>
      <c r="B80" s="455">
        <v>37.138070999999997</v>
      </c>
      <c r="C80" s="455">
        <v>293.21190100000001</v>
      </c>
      <c r="D80" s="455">
        <v>1.1292500000000001</v>
      </c>
      <c r="E80" s="455">
        <v>3.5253899999999998</v>
      </c>
      <c r="F80" s="455">
        <v>16.619619999999998</v>
      </c>
      <c r="G80" s="456">
        <v>68.630501999999993</v>
      </c>
      <c r="H80" s="29">
        <f t="shared" si="10"/>
        <v>2017</v>
      </c>
      <c r="I80" s="29" t="str">
        <f t="shared" si="11"/>
        <v>3</v>
      </c>
    </row>
    <row r="81" spans="1:9" x14ac:dyDescent="0.25">
      <c r="A81" s="558">
        <v>43070</v>
      </c>
      <c r="B81" s="566">
        <v>42.352670999999994</v>
      </c>
      <c r="C81" s="566">
        <v>330.692589</v>
      </c>
      <c r="D81" s="566">
        <v>3.5130400000000002</v>
      </c>
      <c r="E81" s="566">
        <v>11.261267999999999</v>
      </c>
      <c r="F81" s="566">
        <v>29.526888</v>
      </c>
      <c r="G81" s="567">
        <v>128.275802</v>
      </c>
      <c r="H81" s="29">
        <f t="shared" si="10"/>
        <v>2017</v>
      </c>
      <c r="I81" s="29" t="str">
        <f t="shared" si="11"/>
        <v>4</v>
      </c>
    </row>
    <row r="82" spans="1:9" x14ac:dyDescent="0.25">
      <c r="A82" s="558">
        <v>43160</v>
      </c>
      <c r="B82" s="455">
        <v>38.299224000000002</v>
      </c>
      <c r="C82" s="455">
        <v>319.67745299999996</v>
      </c>
      <c r="D82" s="455">
        <v>1.4896500000000001</v>
      </c>
      <c r="E82" s="455">
        <v>4.653346</v>
      </c>
      <c r="F82" s="455">
        <v>13.238009999999999</v>
      </c>
      <c r="G82" s="456">
        <v>53.165085999999995</v>
      </c>
      <c r="H82" s="29">
        <f t="shared" si="10"/>
        <v>2018</v>
      </c>
      <c r="I82" s="29" t="str">
        <f t="shared" si="11"/>
        <v>1</v>
      </c>
    </row>
    <row r="83" spans="1:9" x14ac:dyDescent="0.25">
      <c r="A83" s="558">
        <v>43252</v>
      </c>
      <c r="B83" s="566">
        <v>48.193788999999995</v>
      </c>
      <c r="C83" s="566">
        <v>393.00570599999998</v>
      </c>
      <c r="D83" s="566">
        <v>1.2653399999999999</v>
      </c>
      <c r="E83" s="566">
        <v>3.359219</v>
      </c>
      <c r="F83" s="566">
        <v>21.123189</v>
      </c>
      <c r="G83" s="567">
        <v>73.433008000000001</v>
      </c>
      <c r="H83" s="29">
        <f t="shared" si="10"/>
        <v>2018</v>
      </c>
      <c r="I83" s="29" t="str">
        <f t="shared" si="11"/>
        <v>2</v>
      </c>
    </row>
    <row r="84" spans="1:9" x14ac:dyDescent="0.25">
      <c r="A84" s="558">
        <v>43344</v>
      </c>
      <c r="B84" s="455">
        <v>32.559367000000002</v>
      </c>
      <c r="C84" s="455">
        <v>256.02528999999998</v>
      </c>
      <c r="D84" s="455">
        <v>1.6848399999999999</v>
      </c>
      <c r="E84" s="455">
        <v>4.6596440000000001</v>
      </c>
      <c r="F84" s="455">
        <v>16.817429000000001</v>
      </c>
      <c r="G84" s="456">
        <v>60.621699</v>
      </c>
      <c r="H84" s="29">
        <f t="shared" si="10"/>
        <v>2018</v>
      </c>
      <c r="I84" s="29" t="str">
        <f t="shared" si="11"/>
        <v>3</v>
      </c>
    </row>
    <row r="85" spans="1:9" x14ac:dyDescent="0.25">
      <c r="A85" s="558">
        <v>43435</v>
      </c>
      <c r="B85" s="566">
        <v>46.868196000000005</v>
      </c>
      <c r="C85" s="566">
        <v>380.98519399999998</v>
      </c>
      <c r="D85" s="566">
        <v>1.65117</v>
      </c>
      <c r="E85" s="566">
        <v>4.4829829999999999</v>
      </c>
      <c r="F85" s="566">
        <v>17.645365000000002</v>
      </c>
      <c r="G85" s="567">
        <v>69.712891999999997</v>
      </c>
      <c r="H85" s="29">
        <f t="shared" si="10"/>
        <v>2018</v>
      </c>
      <c r="I85" s="29" t="str">
        <f t="shared" si="11"/>
        <v>4</v>
      </c>
    </row>
    <row r="86" spans="1:9" x14ac:dyDescent="0.25">
      <c r="A86" s="558">
        <v>43525</v>
      </c>
      <c r="B86" s="455">
        <v>43.993461000000003</v>
      </c>
      <c r="C86" s="455">
        <v>365.41811200000001</v>
      </c>
      <c r="D86" s="455">
        <v>1.516</v>
      </c>
      <c r="E86" s="455">
        <v>4.2015500000000001</v>
      </c>
      <c r="F86" s="455">
        <v>17.548237</v>
      </c>
      <c r="G86" s="456">
        <v>68.160378999999992</v>
      </c>
      <c r="H86" s="29">
        <f t="shared" si="10"/>
        <v>2019</v>
      </c>
      <c r="I86" s="29" t="str">
        <f t="shared" si="11"/>
        <v>1</v>
      </c>
    </row>
    <row r="87" spans="1:9" x14ac:dyDescent="0.25">
      <c r="A87" s="558">
        <v>43617</v>
      </c>
      <c r="B87" s="566">
        <v>39.062269999999998</v>
      </c>
      <c r="C87" s="566">
        <v>319.25350299999997</v>
      </c>
      <c r="D87" s="566">
        <v>0</v>
      </c>
      <c r="E87" s="566">
        <v>0</v>
      </c>
      <c r="F87" s="566">
        <v>19.393622000000001</v>
      </c>
      <c r="G87" s="567">
        <v>64.667732999999998</v>
      </c>
      <c r="H87" s="29">
        <f t="shared" si="10"/>
        <v>2019</v>
      </c>
      <c r="I87" s="29" t="str">
        <f t="shared" si="11"/>
        <v>2</v>
      </c>
    </row>
    <row r="88" spans="1:9" x14ac:dyDescent="0.25">
      <c r="A88" s="558">
        <v>43709</v>
      </c>
      <c r="B88" s="455">
        <v>44.801301000000002</v>
      </c>
      <c r="C88" s="455">
        <v>361.19518799999997</v>
      </c>
      <c r="D88" s="455">
        <v>1.4008</v>
      </c>
      <c r="E88" s="455">
        <v>4.1491009999999999</v>
      </c>
      <c r="F88" s="455">
        <v>12.879391</v>
      </c>
      <c r="G88" s="456">
        <v>44.668489999999998</v>
      </c>
      <c r="H88" s="29">
        <f t="shared" si="10"/>
        <v>2019</v>
      </c>
      <c r="I88" s="29" t="str">
        <f t="shared" si="11"/>
        <v>3</v>
      </c>
    </row>
    <row r="89" spans="1:9" x14ac:dyDescent="0.25">
      <c r="A89" s="558">
        <v>43800</v>
      </c>
      <c r="B89" s="566">
        <v>44.257337999999997</v>
      </c>
      <c r="C89" s="566">
        <v>369.23292699999996</v>
      </c>
      <c r="D89" s="566">
        <v>0</v>
      </c>
      <c r="E89" s="566">
        <v>0</v>
      </c>
      <c r="F89" s="566">
        <v>27.99802</v>
      </c>
      <c r="G89" s="567">
        <v>85.059471000000002</v>
      </c>
      <c r="H89" s="29">
        <f t="shared" si="10"/>
        <v>2019</v>
      </c>
      <c r="I89" s="29" t="str">
        <f t="shared" si="11"/>
        <v>4</v>
      </c>
    </row>
    <row r="90" spans="1:9" x14ac:dyDescent="0.25">
      <c r="A90" s="558">
        <v>43891</v>
      </c>
      <c r="B90" s="455">
        <v>38.036341</v>
      </c>
      <c r="C90" s="455">
        <v>286.74112500000001</v>
      </c>
      <c r="D90" s="455">
        <v>0</v>
      </c>
      <c r="E90" s="455">
        <v>0</v>
      </c>
      <c r="F90" s="455">
        <v>8.3514820000000007</v>
      </c>
      <c r="G90" s="456">
        <v>24.541041</v>
      </c>
      <c r="H90" s="29">
        <f t="shared" si="10"/>
        <v>2020</v>
      </c>
      <c r="I90" s="29" t="str">
        <f t="shared" si="11"/>
        <v>1</v>
      </c>
    </row>
    <row r="91" spans="1:9" x14ac:dyDescent="0.25">
      <c r="A91" s="558">
        <v>43983</v>
      </c>
      <c r="B91" s="566">
        <v>44.291394999999994</v>
      </c>
      <c r="C91" s="566">
        <v>365.82477499999999</v>
      </c>
      <c r="D91" s="566">
        <v>1.3745150000000002</v>
      </c>
      <c r="E91" s="566">
        <v>3.3216389999999998</v>
      </c>
      <c r="F91" s="566">
        <v>22.541713000000001</v>
      </c>
      <c r="G91" s="567">
        <v>69.05257499999999</v>
      </c>
      <c r="H91" s="29">
        <f t="shared" si="10"/>
        <v>2020</v>
      </c>
      <c r="I91" s="29" t="str">
        <f t="shared" si="11"/>
        <v>2</v>
      </c>
    </row>
    <row r="92" spans="1:9" x14ac:dyDescent="0.25">
      <c r="A92" s="558">
        <v>44075</v>
      </c>
      <c r="B92" s="455">
        <v>31.601568</v>
      </c>
      <c r="C92" s="455">
        <v>289.18076199999996</v>
      </c>
      <c r="D92" s="455">
        <v>0</v>
      </c>
      <c r="E92" s="455">
        <v>0</v>
      </c>
      <c r="F92" s="455">
        <v>14.529899</v>
      </c>
      <c r="G92" s="456">
        <v>50.972107999999999</v>
      </c>
      <c r="H92" s="29">
        <f t="shared" si="10"/>
        <v>2020</v>
      </c>
      <c r="I92" s="29" t="str">
        <f t="shared" si="11"/>
        <v>3</v>
      </c>
    </row>
    <row r="93" spans="1:9" x14ac:dyDescent="0.25">
      <c r="A93" s="558">
        <v>44166</v>
      </c>
      <c r="B93" s="566">
        <v>33.306522999999999</v>
      </c>
      <c r="C93" s="566">
        <v>352.791832</v>
      </c>
      <c r="D93" s="566">
        <v>0</v>
      </c>
      <c r="E93" s="566">
        <v>0</v>
      </c>
      <c r="F93" s="566">
        <v>16.627826000000002</v>
      </c>
      <c r="G93" s="567">
        <v>59.445187999999995</v>
      </c>
      <c r="H93" s="29">
        <f t="shared" si="10"/>
        <v>2020</v>
      </c>
      <c r="I93" s="29" t="str">
        <f t="shared" si="11"/>
        <v>4</v>
      </c>
    </row>
    <row r="94" spans="1:9" x14ac:dyDescent="0.25">
      <c r="A94" s="558">
        <v>44256</v>
      </c>
      <c r="B94" s="455">
        <v>35.551448999999998</v>
      </c>
      <c r="C94" s="455">
        <v>414.89923199999998</v>
      </c>
      <c r="D94" s="455">
        <v>0</v>
      </c>
      <c r="E94" s="455">
        <v>0</v>
      </c>
      <c r="F94" s="455">
        <v>16.313015</v>
      </c>
      <c r="G94" s="456">
        <v>58.649034999999998</v>
      </c>
      <c r="H94" s="29">
        <f t="shared" si="10"/>
        <v>2021</v>
      </c>
      <c r="I94" s="29" t="str">
        <f t="shared" si="11"/>
        <v>1</v>
      </c>
    </row>
    <row r="95" spans="1:9" x14ac:dyDescent="0.25">
      <c r="A95" s="558">
        <v>44348</v>
      </c>
      <c r="B95" s="566">
        <v>36.316577000000002</v>
      </c>
      <c r="C95" s="566">
        <v>441.89163399999995</v>
      </c>
      <c r="D95" s="566">
        <v>0</v>
      </c>
      <c r="E95" s="566">
        <v>0</v>
      </c>
      <c r="F95" s="566">
        <v>16.276184999999998</v>
      </c>
      <c r="G95" s="567">
        <v>62.363813</v>
      </c>
      <c r="H95" s="29">
        <f t="shared" si="10"/>
        <v>2021</v>
      </c>
      <c r="I95" s="29" t="str">
        <f t="shared" si="11"/>
        <v>2</v>
      </c>
    </row>
    <row r="96" spans="1:9" x14ac:dyDescent="0.25">
      <c r="A96" s="558">
        <v>44440</v>
      </c>
      <c r="B96" s="455">
        <v>36.592841</v>
      </c>
      <c r="C96" s="455">
        <v>449.91795399999995</v>
      </c>
      <c r="D96" s="455">
        <v>1.2656350000000001</v>
      </c>
      <c r="E96" s="455">
        <v>3.9687389999999998</v>
      </c>
      <c r="F96" s="455">
        <v>15.956757</v>
      </c>
      <c r="G96" s="456">
        <v>67.328493999999992</v>
      </c>
      <c r="H96" s="29">
        <f t="shared" si="10"/>
        <v>2021</v>
      </c>
      <c r="I96" s="29" t="str">
        <f t="shared" si="11"/>
        <v>3</v>
      </c>
    </row>
    <row r="97" spans="1:9" x14ac:dyDescent="0.25">
      <c r="A97" s="558">
        <v>44531</v>
      </c>
      <c r="B97" s="566">
        <v>40.282177000000004</v>
      </c>
      <c r="C97" s="566">
        <v>521.23010099999999</v>
      </c>
      <c r="D97" s="566">
        <v>0</v>
      </c>
      <c r="E97" s="566">
        <v>0</v>
      </c>
      <c r="F97" s="566">
        <v>20.505474000000003</v>
      </c>
      <c r="G97" s="567">
        <v>97.654890999999992</v>
      </c>
      <c r="H97" s="29">
        <f t="shared" si="10"/>
        <v>2021</v>
      </c>
      <c r="I97" s="29" t="str">
        <f t="shared" si="11"/>
        <v>4</v>
      </c>
    </row>
    <row r="98" spans="1:9" x14ac:dyDescent="0.25">
      <c r="A98" s="558">
        <v>44621</v>
      </c>
      <c r="B98" s="455">
        <v>41.576991</v>
      </c>
      <c r="C98" s="455">
        <v>531.16931199999999</v>
      </c>
      <c r="D98" s="455">
        <v>0</v>
      </c>
      <c r="E98" s="455">
        <v>0</v>
      </c>
      <c r="F98" s="455">
        <v>16.877814999999998</v>
      </c>
      <c r="G98" s="456">
        <v>88.230382999999989</v>
      </c>
      <c r="H98" s="29">
        <f t="shared" si="10"/>
        <v>2022</v>
      </c>
      <c r="I98" s="29" t="str">
        <f t="shared" si="11"/>
        <v>1</v>
      </c>
    </row>
    <row r="99" spans="1:9" x14ac:dyDescent="0.25">
      <c r="A99" s="558">
        <v>44713</v>
      </c>
      <c r="B99" s="566">
        <v>37.263404999999999</v>
      </c>
      <c r="C99" s="566">
        <v>401.44035299999996</v>
      </c>
      <c r="D99" s="566">
        <v>0</v>
      </c>
      <c r="E99" s="566">
        <v>0</v>
      </c>
      <c r="F99" s="566">
        <v>20.630479999999999</v>
      </c>
      <c r="G99" s="567">
        <v>96.293458000000001</v>
      </c>
      <c r="H99" s="29">
        <f t="shared" si="10"/>
        <v>2022</v>
      </c>
      <c r="I99" s="29" t="str">
        <f t="shared" si="11"/>
        <v>2</v>
      </c>
    </row>
    <row r="100" spans="1:9" x14ac:dyDescent="0.25">
      <c r="A100" s="558">
        <v>44805</v>
      </c>
      <c r="B100" s="455">
        <v>33.249960000000009</v>
      </c>
      <c r="C100" s="455">
        <v>379.41991099999996</v>
      </c>
      <c r="D100" s="455">
        <v>0</v>
      </c>
      <c r="E100" s="455">
        <v>0</v>
      </c>
      <c r="F100" s="455">
        <v>16.250889999999998</v>
      </c>
      <c r="G100" s="456">
        <v>71.065829999999991</v>
      </c>
      <c r="H100" s="29">
        <f t="shared" si="10"/>
        <v>2022</v>
      </c>
      <c r="I100" s="29" t="str">
        <f t="shared" si="11"/>
        <v>3</v>
      </c>
    </row>
    <row r="101" spans="1:9" x14ac:dyDescent="0.25">
      <c r="A101" s="558">
        <v>44896</v>
      </c>
      <c r="B101" s="566">
        <v>32.009647000000001</v>
      </c>
      <c r="C101" s="566">
        <v>393.53412099999997</v>
      </c>
      <c r="D101" s="566">
        <v>0</v>
      </c>
      <c r="E101" s="566">
        <v>0</v>
      </c>
      <c r="F101" s="566">
        <v>16.719260000000002</v>
      </c>
      <c r="G101" s="567">
        <v>80.474464999999995</v>
      </c>
      <c r="H101" s="29">
        <f t="shared" si="10"/>
        <v>2022</v>
      </c>
      <c r="I101" s="29" t="str">
        <f t="shared" si="11"/>
        <v>4</v>
      </c>
    </row>
    <row r="102" spans="1:9" x14ac:dyDescent="0.25">
      <c r="A102" s="558">
        <v>44986</v>
      </c>
      <c r="B102" s="455">
        <v>23.341236000000006</v>
      </c>
      <c r="C102" s="455">
        <v>281.20650599999999</v>
      </c>
      <c r="D102" s="455">
        <v>3.1048879999999999</v>
      </c>
      <c r="E102" s="455">
        <v>9.473039</v>
      </c>
      <c r="F102" s="455">
        <v>16.79336</v>
      </c>
      <c r="G102" s="456">
        <v>69.194278999999995</v>
      </c>
      <c r="H102" s="29">
        <f t="shared" si="10"/>
        <v>2023</v>
      </c>
      <c r="I102" s="29" t="str">
        <f t="shared" si="11"/>
        <v>1</v>
      </c>
    </row>
    <row r="103" spans="1:9" x14ac:dyDescent="0.25">
      <c r="A103" s="558">
        <v>45078</v>
      </c>
      <c r="B103" s="566">
        <v>30.435124000000002</v>
      </c>
      <c r="C103" s="566">
        <v>364.551582</v>
      </c>
      <c r="D103" s="566">
        <v>9.6369640000000008</v>
      </c>
      <c r="E103" s="566">
        <v>31.579426999999999</v>
      </c>
      <c r="F103" s="566">
        <v>12.478883</v>
      </c>
      <c r="G103" s="567">
        <v>44.606971999999999</v>
      </c>
      <c r="H103" s="29">
        <f t="shared" si="10"/>
        <v>2023</v>
      </c>
      <c r="I103" s="29" t="str">
        <f t="shared" si="11"/>
        <v>2</v>
      </c>
    </row>
    <row r="104" spans="1:9" x14ac:dyDescent="0.25">
      <c r="A104" s="558">
        <v>45170</v>
      </c>
      <c r="B104" s="455">
        <v>32.379586000000003</v>
      </c>
      <c r="C104" s="455">
        <v>393.65531099999998</v>
      </c>
      <c r="D104" s="455">
        <v>10.148830999999999</v>
      </c>
      <c r="E104" s="455">
        <v>32.640217</v>
      </c>
      <c r="F104" s="455">
        <v>8.3655200000000001</v>
      </c>
      <c r="G104" s="456">
        <v>30.972905999999998</v>
      </c>
      <c r="H104" s="29">
        <f t="shared" si="10"/>
        <v>2023</v>
      </c>
      <c r="I104" s="29" t="str">
        <f t="shared" si="11"/>
        <v>3</v>
      </c>
    </row>
    <row r="105" spans="1:9" x14ac:dyDescent="0.25">
      <c r="A105" s="558">
        <v>45261</v>
      </c>
      <c r="B105" s="566">
        <v>21.038934422526392</v>
      </c>
      <c r="C105" s="566">
        <v>263.76942199999996</v>
      </c>
      <c r="D105" s="566">
        <v>13.449295000000001</v>
      </c>
      <c r="E105" s="566">
        <v>42.902200000000001</v>
      </c>
      <c r="F105" s="566">
        <v>11.127524000000001</v>
      </c>
      <c r="G105" s="567">
        <v>48.379213</v>
      </c>
      <c r="H105" s="29">
        <f t="shared" si="10"/>
        <v>2023</v>
      </c>
      <c r="I105" s="29" t="str">
        <f t="shared" si="11"/>
        <v>4</v>
      </c>
    </row>
    <row r="106" spans="1:9" x14ac:dyDescent="0.25">
      <c r="A106" s="558">
        <v>45352</v>
      </c>
      <c r="B106" s="455">
        <v>16.923514000000001</v>
      </c>
      <c r="C106" s="455">
        <v>228.11335895946982</v>
      </c>
      <c r="D106" s="455">
        <v>10.695444999999999</v>
      </c>
      <c r="E106" s="455">
        <v>35.425722999999998</v>
      </c>
      <c r="F106" s="455">
        <v>12.49198</v>
      </c>
      <c r="G106" s="456">
        <v>48.644610999999998</v>
      </c>
      <c r="H106" s="29">
        <f t="shared" si="10"/>
        <v>2024</v>
      </c>
      <c r="I106" s="29" t="str">
        <f t="shared" si="11"/>
        <v>1</v>
      </c>
    </row>
    <row r="107" spans="1:9" x14ac:dyDescent="0.25">
      <c r="A107" s="558">
        <v>45444</v>
      </c>
      <c r="B107" s="566">
        <v>17.369184000000004</v>
      </c>
      <c r="C107" s="566">
        <v>237.68358763900719</v>
      </c>
      <c r="D107" s="566">
        <v>11.016684</v>
      </c>
      <c r="E107" s="566">
        <v>35.804186000000001</v>
      </c>
      <c r="F107" s="566">
        <v>11.944270000000001</v>
      </c>
      <c r="G107" s="567">
        <v>50.351239999999997</v>
      </c>
      <c r="H107" s="29">
        <f t="shared" si="10"/>
        <v>2024</v>
      </c>
      <c r="I107" s="29" t="str">
        <f t="shared" si="11"/>
        <v>2</v>
      </c>
    </row>
    <row r="108" spans="1:9" x14ac:dyDescent="0.25">
      <c r="A108" s="558">
        <v>45536</v>
      </c>
      <c r="B108" s="455">
        <v>17.335262000000004</v>
      </c>
      <c r="C108" s="455">
        <v>227.159029</v>
      </c>
      <c r="D108" s="455">
        <v>17.424968</v>
      </c>
      <c r="E108" s="455">
        <v>52.497943999999997</v>
      </c>
      <c r="F108" s="455">
        <v>16.39723</v>
      </c>
      <c r="G108" s="456">
        <v>70.735243999999994</v>
      </c>
      <c r="H108" s="29">
        <f t="shared" si="10"/>
        <v>2024</v>
      </c>
      <c r="I108" s="29" t="str">
        <f t="shared" si="11"/>
        <v>3</v>
      </c>
    </row>
    <row r="109" spans="1:9" x14ac:dyDescent="0.25">
      <c r="A109" s="558">
        <v>45627</v>
      </c>
      <c r="B109" s="566">
        <v>20.686555000000002</v>
      </c>
      <c r="C109" s="566">
        <v>284.078642</v>
      </c>
      <c r="D109" s="566">
        <v>17.080195</v>
      </c>
      <c r="E109" s="566">
        <v>52.350564999999996</v>
      </c>
      <c r="F109" s="566">
        <v>12.58032</v>
      </c>
      <c r="G109" s="567">
        <v>55.337585999999995</v>
      </c>
      <c r="H109" s="29">
        <f t="shared" si="10"/>
        <v>2024</v>
      </c>
      <c r="I109" s="29" t="str">
        <f t="shared" si="11"/>
        <v>4</v>
      </c>
    </row>
    <row r="110" spans="1:9" x14ac:dyDescent="0.25">
      <c r="A110" s="558">
        <v>45717</v>
      </c>
      <c r="B110" s="455">
        <v>14.337950999999999</v>
      </c>
      <c r="C110" s="455">
        <v>213.995487</v>
      </c>
      <c r="D110" s="455">
        <v>10.780507</v>
      </c>
      <c r="E110" s="455">
        <v>33.625239000000001</v>
      </c>
      <c r="F110" s="455">
        <v>16.707520000000002</v>
      </c>
      <c r="G110" s="456">
        <v>71.792137999999994</v>
      </c>
      <c r="H110" s="29">
        <f t="shared" si="10"/>
        <v>2025</v>
      </c>
      <c r="I110" s="29" t="str">
        <f t="shared" si="11"/>
        <v>1</v>
      </c>
    </row>
    <row r="111" spans="1:9" x14ac:dyDescent="0.25">
      <c r="A111" s="558">
        <v>45809</v>
      </c>
      <c r="B111" s="566">
        <v>19.326414</v>
      </c>
      <c r="C111" s="566">
        <v>295.83100999999999</v>
      </c>
      <c r="D111" s="566">
        <v>23.512173999999998</v>
      </c>
      <c r="E111" s="566">
        <v>71.64855399999999</v>
      </c>
      <c r="F111" s="566">
        <v>8.1327999999999996</v>
      </c>
      <c r="G111" s="567">
        <v>33.644244</v>
      </c>
      <c r="H111" s="29">
        <f t="shared" si="10"/>
        <v>2025</v>
      </c>
      <c r="I111" s="29" t="str">
        <f t="shared" si="11"/>
        <v>2</v>
      </c>
    </row>
    <row r="112" spans="1:9" x14ac:dyDescent="0.25">
      <c r="A112" s="558">
        <v>45901</v>
      </c>
      <c r="B112" s="455">
        <v>17.455362000000001</v>
      </c>
      <c r="C112" s="455">
        <v>280.03752700000001</v>
      </c>
      <c r="D112" s="455">
        <v>18.645424999999999</v>
      </c>
      <c r="E112" s="455">
        <v>58.631788</v>
      </c>
      <c r="F112" s="455">
        <v>7.9391400000000001</v>
      </c>
      <c r="G112" s="456">
        <v>35.964956999999998</v>
      </c>
      <c r="H112" s="29">
        <f t="shared" si="10"/>
        <v>2025</v>
      </c>
      <c r="I112" s="29" t="str">
        <f t="shared" si="11"/>
        <v>3</v>
      </c>
    </row>
    <row r="113" spans="1:9" ht="15.75" thickBot="1" x14ac:dyDescent="0.3">
      <c r="A113" s="559">
        <v>45992</v>
      </c>
      <c r="B113" s="591">
        <v>14.898131000000001</v>
      </c>
      <c r="C113" s="591">
        <v>249.11851999999999</v>
      </c>
      <c r="D113" s="591">
        <v>18.971409999999999</v>
      </c>
      <c r="E113" s="591">
        <v>58.842118999999997</v>
      </c>
      <c r="F113" s="591">
        <v>0</v>
      </c>
      <c r="G113" s="592">
        <v>0</v>
      </c>
      <c r="H113" s="29">
        <f t="shared" si="10"/>
        <v>2025</v>
      </c>
      <c r="I113" s="29" t="str">
        <f t="shared" si="11"/>
        <v>4</v>
      </c>
    </row>
    <row r="114" spans="1:9" x14ac:dyDescent="0.25">
      <c r="C114" s="193"/>
      <c r="D114" s="403"/>
      <c r="E114" s="193"/>
      <c r="F114" s="403"/>
      <c r="G114" s="193"/>
      <c r="H114" s="29">
        <f t="shared" si="10"/>
        <v>1900</v>
      </c>
      <c r="I114" s="29" t="str">
        <f t="shared" si="11"/>
        <v>4</v>
      </c>
    </row>
    <row r="115" spans="1:9" x14ac:dyDescent="0.25">
      <c r="C115" s="193"/>
      <c r="D115" s="403"/>
      <c r="E115" s="193"/>
      <c r="F115" s="403"/>
      <c r="G115" s="193"/>
      <c r="H115" s="29">
        <f t="shared" si="10"/>
        <v>1900</v>
      </c>
      <c r="I115" s="29" t="str">
        <f t="shared" si="11"/>
        <v>4</v>
      </c>
    </row>
    <row r="116" spans="1:9" x14ac:dyDescent="0.25">
      <c r="C116" s="193"/>
      <c r="D116" s="403"/>
      <c r="E116" s="193"/>
      <c r="F116" s="403"/>
      <c r="G116" s="193"/>
      <c r="H116" s="29">
        <f t="shared" si="10"/>
        <v>1900</v>
      </c>
      <c r="I116" s="29" t="str">
        <f t="shared" si="11"/>
        <v>4</v>
      </c>
    </row>
    <row r="117" spans="1:9" x14ac:dyDescent="0.25">
      <c r="C117" s="193"/>
      <c r="D117" s="403"/>
      <c r="E117" s="193"/>
      <c r="F117" s="403"/>
      <c r="G117" s="193"/>
      <c r="H117" s="29">
        <f t="shared" si="10"/>
        <v>1900</v>
      </c>
      <c r="I117" s="29" t="str">
        <f t="shared" si="11"/>
        <v>4</v>
      </c>
    </row>
    <row r="118" spans="1:9" x14ac:dyDescent="0.25">
      <c r="C118" s="193"/>
      <c r="D118" s="403"/>
      <c r="E118" s="193"/>
      <c r="F118" s="403"/>
      <c r="G118" s="193"/>
      <c r="H118" s="29">
        <f t="shared" si="10"/>
        <v>1900</v>
      </c>
      <c r="I118" s="29" t="str">
        <f t="shared" si="11"/>
        <v>4</v>
      </c>
    </row>
    <row r="119" spans="1:9" x14ac:dyDescent="0.25">
      <c r="C119" s="193"/>
      <c r="D119" s="403"/>
      <c r="E119" s="193"/>
      <c r="F119" s="403"/>
      <c r="G119" s="193"/>
      <c r="H119" s="29">
        <f t="shared" si="10"/>
        <v>1900</v>
      </c>
      <c r="I119" s="29" t="str">
        <f t="shared" si="11"/>
        <v>4</v>
      </c>
    </row>
    <row r="120" spans="1:9" x14ac:dyDescent="0.25">
      <c r="C120" s="193"/>
      <c r="D120" s="403"/>
      <c r="E120" s="193"/>
      <c r="F120" s="403"/>
      <c r="G120" s="193"/>
      <c r="H120" s="29">
        <f t="shared" si="10"/>
        <v>1900</v>
      </c>
      <c r="I120" s="29" t="str">
        <f t="shared" si="11"/>
        <v>4</v>
      </c>
    </row>
    <row r="121" spans="1:9" x14ac:dyDescent="0.25">
      <c r="C121" s="193"/>
      <c r="D121" s="403"/>
      <c r="E121" s="193"/>
      <c r="F121" s="403"/>
      <c r="G121" s="193"/>
      <c r="H121" s="29">
        <f t="shared" si="10"/>
        <v>1900</v>
      </c>
      <c r="I121" s="29" t="str">
        <f t="shared" si="11"/>
        <v>4</v>
      </c>
    </row>
    <row r="122" spans="1:9" x14ac:dyDescent="0.25">
      <c r="C122" s="193"/>
      <c r="D122" s="403"/>
      <c r="E122" s="193"/>
      <c r="F122" s="403"/>
      <c r="G122" s="193"/>
      <c r="H122" s="29">
        <f t="shared" si="10"/>
        <v>1900</v>
      </c>
      <c r="I122" s="29" t="str">
        <f t="shared" si="11"/>
        <v>4</v>
      </c>
    </row>
    <row r="123" spans="1:9" x14ac:dyDescent="0.25">
      <c r="C123" s="193"/>
      <c r="D123" s="403"/>
      <c r="E123" s="193"/>
      <c r="F123" s="403"/>
      <c r="G123" s="193"/>
      <c r="H123" s="29">
        <f t="shared" si="10"/>
        <v>1900</v>
      </c>
      <c r="I123" s="29" t="str">
        <f t="shared" si="11"/>
        <v>4</v>
      </c>
    </row>
    <row r="124" spans="1:9" x14ac:dyDescent="0.25">
      <c r="C124" s="193"/>
      <c r="D124" s="403"/>
      <c r="E124" s="193"/>
      <c r="F124" s="403"/>
      <c r="G124" s="193"/>
      <c r="H124" s="29">
        <f t="shared" si="10"/>
        <v>1900</v>
      </c>
      <c r="I124" s="29" t="str">
        <f t="shared" si="11"/>
        <v>4</v>
      </c>
    </row>
    <row r="125" spans="1:9" x14ac:dyDescent="0.25">
      <c r="C125" s="193"/>
      <c r="D125" s="403"/>
      <c r="E125" s="193"/>
      <c r="F125" s="403"/>
      <c r="G125" s="193"/>
      <c r="H125" s="29">
        <f t="shared" si="10"/>
        <v>1900</v>
      </c>
      <c r="I125" s="29" t="str">
        <f t="shared" si="11"/>
        <v>4</v>
      </c>
    </row>
    <row r="126" spans="1:9" x14ac:dyDescent="0.25">
      <c r="C126" s="193"/>
      <c r="D126" s="403"/>
      <c r="E126" s="193"/>
      <c r="F126" s="403"/>
      <c r="G126" s="193"/>
      <c r="H126" s="29">
        <f t="shared" si="10"/>
        <v>1900</v>
      </c>
      <c r="I126" s="29" t="str">
        <f t="shared" si="11"/>
        <v>4</v>
      </c>
    </row>
    <row r="127" spans="1:9" x14ac:dyDescent="0.25">
      <c r="C127" s="193"/>
      <c r="D127" s="403"/>
      <c r="E127" s="193"/>
      <c r="F127" s="403"/>
      <c r="G127" s="193"/>
      <c r="H127" s="29">
        <f t="shared" si="10"/>
        <v>1900</v>
      </c>
      <c r="I127" s="29" t="str">
        <f t="shared" si="11"/>
        <v>4</v>
      </c>
    </row>
    <row r="128" spans="1:9" x14ac:dyDescent="0.25">
      <c r="C128" s="193"/>
      <c r="D128" s="403"/>
      <c r="E128" s="193"/>
      <c r="F128" s="403"/>
      <c r="G128" s="193"/>
      <c r="H128" s="29">
        <f t="shared" si="10"/>
        <v>1900</v>
      </c>
      <c r="I128" s="29" t="str">
        <f t="shared" si="11"/>
        <v>4</v>
      </c>
    </row>
    <row r="129" spans="3:9" x14ac:dyDescent="0.25">
      <c r="C129" s="193"/>
      <c r="D129" s="403"/>
      <c r="E129" s="193"/>
      <c r="F129" s="403"/>
      <c r="G129" s="193"/>
      <c r="H129" s="29">
        <f t="shared" si="10"/>
        <v>1900</v>
      </c>
      <c r="I129" s="29" t="str">
        <f t="shared" si="11"/>
        <v>4</v>
      </c>
    </row>
    <row r="130" spans="3:9" x14ac:dyDescent="0.25">
      <c r="C130" s="193"/>
      <c r="D130" s="403"/>
      <c r="E130" s="193"/>
      <c r="F130" s="403"/>
      <c r="G130" s="193"/>
      <c r="H130" s="29">
        <f t="shared" si="10"/>
        <v>1900</v>
      </c>
      <c r="I130" s="29" t="str">
        <f t="shared" si="11"/>
        <v>4</v>
      </c>
    </row>
    <row r="131" spans="3:9" x14ac:dyDescent="0.25">
      <c r="C131" s="193"/>
      <c r="D131" s="403"/>
      <c r="E131" s="193"/>
      <c r="F131" s="403"/>
      <c r="G131" s="193"/>
      <c r="H131" s="29">
        <f t="shared" si="10"/>
        <v>1900</v>
      </c>
      <c r="I131" s="29" t="str">
        <f t="shared" si="11"/>
        <v>4</v>
      </c>
    </row>
    <row r="132" spans="3:9" x14ac:dyDescent="0.25">
      <c r="C132" s="193"/>
      <c r="D132" s="403"/>
      <c r="E132" s="193"/>
      <c r="F132" s="403"/>
      <c r="G132" s="193"/>
      <c r="H132" s="29">
        <f t="shared" si="10"/>
        <v>1900</v>
      </c>
      <c r="I132" s="29" t="str">
        <f t="shared" si="11"/>
        <v>4</v>
      </c>
    </row>
    <row r="133" spans="3:9" x14ac:dyDescent="0.25">
      <c r="C133" s="193"/>
      <c r="D133" s="403"/>
      <c r="E133" s="193"/>
      <c r="F133" s="403"/>
      <c r="G133" s="193"/>
      <c r="H133" s="29">
        <f t="shared" si="10"/>
        <v>1900</v>
      </c>
      <c r="I133" s="29" t="str">
        <f t="shared" si="11"/>
        <v>4</v>
      </c>
    </row>
    <row r="134" spans="3:9" x14ac:dyDescent="0.25">
      <c r="C134" s="193"/>
      <c r="D134" s="403"/>
      <c r="E134" s="193"/>
      <c r="F134" s="403"/>
      <c r="G134" s="193"/>
      <c r="H134" s="29">
        <f t="shared" si="10"/>
        <v>1900</v>
      </c>
      <c r="I134" s="29" t="str">
        <f t="shared" si="11"/>
        <v>4</v>
      </c>
    </row>
    <row r="135" spans="3:9" x14ac:dyDescent="0.25">
      <c r="C135" s="193"/>
      <c r="D135" s="403"/>
      <c r="E135" s="193"/>
      <c r="F135" s="403"/>
      <c r="G135" s="193"/>
      <c r="H135" s="29">
        <f t="shared" si="10"/>
        <v>1900</v>
      </c>
      <c r="I135" s="29" t="str">
        <f t="shared" si="11"/>
        <v>4</v>
      </c>
    </row>
    <row r="136" spans="3:9" x14ac:dyDescent="0.25">
      <c r="C136" s="193"/>
      <c r="D136" s="403"/>
      <c r="E136" s="193"/>
      <c r="F136" s="403"/>
      <c r="G136" s="193"/>
      <c r="H136" s="29">
        <f t="shared" si="10"/>
        <v>1900</v>
      </c>
      <c r="I136" s="29" t="str">
        <f t="shared" si="11"/>
        <v>4</v>
      </c>
    </row>
    <row r="137" spans="3:9" x14ac:dyDescent="0.25">
      <c r="C137" s="193"/>
      <c r="D137" s="403"/>
      <c r="E137" s="193"/>
      <c r="F137" s="403"/>
      <c r="G137" s="193"/>
      <c r="H137" s="29">
        <f t="shared" si="10"/>
        <v>1900</v>
      </c>
      <c r="I137" s="29" t="str">
        <f t="shared" si="11"/>
        <v>4</v>
      </c>
    </row>
    <row r="138" spans="3:9" x14ac:dyDescent="0.25">
      <c r="C138" s="193"/>
      <c r="D138" s="403"/>
      <c r="E138" s="193"/>
      <c r="F138" s="403"/>
      <c r="G138" s="193"/>
      <c r="H138" s="29">
        <f t="shared" si="10"/>
        <v>1900</v>
      </c>
      <c r="I138" s="29" t="str">
        <f t="shared" si="11"/>
        <v>4</v>
      </c>
    </row>
    <row r="139" spans="3:9" x14ac:dyDescent="0.25">
      <c r="C139" s="193"/>
      <c r="D139" s="403"/>
      <c r="E139" s="193"/>
      <c r="F139" s="403"/>
      <c r="G139" s="193"/>
      <c r="H139" s="29">
        <f t="shared" ref="H139:H202" si="12">YEAR(A139)</f>
        <v>1900</v>
      </c>
      <c r="I139" s="29" t="str">
        <f t="shared" ref="I139:I202" si="13">IF(MONTH(A139)=3,"1",IF(MONTH(A139)=6,"2",IF(MONTH(A139)=9,"3","4")))</f>
        <v>4</v>
      </c>
    </row>
    <row r="140" spans="3:9" x14ac:dyDescent="0.25">
      <c r="C140" s="193"/>
      <c r="D140" s="403"/>
      <c r="E140" s="193"/>
      <c r="F140" s="403"/>
      <c r="G140" s="193"/>
      <c r="H140" s="29">
        <f t="shared" si="12"/>
        <v>1900</v>
      </c>
      <c r="I140" s="29" t="str">
        <f t="shared" si="13"/>
        <v>4</v>
      </c>
    </row>
    <row r="141" spans="3:9" x14ac:dyDescent="0.25">
      <c r="C141" s="193"/>
      <c r="D141" s="403"/>
      <c r="E141" s="193"/>
      <c r="F141" s="193"/>
      <c r="G141" s="193"/>
      <c r="H141" s="29">
        <f t="shared" si="12"/>
        <v>1900</v>
      </c>
      <c r="I141" s="29" t="str">
        <f t="shared" si="13"/>
        <v>4</v>
      </c>
    </row>
    <row r="142" spans="3:9" x14ac:dyDescent="0.25">
      <c r="C142" s="193"/>
      <c r="D142" s="403"/>
      <c r="E142" s="193"/>
      <c r="F142" s="193"/>
      <c r="G142" s="193"/>
      <c r="H142" s="29">
        <f t="shared" si="12"/>
        <v>1900</v>
      </c>
      <c r="I142" s="29" t="str">
        <f t="shared" si="13"/>
        <v>4</v>
      </c>
    </row>
    <row r="143" spans="3:9" x14ac:dyDescent="0.25">
      <c r="C143" s="193"/>
      <c r="D143" s="403"/>
      <c r="E143" s="193"/>
      <c r="F143" s="193"/>
      <c r="G143" s="193"/>
      <c r="H143" s="29">
        <f t="shared" si="12"/>
        <v>1900</v>
      </c>
      <c r="I143" s="29" t="str">
        <f t="shared" si="13"/>
        <v>4</v>
      </c>
    </row>
    <row r="144" spans="3:9" x14ac:dyDescent="0.25">
      <c r="C144" s="193"/>
      <c r="D144" s="403"/>
      <c r="E144" s="193"/>
      <c r="F144" s="193"/>
      <c r="G144" s="193"/>
      <c r="H144" s="29">
        <f t="shared" si="12"/>
        <v>1900</v>
      </c>
      <c r="I144" s="29" t="str">
        <f t="shared" si="13"/>
        <v>4</v>
      </c>
    </row>
    <row r="145" spans="3:9" x14ac:dyDescent="0.25">
      <c r="C145" s="193"/>
      <c r="D145" s="403"/>
      <c r="E145" s="193"/>
      <c r="F145" s="193"/>
      <c r="G145" s="193"/>
      <c r="H145" s="29">
        <f t="shared" si="12"/>
        <v>1900</v>
      </c>
      <c r="I145" s="29" t="str">
        <f t="shared" si="13"/>
        <v>4</v>
      </c>
    </row>
    <row r="146" spans="3:9" x14ac:dyDescent="0.25">
      <c r="C146" s="193"/>
      <c r="D146" s="403"/>
      <c r="E146" s="193"/>
      <c r="F146" s="193"/>
      <c r="G146" s="193"/>
      <c r="H146" s="29">
        <f t="shared" si="12"/>
        <v>1900</v>
      </c>
      <c r="I146" s="29" t="str">
        <f t="shared" si="13"/>
        <v>4</v>
      </c>
    </row>
    <row r="147" spans="3:9" x14ac:dyDescent="0.25">
      <c r="C147" s="193"/>
      <c r="D147" s="403"/>
      <c r="E147" s="193"/>
      <c r="F147" s="193"/>
      <c r="G147" s="193"/>
      <c r="H147" s="29">
        <f t="shared" si="12"/>
        <v>1900</v>
      </c>
      <c r="I147" s="29" t="str">
        <f t="shared" si="13"/>
        <v>4</v>
      </c>
    </row>
    <row r="148" spans="3:9" x14ac:dyDescent="0.25">
      <c r="C148" s="193"/>
      <c r="D148" s="403"/>
      <c r="E148" s="193"/>
      <c r="F148" s="193"/>
      <c r="G148" s="193"/>
      <c r="H148" s="29">
        <f t="shared" si="12"/>
        <v>1900</v>
      </c>
      <c r="I148" s="29" t="str">
        <f t="shared" si="13"/>
        <v>4</v>
      </c>
    </row>
    <row r="149" spans="3:9" x14ac:dyDescent="0.25">
      <c r="C149" s="193"/>
      <c r="D149" s="403"/>
      <c r="E149" s="193"/>
      <c r="F149" s="193"/>
      <c r="G149" s="193"/>
      <c r="H149" s="29">
        <f t="shared" si="12"/>
        <v>1900</v>
      </c>
      <c r="I149" s="29" t="str">
        <f t="shared" si="13"/>
        <v>4</v>
      </c>
    </row>
    <row r="150" spans="3:9" x14ac:dyDescent="0.25">
      <c r="C150" s="193"/>
      <c r="D150" s="403"/>
      <c r="E150" s="193"/>
      <c r="F150" s="193"/>
      <c r="G150" s="193"/>
      <c r="H150" s="29">
        <f t="shared" si="12"/>
        <v>1900</v>
      </c>
      <c r="I150" s="29" t="str">
        <f t="shared" si="13"/>
        <v>4</v>
      </c>
    </row>
    <row r="151" spans="3:9" x14ac:dyDescent="0.25">
      <c r="C151" s="193"/>
      <c r="D151" s="403"/>
      <c r="E151" s="193"/>
      <c r="F151" s="193"/>
      <c r="G151" s="193"/>
      <c r="H151" s="29">
        <f t="shared" si="12"/>
        <v>1900</v>
      </c>
      <c r="I151" s="29" t="str">
        <f t="shared" si="13"/>
        <v>4</v>
      </c>
    </row>
    <row r="152" spans="3:9" x14ac:dyDescent="0.25">
      <c r="C152" s="193"/>
      <c r="D152" s="403"/>
      <c r="E152" s="193"/>
      <c r="F152" s="193"/>
      <c r="G152" s="193"/>
      <c r="H152" s="29">
        <f t="shared" si="12"/>
        <v>1900</v>
      </c>
      <c r="I152" s="29" t="str">
        <f t="shared" si="13"/>
        <v>4</v>
      </c>
    </row>
    <row r="153" spans="3:9" x14ac:dyDescent="0.25">
      <c r="C153" s="193"/>
      <c r="D153" s="403"/>
      <c r="E153" s="193"/>
      <c r="F153" s="193"/>
      <c r="G153" s="193"/>
      <c r="H153" s="29">
        <f t="shared" si="12"/>
        <v>1900</v>
      </c>
      <c r="I153" s="29" t="str">
        <f t="shared" si="13"/>
        <v>4</v>
      </c>
    </row>
    <row r="154" spans="3:9" x14ac:dyDescent="0.25">
      <c r="C154" s="193"/>
      <c r="D154" s="403"/>
      <c r="E154" s="193"/>
      <c r="F154" s="193"/>
      <c r="G154" s="193"/>
      <c r="H154" s="29">
        <f t="shared" si="12"/>
        <v>1900</v>
      </c>
      <c r="I154" s="29" t="str">
        <f t="shared" si="13"/>
        <v>4</v>
      </c>
    </row>
    <row r="155" spans="3:9" x14ac:dyDescent="0.25">
      <c r="C155" s="193"/>
      <c r="D155" s="403"/>
      <c r="E155" s="193"/>
      <c r="F155" s="193"/>
      <c r="G155" s="193"/>
      <c r="H155" s="29">
        <f t="shared" si="12"/>
        <v>1900</v>
      </c>
      <c r="I155" s="29" t="str">
        <f t="shared" si="13"/>
        <v>4</v>
      </c>
    </row>
    <row r="156" spans="3:9" x14ac:dyDescent="0.25">
      <c r="C156" s="193"/>
      <c r="D156" s="403"/>
      <c r="E156" s="193"/>
      <c r="F156" s="193"/>
      <c r="G156" s="193"/>
      <c r="H156" s="29">
        <f t="shared" si="12"/>
        <v>1900</v>
      </c>
      <c r="I156" s="29" t="str">
        <f t="shared" si="13"/>
        <v>4</v>
      </c>
    </row>
    <row r="157" spans="3:9" x14ac:dyDescent="0.25">
      <c r="C157" s="193"/>
      <c r="D157" s="403"/>
      <c r="E157" s="193"/>
      <c r="F157" s="193"/>
      <c r="G157" s="193"/>
      <c r="H157" s="29">
        <f t="shared" si="12"/>
        <v>1900</v>
      </c>
      <c r="I157" s="29" t="str">
        <f t="shared" si="13"/>
        <v>4</v>
      </c>
    </row>
    <row r="158" spans="3:9" x14ac:dyDescent="0.25">
      <c r="C158" s="193"/>
      <c r="D158" s="403"/>
      <c r="E158" s="193"/>
      <c r="F158" s="193"/>
      <c r="G158" s="193"/>
      <c r="H158" s="29">
        <f t="shared" si="12"/>
        <v>1900</v>
      </c>
      <c r="I158" s="29" t="str">
        <f t="shared" si="13"/>
        <v>4</v>
      </c>
    </row>
    <row r="159" spans="3:9" x14ac:dyDescent="0.25">
      <c r="C159" s="193"/>
      <c r="D159" s="403"/>
      <c r="E159" s="193"/>
      <c r="F159" s="193"/>
      <c r="G159" s="193"/>
      <c r="H159" s="29">
        <f t="shared" si="12"/>
        <v>1900</v>
      </c>
      <c r="I159" s="29" t="str">
        <f t="shared" si="13"/>
        <v>4</v>
      </c>
    </row>
    <row r="160" spans="3:9" x14ac:dyDescent="0.25">
      <c r="C160" s="193"/>
      <c r="D160" s="403"/>
      <c r="E160" s="193"/>
      <c r="F160" s="193"/>
      <c r="G160" s="193"/>
      <c r="H160" s="29">
        <f t="shared" si="12"/>
        <v>1900</v>
      </c>
      <c r="I160" s="29" t="str">
        <f t="shared" si="13"/>
        <v>4</v>
      </c>
    </row>
    <row r="161" spans="3:9" x14ac:dyDescent="0.25">
      <c r="C161" s="193"/>
      <c r="D161" s="403"/>
      <c r="E161" s="193"/>
      <c r="F161" s="193"/>
      <c r="G161" s="193"/>
      <c r="H161" s="29">
        <f t="shared" si="12"/>
        <v>1900</v>
      </c>
      <c r="I161" s="29" t="str">
        <f t="shared" si="13"/>
        <v>4</v>
      </c>
    </row>
    <row r="162" spans="3:9" x14ac:dyDescent="0.25">
      <c r="C162" s="193"/>
      <c r="D162" s="403"/>
      <c r="E162" s="193"/>
      <c r="F162" s="193"/>
      <c r="G162" s="193"/>
      <c r="H162" s="29">
        <f t="shared" si="12"/>
        <v>1900</v>
      </c>
      <c r="I162" s="29" t="str">
        <f t="shared" si="13"/>
        <v>4</v>
      </c>
    </row>
    <row r="163" spans="3:9" x14ac:dyDescent="0.25">
      <c r="C163" s="193"/>
      <c r="D163" s="403"/>
      <c r="E163" s="193"/>
      <c r="F163" s="193"/>
      <c r="G163" s="193"/>
      <c r="H163" s="29">
        <f t="shared" si="12"/>
        <v>1900</v>
      </c>
      <c r="I163" s="29" t="str">
        <f t="shared" si="13"/>
        <v>4</v>
      </c>
    </row>
    <row r="164" spans="3:9" x14ac:dyDescent="0.25">
      <c r="C164" s="193"/>
      <c r="D164" s="403"/>
      <c r="E164" s="193"/>
      <c r="F164" s="193"/>
      <c r="G164" s="193"/>
      <c r="H164" s="29">
        <f t="shared" si="12"/>
        <v>1900</v>
      </c>
      <c r="I164" s="29" t="str">
        <f t="shared" si="13"/>
        <v>4</v>
      </c>
    </row>
    <row r="165" spans="3:9" x14ac:dyDescent="0.25">
      <c r="C165" s="193"/>
      <c r="D165" s="403"/>
      <c r="E165" s="193"/>
      <c r="F165" s="193"/>
      <c r="G165" s="193"/>
      <c r="H165" s="29">
        <f t="shared" si="12"/>
        <v>1900</v>
      </c>
      <c r="I165" s="29" t="str">
        <f t="shared" si="13"/>
        <v>4</v>
      </c>
    </row>
    <row r="166" spans="3:9" x14ac:dyDescent="0.25">
      <c r="C166" s="193"/>
      <c r="D166" s="403"/>
      <c r="E166" s="193"/>
      <c r="F166" s="193"/>
      <c r="G166" s="193"/>
      <c r="H166" s="29">
        <f t="shared" si="12"/>
        <v>1900</v>
      </c>
      <c r="I166" s="29" t="str">
        <f t="shared" si="13"/>
        <v>4</v>
      </c>
    </row>
    <row r="167" spans="3:9" x14ac:dyDescent="0.25">
      <c r="C167" s="193"/>
      <c r="D167" s="403"/>
      <c r="E167" s="193"/>
      <c r="F167" s="193"/>
      <c r="G167" s="193"/>
      <c r="H167" s="29">
        <f t="shared" si="12"/>
        <v>1900</v>
      </c>
      <c r="I167" s="29" t="str">
        <f t="shared" si="13"/>
        <v>4</v>
      </c>
    </row>
    <row r="168" spans="3:9" x14ac:dyDescent="0.25">
      <c r="C168" s="193"/>
      <c r="D168" s="403"/>
      <c r="E168" s="193"/>
      <c r="F168" s="193"/>
      <c r="G168" s="193"/>
      <c r="H168" s="29">
        <f t="shared" si="12"/>
        <v>1900</v>
      </c>
      <c r="I168" s="29" t="str">
        <f t="shared" si="13"/>
        <v>4</v>
      </c>
    </row>
    <row r="169" spans="3:9" x14ac:dyDescent="0.25">
      <c r="C169" s="193"/>
      <c r="D169" s="403"/>
      <c r="E169" s="193"/>
      <c r="F169" s="193"/>
      <c r="G169" s="193"/>
      <c r="H169" s="29">
        <f t="shared" si="12"/>
        <v>1900</v>
      </c>
      <c r="I169" s="29" t="str">
        <f t="shared" si="13"/>
        <v>4</v>
      </c>
    </row>
    <row r="170" spans="3:9" x14ac:dyDescent="0.25">
      <c r="C170" s="193"/>
      <c r="D170" s="403"/>
      <c r="E170" s="193"/>
      <c r="F170" s="193"/>
      <c r="G170" s="193"/>
      <c r="H170" s="29">
        <f t="shared" si="12"/>
        <v>1900</v>
      </c>
      <c r="I170" s="29" t="str">
        <f t="shared" si="13"/>
        <v>4</v>
      </c>
    </row>
    <row r="171" spans="3:9" x14ac:dyDescent="0.25">
      <c r="C171" s="193"/>
      <c r="D171" s="403"/>
      <c r="E171" s="193"/>
      <c r="F171" s="193"/>
      <c r="G171" s="193"/>
      <c r="H171" s="29">
        <f t="shared" si="12"/>
        <v>1900</v>
      </c>
      <c r="I171" s="29" t="str">
        <f t="shared" si="13"/>
        <v>4</v>
      </c>
    </row>
    <row r="172" spans="3:9" x14ac:dyDescent="0.25">
      <c r="C172" s="193"/>
      <c r="D172" s="403"/>
      <c r="E172" s="193"/>
      <c r="F172" s="193"/>
      <c r="G172" s="193"/>
      <c r="H172" s="29">
        <f t="shared" si="12"/>
        <v>1900</v>
      </c>
      <c r="I172" s="29" t="str">
        <f t="shared" si="13"/>
        <v>4</v>
      </c>
    </row>
    <row r="173" spans="3:9" x14ac:dyDescent="0.25">
      <c r="C173" s="193"/>
      <c r="D173" s="403"/>
      <c r="E173" s="193"/>
      <c r="F173" s="193"/>
      <c r="G173" s="193"/>
      <c r="H173" s="29">
        <f t="shared" si="12"/>
        <v>1900</v>
      </c>
      <c r="I173" s="29" t="str">
        <f t="shared" si="13"/>
        <v>4</v>
      </c>
    </row>
    <row r="174" spans="3:9" x14ac:dyDescent="0.25">
      <c r="C174" s="193"/>
      <c r="D174" s="403"/>
      <c r="E174" s="193"/>
      <c r="F174" s="193"/>
      <c r="G174" s="193"/>
      <c r="H174" s="29">
        <f t="shared" si="12"/>
        <v>1900</v>
      </c>
      <c r="I174" s="29" t="str">
        <f t="shared" si="13"/>
        <v>4</v>
      </c>
    </row>
    <row r="175" spans="3:9" x14ac:dyDescent="0.25">
      <c r="C175" s="193"/>
      <c r="D175" s="403"/>
      <c r="E175" s="193"/>
      <c r="F175" s="193"/>
      <c r="G175" s="193"/>
      <c r="H175" s="29">
        <f t="shared" si="12"/>
        <v>1900</v>
      </c>
      <c r="I175" s="29" t="str">
        <f t="shared" si="13"/>
        <v>4</v>
      </c>
    </row>
    <row r="176" spans="3:9" x14ac:dyDescent="0.25">
      <c r="C176" s="193"/>
      <c r="D176" s="403"/>
      <c r="E176" s="193"/>
      <c r="F176" s="193"/>
      <c r="G176" s="193"/>
      <c r="H176" s="29">
        <f t="shared" si="12"/>
        <v>1900</v>
      </c>
      <c r="I176" s="29" t="str">
        <f t="shared" si="13"/>
        <v>4</v>
      </c>
    </row>
    <row r="177" spans="3:9" x14ac:dyDescent="0.25">
      <c r="C177" s="193"/>
      <c r="D177" s="403"/>
      <c r="E177" s="193"/>
      <c r="F177" s="193"/>
      <c r="G177" s="193"/>
      <c r="H177" s="29">
        <f t="shared" si="12"/>
        <v>1900</v>
      </c>
      <c r="I177" s="29" t="str">
        <f t="shared" si="13"/>
        <v>4</v>
      </c>
    </row>
    <row r="178" spans="3:9" x14ac:dyDescent="0.25">
      <c r="C178" s="193"/>
      <c r="D178" s="403"/>
      <c r="E178" s="193"/>
      <c r="F178" s="193"/>
      <c r="G178" s="193"/>
      <c r="H178" s="29">
        <f t="shared" si="12"/>
        <v>1900</v>
      </c>
      <c r="I178" s="29" t="str">
        <f t="shared" si="13"/>
        <v>4</v>
      </c>
    </row>
    <row r="179" spans="3:9" x14ac:dyDescent="0.25">
      <c r="C179" s="193"/>
      <c r="D179" s="403"/>
      <c r="E179" s="193"/>
      <c r="F179" s="193"/>
      <c r="G179" s="193"/>
      <c r="H179" s="29">
        <f t="shared" si="12"/>
        <v>1900</v>
      </c>
      <c r="I179" s="29" t="str">
        <f t="shared" si="13"/>
        <v>4</v>
      </c>
    </row>
    <row r="180" spans="3:9" x14ac:dyDescent="0.25">
      <c r="C180" s="193"/>
      <c r="D180" s="403"/>
      <c r="E180" s="193"/>
      <c r="F180" s="193"/>
      <c r="G180" s="193"/>
      <c r="H180" s="29">
        <f t="shared" si="12"/>
        <v>1900</v>
      </c>
      <c r="I180" s="29" t="str">
        <f t="shared" si="13"/>
        <v>4</v>
      </c>
    </row>
    <row r="181" spans="3:9" x14ac:dyDescent="0.25">
      <c r="C181" s="193"/>
      <c r="D181" s="403"/>
      <c r="E181" s="193"/>
      <c r="F181" s="193"/>
      <c r="G181" s="193"/>
      <c r="H181" s="29">
        <f t="shared" si="12"/>
        <v>1900</v>
      </c>
      <c r="I181" s="29" t="str">
        <f t="shared" si="13"/>
        <v>4</v>
      </c>
    </row>
    <row r="182" spans="3:9" x14ac:dyDescent="0.25">
      <c r="C182" s="193"/>
      <c r="D182" s="403"/>
      <c r="E182" s="193"/>
      <c r="F182" s="193"/>
      <c r="G182" s="193"/>
      <c r="H182" s="29">
        <f t="shared" si="12"/>
        <v>1900</v>
      </c>
      <c r="I182" s="29" t="str">
        <f t="shared" si="13"/>
        <v>4</v>
      </c>
    </row>
    <row r="183" spans="3:9" x14ac:dyDescent="0.25">
      <c r="C183" s="193"/>
      <c r="D183" s="403"/>
      <c r="E183" s="193"/>
      <c r="F183" s="193"/>
      <c r="G183" s="193"/>
      <c r="H183" s="29">
        <f t="shared" si="12"/>
        <v>1900</v>
      </c>
      <c r="I183" s="29" t="str">
        <f t="shared" si="13"/>
        <v>4</v>
      </c>
    </row>
    <row r="184" spans="3:9" x14ac:dyDescent="0.25">
      <c r="C184" s="193"/>
      <c r="D184" s="403"/>
      <c r="E184" s="193"/>
      <c r="F184" s="193"/>
      <c r="G184" s="193"/>
      <c r="H184" s="29">
        <f t="shared" si="12"/>
        <v>1900</v>
      </c>
      <c r="I184" s="29" t="str">
        <f t="shared" si="13"/>
        <v>4</v>
      </c>
    </row>
    <row r="185" spans="3:9" x14ac:dyDescent="0.25">
      <c r="C185" s="193"/>
      <c r="D185" s="403"/>
      <c r="E185" s="193"/>
      <c r="F185" s="193"/>
      <c r="G185" s="193"/>
      <c r="H185" s="29">
        <f t="shared" si="12"/>
        <v>1900</v>
      </c>
      <c r="I185" s="29" t="str">
        <f t="shared" si="13"/>
        <v>4</v>
      </c>
    </row>
    <row r="186" spans="3:9" x14ac:dyDescent="0.25">
      <c r="C186" s="193"/>
      <c r="D186" s="403"/>
      <c r="E186" s="193"/>
      <c r="F186" s="193"/>
      <c r="G186" s="193"/>
      <c r="H186" s="29">
        <f t="shared" si="12"/>
        <v>1900</v>
      </c>
      <c r="I186" s="29" t="str">
        <f t="shared" si="13"/>
        <v>4</v>
      </c>
    </row>
    <row r="187" spans="3:9" x14ac:dyDescent="0.25">
      <c r="C187" s="193"/>
      <c r="D187" s="403"/>
      <c r="E187" s="193"/>
      <c r="F187" s="193"/>
      <c r="G187" s="193"/>
      <c r="H187" s="29">
        <f t="shared" si="12"/>
        <v>1900</v>
      </c>
      <c r="I187" s="29" t="str">
        <f t="shared" si="13"/>
        <v>4</v>
      </c>
    </row>
    <row r="188" spans="3:9" x14ac:dyDescent="0.25">
      <c r="C188" s="193"/>
      <c r="D188" s="403"/>
      <c r="E188" s="193"/>
      <c r="F188" s="193"/>
      <c r="G188" s="193"/>
      <c r="H188" s="29">
        <f t="shared" si="12"/>
        <v>1900</v>
      </c>
      <c r="I188" s="29" t="str">
        <f t="shared" si="13"/>
        <v>4</v>
      </c>
    </row>
    <row r="189" spans="3:9" x14ac:dyDescent="0.25">
      <c r="C189" s="193"/>
      <c r="D189" s="403"/>
      <c r="E189" s="193"/>
      <c r="F189" s="193"/>
      <c r="G189" s="193"/>
      <c r="H189" s="29">
        <f t="shared" si="12"/>
        <v>1900</v>
      </c>
      <c r="I189" s="29" t="str">
        <f t="shared" si="13"/>
        <v>4</v>
      </c>
    </row>
    <row r="190" spans="3:9" x14ac:dyDescent="0.25">
      <c r="C190" s="193"/>
      <c r="D190" s="403"/>
      <c r="E190" s="193"/>
      <c r="F190" s="193"/>
      <c r="G190" s="193"/>
      <c r="H190" s="29">
        <f t="shared" si="12"/>
        <v>1900</v>
      </c>
      <c r="I190" s="29" t="str">
        <f t="shared" si="13"/>
        <v>4</v>
      </c>
    </row>
    <row r="191" spans="3:9" x14ac:dyDescent="0.25">
      <c r="C191" s="193"/>
      <c r="D191" s="403"/>
      <c r="E191" s="193"/>
      <c r="F191" s="193"/>
      <c r="G191" s="193"/>
      <c r="H191" s="29">
        <f t="shared" si="12"/>
        <v>1900</v>
      </c>
      <c r="I191" s="29" t="str">
        <f t="shared" si="13"/>
        <v>4</v>
      </c>
    </row>
    <row r="192" spans="3:9" x14ac:dyDescent="0.25">
      <c r="C192" s="193"/>
      <c r="D192" s="403"/>
      <c r="E192" s="193"/>
      <c r="F192" s="193"/>
      <c r="G192" s="193"/>
      <c r="H192" s="29">
        <f t="shared" si="12"/>
        <v>1900</v>
      </c>
      <c r="I192" s="29" t="str">
        <f t="shared" si="13"/>
        <v>4</v>
      </c>
    </row>
    <row r="193" spans="3:9" x14ac:dyDescent="0.25">
      <c r="C193" s="193"/>
      <c r="D193" s="403"/>
      <c r="E193" s="193"/>
      <c r="F193" s="193"/>
      <c r="G193" s="193"/>
      <c r="H193" s="29">
        <f t="shared" si="12"/>
        <v>1900</v>
      </c>
      <c r="I193" s="29" t="str">
        <f t="shared" si="13"/>
        <v>4</v>
      </c>
    </row>
    <row r="194" spans="3:9" x14ac:dyDescent="0.25">
      <c r="C194" s="193"/>
      <c r="D194" s="403"/>
      <c r="E194" s="193"/>
      <c r="F194" s="193"/>
      <c r="G194" s="193"/>
      <c r="H194" s="29">
        <f t="shared" si="12"/>
        <v>1900</v>
      </c>
      <c r="I194" s="29" t="str">
        <f t="shared" si="13"/>
        <v>4</v>
      </c>
    </row>
    <row r="195" spans="3:9" x14ac:dyDescent="0.25">
      <c r="C195" s="193"/>
      <c r="D195" s="403"/>
      <c r="E195" s="193"/>
      <c r="F195" s="193"/>
      <c r="G195" s="193"/>
      <c r="H195" s="29">
        <f t="shared" si="12"/>
        <v>1900</v>
      </c>
      <c r="I195" s="29" t="str">
        <f t="shared" si="13"/>
        <v>4</v>
      </c>
    </row>
    <row r="196" spans="3:9" x14ac:dyDescent="0.25">
      <c r="C196" s="193"/>
      <c r="D196" s="403"/>
      <c r="E196" s="193"/>
      <c r="F196" s="193"/>
      <c r="G196" s="193"/>
      <c r="H196" s="29">
        <f t="shared" si="12"/>
        <v>1900</v>
      </c>
      <c r="I196" s="29" t="str">
        <f t="shared" si="13"/>
        <v>4</v>
      </c>
    </row>
    <row r="197" spans="3:9" x14ac:dyDescent="0.25">
      <c r="C197" s="193"/>
      <c r="D197" s="403"/>
      <c r="E197" s="193"/>
      <c r="F197" s="193"/>
      <c r="G197" s="193"/>
      <c r="H197" s="29">
        <f t="shared" si="12"/>
        <v>1900</v>
      </c>
      <c r="I197" s="29" t="str">
        <f t="shared" si="13"/>
        <v>4</v>
      </c>
    </row>
    <row r="198" spans="3:9" x14ac:dyDescent="0.25">
      <c r="C198" s="193"/>
      <c r="D198" s="403"/>
      <c r="E198" s="193"/>
      <c r="F198" s="193"/>
      <c r="G198" s="193"/>
      <c r="H198" s="29">
        <f t="shared" si="12"/>
        <v>1900</v>
      </c>
      <c r="I198" s="29" t="str">
        <f t="shared" si="13"/>
        <v>4</v>
      </c>
    </row>
    <row r="199" spans="3:9" x14ac:dyDescent="0.25">
      <c r="C199" s="193"/>
      <c r="D199" s="403"/>
      <c r="E199" s="193"/>
      <c r="F199" s="193"/>
      <c r="G199" s="193"/>
      <c r="H199" s="29">
        <f t="shared" si="12"/>
        <v>1900</v>
      </c>
      <c r="I199" s="29" t="str">
        <f t="shared" si="13"/>
        <v>4</v>
      </c>
    </row>
    <row r="200" spans="3:9" x14ac:dyDescent="0.25">
      <c r="C200" s="193"/>
      <c r="D200" s="403"/>
      <c r="E200" s="193"/>
      <c r="F200" s="193"/>
      <c r="G200" s="193"/>
      <c r="H200" s="29">
        <f t="shared" si="12"/>
        <v>1900</v>
      </c>
      <c r="I200" s="29" t="str">
        <f t="shared" si="13"/>
        <v>4</v>
      </c>
    </row>
    <row r="201" spans="3:9" x14ac:dyDescent="0.25">
      <c r="C201" s="193"/>
      <c r="D201" s="403"/>
      <c r="E201" s="193"/>
      <c r="F201" s="193"/>
      <c r="G201" s="193"/>
      <c r="H201" s="29">
        <f t="shared" si="12"/>
        <v>1900</v>
      </c>
      <c r="I201" s="29" t="str">
        <f t="shared" si="13"/>
        <v>4</v>
      </c>
    </row>
    <row r="202" spans="3:9" x14ac:dyDescent="0.25">
      <c r="C202" s="193"/>
      <c r="D202" s="403"/>
      <c r="E202" s="193"/>
      <c r="F202" s="193"/>
      <c r="G202" s="193"/>
      <c r="H202" s="29">
        <f t="shared" si="12"/>
        <v>1900</v>
      </c>
      <c r="I202" s="29" t="str">
        <f t="shared" si="13"/>
        <v>4</v>
      </c>
    </row>
    <row r="203" spans="3:9" x14ac:dyDescent="0.25">
      <c r="C203" s="193"/>
      <c r="D203" s="403"/>
      <c r="E203" s="193"/>
      <c r="F203" s="193"/>
      <c r="G203" s="193"/>
      <c r="H203" s="29">
        <f t="shared" ref="H203:H251" si="14">YEAR(A203)</f>
        <v>1900</v>
      </c>
      <c r="I203" s="29" t="str">
        <f t="shared" ref="I203:I251" si="15">IF(MONTH(A203)=3,"1",IF(MONTH(A203)=6,"2",IF(MONTH(A203)=9,"3","4")))</f>
        <v>4</v>
      </c>
    </row>
    <row r="204" spans="3:9" x14ac:dyDescent="0.25">
      <c r="C204" s="193"/>
      <c r="D204" s="403"/>
      <c r="E204" s="193"/>
      <c r="F204" s="193"/>
      <c r="G204" s="193"/>
      <c r="H204" s="29">
        <f t="shared" si="14"/>
        <v>1900</v>
      </c>
      <c r="I204" s="29" t="str">
        <f t="shared" si="15"/>
        <v>4</v>
      </c>
    </row>
    <row r="205" spans="3:9" x14ac:dyDescent="0.25">
      <c r="C205" s="193"/>
      <c r="D205" s="403"/>
      <c r="E205" s="193"/>
      <c r="F205" s="193"/>
      <c r="G205" s="193"/>
      <c r="H205" s="29">
        <f t="shared" si="14"/>
        <v>1900</v>
      </c>
      <c r="I205" s="29" t="str">
        <f t="shared" si="15"/>
        <v>4</v>
      </c>
    </row>
    <row r="206" spans="3:9" x14ac:dyDescent="0.25">
      <c r="C206" s="193"/>
      <c r="D206" s="403"/>
      <c r="E206" s="193"/>
      <c r="F206" s="193"/>
      <c r="G206" s="193"/>
      <c r="H206" s="29">
        <f t="shared" si="14"/>
        <v>1900</v>
      </c>
      <c r="I206" s="29" t="str">
        <f t="shared" si="15"/>
        <v>4</v>
      </c>
    </row>
    <row r="207" spans="3:9" x14ac:dyDescent="0.25">
      <c r="C207" s="193"/>
      <c r="D207" s="403"/>
      <c r="E207" s="193"/>
      <c r="F207" s="193"/>
      <c r="G207" s="193"/>
      <c r="H207" s="29">
        <f t="shared" si="14"/>
        <v>1900</v>
      </c>
      <c r="I207" s="29" t="str">
        <f t="shared" si="15"/>
        <v>4</v>
      </c>
    </row>
    <row r="208" spans="3:9" x14ac:dyDescent="0.25">
      <c r="C208" s="193"/>
      <c r="D208" s="403"/>
      <c r="E208" s="193"/>
      <c r="F208" s="193"/>
      <c r="G208" s="193"/>
      <c r="H208" s="29">
        <f t="shared" si="14"/>
        <v>1900</v>
      </c>
      <c r="I208" s="29" t="str">
        <f t="shared" si="15"/>
        <v>4</v>
      </c>
    </row>
    <row r="209" spans="3:9" x14ac:dyDescent="0.25">
      <c r="C209" s="193"/>
      <c r="D209" s="403"/>
      <c r="E209" s="193"/>
      <c r="F209" s="193"/>
      <c r="G209" s="193"/>
      <c r="H209" s="29">
        <f t="shared" si="14"/>
        <v>1900</v>
      </c>
      <c r="I209" s="29" t="str">
        <f t="shared" si="15"/>
        <v>4</v>
      </c>
    </row>
    <row r="210" spans="3:9" x14ac:dyDescent="0.25">
      <c r="C210" s="193"/>
      <c r="D210" s="403"/>
      <c r="E210" s="193"/>
      <c r="F210" s="193"/>
      <c r="G210" s="193"/>
      <c r="H210" s="29">
        <f t="shared" si="14"/>
        <v>1900</v>
      </c>
      <c r="I210" s="29" t="str">
        <f t="shared" si="15"/>
        <v>4</v>
      </c>
    </row>
    <row r="211" spans="3:9" x14ac:dyDescent="0.25">
      <c r="C211" s="193"/>
      <c r="D211" s="403"/>
      <c r="E211" s="193"/>
      <c r="F211" s="193"/>
      <c r="G211" s="193"/>
      <c r="H211" s="29">
        <f t="shared" si="14"/>
        <v>1900</v>
      </c>
      <c r="I211" s="29" t="str">
        <f t="shared" si="15"/>
        <v>4</v>
      </c>
    </row>
    <row r="212" spans="3:9" x14ac:dyDescent="0.25">
      <c r="C212" s="193"/>
      <c r="D212" s="403"/>
      <c r="E212" s="193"/>
      <c r="F212" s="193"/>
      <c r="G212" s="193"/>
      <c r="H212" s="29">
        <f t="shared" si="14"/>
        <v>1900</v>
      </c>
      <c r="I212" s="29" t="str">
        <f t="shared" si="15"/>
        <v>4</v>
      </c>
    </row>
    <row r="213" spans="3:9" x14ac:dyDescent="0.25">
      <c r="C213" s="193"/>
      <c r="D213" s="403"/>
      <c r="E213" s="193"/>
      <c r="F213" s="193"/>
      <c r="G213" s="193"/>
      <c r="H213" s="29">
        <f t="shared" si="14"/>
        <v>1900</v>
      </c>
      <c r="I213" s="29" t="str">
        <f t="shared" si="15"/>
        <v>4</v>
      </c>
    </row>
    <row r="214" spans="3:9" x14ac:dyDescent="0.25">
      <c r="C214" s="193"/>
      <c r="D214" s="403"/>
      <c r="E214" s="193"/>
      <c r="F214" s="193"/>
      <c r="G214" s="193"/>
      <c r="H214" s="29">
        <f t="shared" si="14"/>
        <v>1900</v>
      </c>
      <c r="I214" s="29" t="str">
        <f t="shared" si="15"/>
        <v>4</v>
      </c>
    </row>
    <row r="215" spans="3:9" x14ac:dyDescent="0.25">
      <c r="C215" s="193"/>
      <c r="D215" s="403"/>
      <c r="E215" s="193"/>
      <c r="F215" s="193"/>
      <c r="G215" s="193"/>
      <c r="H215" s="29">
        <f t="shared" si="14"/>
        <v>1900</v>
      </c>
      <c r="I215" s="29" t="str">
        <f t="shared" si="15"/>
        <v>4</v>
      </c>
    </row>
    <row r="216" spans="3:9" x14ac:dyDescent="0.25">
      <c r="C216" s="193"/>
      <c r="D216" s="403"/>
      <c r="E216" s="193"/>
      <c r="F216" s="193"/>
      <c r="G216" s="193"/>
      <c r="H216" s="29">
        <f t="shared" si="14"/>
        <v>1900</v>
      </c>
      <c r="I216" s="29" t="str">
        <f t="shared" si="15"/>
        <v>4</v>
      </c>
    </row>
    <row r="217" spans="3:9" x14ac:dyDescent="0.25">
      <c r="C217" s="193"/>
      <c r="D217" s="403"/>
      <c r="E217" s="193"/>
      <c r="F217" s="193"/>
      <c r="G217" s="193"/>
      <c r="H217" s="29">
        <f t="shared" si="14"/>
        <v>1900</v>
      </c>
      <c r="I217" s="29" t="str">
        <f t="shared" si="15"/>
        <v>4</v>
      </c>
    </row>
    <row r="218" spans="3:9" x14ac:dyDescent="0.25">
      <c r="C218" s="193"/>
      <c r="D218" s="403"/>
      <c r="E218" s="193"/>
      <c r="F218" s="193"/>
      <c r="G218" s="193"/>
      <c r="H218" s="29">
        <f t="shared" si="14"/>
        <v>1900</v>
      </c>
      <c r="I218" s="29" t="str">
        <f t="shared" si="15"/>
        <v>4</v>
      </c>
    </row>
    <row r="219" spans="3:9" x14ac:dyDescent="0.25">
      <c r="C219" s="193"/>
      <c r="D219" s="403"/>
      <c r="E219" s="193"/>
      <c r="F219" s="193"/>
      <c r="G219" s="193"/>
      <c r="H219" s="29">
        <f t="shared" si="14"/>
        <v>1900</v>
      </c>
      <c r="I219" s="29" t="str">
        <f t="shared" si="15"/>
        <v>4</v>
      </c>
    </row>
    <row r="220" spans="3:9" x14ac:dyDescent="0.25">
      <c r="C220" s="193"/>
      <c r="D220" s="193"/>
      <c r="E220" s="193"/>
      <c r="F220" s="193"/>
      <c r="G220" s="193"/>
      <c r="H220" s="29">
        <f t="shared" si="14"/>
        <v>1900</v>
      </c>
      <c r="I220" s="29" t="str">
        <f t="shared" si="15"/>
        <v>4</v>
      </c>
    </row>
    <row r="221" spans="3:9" x14ac:dyDescent="0.25">
      <c r="C221" s="193"/>
      <c r="D221" s="193"/>
      <c r="E221" s="193"/>
      <c r="F221" s="193"/>
      <c r="G221" s="193"/>
      <c r="H221" s="29">
        <f t="shared" si="14"/>
        <v>1900</v>
      </c>
      <c r="I221" s="29" t="str">
        <f t="shared" si="15"/>
        <v>4</v>
      </c>
    </row>
    <row r="222" spans="3:9" x14ac:dyDescent="0.25">
      <c r="C222" s="193"/>
      <c r="D222" s="193"/>
      <c r="E222" s="193"/>
      <c r="F222" s="193"/>
      <c r="G222" s="193"/>
      <c r="H222" s="29">
        <f t="shared" si="14"/>
        <v>1900</v>
      </c>
      <c r="I222" s="29" t="str">
        <f t="shared" si="15"/>
        <v>4</v>
      </c>
    </row>
    <row r="223" spans="3:9" x14ac:dyDescent="0.25">
      <c r="C223" s="193"/>
      <c r="D223" s="193"/>
      <c r="E223" s="193"/>
      <c r="F223" s="193"/>
      <c r="G223" s="193"/>
      <c r="H223" s="29">
        <f t="shared" si="14"/>
        <v>1900</v>
      </c>
      <c r="I223" s="29" t="str">
        <f t="shared" si="15"/>
        <v>4</v>
      </c>
    </row>
    <row r="224" spans="3:9" x14ac:dyDescent="0.25">
      <c r="C224" s="193"/>
      <c r="D224" s="193"/>
      <c r="E224" s="193"/>
      <c r="F224" s="193"/>
      <c r="G224" s="193"/>
      <c r="H224" s="29">
        <f t="shared" si="14"/>
        <v>1900</v>
      </c>
      <c r="I224" s="29" t="str">
        <f t="shared" si="15"/>
        <v>4</v>
      </c>
    </row>
    <row r="225" spans="3:9" x14ac:dyDescent="0.25">
      <c r="C225" s="193"/>
      <c r="D225" s="193"/>
      <c r="E225" s="193"/>
      <c r="F225" s="193"/>
      <c r="G225" s="193"/>
      <c r="H225" s="29">
        <f t="shared" si="14"/>
        <v>1900</v>
      </c>
      <c r="I225" s="29" t="str">
        <f t="shared" si="15"/>
        <v>4</v>
      </c>
    </row>
    <row r="226" spans="3:9" x14ac:dyDescent="0.25">
      <c r="C226" s="193"/>
      <c r="D226" s="193"/>
      <c r="E226" s="193"/>
      <c r="F226" s="193"/>
      <c r="G226" s="193"/>
      <c r="H226" s="29">
        <f t="shared" si="14"/>
        <v>1900</v>
      </c>
      <c r="I226" s="29" t="str">
        <f t="shared" si="15"/>
        <v>4</v>
      </c>
    </row>
    <row r="227" spans="3:9" x14ac:dyDescent="0.25">
      <c r="C227" s="193"/>
      <c r="D227" s="193"/>
      <c r="E227" s="193"/>
      <c r="F227" s="193"/>
      <c r="G227" s="193"/>
      <c r="H227" s="29">
        <f t="shared" si="14"/>
        <v>1900</v>
      </c>
      <c r="I227" s="29" t="str">
        <f t="shared" si="15"/>
        <v>4</v>
      </c>
    </row>
    <row r="228" spans="3:9" x14ac:dyDescent="0.25">
      <c r="C228" s="193"/>
      <c r="D228" s="193"/>
      <c r="E228" s="193"/>
      <c r="F228" s="193"/>
      <c r="G228" s="193"/>
      <c r="H228" s="29">
        <f t="shared" si="14"/>
        <v>1900</v>
      </c>
      <c r="I228" s="29" t="str">
        <f t="shared" si="15"/>
        <v>4</v>
      </c>
    </row>
    <row r="229" spans="3:9" x14ac:dyDescent="0.25">
      <c r="C229" s="193"/>
      <c r="D229" s="193"/>
      <c r="E229" s="193"/>
      <c r="F229" s="193"/>
      <c r="G229" s="193"/>
      <c r="H229" s="29">
        <f t="shared" si="14"/>
        <v>1900</v>
      </c>
      <c r="I229" s="29" t="str">
        <f t="shared" si="15"/>
        <v>4</v>
      </c>
    </row>
    <row r="230" spans="3:9" x14ac:dyDescent="0.25">
      <c r="C230" s="193"/>
      <c r="D230" s="193"/>
      <c r="E230" s="193"/>
      <c r="F230" s="193"/>
      <c r="G230" s="193"/>
      <c r="H230" s="29">
        <f t="shared" si="14"/>
        <v>1900</v>
      </c>
      <c r="I230" s="29" t="str">
        <f t="shared" si="15"/>
        <v>4</v>
      </c>
    </row>
    <row r="231" spans="3:9" x14ac:dyDescent="0.25">
      <c r="C231" s="193"/>
      <c r="D231" s="193"/>
      <c r="E231" s="193"/>
      <c r="F231" s="193"/>
      <c r="G231" s="193"/>
      <c r="H231" s="29">
        <f t="shared" si="14"/>
        <v>1900</v>
      </c>
      <c r="I231" s="29" t="str">
        <f t="shared" si="15"/>
        <v>4</v>
      </c>
    </row>
    <row r="232" spans="3:9" x14ac:dyDescent="0.25">
      <c r="C232" s="193"/>
      <c r="D232" s="193"/>
      <c r="E232" s="193"/>
      <c r="F232" s="193"/>
      <c r="G232" s="193"/>
      <c r="H232" s="29">
        <f t="shared" si="14"/>
        <v>1900</v>
      </c>
      <c r="I232" s="29" t="str">
        <f t="shared" si="15"/>
        <v>4</v>
      </c>
    </row>
    <row r="233" spans="3:9" x14ac:dyDescent="0.25">
      <c r="C233" s="193"/>
      <c r="D233" s="193"/>
      <c r="E233" s="193"/>
      <c r="F233" s="193"/>
      <c r="G233" s="193"/>
      <c r="H233" s="29">
        <f t="shared" si="14"/>
        <v>1900</v>
      </c>
      <c r="I233" s="29" t="str">
        <f t="shared" si="15"/>
        <v>4</v>
      </c>
    </row>
    <row r="234" spans="3:9" x14ac:dyDescent="0.25">
      <c r="C234" s="193"/>
      <c r="D234" s="193"/>
      <c r="E234" s="193"/>
      <c r="F234" s="193"/>
      <c r="G234" s="193"/>
      <c r="H234" s="29">
        <f t="shared" si="14"/>
        <v>1900</v>
      </c>
      <c r="I234" s="29" t="str">
        <f t="shared" si="15"/>
        <v>4</v>
      </c>
    </row>
    <row r="235" spans="3:9" x14ac:dyDescent="0.25">
      <c r="C235" s="193"/>
      <c r="D235" s="193"/>
      <c r="E235" s="193"/>
      <c r="F235" s="193"/>
      <c r="G235" s="193"/>
      <c r="H235" s="29">
        <f t="shared" si="14"/>
        <v>1900</v>
      </c>
      <c r="I235" s="29" t="str">
        <f t="shared" si="15"/>
        <v>4</v>
      </c>
    </row>
    <row r="236" spans="3:9" x14ac:dyDescent="0.25">
      <c r="C236" s="193"/>
      <c r="D236" s="193"/>
      <c r="E236" s="193"/>
      <c r="F236" s="193"/>
      <c r="G236" s="193"/>
      <c r="H236" s="29">
        <f t="shared" si="14"/>
        <v>1900</v>
      </c>
      <c r="I236" s="29" t="str">
        <f t="shared" si="15"/>
        <v>4</v>
      </c>
    </row>
    <row r="237" spans="3:9" x14ac:dyDescent="0.25">
      <c r="C237" s="193"/>
      <c r="D237" s="193"/>
      <c r="E237" s="193"/>
      <c r="F237" s="193"/>
      <c r="G237" s="193"/>
      <c r="H237" s="29">
        <f t="shared" si="14"/>
        <v>1900</v>
      </c>
      <c r="I237" s="29" t="str">
        <f t="shared" si="15"/>
        <v>4</v>
      </c>
    </row>
    <row r="238" spans="3:9" x14ac:dyDescent="0.25">
      <c r="C238" s="193"/>
      <c r="D238" s="193"/>
      <c r="E238" s="193"/>
      <c r="F238" s="193"/>
      <c r="G238" s="193"/>
      <c r="H238" s="29">
        <f t="shared" si="14"/>
        <v>1900</v>
      </c>
      <c r="I238" s="29" t="str">
        <f t="shared" si="15"/>
        <v>4</v>
      </c>
    </row>
    <row r="239" spans="3:9" x14ac:dyDescent="0.25">
      <c r="C239" s="193"/>
      <c r="D239" s="193"/>
      <c r="E239" s="193"/>
      <c r="F239" s="193"/>
      <c r="G239" s="193"/>
      <c r="H239" s="29">
        <f t="shared" si="14"/>
        <v>1900</v>
      </c>
      <c r="I239" s="29" t="str">
        <f t="shared" si="15"/>
        <v>4</v>
      </c>
    </row>
    <row r="240" spans="3:9" x14ac:dyDescent="0.25">
      <c r="C240" s="193"/>
      <c r="D240" s="193"/>
      <c r="E240" s="193"/>
      <c r="F240" s="193"/>
      <c r="G240" s="193"/>
      <c r="H240" s="29">
        <f t="shared" si="14"/>
        <v>1900</v>
      </c>
      <c r="I240" s="29" t="str">
        <f t="shared" si="15"/>
        <v>4</v>
      </c>
    </row>
    <row r="241" spans="3:9" x14ac:dyDescent="0.25">
      <c r="C241" s="193"/>
      <c r="D241" s="193"/>
      <c r="E241" s="193"/>
      <c r="F241" s="193"/>
      <c r="G241" s="193"/>
      <c r="H241" s="29">
        <f t="shared" si="14"/>
        <v>1900</v>
      </c>
      <c r="I241" s="29" t="str">
        <f t="shared" si="15"/>
        <v>4</v>
      </c>
    </row>
    <row r="242" spans="3:9" x14ac:dyDescent="0.25">
      <c r="C242" s="193"/>
      <c r="D242" s="193"/>
      <c r="E242" s="193"/>
      <c r="F242" s="193"/>
      <c r="G242" s="193"/>
      <c r="H242" s="29">
        <f t="shared" si="14"/>
        <v>1900</v>
      </c>
      <c r="I242" s="29" t="str">
        <f t="shared" si="15"/>
        <v>4</v>
      </c>
    </row>
    <row r="243" spans="3:9" x14ac:dyDescent="0.25">
      <c r="C243" s="193"/>
      <c r="D243" s="193"/>
      <c r="E243" s="193"/>
      <c r="F243" s="193"/>
      <c r="G243" s="193"/>
      <c r="H243" s="29">
        <f t="shared" si="14"/>
        <v>1900</v>
      </c>
      <c r="I243" s="29" t="str">
        <f t="shared" si="15"/>
        <v>4</v>
      </c>
    </row>
    <row r="244" spans="3:9" x14ac:dyDescent="0.25">
      <c r="C244" s="193"/>
      <c r="D244" s="193"/>
      <c r="E244" s="193"/>
      <c r="F244" s="193"/>
      <c r="G244" s="193"/>
      <c r="H244" s="29">
        <f t="shared" si="14"/>
        <v>1900</v>
      </c>
      <c r="I244" s="29" t="str">
        <f t="shared" si="15"/>
        <v>4</v>
      </c>
    </row>
    <row r="245" spans="3:9" x14ac:dyDescent="0.25">
      <c r="C245" s="193"/>
      <c r="D245" s="193"/>
      <c r="E245" s="193"/>
      <c r="F245" s="193"/>
      <c r="G245" s="193"/>
      <c r="H245" s="29">
        <f t="shared" si="14"/>
        <v>1900</v>
      </c>
      <c r="I245" s="29" t="str">
        <f t="shared" si="15"/>
        <v>4</v>
      </c>
    </row>
    <row r="246" spans="3:9" x14ac:dyDescent="0.25">
      <c r="C246" s="193"/>
      <c r="D246" s="193"/>
      <c r="E246" s="193"/>
      <c r="F246" s="193"/>
      <c r="G246" s="193"/>
      <c r="H246" s="29">
        <f t="shared" si="14"/>
        <v>1900</v>
      </c>
      <c r="I246" s="29" t="str">
        <f t="shared" si="15"/>
        <v>4</v>
      </c>
    </row>
    <row r="247" spans="3:9" x14ac:dyDescent="0.25">
      <c r="C247" s="193"/>
      <c r="D247" s="193"/>
      <c r="E247" s="193"/>
      <c r="F247" s="193"/>
      <c r="G247" s="193"/>
      <c r="H247" s="29">
        <f t="shared" si="14"/>
        <v>1900</v>
      </c>
      <c r="I247" s="29" t="str">
        <f t="shared" si="15"/>
        <v>4</v>
      </c>
    </row>
    <row r="248" spans="3:9" x14ac:dyDescent="0.25">
      <c r="C248" s="193"/>
      <c r="D248" s="193"/>
      <c r="E248" s="193"/>
      <c r="F248" s="193"/>
      <c r="G248" s="193"/>
      <c r="H248" s="29">
        <f t="shared" si="14"/>
        <v>1900</v>
      </c>
      <c r="I248" s="29" t="str">
        <f t="shared" si="15"/>
        <v>4</v>
      </c>
    </row>
    <row r="249" spans="3:9" x14ac:dyDescent="0.25">
      <c r="C249" s="193"/>
      <c r="D249" s="193"/>
      <c r="E249" s="193"/>
      <c r="F249" s="193"/>
      <c r="G249" s="193"/>
      <c r="H249" s="29">
        <f t="shared" si="14"/>
        <v>1900</v>
      </c>
      <c r="I249" s="29" t="str">
        <f t="shared" si="15"/>
        <v>4</v>
      </c>
    </row>
    <row r="250" spans="3:9" x14ac:dyDescent="0.25">
      <c r="C250" s="193"/>
      <c r="D250" s="193"/>
      <c r="E250" s="193"/>
      <c r="F250" s="193"/>
      <c r="G250" s="193"/>
      <c r="H250" s="29">
        <f t="shared" si="14"/>
        <v>1900</v>
      </c>
      <c r="I250" s="29" t="str">
        <f t="shared" si="15"/>
        <v>4</v>
      </c>
    </row>
    <row r="251" spans="3:9" x14ac:dyDescent="0.25">
      <c r="C251" s="193"/>
      <c r="D251" s="193"/>
      <c r="E251" s="193"/>
      <c r="F251" s="193"/>
      <c r="G251" s="193"/>
      <c r="H251" s="29">
        <f t="shared" si="14"/>
        <v>1900</v>
      </c>
      <c r="I251" s="29" t="str">
        <f t="shared" si="15"/>
        <v>4</v>
      </c>
    </row>
  </sheetData>
  <mergeCells count="14">
    <mergeCell ref="L27:M27"/>
    <mergeCell ref="N27:O27"/>
    <mergeCell ref="P27:Q27"/>
    <mergeCell ref="K11:Q11"/>
    <mergeCell ref="L12:M12"/>
    <mergeCell ref="N12:O12"/>
    <mergeCell ref="P12:Q12"/>
    <mergeCell ref="L25:Q25"/>
    <mergeCell ref="K26:Q26"/>
    <mergeCell ref="K10:Q10"/>
    <mergeCell ref="A7:G7"/>
    <mergeCell ref="B8:C8"/>
    <mergeCell ref="D8:E8"/>
    <mergeCell ref="F8:G8"/>
  </mergeCells>
  <dataValidations count="1">
    <dataValidation type="list" allowBlank="1" showInputMessage="1" showErrorMessage="1" promptTitle="Select a Period:" prompt="Select Financial or Calendar years." sqref="L25:Q25" xr:uid="{C29E0736-E656-4AAA-81D3-2B13035944F2}">
      <formula1>$A$1:$A$2</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93961-DA0C-4889-B300-AB47CC8AE0A6}">
  <sheetPr>
    <tabColor rgb="FFF6B4E8"/>
  </sheetPr>
  <dimension ref="A1:AA31"/>
  <sheetViews>
    <sheetView showGridLines="0" zoomScale="85" zoomScaleNormal="85" workbookViewId="0"/>
  </sheetViews>
  <sheetFormatPr defaultColWidth="9.140625" defaultRowHeight="15" x14ac:dyDescent="0.25"/>
  <cols>
    <col min="1" max="1" width="24.140625" customWidth="1"/>
    <col min="2" max="2" width="5.28515625" bestFit="1" customWidth="1"/>
    <col min="3" max="3" width="16.42578125" bestFit="1" customWidth="1"/>
    <col min="4" max="4" width="15.42578125" bestFit="1" customWidth="1"/>
    <col min="5" max="15" width="9.140625" customWidth="1"/>
    <col min="22" max="23" width="9.140625" style="64" customWidth="1"/>
    <col min="24" max="25" width="9.140625" style="64"/>
    <col min="27" max="27" width="9.140625" style="2"/>
  </cols>
  <sheetData>
    <row r="1" spans="1:25" x14ac:dyDescent="0.25">
      <c r="O1" s="593"/>
      <c r="R1" s="132"/>
      <c r="S1" s="132"/>
      <c r="T1" s="132"/>
      <c r="V1" s="64" t="s">
        <v>345</v>
      </c>
      <c r="W1" s="64" t="str">
        <f>"Copper-Lead-Zinc Exports "&amp;B8&amp;CHAR(10)&amp;"Total Value: $"&amp;TEXT(C23,"#,###")</f>
        <v>Copper-Lead-Zinc Exports 2023
Total Value: $866,456,650</v>
      </c>
      <c r="X1" s="64" t="s">
        <v>178</v>
      </c>
      <c r="Y1" s="132" cm="1">
        <f t="array" ref="Y1:Y17">IF($B$7="Calendar Year",
_xlfn._xlws.SORT(_xlfn.UNIQUE(_xlfn._xlws.FILTER('Commodity Prices'!$BB:$BB, ('Commodity Prices'!$BA:$BA="Base Metals")+('Commodity Prices'!$BA:$BA="Base Metals Contained Gold/Silver")))),
_xlfn._xlws.SORT(_xlfn.UNIQUE(_xlfn._xlws.FILTER('Commodity Prices'!$BI:$BI, ('Commodity Prices'!$BH:$BH="Base Metals")+('Commodity Prices'!$BH:$BH="Base Metals Contained Gold/Silver"))))
)</f>
        <v>2007</v>
      </c>
    </row>
    <row r="2" spans="1:25" x14ac:dyDescent="0.25">
      <c r="O2" s="29"/>
      <c r="P2" s="29"/>
      <c r="Q2" s="29"/>
      <c r="R2" s="132"/>
      <c r="S2" s="132"/>
      <c r="T2" s="132"/>
      <c r="W2" s="64" t="str">
        <f>IF($B$7=X1,IF(RIGHT(LEFT(B8,5),1)="-","Mismatch Error",""),IF(LEN(B8)=4,"Mismatch Error",""))</f>
        <v/>
      </c>
      <c r="X2" s="64" t="s">
        <v>179</v>
      </c>
      <c r="Y2" s="64">
        <v>2008</v>
      </c>
    </row>
    <row r="3" spans="1:25" ht="15.75" x14ac:dyDescent="0.25">
      <c r="G3" s="595"/>
      <c r="O3" s="29"/>
      <c r="P3" s="29"/>
      <c r="Q3" s="29"/>
      <c r="R3" s="132"/>
      <c r="S3" s="132"/>
      <c r="T3" s="132"/>
      <c r="Y3" s="64">
        <v>2009</v>
      </c>
    </row>
    <row r="4" spans="1:25" x14ac:dyDescent="0.25">
      <c r="O4" s="29"/>
      <c r="P4" s="29"/>
      <c r="Q4" s="29"/>
      <c r="R4" s="132"/>
      <c r="S4" s="132"/>
      <c r="T4" s="132"/>
      <c r="Y4" s="64">
        <v>2010</v>
      </c>
    </row>
    <row r="5" spans="1:25" x14ac:dyDescent="0.25">
      <c r="O5" s="29"/>
      <c r="P5" s="29"/>
      <c r="Q5" s="29"/>
      <c r="R5" s="132"/>
      <c r="S5" s="132"/>
      <c r="T5" s="132"/>
      <c r="Y5" s="64">
        <v>2011</v>
      </c>
    </row>
    <row r="6" spans="1:25" ht="15.75" thickBot="1" x14ac:dyDescent="0.3">
      <c r="O6" s="29"/>
      <c r="P6" s="29"/>
      <c r="Q6" s="29"/>
      <c r="R6" s="132"/>
      <c r="S6" s="132"/>
      <c r="T6" s="132"/>
      <c r="Y6" s="64">
        <v>2012</v>
      </c>
    </row>
    <row r="7" spans="1:25" ht="16.5" customHeight="1" x14ac:dyDescent="0.25">
      <c r="A7" s="596" t="s">
        <v>158</v>
      </c>
      <c r="B7" s="1429" t="s">
        <v>178</v>
      </c>
      <c r="C7" s="1429"/>
      <c r="D7" s="1430"/>
      <c r="E7" s="260"/>
      <c r="O7" s="29"/>
      <c r="P7" s="29"/>
      <c r="Q7" s="29"/>
      <c r="R7" s="132"/>
      <c r="S7" s="132"/>
      <c r="T7" s="132"/>
      <c r="Y7" s="64">
        <v>2013</v>
      </c>
    </row>
    <row r="8" spans="1:25" ht="15.75" thickBot="1" x14ac:dyDescent="0.3">
      <c r="A8" s="597" t="s">
        <v>158</v>
      </c>
      <c r="B8" s="1431">
        <v>2023</v>
      </c>
      <c r="C8" s="1431"/>
      <c r="D8" s="1432"/>
      <c r="E8" s="260"/>
      <c r="O8" s="29"/>
      <c r="P8" s="29"/>
      <c r="Q8" s="29"/>
      <c r="R8" s="132"/>
      <c r="S8" s="132"/>
      <c r="T8" s="132"/>
      <c r="Y8" s="64">
        <v>2014</v>
      </c>
    </row>
    <row r="9" spans="1:25" x14ac:dyDescent="0.25">
      <c r="O9" s="29"/>
      <c r="P9" s="29"/>
      <c r="Q9" s="29"/>
      <c r="R9" s="132"/>
      <c r="S9" s="132"/>
      <c r="T9" s="132"/>
      <c r="Y9" s="64">
        <v>2015</v>
      </c>
    </row>
    <row r="10" spans="1:25" ht="15.75" thickBot="1" x14ac:dyDescent="0.3">
      <c r="A10" s="1393" t="str">
        <f>IF($B$8="Click here to select an option","Select a year above for display.",CONCATENATE("Exports ",B8))</f>
        <v>Exports 2023</v>
      </c>
      <c r="B10" s="1393"/>
      <c r="C10" s="1393"/>
      <c r="D10" s="1393"/>
      <c r="O10" s="29"/>
      <c r="P10" s="29"/>
      <c r="Q10" s="29"/>
      <c r="R10" s="132"/>
      <c r="S10" s="132"/>
      <c r="T10" s="132"/>
      <c r="Y10" s="64">
        <v>2016</v>
      </c>
    </row>
    <row r="11" spans="1:25" x14ac:dyDescent="0.25">
      <c r="A11" s="598" t="s">
        <v>562</v>
      </c>
      <c r="B11" s="599" t="s">
        <v>274</v>
      </c>
      <c r="C11" s="599" t="s">
        <v>563</v>
      </c>
      <c r="D11" s="600" t="s">
        <v>276</v>
      </c>
      <c r="R11" s="132"/>
      <c r="S11" s="132"/>
      <c r="T11" s="132"/>
      <c r="Y11" s="64">
        <v>2017</v>
      </c>
    </row>
    <row r="12" spans="1:25" x14ac:dyDescent="0.25">
      <c r="A12" s="601" t="str" cm="1">
        <f t="array" ref="A12">IF($W$2="Mismatch Error","Mismatch Error",
IF($B$7="Calendar Year",
INDEX('Commodity Prices'!$BA:$BF,MATCH(1,(('Commodity Prices'!$BA:$BA="Base Metals")+('Commodity Prices'!$BA:$BA="Base Metals Contained Gold/Silver"))*(('Commodity Prices'!$BB:$BB)=$B$8)*(('Commodity Prices'!$BD:$BD)=$B12),0),3),
INDEX('Commodity Prices'!$BH:$BM,MATCH(1,(('Commodity Prices'!$BH:$BH="Base Metals")+('Commodity Prices'!$BH:$BH="Base Metals Contained Gold/Silver"))*(('Commodity Prices'!$BI:$BI)=$B$8)*(('Commodity Prices'!$BK:$BK)=$B12),0),3)
)
)</f>
        <v>Philippines</v>
      </c>
      <c r="B12" s="602">
        <v>1</v>
      </c>
      <c r="C12" s="603" t="str" cm="1">
        <f t="array" ref="C12">IF($W$2="Mismatch Error","Mismatch Error",
IF($B$7="Calendar Year",
INDEX('Commodity Prices'!$BA:$BF,MATCH(1,(('Commodity Prices'!$BA:$BA="Base Metals")+('Commodity Prices'!$BA:$BA="Base Metals Contained Gold/Silver"))*(('Commodity Prices'!$BB:$BB)=$B$8)*(('Commodity Prices'!$BD:$BD)=$B12),0), 5),
INDEX('Commodity Prices'!$BH:$BM,MATCH(1,(('Commodity Prices'!$BH:$BH="Base Metals")+('Commodity Prices'!$BH:$BH="Base Metals Contained Gold/Silver"))*(('Commodity Prices'!$BI:$BI)=$B$8)*(('Commodity Prices'!$BK:$BK)=$B12),0), 5)
)
)</f>
        <v>n/a</v>
      </c>
      <c r="D12" s="604" cm="1">
        <f t="array" ref="D12">IF($W$2="Mismatch Error","Mismatch Error",
IF($B$7="Calendar Year",
INDEX('Commodity Prices'!$BA:$BF,MATCH(1,(('Commodity Prices'!$BA:$BA="Base Metals")+('Commodity Prices'!$BA:$BA="Base Metals Contained Gold/Silver"))*(('Commodity Prices'!$BB:$BB)=$B$8)*(('Commodity Prices'!$BD:$BD)=$B12),0), 6),
INDEX('Commodity Prices'!$BH:$BM,MATCH(1,(('Commodity Prices'!$BH:$BH="Base Metals")+('Commodity Prices'!$BH:$BH="Base Metals Contained Gold/Silver"))*(('Commodity Prices'!$BI:$BI)=$B$8)*(('Commodity Prices'!$BK:$BK)=$B12),0), 6)
)
)</f>
        <v>0.29596078385230828</v>
      </c>
      <c r="R12" s="132"/>
      <c r="S12" s="132"/>
      <c r="T12" s="132"/>
      <c r="Y12" s="64">
        <v>2018</v>
      </c>
    </row>
    <row r="13" spans="1:25" x14ac:dyDescent="0.25">
      <c r="A13" s="605" t="str" cm="1">
        <f t="array" ref="A13">IF($W$2="Mismatch Error","Mismatch Error",
IF($B$7="Calendar Year",
INDEX('Commodity Prices'!$BA:$BF,MATCH(1,(('Commodity Prices'!$BA:$BA="Base Metals")+('Commodity Prices'!$BA:$BA="Base Metals Contained Gold/Silver"))*(('Commodity Prices'!$BB:$BB)=$B$8)*(('Commodity Prices'!$BD:$BD)=$B13),0),3),
INDEX('Commodity Prices'!$BH:$BM,MATCH(1,(('Commodity Prices'!$BH:$BH="Base Metals")+('Commodity Prices'!$BH:$BH="Base Metals Contained Gold/Silver"))*(('Commodity Prices'!$BI:$BI)=$B$8)*(('Commodity Prices'!$BK:$BK)=$B13),0),3)
)
)</f>
        <v>Korea, Republic Of (South)</v>
      </c>
      <c r="B13" s="606">
        <v>2</v>
      </c>
      <c r="C13" s="506" t="str" cm="1">
        <f t="array" ref="C13">IF($W$2="Mismatch Error","Mismatch Error",
IF($B$7="Calendar Year",
INDEX('Commodity Prices'!$BA:$BF,MATCH(1,(('Commodity Prices'!$BA:$BA="Base Metals")+('Commodity Prices'!$BA:$BA="Base Metals Contained Gold/Silver"))*(('Commodity Prices'!$BB:$BB)=$B$8)*(('Commodity Prices'!$BD:$BD)=$B13),0), 5),
INDEX('Commodity Prices'!$BH:$BM,MATCH(1,(('Commodity Prices'!$BH:$BH="Base Metals")+('Commodity Prices'!$BH:$BH="Base Metals Contained Gold/Silver"))*(('Commodity Prices'!$BI:$BI)=$B$8)*(('Commodity Prices'!$BK:$BK)=$B13),0), 5)
)
)</f>
        <v>n/a</v>
      </c>
      <c r="D13" s="607" cm="1">
        <f t="array" ref="D13">IF($W$2="Mismatch Error","Mismatch Error",
IF($B$7="Calendar Year",
INDEX('Commodity Prices'!$BA:$BF,MATCH(1,(('Commodity Prices'!$BA:$BA="Base Metals")+('Commodity Prices'!$BA:$BA="Base Metals Contained Gold/Silver"))*(('Commodity Prices'!$BB:$BB)=$B$8)*(('Commodity Prices'!$BD:$BD)=$B13),0), 6),
INDEX('Commodity Prices'!$BH:$BM,MATCH(1,(('Commodity Prices'!$BH:$BH="Base Metals")+('Commodity Prices'!$BH:$BH="Base Metals Contained Gold/Silver"))*(('Commodity Prices'!$BI:$BI)=$B$8)*(('Commodity Prices'!$BK:$BK)=$B13),0), 6)
)
)</f>
        <v>0.19429285905544016</v>
      </c>
      <c r="R13" s="132"/>
      <c r="S13" s="132"/>
      <c r="T13" s="132"/>
      <c r="Y13" s="64">
        <v>2019</v>
      </c>
    </row>
    <row r="14" spans="1:25" x14ac:dyDescent="0.25">
      <c r="A14" s="601" t="str" cm="1">
        <f t="array" ref="A14">IF($W$2="Mismatch Error","Mismatch Error",
IF($B$7="Calendar Year",
INDEX('Commodity Prices'!$BA:$BF,MATCH(1,(('Commodity Prices'!$BA:$BA="Base Metals")+('Commodity Prices'!$BA:$BA="Base Metals Contained Gold/Silver"))*(('Commodity Prices'!$BB:$BB)=$B$8)*(('Commodity Prices'!$BD:$BD)=$B14),0),3),
INDEX('Commodity Prices'!$BH:$BM,MATCH(1,(('Commodity Prices'!$BH:$BH="Base Metals")+('Commodity Prices'!$BH:$BH="Base Metals Contained Gold/Silver"))*(('Commodity Prices'!$BI:$BI)=$B$8)*(('Commodity Prices'!$BK:$BK)=$B14),0),3)
)
)</f>
        <v>Japan</v>
      </c>
      <c r="B14" s="602">
        <v>3</v>
      </c>
      <c r="C14" s="603" t="str" cm="1">
        <f t="array" ref="C14">IF($W$2="Mismatch Error","Mismatch Error",
IF($B$7="Calendar Year",
INDEX('Commodity Prices'!$BA:$BF,MATCH(1,(('Commodity Prices'!$BA:$BA="Base Metals")+('Commodity Prices'!$BA:$BA="Base Metals Contained Gold/Silver"))*(('Commodity Prices'!$BB:$BB)=$B$8)*(('Commodity Prices'!$BD:$BD)=$B14),0), 5),
INDEX('Commodity Prices'!$BH:$BM,MATCH(1,(('Commodity Prices'!$BH:$BH="Base Metals")+('Commodity Prices'!$BH:$BH="Base Metals Contained Gold/Silver"))*(('Commodity Prices'!$BI:$BI)=$B$8)*(('Commodity Prices'!$BK:$BK)=$B14),0), 5)
)
)</f>
        <v>n/a</v>
      </c>
      <c r="D14" s="604" cm="1">
        <f t="array" ref="D14">IF($W$2="Mismatch Error","Mismatch Error",
IF($B$7="Calendar Year",
INDEX('Commodity Prices'!$BA:$BF,MATCH(1,(('Commodity Prices'!$BA:$BA="Base Metals")+('Commodity Prices'!$BA:$BA="Base Metals Contained Gold/Silver"))*(('Commodity Prices'!$BB:$BB)=$B$8)*(('Commodity Prices'!$BD:$BD)=$B14),0), 6),
INDEX('Commodity Prices'!$BH:$BM,MATCH(1,(('Commodity Prices'!$BH:$BH="Base Metals")+('Commodity Prices'!$BH:$BH="Base Metals Contained Gold/Silver"))*(('Commodity Prices'!$BI:$BI)=$B$8)*(('Commodity Prices'!$BK:$BK)=$B14),0), 6)
)
)</f>
        <v>0.14726278672538848</v>
      </c>
      <c r="R14" s="132"/>
      <c r="S14" s="132"/>
      <c r="T14" s="132"/>
      <c r="Y14" s="64">
        <v>2020</v>
      </c>
    </row>
    <row r="15" spans="1:25" x14ac:dyDescent="0.25">
      <c r="A15" s="605" t="str" cm="1">
        <f t="array" ref="A15">IF($W$2="Mismatch Error","Mismatch Error",
IF($B$7="Calendar Year",
INDEX('Commodity Prices'!$BA:$BF,MATCH(1,(('Commodity Prices'!$BA:$BA="Base Metals")+('Commodity Prices'!$BA:$BA="Base Metals Contained Gold/Silver"))*(('Commodity Prices'!$BB:$BB)=$B$8)*(('Commodity Prices'!$BD:$BD)=$B15),0),3),
INDEX('Commodity Prices'!$BH:$BM,MATCH(1,(('Commodity Prices'!$BH:$BH="Base Metals")+('Commodity Prices'!$BH:$BH="Base Metals Contained Gold/Silver"))*(('Commodity Prices'!$BI:$BI)=$B$8)*(('Commodity Prices'!$BK:$BK)=$B15),0),3)
)
)</f>
        <v>Germany</v>
      </c>
      <c r="B15" s="606">
        <v>4</v>
      </c>
      <c r="C15" s="506" t="str" cm="1">
        <f t="array" ref="C15">IF($W$2="Mismatch Error","Mismatch Error",
IF($B$7="Calendar Year",
INDEX('Commodity Prices'!$BA:$BF,MATCH(1,(('Commodity Prices'!$BA:$BA="Base Metals")+('Commodity Prices'!$BA:$BA="Base Metals Contained Gold/Silver"))*(('Commodity Prices'!$BB:$BB)=$B$8)*(('Commodity Prices'!$BD:$BD)=$B15),0), 5),
INDEX('Commodity Prices'!$BH:$BM,MATCH(1,(('Commodity Prices'!$BH:$BH="Base Metals")+('Commodity Prices'!$BH:$BH="Base Metals Contained Gold/Silver"))*(('Commodity Prices'!$BI:$BI)=$B$8)*(('Commodity Prices'!$BK:$BK)=$B15),0), 5)
)
)</f>
        <v>n/a</v>
      </c>
      <c r="D15" s="607" cm="1">
        <f t="array" ref="D15">IF($W$2="Mismatch Error","Mismatch Error",
IF($B$7="Calendar Year",
INDEX('Commodity Prices'!$BA:$BF,MATCH(1,(('Commodity Prices'!$BA:$BA="Base Metals")+('Commodity Prices'!$BA:$BA="Base Metals Contained Gold/Silver"))*(('Commodity Prices'!$BB:$BB)=$B$8)*(('Commodity Prices'!$BD:$BD)=$B15),0), 6),
INDEX('Commodity Prices'!$BH:$BM,MATCH(1,(('Commodity Prices'!$BH:$BH="Base Metals")+('Commodity Prices'!$BH:$BH="Base Metals Contained Gold/Silver"))*(('Commodity Prices'!$BI:$BI)=$B$8)*(('Commodity Prices'!$BK:$BK)=$B15),0), 6)
)
)</f>
        <v>0.11783673320171363</v>
      </c>
      <c r="R15" s="132"/>
      <c r="S15" s="132"/>
      <c r="T15" s="132"/>
      <c r="Y15" s="64">
        <v>2021</v>
      </c>
    </row>
    <row r="16" spans="1:25" x14ac:dyDescent="0.25">
      <c r="A16" s="601" t="str" cm="1">
        <f t="array" ref="A16">IF($W$2="Mismatch Error","Mismatch Error",
IF($B$7="Calendar Year",
INDEX('Commodity Prices'!$BA:$BF,MATCH(1,(('Commodity Prices'!$BA:$BA="Base Metals")+('Commodity Prices'!$BA:$BA="Base Metals Contained Gold/Silver"))*(('Commodity Prices'!$BB:$BB)=$B$8)*(('Commodity Prices'!$BD:$BD)=$B16),0),3),
INDEX('Commodity Prices'!$BH:$BM,MATCH(1,(('Commodity Prices'!$BH:$BH="Base Metals")+('Commodity Prices'!$BH:$BH="Base Metals Contained Gold/Silver"))*(('Commodity Prices'!$BI:$BI)=$B$8)*(('Commodity Prices'!$BK:$BK)=$B16),0),3)
)
)</f>
        <v>China</v>
      </c>
      <c r="B16" s="602">
        <v>5</v>
      </c>
      <c r="C16" s="603" t="str" cm="1">
        <f t="array" ref="C16">IF($W$2="Mismatch Error","Mismatch Error",
IF($B$7="Calendar Year",
INDEX('Commodity Prices'!$BA:$BF,MATCH(1,(('Commodity Prices'!$BA:$BA="Base Metals")+('Commodity Prices'!$BA:$BA="Base Metals Contained Gold/Silver"))*(('Commodity Prices'!$BB:$BB)=$B$8)*(('Commodity Prices'!$BD:$BD)=$B16),0), 5),
INDEX('Commodity Prices'!$BH:$BM,MATCH(1,(('Commodity Prices'!$BH:$BH="Base Metals")+('Commodity Prices'!$BH:$BH="Base Metals Contained Gold/Silver"))*(('Commodity Prices'!$BI:$BI)=$B$8)*(('Commodity Prices'!$BK:$BK)=$B16),0), 5)
)
)</f>
        <v>n/a</v>
      </c>
      <c r="D16" s="604" cm="1">
        <f t="array" ref="D16">IF($W$2="Mismatch Error","Mismatch Error",
IF($B$7="Calendar Year",
INDEX('Commodity Prices'!$BA:$BF,MATCH(1,(('Commodity Prices'!$BA:$BA="Base Metals")+('Commodity Prices'!$BA:$BA="Base Metals Contained Gold/Silver"))*(('Commodity Prices'!$BB:$BB)=$B$8)*(('Commodity Prices'!$BD:$BD)=$B16),0), 6),
INDEX('Commodity Prices'!$BH:$BM,MATCH(1,(('Commodity Prices'!$BH:$BH="Base Metals")+('Commodity Prices'!$BH:$BH="Base Metals Contained Gold/Silver"))*(('Commodity Prices'!$BI:$BI)=$B$8)*(('Commodity Prices'!$BK:$BK)=$B16),0), 6)
)
)</f>
        <v>0.11171339904698359</v>
      </c>
      <c r="R16" s="132"/>
      <c r="S16" s="132"/>
      <c r="T16" s="132"/>
      <c r="Y16" s="64">
        <v>2022</v>
      </c>
    </row>
    <row r="17" spans="1:25" x14ac:dyDescent="0.25">
      <c r="A17" s="605" t="str" cm="1">
        <f t="array" ref="A17">IF($W$2="Mismatch Error","Mismatch Error",
IF($B$7="Calendar Year",
INDEX('Commodity Prices'!$BA:$BF,MATCH(1,(('Commodity Prices'!$BA:$BA="Base Metals")+('Commodity Prices'!$BA:$BA="Base Metals Contained Gold/Silver"))*(('Commodity Prices'!$BB:$BB)=$B$8)*(('Commodity Prices'!$BD:$BD)=$B17),0),3),
INDEX('Commodity Prices'!$BH:$BM,MATCH(1,(('Commodity Prices'!$BH:$BH="Base Metals")+('Commodity Prices'!$BH:$BH="Base Metals Contained Gold/Silver"))*(('Commodity Prices'!$BI:$BI)=$B$8)*(('Commodity Prices'!$BK:$BK)=$B17),0),3)
)
)</f>
        <v>Sweden</v>
      </c>
      <c r="B17" s="606">
        <v>6</v>
      </c>
      <c r="C17" s="506" t="str" cm="1">
        <f t="array" ref="C17">IF($W$2="Mismatch Error","Mismatch Error",
IF($B$7="Calendar Year",
INDEX('Commodity Prices'!$BA:$BF,MATCH(1,(('Commodity Prices'!$BA:$BA="Base Metals")+('Commodity Prices'!$BA:$BA="Base Metals Contained Gold/Silver"))*(('Commodity Prices'!$BB:$BB)=$B$8)*(('Commodity Prices'!$BD:$BD)=$B17),0), 5),
INDEX('Commodity Prices'!$BH:$BM,MATCH(1,(('Commodity Prices'!$BH:$BH="Base Metals")+('Commodity Prices'!$BH:$BH="Base Metals Contained Gold/Silver"))*(('Commodity Prices'!$BI:$BI)=$B$8)*(('Commodity Prices'!$BK:$BK)=$B17),0), 5)
)
)</f>
        <v>n/a</v>
      </c>
      <c r="D17" s="607" cm="1">
        <f t="array" ref="D17">IF($W$2="Mismatch Error","Mismatch Error",
IF($B$7="Calendar Year",
INDEX('Commodity Prices'!$BA:$BF,MATCH(1,(('Commodity Prices'!$BA:$BA="Base Metals")+('Commodity Prices'!$BA:$BA="Base Metals Contained Gold/Silver"))*(('Commodity Prices'!$BB:$BB)=$B$8)*(('Commodity Prices'!$BD:$BD)=$B17),0), 6),
INDEX('Commodity Prices'!$BH:$BM,MATCH(1,(('Commodity Prices'!$BH:$BH="Base Metals")+('Commodity Prices'!$BH:$BH="Base Metals Contained Gold/Silver"))*(('Commodity Prices'!$BI:$BI)=$B$8)*(('Commodity Prices'!$BK:$BK)=$B17),0), 6)
)
)</f>
        <v>6.2458053854693919E-2</v>
      </c>
      <c r="R17" s="132"/>
      <c r="S17" s="132"/>
      <c r="T17" s="132"/>
      <c r="Y17" s="64">
        <v>2023</v>
      </c>
    </row>
    <row r="18" spans="1:25" x14ac:dyDescent="0.25">
      <c r="A18" s="601" t="str" cm="1">
        <f t="array" ref="A18">IF($W$2="Mismatch Error","Mismatch Error",
IF($B$7="Calendar Year",
INDEX('Commodity Prices'!$BA:$BF,MATCH(1,(('Commodity Prices'!$BA:$BA="Base Metals")+('Commodity Prices'!$BA:$BA="Base Metals Contained Gold/Silver"))*(('Commodity Prices'!$BB:$BB)=$B$8)*(('Commodity Prices'!$BD:$BD)=$B18),0),3),
INDEX('Commodity Prices'!$BH:$BM,MATCH(1,(('Commodity Prices'!$BH:$BH="Base Metals")+('Commodity Prices'!$BH:$BH="Base Metals Contained Gold/Silver"))*(('Commodity Prices'!$BI:$BI)=$B$8)*(('Commodity Prices'!$BK:$BK)=$B18),0),3)
)
)</f>
        <v>Finland</v>
      </c>
      <c r="B18" s="602">
        <v>7</v>
      </c>
      <c r="C18" s="603" t="str" cm="1">
        <f t="array" ref="C18">IF($W$2="Mismatch Error","Mismatch Error",
IF($B$7="Calendar Year",
INDEX('Commodity Prices'!$BA:$BF,MATCH(1,(('Commodity Prices'!$BA:$BA="Base Metals")+('Commodity Prices'!$BA:$BA="Base Metals Contained Gold/Silver"))*(('Commodity Prices'!$BB:$BB)=$B$8)*(('Commodity Prices'!$BD:$BD)=$B18),0), 5),
INDEX('Commodity Prices'!$BH:$BM,MATCH(1,(('Commodity Prices'!$BH:$BH="Base Metals")+('Commodity Prices'!$BH:$BH="Base Metals Contained Gold/Silver"))*(('Commodity Prices'!$BI:$BI)=$B$8)*(('Commodity Prices'!$BK:$BK)=$B18),0), 5)
)
)</f>
        <v>n/a</v>
      </c>
      <c r="D18" s="604" cm="1">
        <f t="array" ref="D18">IF($W$2="Mismatch Error","Mismatch Error",
IF($B$7="Calendar Year",
INDEX('Commodity Prices'!$BA:$BF,MATCH(1,(('Commodity Prices'!$BA:$BA="Base Metals")+('Commodity Prices'!$BA:$BA="Base Metals Contained Gold/Silver"))*(('Commodity Prices'!$BB:$BB)=$B$8)*(('Commodity Prices'!$BD:$BD)=$B18),0), 6),
INDEX('Commodity Prices'!$BH:$BM,MATCH(1,(('Commodity Prices'!$BH:$BH="Base Metals")+('Commodity Prices'!$BH:$BH="Base Metals Contained Gold/Silver"))*(('Commodity Prices'!$BI:$BI)=$B$8)*(('Commodity Prices'!$BK:$BK)=$B18),0), 6)
)
)</f>
        <v>4.9104893740899359E-2</v>
      </c>
      <c r="R18" s="132"/>
      <c r="S18" s="132"/>
      <c r="T18" s="132"/>
    </row>
    <row r="19" spans="1:25" x14ac:dyDescent="0.25">
      <c r="A19" s="608" t="str" cm="1">
        <f t="array" ref="A19">IF($W$2="Mismatch Error","Mismatch Error",
IF($B$7="Calendar Year",
INDEX('Commodity Prices'!$BA:$BF,MATCH(1,(('Commodity Prices'!$BA:$BA="Base Metals")+('Commodity Prices'!$BA:$BA="Base Metals Contained Gold/Silver"))*(('Commodity Prices'!$BB:$BB)=$B$8)*(('Commodity Prices'!$BD:$BD)=$B19),0),3),
INDEX('Commodity Prices'!$BH:$BM,MATCH(1,(('Commodity Prices'!$BH:$BH="Base Metals")+('Commodity Prices'!$BH:$BH="Base Metals Contained Gold/Silver"))*(('Commodity Prices'!$BI:$BI)=$B$8)*(('Commodity Prices'!$BK:$BK)=$B19),0),3)
)
)</f>
        <v>Taiwan</v>
      </c>
      <c r="B19" s="606">
        <v>8</v>
      </c>
      <c r="C19" s="506" t="str" cm="1">
        <f t="array" ref="C19">IF($W$2="Mismatch Error","Mismatch Error",
IF($B$7="Calendar Year",
INDEX('Commodity Prices'!$BA:$BF,MATCH(1,(('Commodity Prices'!$BA:$BA="Base Metals")+('Commodity Prices'!$BA:$BA="Base Metals Contained Gold/Silver"))*(('Commodity Prices'!$BB:$BB)=$B$8)*(('Commodity Prices'!$BD:$BD)=$B19),0), 5),
INDEX('Commodity Prices'!$BH:$BM,MATCH(1,(('Commodity Prices'!$BH:$BH="Base Metals")+('Commodity Prices'!$BH:$BH="Base Metals Contained Gold/Silver"))*(('Commodity Prices'!$BI:$BI)=$B$8)*(('Commodity Prices'!$BK:$BK)=$B19),0), 5)
)
)</f>
        <v>n/a</v>
      </c>
      <c r="D19" s="607" cm="1">
        <f t="array" ref="D19">IF($W$2="Mismatch Error","Mismatch Error",
IF($B$7="Calendar Year",
INDEX('Commodity Prices'!$BA:$BF,MATCH(1,(('Commodity Prices'!$BA:$BA="Base Metals")+('Commodity Prices'!$BA:$BA="Base Metals Contained Gold/Silver"))*(('Commodity Prices'!$BB:$BB)=$B$8)*(('Commodity Prices'!$BD:$BD)=$B19),0), 6),
INDEX('Commodity Prices'!$BH:$BM,MATCH(1,(('Commodity Prices'!$BH:$BH="Base Metals")+('Commodity Prices'!$BH:$BH="Base Metals Contained Gold/Silver"))*(('Commodity Prices'!$BI:$BI)=$B$8)*(('Commodity Prices'!$BK:$BK)=$B19),0), 6)
)
)</f>
        <v>1.1126869897751532E-2</v>
      </c>
      <c r="R19" s="132"/>
      <c r="S19" s="132"/>
      <c r="T19" s="132"/>
    </row>
    <row r="20" spans="1:25" x14ac:dyDescent="0.25">
      <c r="A20" s="609" t="str" cm="1">
        <f t="array" ref="A20">IF($W$2="Mismatch Error","Mismatch Error",
IF($B$7="Calendar Year",
INDEX('Commodity Prices'!$BA:$BF,MATCH(1,(('Commodity Prices'!$BA:$BA="Base Metals")+('Commodity Prices'!$BA:$BA="Base Metals Contained Gold/Silver"))*(('Commodity Prices'!$BB:$BB)=$B$8)*(('Commodity Prices'!$BD:$BD)=$B20),0),3),
INDEX('Commodity Prices'!$BH:$BM,MATCH(1,(('Commodity Prices'!$BH:$BH="Base Metals")+('Commodity Prices'!$BH:$BH="Base Metals Contained Gold/Silver"))*(('Commodity Prices'!$BI:$BI)=$B$8)*(('Commodity Prices'!$BK:$BK)=$B20),0),3)
)
)</f>
        <v>India</v>
      </c>
      <c r="B20" s="602">
        <v>9</v>
      </c>
      <c r="C20" s="603" t="str" cm="1">
        <f t="array" ref="C20">IF($W$2="Mismatch Error","Mismatch Error",
IF($B$7="Calendar Year",
INDEX('Commodity Prices'!$BA:$BF,MATCH(1,(('Commodity Prices'!$BA:$BA="Base Metals")+('Commodity Prices'!$BA:$BA="Base Metals Contained Gold/Silver"))*(('Commodity Prices'!$BB:$BB)=$B$8)*(('Commodity Prices'!$BD:$BD)=$B20),0), 5),
INDEX('Commodity Prices'!$BH:$BM,MATCH(1,(('Commodity Prices'!$BH:$BH="Base Metals")+('Commodity Prices'!$BH:$BH="Base Metals Contained Gold/Silver"))*(('Commodity Prices'!$BI:$BI)=$B$8)*(('Commodity Prices'!$BK:$BK)=$B20),0), 5)
)
)</f>
        <v>n/a</v>
      </c>
      <c r="D20" s="604" cm="1">
        <f t="array" ref="D20">IF($W$2="Mismatch Error","Mismatch Error",
IF($B$7="Calendar Year",
INDEX('Commodity Prices'!$BA:$BF,MATCH(1,(('Commodity Prices'!$BA:$BA="Base Metals")+('Commodity Prices'!$BA:$BA="Base Metals Contained Gold/Silver"))*(('Commodity Prices'!$BB:$BB)=$B$8)*(('Commodity Prices'!$BD:$BD)=$B20),0), 6),
INDEX('Commodity Prices'!$BH:$BM,MATCH(1,(('Commodity Prices'!$BH:$BH="Base Metals")+('Commodity Prices'!$BH:$BH="Base Metals Contained Gold/Silver"))*(('Commodity Prices'!$BI:$BI)=$B$8)*(('Commodity Prices'!$BK:$BK)=$B20),0), 6)
)
)</f>
        <v>1.0243620624821086E-2</v>
      </c>
      <c r="F20" s="400"/>
      <c r="R20" s="132"/>
      <c r="S20" s="132"/>
      <c r="T20" s="132"/>
    </row>
    <row r="21" spans="1:25" x14ac:dyDescent="0.25">
      <c r="A21" s="608" t="str" cm="1">
        <f t="array" ref="A21">IF($W$2="Mismatch Error","Mismatch Error",
IF($B$7="Calendar Year",
INDEX('Commodity Prices'!$BA:$BF,MATCH(1,(('Commodity Prices'!$BA:$BA="Base Metals")+('Commodity Prices'!$BA:$BA="Base Metals Contained Gold/Silver"))*(('Commodity Prices'!$BB:$BB)=$B$8)*(('Commodity Prices'!$BD:$BD)=$B21),0),3),
INDEX('Commodity Prices'!$BH:$BM,MATCH(1,(('Commodity Prices'!$BH:$BH="Base Metals")+('Commodity Prices'!$BH:$BH="Base Metals Contained Gold/Silver"))*(('Commodity Prices'!$BI:$BI)=$B$8)*(('Commodity Prices'!$BK:$BK)=$B21),0),3)
)
)</f>
        <v>n/a</v>
      </c>
      <c r="B21" s="606">
        <v>10</v>
      </c>
      <c r="C21" s="506" t="str" cm="1">
        <f t="array" ref="C21">IF($W$2="Mismatch Error","Mismatch Error",
IF($B$7="Calendar Year",
INDEX('Commodity Prices'!$BA:$BF,MATCH(1,(('Commodity Prices'!$BA:$BA="Base Metals")+('Commodity Prices'!$BA:$BA="Base Metals Contained Gold/Silver"))*(('Commodity Prices'!$BB:$BB)=$B$8)*(('Commodity Prices'!$BD:$BD)=$B21),0), 5),
INDEX('Commodity Prices'!$BH:$BM,MATCH(1,(('Commodity Prices'!$BH:$BH="Base Metals")+('Commodity Prices'!$BH:$BH="Base Metals Contained Gold/Silver"))*(('Commodity Prices'!$BI:$BI)=$B$8)*(('Commodity Prices'!$BK:$BK)=$B21),0), 5)
)
)</f>
        <v>n/a</v>
      </c>
      <c r="D21" s="607" cm="1">
        <f t="array" ref="D21">IF($W$2="Mismatch Error","Mismatch Error",
IF($B$7="Calendar Year",
INDEX('Commodity Prices'!$BA:$BF,MATCH(1,(('Commodity Prices'!$BA:$BA="Base Metals")+('Commodity Prices'!$BA:$BA="Base Metals Contained Gold/Silver"))*(('Commodity Prices'!$BB:$BB)=$B$8)*(('Commodity Prices'!$BD:$BD)=$B21),0), 6),
INDEX('Commodity Prices'!$BH:$BM,MATCH(1,(('Commodity Prices'!$BH:$BH="Base Metals")+('Commodity Prices'!$BH:$BH="Base Metals Contained Gold/Silver"))*(('Commodity Prices'!$BI:$BI)=$B$8)*(('Commodity Prices'!$BK:$BK)=$B21),0), 6)
)
)</f>
        <v>0</v>
      </c>
      <c r="R21" s="132"/>
      <c r="S21" s="132"/>
      <c r="T21" s="132"/>
    </row>
    <row r="22" spans="1:25" x14ac:dyDescent="0.25">
      <c r="A22" s="601" t="str">
        <f>IF($W$2="Mismatch Error","","Other")</f>
        <v>Other</v>
      </c>
      <c r="B22" s="602"/>
      <c r="C22" s="610" cm="1">
        <f t="array" ref="C22">IF($W$2="Mismatch Error","Mismatch Error",
IF($B$7="Calendar Year",
INDEX('Commodity Prices'!$BA:$BF, MATCH(1,('Commodity Prices'!$BA:$BA="Base Metals")+('Commodity Prices'!$BA:$BA="Base Metals Contained Gold/Silver")*(('Commodity Prices'!$BB:$BB)=$B$8)*(('Commodity Prices'!$BD:$BD)=$B22),0), 5),
INDEX('Commodity Prices'!$BH:$BM, MATCH(1,('Commodity Prices'!$BA:$BA="Base Metals")+('Commodity Prices'!$BA:$BA="Base Metals Contained Gold/Silver")*(('Commodity Prices'!$BI:$BI)=$B$8)*(('Commodity Prices'!$BK:$BK)=$B22),0), 5)
)
)</f>
        <v>866456650</v>
      </c>
      <c r="D22" s="611" cm="1">
        <f t="array" ref="D22">IF($W$2="Mismatch Error","Mismatch Error",
IF($B$7="Calendar Year",
INDEX('Commodity Prices'!$BA:$BF,MATCH(1,(('Commodity Prices'!$BA:$BA="Base Metals")+('Commodity Prices'!$BA:$BA="Base Metals Contained Gold/Silver"))*(('Commodity Prices'!$BB:$BB)=$B$8)*(('Commodity Prices'!$BD:$BD)=$B22),0), 6),
INDEX('Commodity Prices'!$BH:$BM,MATCH(1,(('Commodity Prices'!$BH:$BH="Base Metals")+('Commodity Prices'!$BH:$BH="Base Metals Contained Gold/Silver"))*(('Commodity Prices'!$BI:$BI)=$B$8)*(('Commodity Prices'!$BK:$BK)=$B22),0), 6)
)
)</f>
        <v>0</v>
      </c>
      <c r="E22" s="2"/>
      <c r="O22" s="400"/>
      <c r="R22" s="132"/>
      <c r="S22" s="132"/>
      <c r="T22" s="132"/>
    </row>
    <row r="23" spans="1:25" x14ac:dyDescent="0.25">
      <c r="A23" s="612" t="str">
        <f>IF($W$2="Mismatch Error","","Grand Total")</f>
        <v>Grand Total</v>
      </c>
      <c r="B23" s="613"/>
      <c r="C23" s="614">
        <f>SUM(C12:C22)</f>
        <v>866456650</v>
      </c>
      <c r="D23" s="615"/>
      <c r="E23" s="616"/>
      <c r="R23" s="132"/>
      <c r="S23" s="132"/>
      <c r="T23" s="132"/>
    </row>
    <row r="24" spans="1:25" ht="16.5" thickBot="1" x14ac:dyDescent="0.3">
      <c r="A24" s="1433" t="s">
        <v>572</v>
      </c>
      <c r="B24" s="1434"/>
      <c r="C24" s="617">
        <f>IF($W$2="Mismatch Error","",IF($B$7=$X$1,SUMIFS('Commodity Prices'!BE11:BE1516,'Commodity Prices'!BB11:BB1516,B8,'Commodity Prices'!BA11:BA1516,"Base Metals Contained Gold/Silver"),SUMIFS('Commodity Prices'!BL11:BL1516,'Commodity Prices'!BI11:BI1516,B8,'Commodity Prices'!BH11:BH1516,"Base Metals Contained Gold/Silver")))</f>
        <v>0</v>
      </c>
      <c r="D24" s="618"/>
      <c r="E24" s="2"/>
      <c r="R24" s="132"/>
      <c r="S24" s="132"/>
      <c r="T24" s="594"/>
    </row>
    <row r="25" spans="1:25" ht="15.75" x14ac:dyDescent="0.25">
      <c r="A25" s="517" t="str">
        <f>IF(A12="Mismatch Error","You have selected an incompatible year or year type. Change one or the other to display data.","")</f>
        <v/>
      </c>
      <c r="B25" s="517"/>
      <c r="C25" s="517"/>
      <c r="D25" s="517"/>
      <c r="E25" s="400"/>
      <c r="R25" s="594"/>
      <c r="S25" s="594"/>
      <c r="T25" s="594"/>
    </row>
    <row r="26" spans="1:25" ht="15.75" x14ac:dyDescent="0.25">
      <c r="A26" s="517"/>
      <c r="B26" s="517"/>
      <c r="C26" s="517"/>
      <c r="D26" s="517"/>
      <c r="R26" s="594"/>
      <c r="S26" s="594"/>
      <c r="T26" s="594"/>
    </row>
    <row r="27" spans="1:25" ht="15.75" x14ac:dyDescent="0.25">
      <c r="A27" s="517" t="str">
        <f>IF(OR(ISNA(A12),ISNA(A13),ISNA(A14),ISNA(A15),ISNA(A16),ISNA(A17),ISNA(A18),ISNA(A19),ISNA(#REF!),ISNA(#REF!),ISNA(C12),ISNA(C13),ISNA(C14),ISNA(C15),ISNA(C16),ISNA(C17),ISNA(C18),ISNA(C19),ISNA(#REF!),ISNA(#REF!)),"You have ecountered an NA Error. This is most likely caused by the accidental loss of an array formula in the table above. Click on the cell showing #N/A above, then click the formula bar and press Ctrl, Shift and Enter.","")</f>
        <v/>
      </c>
      <c r="B27" s="517"/>
      <c r="C27" s="517"/>
      <c r="D27" s="517"/>
      <c r="R27" s="594"/>
      <c r="S27" s="594"/>
      <c r="T27" s="594"/>
    </row>
    <row r="28" spans="1:25" ht="15" customHeight="1" x14ac:dyDescent="0.25">
      <c r="A28" s="517"/>
      <c r="B28" s="517"/>
      <c r="C28" s="517"/>
      <c r="D28" s="517"/>
      <c r="R28" s="594"/>
      <c r="S28" s="594"/>
      <c r="T28" s="594"/>
    </row>
    <row r="29" spans="1:25" ht="15.75" x14ac:dyDescent="0.25">
      <c r="A29" s="517"/>
      <c r="B29" s="517"/>
      <c r="C29" s="517"/>
      <c r="D29" s="517"/>
      <c r="R29" s="594"/>
      <c r="S29" s="594"/>
      <c r="T29" s="594"/>
    </row>
    <row r="30" spans="1:25" ht="15.75" x14ac:dyDescent="0.25">
      <c r="A30" s="517"/>
      <c r="B30" s="517"/>
      <c r="C30" s="517"/>
      <c r="D30" s="517"/>
      <c r="R30" s="594"/>
      <c r="S30" s="594"/>
      <c r="T30" s="594"/>
    </row>
    <row r="31" spans="1:25" ht="15.75" x14ac:dyDescent="0.25">
      <c r="A31" s="619" t="str">
        <f>IF(B8=2017,"Note: Data suggests base metals were exported to a restricted number of countries ("&amp;MATCH("",A12:A19,0)-1&amp;") during this period ("&amp;B8&amp;").","")</f>
        <v/>
      </c>
      <c r="B31" s="619"/>
      <c r="C31" s="619"/>
      <c r="D31" s="619"/>
      <c r="R31" s="594"/>
      <c r="S31" s="594"/>
      <c r="T31" s="594"/>
    </row>
  </sheetData>
  <mergeCells count="4">
    <mergeCell ref="B7:D7"/>
    <mergeCell ref="B8:D8"/>
    <mergeCell ref="A10:D10"/>
    <mergeCell ref="A24:B24"/>
  </mergeCells>
  <dataValidations count="3">
    <dataValidation allowBlank="1" promptTitle="Select a Display Factor:" prompt="Clicking here will bring up a message describing the selections you can make." sqref="E7:E8" xr:uid="{64641935-1A59-4729-AA44-2297692F62A6}"/>
    <dataValidation type="list" allowBlank="1" showInputMessage="1" showErrorMessage="1" promptTitle="Select a Display Factor:" prompt="Clicking here will bring up a message describing the selections you can make." sqref="B7:D7" xr:uid="{E9BC5BB7-F8CA-4131-8403-CEEED8825CFC}">
      <formula1>$X$1:$X$2</formula1>
    </dataValidation>
    <dataValidation type="list" allowBlank="1" showInputMessage="1" showErrorMessage="1" promptTitle="Select a Display Factor:" prompt="Clicking here will bring up a message describing the selections you can make." sqref="B8:D8" xr:uid="{F354F3E7-F596-4077-AFF8-06EBD0622A10}">
      <formula1>$Y$1:$Y$27</formula1>
    </dataValidation>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D0659-FD9E-46EF-AA38-D514FD900789}">
  <sheetPr>
    <tabColor rgb="FFF6B4E8"/>
  </sheetPr>
  <dimension ref="A1:AP54"/>
  <sheetViews>
    <sheetView showGridLines="0" zoomScale="85" zoomScaleNormal="85" workbookViewId="0">
      <pane ySplit="9" topLeftCell="A10" activePane="bottomLeft" state="frozen"/>
      <selection pane="bottomLeft"/>
    </sheetView>
  </sheetViews>
  <sheetFormatPr defaultColWidth="9.140625" defaultRowHeight="15" x14ac:dyDescent="0.25"/>
  <cols>
    <col min="1" max="1" width="12.7109375" customWidth="1"/>
    <col min="2" max="7" width="20.7109375" customWidth="1"/>
    <col min="19" max="19" width="12.7109375" customWidth="1"/>
    <col min="20" max="25" width="20.7109375" customWidth="1"/>
    <col min="26" max="29" width="9.140625" customWidth="1"/>
  </cols>
  <sheetData>
    <row r="1" spans="1:42" x14ac:dyDescent="0.25">
      <c r="AP1" s="58" t="str">
        <f>"Australian and Western Australian Copper Production "&amp;MAX(A10:A202)</f>
        <v>Australian and Western Australian Copper Production 2024</v>
      </c>
    </row>
    <row r="2" spans="1:42" x14ac:dyDescent="0.25">
      <c r="E2" s="620"/>
      <c r="AP2" s="58" t="str">
        <f>"Australian and Western Australian Lead Production "&amp;MAX(A10:A202)</f>
        <v>Australian and Western Australian Lead Production 2024</v>
      </c>
    </row>
    <row r="3" spans="1:42" x14ac:dyDescent="0.25">
      <c r="AP3" s="58" t="str">
        <f>"Australian and Western Australian Zinc Production "&amp;MAX(A10:A202)</f>
        <v>Australian and Western Australian Zinc Production 2024</v>
      </c>
    </row>
    <row r="7" spans="1:42" ht="15.75" thickBot="1" x14ac:dyDescent="0.3">
      <c r="A7" s="1408" t="s">
        <v>564</v>
      </c>
      <c r="B7" s="1408"/>
      <c r="C7" s="1408"/>
      <c r="D7" s="1408"/>
      <c r="E7" s="1408"/>
      <c r="F7" s="1408"/>
      <c r="G7" s="1408"/>
    </row>
    <row r="8" spans="1:42" x14ac:dyDescent="0.25">
      <c r="A8" s="621"/>
      <c r="B8" s="1418" t="s">
        <v>169</v>
      </c>
      <c r="C8" s="1419"/>
      <c r="D8" s="1418" t="s">
        <v>253</v>
      </c>
      <c r="E8" s="1419"/>
      <c r="F8" s="1418" t="s">
        <v>254</v>
      </c>
      <c r="G8" s="1420"/>
    </row>
    <row r="9" spans="1:42" x14ac:dyDescent="0.25">
      <c r="A9" s="544" t="s">
        <v>272</v>
      </c>
      <c r="B9" s="622" t="s">
        <v>573</v>
      </c>
      <c r="C9" s="623" t="s">
        <v>574</v>
      </c>
      <c r="D9" s="622" t="s">
        <v>573</v>
      </c>
      <c r="E9" s="623" t="s">
        <v>574</v>
      </c>
      <c r="F9" s="622" t="s">
        <v>573</v>
      </c>
      <c r="G9" s="624" t="s">
        <v>574</v>
      </c>
    </row>
    <row r="10" spans="1:42" x14ac:dyDescent="0.25">
      <c r="A10" s="625">
        <v>1980</v>
      </c>
      <c r="B10" s="462">
        <v>3.1320000000000001</v>
      </c>
      <c r="C10" s="626">
        <v>242</v>
      </c>
      <c r="D10" s="455">
        <v>0</v>
      </c>
      <c r="E10" s="462">
        <v>398</v>
      </c>
      <c r="F10" s="455">
        <v>0</v>
      </c>
      <c r="G10" s="463">
        <v>495</v>
      </c>
      <c r="S10" s="1393" t="s">
        <v>564</v>
      </c>
      <c r="T10" s="1393"/>
      <c r="U10" s="1393"/>
      <c r="V10" s="1393"/>
      <c r="W10" s="1393"/>
      <c r="X10" s="1393"/>
      <c r="Y10" s="1393"/>
    </row>
    <row r="11" spans="1:42" ht="15.75" thickBot="1" x14ac:dyDescent="0.3">
      <c r="A11" s="625">
        <v>1981</v>
      </c>
      <c r="B11" s="632">
        <v>4.4240000000000004</v>
      </c>
      <c r="C11" s="633">
        <v>231</v>
      </c>
      <c r="D11" s="566">
        <v>0</v>
      </c>
      <c r="E11" s="632">
        <v>388</v>
      </c>
      <c r="F11" s="566">
        <v>3.613</v>
      </c>
      <c r="G11" s="634">
        <v>518</v>
      </c>
      <c r="S11" s="1393" t="s">
        <v>567</v>
      </c>
      <c r="T11" s="1393"/>
      <c r="U11" s="1393"/>
      <c r="V11" s="1393"/>
      <c r="W11" s="1393"/>
      <c r="X11" s="1393"/>
      <c r="Y11" s="1393"/>
    </row>
    <row r="12" spans="1:42" x14ac:dyDescent="0.25">
      <c r="A12" s="625">
        <v>1982</v>
      </c>
      <c r="B12" s="462">
        <v>17.603999999999999</v>
      </c>
      <c r="C12" s="626">
        <v>245</v>
      </c>
      <c r="D12" s="455">
        <v>0</v>
      </c>
      <c r="E12" s="462">
        <v>455</v>
      </c>
      <c r="F12" s="455">
        <v>48.018000000000001</v>
      </c>
      <c r="G12" s="463">
        <v>665</v>
      </c>
      <c r="S12" s="621"/>
      <c r="T12" s="1420" t="s">
        <v>169</v>
      </c>
      <c r="U12" s="1435"/>
      <c r="V12" s="1436" t="s">
        <v>253</v>
      </c>
      <c r="W12" s="1437"/>
      <c r="X12" s="1420" t="s">
        <v>254</v>
      </c>
      <c r="Y12" s="1438"/>
    </row>
    <row r="13" spans="1:42" x14ac:dyDescent="0.25">
      <c r="A13" s="625">
        <v>1983</v>
      </c>
      <c r="B13" s="632">
        <v>11.449</v>
      </c>
      <c r="C13" s="633">
        <v>262</v>
      </c>
      <c r="D13" s="566">
        <v>0</v>
      </c>
      <c r="E13" s="632">
        <v>481</v>
      </c>
      <c r="F13" s="566">
        <v>13.157999999999999</v>
      </c>
      <c r="G13" s="634">
        <v>699</v>
      </c>
      <c r="S13" s="627" t="s">
        <v>272</v>
      </c>
      <c r="T13" s="628" t="str">
        <f t="shared" ref="T13:Y13" si="0">B9</f>
        <v>Western Australia (Kt)</v>
      </c>
      <c r="U13" s="629" t="str">
        <f t="shared" si="0"/>
        <v>Rest of Australia (Kt)</v>
      </c>
      <c r="V13" s="630" t="str">
        <f t="shared" si="0"/>
        <v>Western Australia (Kt)</v>
      </c>
      <c r="W13" s="628" t="str">
        <f t="shared" si="0"/>
        <v>Rest of Australia (Kt)</v>
      </c>
      <c r="X13" s="628" t="str">
        <f t="shared" si="0"/>
        <v>Western Australia (Kt)</v>
      </c>
      <c r="Y13" s="631" t="str">
        <f t="shared" si="0"/>
        <v>Rest of Australia (Kt)</v>
      </c>
    </row>
    <row r="14" spans="1:42" x14ac:dyDescent="0.25">
      <c r="A14" s="625">
        <v>1984</v>
      </c>
      <c r="B14" s="462">
        <v>12.005000000000001</v>
      </c>
      <c r="C14" s="626">
        <v>236</v>
      </c>
      <c r="D14" s="455">
        <v>0</v>
      </c>
      <c r="E14" s="462">
        <v>441</v>
      </c>
      <c r="F14" s="455">
        <v>35.64</v>
      </c>
      <c r="G14" s="463">
        <v>677</v>
      </c>
      <c r="S14" s="625">
        <f>LARGE(A$10:A$74,10)</f>
        <v>2015</v>
      </c>
      <c r="T14" s="635">
        <f t="shared" ref="T14:T23" si="1">SUMIF($A$10:$A$79,$S14,B$10:B$79)</f>
        <v>189.41435100000001</v>
      </c>
      <c r="U14" s="636">
        <f t="shared" ref="U14:U23" si="2">SUMIF($A$10:$A$79,$S14,C$10:C$79)</f>
        <v>800</v>
      </c>
      <c r="V14" s="637">
        <f t="shared" ref="V14:V23" si="3">SUMIF($A$10:$A$79,$S14,D$10:D$79)</f>
        <v>20.259029999999999</v>
      </c>
      <c r="W14" s="635">
        <f t="shared" ref="W14:W23" si="4">SUMIF($A$10:$A$79,$S14,E$10:E$79)</f>
        <v>634</v>
      </c>
      <c r="X14" s="635">
        <f t="shared" ref="X14:X23" si="5">SUMIF($A$10:$A$79,$S14,F$10:F$79)</f>
        <v>77.178319999999999</v>
      </c>
      <c r="Y14" s="638">
        <f t="shared" ref="Y14:Y23" si="6">SUMIF($A$10:$A$79,$S14,G$10:G$79)</f>
        <v>1508</v>
      </c>
    </row>
    <row r="15" spans="1:42" x14ac:dyDescent="0.25">
      <c r="A15" s="625">
        <v>1985</v>
      </c>
      <c r="B15" s="632">
        <v>10.403</v>
      </c>
      <c r="C15" s="633">
        <v>260</v>
      </c>
      <c r="D15" s="566">
        <v>0</v>
      </c>
      <c r="E15" s="632">
        <v>498</v>
      </c>
      <c r="F15" s="566">
        <v>51.976999999999997</v>
      </c>
      <c r="G15" s="634">
        <v>759</v>
      </c>
      <c r="S15" s="625">
        <f>LARGE(A$10:A$74,9)</f>
        <v>2016</v>
      </c>
      <c r="T15" s="632">
        <f t="shared" si="1"/>
        <v>181.53603299999997</v>
      </c>
      <c r="U15" s="633">
        <f t="shared" si="2"/>
        <v>769</v>
      </c>
      <c r="V15" s="566">
        <f t="shared" si="3"/>
        <v>4.76091</v>
      </c>
      <c r="W15" s="632">
        <f t="shared" si="4"/>
        <v>436</v>
      </c>
      <c r="X15" s="632">
        <f t="shared" si="5"/>
        <v>94.963539999999995</v>
      </c>
      <c r="Y15" s="634">
        <f t="shared" si="6"/>
        <v>806</v>
      </c>
    </row>
    <row r="16" spans="1:42" x14ac:dyDescent="0.25">
      <c r="A16" s="625">
        <v>1986</v>
      </c>
      <c r="B16" s="462">
        <v>7.774</v>
      </c>
      <c r="C16" s="626">
        <v>248</v>
      </c>
      <c r="D16" s="455">
        <v>0</v>
      </c>
      <c r="E16" s="462">
        <v>445</v>
      </c>
      <c r="F16" s="455">
        <v>23.969000000000001</v>
      </c>
      <c r="G16" s="463">
        <v>712</v>
      </c>
      <c r="S16" s="625">
        <f>LARGE(A$10:A$74,8)</f>
        <v>2017</v>
      </c>
      <c r="T16" s="635">
        <f t="shared" si="1"/>
        <v>160.27640700000001</v>
      </c>
      <c r="U16" s="636">
        <f t="shared" si="2"/>
        <v>672</v>
      </c>
      <c r="V16" s="637">
        <f t="shared" si="3"/>
        <v>5.9010800000000003</v>
      </c>
      <c r="W16" s="635">
        <f t="shared" si="4"/>
        <v>387</v>
      </c>
      <c r="X16" s="635">
        <f t="shared" si="5"/>
        <v>71.788228000000004</v>
      </c>
      <c r="Y16" s="638">
        <f t="shared" si="6"/>
        <v>767</v>
      </c>
    </row>
    <row r="17" spans="1:25" x14ac:dyDescent="0.25">
      <c r="A17" s="625">
        <v>1987</v>
      </c>
      <c r="B17" s="632">
        <v>2.91</v>
      </c>
      <c r="C17" s="633">
        <v>233</v>
      </c>
      <c r="D17" s="566">
        <v>0</v>
      </c>
      <c r="E17" s="632">
        <v>489</v>
      </c>
      <c r="F17" s="566">
        <v>0</v>
      </c>
      <c r="G17" s="634">
        <v>778</v>
      </c>
      <c r="S17" s="625">
        <f>LARGE(A$10:A$74,7)</f>
        <v>2018</v>
      </c>
      <c r="T17" s="632">
        <f t="shared" si="1"/>
        <v>165.92057600000001</v>
      </c>
      <c r="U17" s="633">
        <f t="shared" si="2"/>
        <v>727.3</v>
      </c>
      <c r="V17" s="566">
        <f t="shared" si="3"/>
        <v>6.0910000000000011</v>
      </c>
      <c r="W17" s="632">
        <f t="shared" si="4"/>
        <v>438</v>
      </c>
      <c r="X17" s="632">
        <f t="shared" si="5"/>
        <v>68.823993000000002</v>
      </c>
      <c r="Y17" s="634">
        <f t="shared" si="6"/>
        <v>1056</v>
      </c>
    </row>
    <row r="18" spans="1:25" x14ac:dyDescent="0.25">
      <c r="A18" s="625">
        <v>1988</v>
      </c>
      <c r="B18" s="462">
        <v>7.4260000000000002</v>
      </c>
      <c r="C18" s="626">
        <v>238</v>
      </c>
      <c r="D18" s="455">
        <v>0</v>
      </c>
      <c r="E18" s="462">
        <v>462</v>
      </c>
      <c r="F18" s="455">
        <v>20.25</v>
      </c>
      <c r="G18" s="463">
        <v>760</v>
      </c>
      <c r="S18" s="625">
        <f>LARGE(A$10:A$74,6)</f>
        <v>2019</v>
      </c>
      <c r="T18" s="635">
        <f t="shared" si="1"/>
        <v>172.11437000000001</v>
      </c>
      <c r="U18" s="636">
        <f t="shared" si="2"/>
        <v>761.88562999999999</v>
      </c>
      <c r="V18" s="637">
        <f t="shared" si="3"/>
        <v>2.9168000000000003</v>
      </c>
      <c r="W18" s="635">
        <f t="shared" si="4"/>
        <v>506.08320000000003</v>
      </c>
      <c r="X18" s="635">
        <f t="shared" si="5"/>
        <v>77.819270000000003</v>
      </c>
      <c r="Y18" s="638">
        <f t="shared" si="6"/>
        <v>1252.18073</v>
      </c>
    </row>
    <row r="19" spans="1:25" x14ac:dyDescent="0.25">
      <c r="A19" s="625">
        <v>1989</v>
      </c>
      <c r="B19" s="632">
        <v>19.038</v>
      </c>
      <c r="C19" s="633">
        <v>296</v>
      </c>
      <c r="D19" s="566">
        <v>7.8460000000000001</v>
      </c>
      <c r="E19" s="632">
        <v>495</v>
      </c>
      <c r="F19" s="566">
        <v>38.064</v>
      </c>
      <c r="G19" s="634">
        <v>803</v>
      </c>
      <c r="S19" s="625">
        <f>LARGE(A$10:A$74,5)</f>
        <v>2020</v>
      </c>
      <c r="T19" s="632">
        <f t="shared" si="1"/>
        <v>147.23582699999997</v>
      </c>
      <c r="U19" s="633">
        <f t="shared" si="2"/>
        <v>712.960410031577</v>
      </c>
      <c r="V19" s="566">
        <f t="shared" si="3"/>
        <v>1.3745150000000002</v>
      </c>
      <c r="W19" s="632">
        <f t="shared" si="4"/>
        <v>488.88600000000002</v>
      </c>
      <c r="X19" s="632">
        <f t="shared" si="5"/>
        <v>62.050920000000005</v>
      </c>
      <c r="Y19" s="634">
        <f t="shared" si="6"/>
        <v>1235.1289999999999</v>
      </c>
    </row>
    <row r="20" spans="1:25" x14ac:dyDescent="0.25">
      <c r="A20" s="625">
        <v>1990</v>
      </c>
      <c r="B20" s="462">
        <v>14.959</v>
      </c>
      <c r="C20" s="626">
        <v>314.11700000000002</v>
      </c>
      <c r="D20" s="455">
        <v>13.606</v>
      </c>
      <c r="E20" s="462">
        <v>564.69900000000007</v>
      </c>
      <c r="F20" s="455">
        <v>51.704000000000001</v>
      </c>
      <c r="G20" s="463">
        <v>882.57560000000012</v>
      </c>
      <c r="S20" s="625">
        <f>LARGE(A$10:A$74,4)</f>
        <v>2021</v>
      </c>
      <c r="T20" s="635">
        <f t="shared" si="1"/>
        <v>148.743044</v>
      </c>
      <c r="U20" s="636">
        <f t="shared" si="2"/>
        <v>652.399</v>
      </c>
      <c r="V20" s="637">
        <f t="shared" si="3"/>
        <v>1.2656350000000001</v>
      </c>
      <c r="W20" s="635">
        <f t="shared" si="4"/>
        <v>480.55599999999998</v>
      </c>
      <c r="X20" s="635">
        <f t="shared" si="5"/>
        <v>69.051431000000008</v>
      </c>
      <c r="Y20" s="638">
        <f t="shared" si="6"/>
        <v>1242.5637971425899</v>
      </c>
    </row>
    <row r="21" spans="1:25" x14ac:dyDescent="0.25">
      <c r="A21" s="625">
        <v>1991</v>
      </c>
      <c r="B21" s="632">
        <v>11.792999999999999</v>
      </c>
      <c r="C21" s="633">
        <v>315.83949999999999</v>
      </c>
      <c r="D21" s="566">
        <v>10.698</v>
      </c>
      <c r="E21" s="632">
        <v>565.72300000000007</v>
      </c>
      <c r="F21" s="566">
        <v>112.015</v>
      </c>
      <c r="G21" s="634">
        <v>900.30520000000001</v>
      </c>
      <c r="S21" s="625">
        <f>LARGE(A$10:A$74,3)</f>
        <v>2022</v>
      </c>
      <c r="T21" s="632">
        <f t="shared" si="1"/>
        <v>144.10000300000002</v>
      </c>
      <c r="U21" s="633">
        <f t="shared" si="2"/>
        <v>687.255</v>
      </c>
      <c r="V21" s="566">
        <f t="shared" si="3"/>
        <v>0</v>
      </c>
      <c r="W21" s="632">
        <f t="shared" si="4"/>
        <v>435.267</v>
      </c>
      <c r="X21" s="632">
        <f t="shared" si="5"/>
        <v>70.478444999999994</v>
      </c>
      <c r="Y21" s="634">
        <f t="shared" si="6"/>
        <v>1147.1879069680499</v>
      </c>
    </row>
    <row r="22" spans="1:25" x14ac:dyDescent="0.25">
      <c r="A22" s="625">
        <v>1992</v>
      </c>
      <c r="B22" s="462">
        <v>12.09362</v>
      </c>
      <c r="C22" s="626">
        <v>369.25614999999999</v>
      </c>
      <c r="D22" s="455">
        <v>20.963999999999999</v>
      </c>
      <c r="E22" s="462">
        <v>565.00263450000011</v>
      </c>
      <c r="F22" s="455">
        <v>141.38499999999999</v>
      </c>
      <c r="G22" s="463">
        <v>923.9254406</v>
      </c>
      <c r="S22" s="625">
        <f>LARGE(A$10:A$74,2)</f>
        <v>2023</v>
      </c>
      <c r="T22" s="635">
        <f t="shared" si="1"/>
        <v>107.19488042252641</v>
      </c>
      <c r="U22" s="636">
        <f t="shared" si="2"/>
        <v>671.59545812999988</v>
      </c>
      <c r="V22" s="637">
        <f t="shared" si="3"/>
        <v>36.339978000000002</v>
      </c>
      <c r="W22" s="635">
        <f t="shared" si="4"/>
        <v>435.90227894444399</v>
      </c>
      <c r="X22" s="635">
        <f t="shared" si="5"/>
        <v>48.765287000000001</v>
      </c>
      <c r="Y22" s="638">
        <f t="shared" si="6"/>
        <v>1052.3896274067201</v>
      </c>
    </row>
    <row r="23" spans="1:25" ht="15.75" thickBot="1" x14ac:dyDescent="0.3">
      <c r="A23" s="625">
        <v>1993</v>
      </c>
      <c r="B23" s="632">
        <v>28.98</v>
      </c>
      <c r="C23" s="633">
        <v>392.97141999999997</v>
      </c>
      <c r="D23" s="566">
        <v>32.276000000000003</v>
      </c>
      <c r="E23" s="632">
        <v>508.07449600000001</v>
      </c>
      <c r="F23" s="566">
        <v>141.096</v>
      </c>
      <c r="G23" s="634">
        <v>880.42057299999999</v>
      </c>
      <c r="S23" s="639">
        <f>LARGE(A$10:A$74,1)</f>
        <v>2024</v>
      </c>
      <c r="T23" s="640">
        <f t="shared" si="1"/>
        <v>72.314515</v>
      </c>
      <c r="U23" s="641">
        <f t="shared" si="2"/>
        <v>676.00300000000004</v>
      </c>
      <c r="V23" s="591">
        <f t="shared" si="3"/>
        <v>56.217292</v>
      </c>
      <c r="W23" s="640">
        <f t="shared" si="4"/>
        <v>414.78300000000002</v>
      </c>
      <c r="X23" s="640">
        <f t="shared" si="5"/>
        <v>53.413800000000002</v>
      </c>
      <c r="Y23" s="642">
        <f t="shared" si="6"/>
        <v>1042.586</v>
      </c>
    </row>
    <row r="24" spans="1:25" x14ac:dyDescent="0.25">
      <c r="A24" s="625">
        <v>1994</v>
      </c>
      <c r="B24" s="462">
        <v>35.109000000000002</v>
      </c>
      <c r="C24" s="626">
        <v>383.27244780000001</v>
      </c>
      <c r="D24" s="455">
        <v>20.286999999999999</v>
      </c>
      <c r="E24" s="462">
        <v>491.67572100000001</v>
      </c>
      <c r="F24" s="455">
        <v>123.621</v>
      </c>
      <c r="G24" s="463">
        <v>845.69662699999992</v>
      </c>
    </row>
    <row r="25" spans="1:25" x14ac:dyDescent="0.25">
      <c r="A25" s="625">
        <v>1995</v>
      </c>
      <c r="B25" s="632">
        <v>24.312000000000001</v>
      </c>
      <c r="C25" s="633">
        <v>326.44694399999997</v>
      </c>
      <c r="D25" s="566">
        <v>15.641999999999999</v>
      </c>
      <c r="E25" s="632">
        <v>449.36164880000001</v>
      </c>
      <c r="F25" s="566">
        <v>126.336</v>
      </c>
      <c r="G25" s="634">
        <v>817.34446200000002</v>
      </c>
    </row>
    <row r="26" spans="1:25" x14ac:dyDescent="0.25">
      <c r="A26" s="625">
        <v>1996</v>
      </c>
      <c r="B26" s="462">
        <v>23.071999999999999</v>
      </c>
      <c r="C26" s="626">
        <v>509.58433325999999</v>
      </c>
      <c r="D26" s="455">
        <v>17.080275999999998</v>
      </c>
      <c r="E26" s="462">
        <v>509.97193960000004</v>
      </c>
      <c r="F26" s="455">
        <v>106.85529852100001</v>
      </c>
      <c r="G26" s="463">
        <v>907.12170147899997</v>
      </c>
    </row>
    <row r="27" spans="1:25" x14ac:dyDescent="0.25">
      <c r="A27" s="625">
        <v>1997</v>
      </c>
      <c r="B27" s="632">
        <v>28.318000000000001</v>
      </c>
      <c r="C27" s="633">
        <v>520.75490000000002</v>
      </c>
      <c r="D27" s="566">
        <v>23.201461999999999</v>
      </c>
      <c r="E27" s="632">
        <v>506.69124799999997</v>
      </c>
      <c r="F27" s="566">
        <v>117.198171</v>
      </c>
      <c r="G27" s="634">
        <v>840.23782899999992</v>
      </c>
    </row>
    <row r="28" spans="1:25" x14ac:dyDescent="0.25">
      <c r="A28" s="625">
        <v>1998</v>
      </c>
      <c r="B28" s="462">
        <v>28.24</v>
      </c>
      <c r="C28" s="626">
        <v>589.6879899999999</v>
      </c>
      <c r="D28" s="455">
        <v>39.518000000000001</v>
      </c>
      <c r="E28" s="462">
        <v>580.16828559999999</v>
      </c>
      <c r="F28" s="455">
        <v>149.33000000000001</v>
      </c>
      <c r="G28" s="463">
        <v>870.02799999999991</v>
      </c>
    </row>
    <row r="29" spans="1:25" x14ac:dyDescent="0.25">
      <c r="A29" s="625">
        <v>1999</v>
      </c>
      <c r="B29" s="632">
        <v>26.228000000000002</v>
      </c>
      <c r="C29" s="633">
        <v>711.61930000000007</v>
      </c>
      <c r="D29" s="566">
        <v>55.280813999999999</v>
      </c>
      <c r="E29" s="632">
        <v>621.56818600000008</v>
      </c>
      <c r="F29" s="566">
        <v>222.53985500000002</v>
      </c>
      <c r="G29" s="634">
        <v>897.12634500000013</v>
      </c>
    </row>
    <row r="30" spans="1:25" x14ac:dyDescent="0.25">
      <c r="A30" s="625">
        <v>2000</v>
      </c>
      <c r="B30" s="462">
        <f>SUMIF('Copper-Lead-Zinc - Q&amp;V'!H$8:H$508, A30,'Copper-Lead-Zinc - Q&amp;V'!B$8:B$508)</f>
        <v>34.037999999999997</v>
      </c>
      <c r="C30" s="626">
        <v>804.81131599999992</v>
      </c>
      <c r="D30" s="455">
        <f>SUMIF('Copper-Lead-Zinc - Q&amp;V'!H$8:H$508, A30,'Copper-Lead-Zinc - Q&amp;V'!D$8:D$508)</f>
        <v>73.081000000000003</v>
      </c>
      <c r="E30" s="462">
        <v>626.2713</v>
      </c>
      <c r="F30" s="455">
        <f>SUMIF('Copper-Lead-Zinc - Q&amp;V'!H$8:H$508, A30,'Copper-Lead-Zinc - Q&amp;V'!F$8:F$508)</f>
        <v>257.71199999999999</v>
      </c>
      <c r="G30" s="463">
        <v>1121.9626999999998</v>
      </c>
    </row>
    <row r="31" spans="1:25" x14ac:dyDescent="0.25">
      <c r="A31" s="625">
        <v>2001</v>
      </c>
      <c r="B31" s="632">
        <f>SUMIF('Copper-Lead-Zinc - Q&amp;V'!H$8:H$508, A31,'Copper-Lead-Zinc - Q&amp;V'!B$8:B$508)</f>
        <v>50.237000000000002</v>
      </c>
      <c r="C31" s="633">
        <v>848.10496999999998</v>
      </c>
      <c r="D31" s="566">
        <f>SUMIF('Copper-Lead-Zinc - Q&amp;V'!H$8:H$508, A31,'Copper-Lead-Zinc - Q&amp;V'!D$8:D$508)</f>
        <v>91.38300000000001</v>
      </c>
      <c r="E31" s="632">
        <v>667.72134999999992</v>
      </c>
      <c r="F31" s="566">
        <f>SUMIF('Copper-Lead-Zinc - Q&amp;V'!H$8:H$508, A31,'Copper-Lead-Zinc - Q&amp;V'!F$8:F$508)</f>
        <v>210.83700000000002</v>
      </c>
      <c r="G31" s="634">
        <v>1265.751859</v>
      </c>
    </row>
    <row r="32" spans="1:25" x14ac:dyDescent="0.25">
      <c r="A32" s="625">
        <v>2002</v>
      </c>
      <c r="B32" s="462">
        <f>SUMIF('Copper-Lead-Zinc - Q&amp;V'!H$8:H$508, A32,'Copper-Lead-Zinc - Q&amp;V'!B$8:B$508)</f>
        <v>64.286999999999992</v>
      </c>
      <c r="C32" s="626">
        <v>807.99442999999997</v>
      </c>
      <c r="D32" s="455">
        <f>SUMIF('Copper-Lead-Zinc - Q&amp;V'!H$8:H$508, A32,'Copper-Lead-Zinc - Q&amp;V'!D$8:D$508)</f>
        <v>70.397000000000006</v>
      </c>
      <c r="E32" s="462">
        <v>623.45499999999993</v>
      </c>
      <c r="F32" s="455">
        <f>SUMIF('Copper-Lead-Zinc - Q&amp;V'!H$8:H$508, A32,'Copper-Lead-Zinc - Q&amp;V'!F$8:F$508)</f>
        <v>218.803</v>
      </c>
      <c r="G32" s="463">
        <v>1221.1280000000002</v>
      </c>
    </row>
    <row r="33" spans="1:7" x14ac:dyDescent="0.25">
      <c r="A33" s="625">
        <v>2003</v>
      </c>
      <c r="B33" s="632">
        <f>SUMIF('Copper-Lead-Zinc - Q&amp;V'!H$8:H$508, A33,'Copper-Lead-Zinc - Q&amp;V'!B$8:B$508)</f>
        <v>60.176090000000002</v>
      </c>
      <c r="C33" s="633">
        <v>770.21165999999994</v>
      </c>
      <c r="D33" s="566">
        <f>SUMIF('Copper-Lead-Zinc - Q&amp;V'!H$8:H$508, A33,'Copper-Lead-Zinc - Q&amp;V'!D$8:D$508)</f>
        <v>49.823</v>
      </c>
      <c r="E33" s="632">
        <v>637.91300000000001</v>
      </c>
      <c r="F33" s="566">
        <f>SUMIF('Copper-Lead-Zinc - Q&amp;V'!H$8:H$508, A33,'Copper-Lead-Zinc - Q&amp;V'!F$8:F$508)</f>
        <v>148.83994000000001</v>
      </c>
      <c r="G33" s="634">
        <v>1293.2950599999999</v>
      </c>
    </row>
    <row r="34" spans="1:7" x14ac:dyDescent="0.25">
      <c r="A34" s="625">
        <v>2004</v>
      </c>
      <c r="B34" s="462">
        <f>SUMIF('Copper-Lead-Zinc - Q&amp;V'!H$8:H$508, A34,'Copper-Lead-Zinc - Q&amp;V'!B$8:B$508)</f>
        <v>42.260094000000002</v>
      </c>
      <c r="C34" s="626">
        <v>833.115906</v>
      </c>
      <c r="D34" s="455">
        <f>SUMIF('Copper-Lead-Zinc - Q&amp;V'!H$8:H$508, A34,'Copper-Lead-Zinc - Q&amp;V'!D$8:D$508)</f>
        <v>1.1747399999999999</v>
      </c>
      <c r="E34" s="462">
        <v>672.41225999999995</v>
      </c>
      <c r="F34" s="455">
        <f>SUMIF('Copper-Lead-Zinc - Q&amp;V'!H$8:H$508, A34,'Copper-Lead-Zinc - Q&amp;V'!F$8:F$508)</f>
        <v>51.78387</v>
      </c>
      <c r="G34" s="463">
        <v>1245.47513</v>
      </c>
    </row>
    <row r="35" spans="1:7" x14ac:dyDescent="0.25">
      <c r="A35" s="625">
        <v>2005</v>
      </c>
      <c r="B35" s="632">
        <f>SUMIF('Copper-Lead-Zinc - Q&amp;V'!H$8:H$508, A35,'Copper-Lead-Zinc - Q&amp;V'!B$8:B$508)</f>
        <v>85.220481000000007</v>
      </c>
      <c r="C35" s="633">
        <v>842.99651900000003</v>
      </c>
      <c r="D35" s="566">
        <f>SUMIF('Copper-Lead-Zinc - Q&amp;V'!H$8:H$508, A35,'Copper-Lead-Zinc - Q&amp;V'!D$8:D$508)</f>
        <v>28.595314999999999</v>
      </c>
      <c r="E35" s="632">
        <v>737.619685</v>
      </c>
      <c r="F35" s="566">
        <f>SUMIF('Copper-Lead-Zinc - Q&amp;V'!H$8:H$508, A35,'Copper-Lead-Zinc - Q&amp;V'!F$8:F$508)</f>
        <v>59.104380000000006</v>
      </c>
      <c r="G35" s="634">
        <v>1269.63562</v>
      </c>
    </row>
    <row r="36" spans="1:7" x14ac:dyDescent="0.25">
      <c r="A36" s="625">
        <v>2006</v>
      </c>
      <c r="B36" s="462">
        <f>SUMIF('Copper-Lead-Zinc - Q&amp;V'!H$8:H$508, A36,'Copper-Lead-Zinc - Q&amp;V'!B$8:B$508)</f>
        <v>99.242470999999995</v>
      </c>
      <c r="C36" s="626">
        <v>779.63111179999987</v>
      </c>
      <c r="D36" s="455">
        <f>SUMIF('Copper-Lead-Zinc - Q&amp;V'!H$8:H$508, A36,'Copper-Lead-Zinc - Q&amp;V'!D$8:D$508)</f>
        <v>70.95348899999999</v>
      </c>
      <c r="E36" s="462">
        <v>597.06951099999992</v>
      </c>
      <c r="F36" s="455">
        <f>SUMIF('Copper-Lead-Zinc - Q&amp;V'!H$8:H$508, A36,'Copper-Lead-Zinc - Q&amp;V'!F$8:F$508)</f>
        <v>109.06339100000001</v>
      </c>
      <c r="G36" s="463">
        <v>1217.611609</v>
      </c>
    </row>
    <row r="37" spans="1:7" x14ac:dyDescent="0.25">
      <c r="A37" s="625">
        <v>2007</v>
      </c>
      <c r="B37" s="632">
        <f>SUMIF('Copper-Lead-Zinc - Q&amp;V'!H$8:H$508, A37,'Copper-Lead-Zinc - Q&amp;V'!B$8:B$508)</f>
        <v>105.40498599999999</v>
      </c>
      <c r="C37" s="633">
        <v>757.12953350999999</v>
      </c>
      <c r="D37" s="566">
        <f>SUMIF('Copper-Lead-Zinc - Q&amp;V'!H$8:H$508, A37,'Copper-Lead-Zinc - Q&amp;V'!D$8:D$508)</f>
        <v>37.091524999999997</v>
      </c>
      <c r="E37" s="632">
        <v>603.55647499999986</v>
      </c>
      <c r="F37" s="566">
        <f>SUMIF('Copper-Lead-Zinc - Q&amp;V'!H$8:H$508, A37,'Copper-Lead-Zinc - Q&amp;V'!F$8:F$508)</f>
        <v>173.33780000000002</v>
      </c>
      <c r="G37" s="634">
        <v>1307.9872</v>
      </c>
    </row>
    <row r="38" spans="1:7" x14ac:dyDescent="0.25">
      <c r="A38" s="625">
        <v>2008</v>
      </c>
      <c r="B38" s="462">
        <f>SUMIF('Copper-Lead-Zinc - Q&amp;V'!H$8:H$508, A38,'Copper-Lead-Zinc - Q&amp;V'!B$8:B$508)</f>
        <v>119.055948</v>
      </c>
      <c r="C38" s="626">
        <v>759.88395200000014</v>
      </c>
      <c r="D38" s="455">
        <f>SUMIF('Copper-Lead-Zinc - Q&amp;V'!H$8:H$508, A38,'Copper-Lead-Zinc - Q&amp;V'!D$8:D$508)</f>
        <v>18.538827999999999</v>
      </c>
      <c r="E38" s="462">
        <v>631.29</v>
      </c>
      <c r="F38" s="455">
        <f>SUMIF('Copper-Lead-Zinc - Q&amp;V'!H$8:H$508, A38,'Copper-Lead-Zinc - Q&amp;V'!F$8:F$508)</f>
        <v>189.81195299999999</v>
      </c>
      <c r="G38" s="463">
        <v>1292.77</v>
      </c>
    </row>
    <row r="39" spans="1:7" x14ac:dyDescent="0.25">
      <c r="A39" s="625">
        <v>2009</v>
      </c>
      <c r="B39" s="632">
        <f>SUMIF('Copper-Lead-Zinc - Q&amp;V'!H$8:H$508, A39,'Copper-Lead-Zinc - Q&amp;V'!B$8:B$508)</f>
        <v>151.49643399999999</v>
      </c>
      <c r="C39" s="633">
        <v>710</v>
      </c>
      <c r="D39" s="566">
        <f>SUMIF('Copper-Lead-Zinc - Q&amp;V'!H$8:H$508, A39,'Copper-Lead-Zinc - Q&amp;V'!D$8:D$508)</f>
        <v>22.755433000000004</v>
      </c>
      <c r="E39" s="632">
        <v>561</v>
      </c>
      <c r="F39" s="566">
        <f>SUMIF('Copper-Lead-Zinc - Q&amp;V'!H$8:H$508, A39,'Copper-Lead-Zinc - Q&amp;V'!F$8:F$508)</f>
        <v>99.811695999999984</v>
      </c>
      <c r="G39" s="634">
        <v>1166</v>
      </c>
    </row>
    <row r="40" spans="1:7" x14ac:dyDescent="0.25">
      <c r="A40" s="625">
        <v>2010</v>
      </c>
      <c r="B40" s="462">
        <f>SUMIF('Copper-Lead-Zinc - Q&amp;V'!H$8:H$508, A40,'Copper-Lead-Zinc - Q&amp;V'!B$8:B$508)</f>
        <v>155.65068099999999</v>
      </c>
      <c r="C40" s="626">
        <v>703</v>
      </c>
      <c r="D40" s="455">
        <f>SUMIF('Copper-Lead-Zinc - Q&amp;V'!H$8:H$508, A40,'Copper-Lead-Zinc - Q&amp;V'!D$8:D$508)</f>
        <v>52.922928999999996</v>
      </c>
      <c r="E40" s="462">
        <v>616</v>
      </c>
      <c r="F40" s="455">
        <f>SUMIF('Copper-Lead-Zinc - Q&amp;V'!H$8:H$508, A40,'Copper-Lead-Zinc - Q&amp;V'!F$8:F$508)</f>
        <v>81.515219999999999</v>
      </c>
      <c r="G40" s="463">
        <v>1346</v>
      </c>
    </row>
    <row r="41" spans="1:7" x14ac:dyDescent="0.25">
      <c r="A41" s="625">
        <v>2011</v>
      </c>
      <c r="B41" s="632">
        <f>SUMIF('Copper-Lead-Zinc - Q&amp;V'!H$8:H$508, A41,'Copper-Lead-Zinc - Q&amp;V'!B$8:B$508)</f>
        <v>144.95804783199998</v>
      </c>
      <c r="C41" s="633">
        <v>820</v>
      </c>
      <c r="D41" s="566">
        <f>SUMIF('Copper-Lead-Zinc - Q&amp;V'!H$8:H$508, A41,'Copper-Lead-Zinc - Q&amp;V'!D$8:D$508)</f>
        <v>8.3429219999999997</v>
      </c>
      <c r="E41" s="632">
        <v>604</v>
      </c>
      <c r="F41" s="566">
        <f>SUMIF('Copper-Lead-Zinc - Q&amp;V'!H$8:H$508, A41,'Copper-Lead-Zinc - Q&amp;V'!F$8:F$508)</f>
        <v>74.400736999999992</v>
      </c>
      <c r="G41" s="634">
        <v>1387</v>
      </c>
    </row>
    <row r="42" spans="1:7" x14ac:dyDescent="0.25">
      <c r="A42" s="625">
        <v>2012</v>
      </c>
      <c r="B42" s="462">
        <f>SUMIF('Copper-Lead-Zinc - Q&amp;V'!H$8:H$508, A42,'Copper-Lead-Zinc - Q&amp;V'!B$8:B$508)</f>
        <v>185.75001993699999</v>
      </c>
      <c r="C42" s="636">
        <v>729</v>
      </c>
      <c r="D42" s="455">
        <f>SUMIF('Copper-Lead-Zinc - Q&amp;V'!H$8:H$508, A42,'Copper-Lead-Zinc - Q&amp;V'!D$8:D$508)</f>
        <v>8.135294</v>
      </c>
      <c r="E42" s="462">
        <v>613</v>
      </c>
      <c r="F42" s="455">
        <f>SUMIF('Copper-Lead-Zinc - Q&amp;V'!H$8:H$508, A42,'Copper-Lead-Zinc - Q&amp;V'!F$8:F$508)</f>
        <v>57.112677000000005</v>
      </c>
      <c r="G42" s="463">
        <v>1428</v>
      </c>
    </row>
    <row r="43" spans="1:7" x14ac:dyDescent="0.25">
      <c r="A43" s="625">
        <v>2013</v>
      </c>
      <c r="B43" s="632">
        <f>SUMIF('Copper-Lead-Zinc - Q&amp;V'!H$8:H$508, A43,'Copper-Lead-Zinc - Q&amp;V'!B$8:B$508)</f>
        <v>216.05661499999999</v>
      </c>
      <c r="C43" s="633">
        <v>792</v>
      </c>
      <c r="D43" s="566">
        <f>SUMIF('Copper-Lead-Zinc - Q&amp;V'!H$8:H$508, A43,'Copper-Lead-Zinc - Q&amp;V'!D$8:D$508)</f>
        <v>52.261510000000001</v>
      </c>
      <c r="E43" s="632">
        <v>664</v>
      </c>
      <c r="F43" s="566">
        <f>SUMIF('Copper-Lead-Zinc - Q&amp;V'!H$8:H$508, A43,'Copper-Lead-Zinc - Q&amp;V'!F$8:F$508)</f>
        <v>47.985600000000005</v>
      </c>
      <c r="G43" s="634">
        <v>1419</v>
      </c>
    </row>
    <row r="44" spans="1:7" x14ac:dyDescent="0.25">
      <c r="A44" s="625">
        <v>2014</v>
      </c>
      <c r="B44" s="462">
        <f>SUMIF('Copper-Lead-Zinc - Q&amp;V'!H$8:H$508, A44,'Copper-Lead-Zinc - Q&amp;V'!B$8:B$508)</f>
        <v>197.08071799999999</v>
      </c>
      <c r="C44" s="636">
        <v>787</v>
      </c>
      <c r="D44" s="455">
        <f>SUMIF('Copper-Lead-Zinc - Q&amp;V'!H$8:H$508, A44,'Copper-Lead-Zinc - Q&amp;V'!D$8:D$508)</f>
        <v>80.888499999999993</v>
      </c>
      <c r="E44" s="462">
        <v>642</v>
      </c>
      <c r="F44" s="455">
        <f>SUMIF('Copper-Lead-Zinc - Q&amp;V'!H$8:H$508, A44,'Copper-Lead-Zinc - Q&amp;V'!F$8:F$508)</f>
        <v>72.763530000000003</v>
      </c>
      <c r="G44" s="463">
        <v>1421</v>
      </c>
    </row>
    <row r="45" spans="1:7" x14ac:dyDescent="0.25">
      <c r="A45" s="625">
        <v>2015</v>
      </c>
      <c r="B45" s="632">
        <f>SUMIF('Copper-Lead-Zinc - Q&amp;V'!H$8:H$508, A45,'Copper-Lead-Zinc - Q&amp;V'!B$8:B$508)</f>
        <v>189.41435100000001</v>
      </c>
      <c r="C45" s="633">
        <v>800</v>
      </c>
      <c r="D45" s="566">
        <f>SUMIF('Copper-Lead-Zinc - Q&amp;V'!H$8:H$508, A45,'Copper-Lead-Zinc - Q&amp;V'!D$8:D$508)</f>
        <v>20.259029999999999</v>
      </c>
      <c r="E45" s="632">
        <v>634</v>
      </c>
      <c r="F45" s="566">
        <f>SUMIF('Copper-Lead-Zinc - Q&amp;V'!H$8:H$508, A45,'Copper-Lead-Zinc - Q&amp;V'!F$8:F$508)</f>
        <v>77.178319999999999</v>
      </c>
      <c r="G45" s="567">
        <v>1508</v>
      </c>
    </row>
    <row r="46" spans="1:7" x14ac:dyDescent="0.25">
      <c r="A46" s="625">
        <v>2016</v>
      </c>
      <c r="B46" s="635">
        <f>SUMIF('Copper-Lead-Zinc - Q&amp;V'!H$8:H$508, A46,'Copper-Lead-Zinc - Q&amp;V'!B$8:B$508)</f>
        <v>181.53603299999997</v>
      </c>
      <c r="C46" s="636">
        <v>769</v>
      </c>
      <c r="D46" s="637">
        <f>SUMIF('Copper-Lead-Zinc - Q&amp;V'!H$8:H$508, A46,'Copper-Lead-Zinc - Q&amp;V'!D$8:D$508)</f>
        <v>4.76091</v>
      </c>
      <c r="E46" s="635">
        <v>436</v>
      </c>
      <c r="F46" s="637">
        <f>SUMIF('Copper-Lead-Zinc - Q&amp;V'!H$8:H$508, A46,'Copper-Lead-Zinc - Q&amp;V'!F$8:F$508)</f>
        <v>94.963539999999995</v>
      </c>
      <c r="G46" s="643">
        <v>806</v>
      </c>
    </row>
    <row r="47" spans="1:7" x14ac:dyDescent="0.25">
      <c r="A47" s="625">
        <v>2017</v>
      </c>
      <c r="B47" s="632">
        <f>SUMIF('Copper-Lead-Zinc - Q&amp;V'!H$8:H$508, A47,'Copper-Lead-Zinc - Q&amp;V'!B$8:B$508)</f>
        <v>160.27640700000001</v>
      </c>
      <c r="C47" s="633">
        <v>672</v>
      </c>
      <c r="D47" s="566">
        <f>SUMIF('Copper-Lead-Zinc - Q&amp;V'!H$8:H$508, A47,'Copper-Lead-Zinc - Q&amp;V'!D$8:D$508)</f>
        <v>5.9010800000000003</v>
      </c>
      <c r="E47" s="632">
        <v>387</v>
      </c>
      <c r="F47" s="566">
        <f>SUMIF('Copper-Lead-Zinc - Q&amp;V'!H$8:H$508, A47,'Copper-Lead-Zinc - Q&amp;V'!F$8:F$508)</f>
        <v>71.788228000000004</v>
      </c>
      <c r="G47" s="567">
        <v>767</v>
      </c>
    </row>
    <row r="48" spans="1:7" x14ac:dyDescent="0.25">
      <c r="A48" s="625">
        <v>2018</v>
      </c>
      <c r="B48" s="635">
        <f>SUMIF('Copper-Lead-Zinc - Q&amp;V'!H$8:H$508, A48,'Copper-Lead-Zinc - Q&amp;V'!B$8:B$508)</f>
        <v>165.92057600000001</v>
      </c>
      <c r="C48" s="636">
        <v>727.3</v>
      </c>
      <c r="D48" s="637">
        <f>SUMIF('Copper-Lead-Zinc - Q&amp;V'!H$8:H$508, A48,'Copper-Lead-Zinc - Q&amp;V'!D$8:D$508)</f>
        <v>6.0910000000000011</v>
      </c>
      <c r="E48" s="635">
        <v>438</v>
      </c>
      <c r="F48" s="637">
        <f>SUMIF('Copper-Lead-Zinc - Q&amp;V'!H$8:H$508, A48,'Copper-Lead-Zinc - Q&amp;V'!F$8:F$508)</f>
        <v>68.823993000000002</v>
      </c>
      <c r="G48" s="643">
        <v>1056</v>
      </c>
    </row>
    <row r="49" spans="1:7" x14ac:dyDescent="0.25">
      <c r="A49" s="625">
        <v>2019</v>
      </c>
      <c r="B49" s="632">
        <f>SUMIF('Copper-Lead-Zinc - Q&amp;V'!H$8:H$508, A49,'Copper-Lead-Zinc - Q&amp;V'!B$8:B$508)</f>
        <v>172.11437000000001</v>
      </c>
      <c r="C49" s="644">
        <v>761.88562999999999</v>
      </c>
      <c r="D49" s="566">
        <f>SUMIF('Copper-Lead-Zinc - Q&amp;V'!H$8:H$508, A49,'Copper-Lead-Zinc - Q&amp;V'!D$8:D$508)</f>
        <v>2.9168000000000003</v>
      </c>
      <c r="E49" s="566">
        <v>506.08320000000003</v>
      </c>
      <c r="F49" s="566">
        <f>SUMIF('Copper-Lead-Zinc - Q&amp;V'!H$8:H$508, A49,'Copper-Lead-Zinc - Q&amp;V'!F$8:F$508)</f>
        <v>77.819270000000003</v>
      </c>
      <c r="G49" s="567">
        <v>1252.18073</v>
      </c>
    </row>
    <row r="50" spans="1:7" x14ac:dyDescent="0.25">
      <c r="A50" s="625">
        <v>2020</v>
      </c>
      <c r="B50" s="462">
        <f>SUMIF('Copper-Lead-Zinc - Q&amp;V'!H$8:H$508, A50,'Copper-Lead-Zinc - Q&amp;V'!B$8:B$508)</f>
        <v>147.23582699999997</v>
      </c>
      <c r="C50" s="645">
        <v>712.960410031577</v>
      </c>
      <c r="D50" s="455">
        <f>SUMIF('Copper-Lead-Zinc - Q&amp;V'!H$8:H$508, A50,'Copper-Lead-Zinc - Q&amp;V'!D$8:D$508)</f>
        <v>1.3745150000000002</v>
      </c>
      <c r="E50" s="455">
        <v>488.88600000000002</v>
      </c>
      <c r="F50" s="455">
        <f>SUMIF('Copper-Lead-Zinc - Q&amp;V'!H$8:H$508, A50,'Copper-Lead-Zinc - Q&amp;V'!F$8:F$508)</f>
        <v>62.050920000000005</v>
      </c>
      <c r="G50" s="643">
        <v>1235.1289999999999</v>
      </c>
    </row>
    <row r="51" spans="1:7" x14ac:dyDescent="0.25">
      <c r="A51" s="625">
        <v>2021</v>
      </c>
      <c r="B51" s="566">
        <f>SUMIF('Copper-Lead-Zinc - Q&amp;V'!H$8:H$508, A51,'Copper-Lead-Zinc - Q&amp;V'!B$8:B$508)</f>
        <v>148.743044</v>
      </c>
      <c r="C51" s="644">
        <v>652.399</v>
      </c>
      <c r="D51" s="566">
        <f>SUMIF('Copper-Lead-Zinc - Q&amp;V'!H$8:H$508, A51,'Copper-Lead-Zinc - Q&amp;V'!D$8:D$508)</f>
        <v>1.2656350000000001</v>
      </c>
      <c r="E51" s="644">
        <v>480.55599999999998</v>
      </c>
      <c r="F51" s="566">
        <f>SUMIF('Copper-Lead-Zinc - Q&amp;V'!H$8:H$508, A51,'Copper-Lead-Zinc - Q&amp;V'!F$8:F$508)</f>
        <v>69.051431000000008</v>
      </c>
      <c r="G51" s="567">
        <v>1242.5637971425899</v>
      </c>
    </row>
    <row r="52" spans="1:7" x14ac:dyDescent="0.25">
      <c r="A52" s="625">
        <v>2022</v>
      </c>
      <c r="B52" s="455">
        <f>SUMIF('Copper-Lead-Zinc - Q&amp;V'!H$8:H$508, A52,'Copper-Lead-Zinc - Q&amp;V'!B$8:B$508)</f>
        <v>144.10000300000002</v>
      </c>
      <c r="C52" s="645">
        <v>687.255</v>
      </c>
      <c r="D52" s="455">
        <f>SUMIF('Copper-Lead-Zinc - Q&amp;V'!H$8:H$508, A52,'Copper-Lead-Zinc - Q&amp;V'!D$8:D$508)</f>
        <v>0</v>
      </c>
      <c r="E52" s="645">
        <v>435.267</v>
      </c>
      <c r="F52" s="455">
        <f>SUMIF('Copper-Lead-Zinc - Q&amp;V'!H$8:H$508, A52,'Copper-Lead-Zinc - Q&amp;V'!F$8:F$508)</f>
        <v>70.478444999999994</v>
      </c>
      <c r="G52" s="456">
        <v>1147.1879069680499</v>
      </c>
    </row>
    <row r="53" spans="1:7" x14ac:dyDescent="0.25">
      <c r="A53" s="625">
        <v>2023</v>
      </c>
      <c r="B53" s="566">
        <f>SUMIF('Copper-Lead-Zinc - Q&amp;V'!H$8:H$508, A53,'Copper-Lead-Zinc - Q&amp;V'!B$8:B$508)</f>
        <v>107.19488042252641</v>
      </c>
      <c r="C53" s="644">
        <v>671.59545812999988</v>
      </c>
      <c r="D53" s="566">
        <f>SUMIF('Copper-Lead-Zinc - Q&amp;V'!H$8:H$508, A53,'Copper-Lead-Zinc - Q&amp;V'!D$8:D$508)</f>
        <v>36.339978000000002</v>
      </c>
      <c r="E53" s="644">
        <v>435.90227894444399</v>
      </c>
      <c r="F53" s="566">
        <f>SUMIF('Copper-Lead-Zinc - Q&amp;V'!H$8:H$508, A53,'Copper-Lead-Zinc - Q&amp;V'!F$8:F$508)</f>
        <v>48.765287000000001</v>
      </c>
      <c r="G53" s="567">
        <v>1052.3896274067201</v>
      </c>
    </row>
    <row r="54" spans="1:7" ht="15.75" thickBot="1" x14ac:dyDescent="0.3">
      <c r="A54" s="639">
        <v>2024</v>
      </c>
      <c r="B54" s="467">
        <f>SUMIF('Copper-Lead-Zinc - Q&amp;V'!H$8:H$508, A54,'Copper-Lead-Zinc - Q&amp;V'!B$8:B$508)</f>
        <v>72.314515</v>
      </c>
      <c r="C54" s="1183">
        <v>676.00300000000004</v>
      </c>
      <c r="D54" s="656">
        <f>SUMIF('Copper-Lead-Zinc - Q&amp;V'!H$8:H$508, A54,'Copper-Lead-Zinc - Q&amp;V'!D$8:D$508)</f>
        <v>56.217292</v>
      </c>
      <c r="E54" s="656">
        <v>414.78300000000002</v>
      </c>
      <c r="F54" s="656">
        <f>SUMIF('Copper-Lead-Zinc - Q&amp;V'!H$8:H$508, A54,'Copper-Lead-Zinc - Q&amp;V'!F$8:F$508)</f>
        <v>53.413800000000002</v>
      </c>
      <c r="G54" s="931">
        <v>1042.586</v>
      </c>
    </row>
  </sheetData>
  <mergeCells count="9">
    <mergeCell ref="T12:U12"/>
    <mergeCell ref="V12:W12"/>
    <mergeCell ref="X12:Y12"/>
    <mergeCell ref="A7:G7"/>
    <mergeCell ref="S10:Y10"/>
    <mergeCell ref="B8:C8"/>
    <mergeCell ref="D8:E8"/>
    <mergeCell ref="F8:G8"/>
    <mergeCell ref="S11:Y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AB148-56B1-4D73-ADA5-024AF9E7F181}">
  <dimension ref="A7:D63"/>
  <sheetViews>
    <sheetView showGridLines="0" zoomScale="85" zoomScaleNormal="85" workbookViewId="0"/>
  </sheetViews>
  <sheetFormatPr defaultColWidth="9.140625" defaultRowHeight="15" x14ac:dyDescent="0.25"/>
  <cols>
    <col min="1" max="1" width="72" bestFit="1" customWidth="1"/>
    <col min="2" max="2" width="1.5703125" bestFit="1" customWidth="1"/>
    <col min="3" max="3" width="118.28515625" bestFit="1" customWidth="1"/>
    <col min="4" max="4" width="46.85546875" bestFit="1" customWidth="1"/>
    <col min="8" max="8" width="3.140625" bestFit="1" customWidth="1"/>
    <col min="9" max="9" width="7" bestFit="1" customWidth="1"/>
  </cols>
  <sheetData>
    <row r="7" spans="1:4" x14ac:dyDescent="0.25">
      <c r="A7" s="27" t="s">
        <v>85</v>
      </c>
      <c r="B7" s="27"/>
      <c r="C7" s="28" t="s">
        <v>90</v>
      </c>
      <c r="D7" s="28" t="s">
        <v>91</v>
      </c>
    </row>
    <row r="8" spans="1:4" x14ac:dyDescent="0.25">
      <c r="A8" s="28" t="s">
        <v>92</v>
      </c>
      <c r="D8" s="29"/>
    </row>
    <row r="9" spans="1:4" x14ac:dyDescent="0.25">
      <c r="A9" s="29" t="s">
        <v>93</v>
      </c>
      <c r="B9" s="29" t="s">
        <v>1</v>
      </c>
      <c r="C9" t="s">
        <v>94</v>
      </c>
      <c r="D9" s="30" t="s">
        <v>95</v>
      </c>
    </row>
    <row r="10" spans="1:4" x14ac:dyDescent="0.25">
      <c r="A10" s="31" t="s">
        <v>17</v>
      </c>
      <c r="B10" s="31" t="s">
        <v>1</v>
      </c>
      <c r="C10" s="3" t="s">
        <v>96</v>
      </c>
      <c r="D10" s="4" t="s">
        <v>97</v>
      </c>
    </row>
    <row r="11" spans="1:4" x14ac:dyDescent="0.25">
      <c r="A11" s="31"/>
      <c r="B11" s="31" t="s">
        <v>1</v>
      </c>
      <c r="C11" s="3" t="s">
        <v>98</v>
      </c>
      <c r="D11" s="4" t="s">
        <v>97</v>
      </c>
    </row>
    <row r="12" spans="1:4" x14ac:dyDescent="0.25">
      <c r="A12" s="32" t="s">
        <v>25</v>
      </c>
      <c r="B12" s="32" t="s">
        <v>1</v>
      </c>
      <c r="C12" s="5" t="s">
        <v>99</v>
      </c>
      <c r="D12" s="6" t="s">
        <v>100</v>
      </c>
    </row>
    <row r="13" spans="1:4" x14ac:dyDescent="0.25">
      <c r="A13" s="32"/>
      <c r="B13" s="32" t="s">
        <v>1</v>
      </c>
      <c r="C13" s="5" t="s">
        <v>101</v>
      </c>
      <c r="D13" s="6" t="s">
        <v>100</v>
      </c>
    </row>
    <row r="14" spans="1:4" x14ac:dyDescent="0.25">
      <c r="A14" s="32"/>
      <c r="B14" s="32" t="s">
        <v>1</v>
      </c>
      <c r="C14" s="5" t="s">
        <v>102</v>
      </c>
      <c r="D14" s="6" t="s">
        <v>100</v>
      </c>
    </row>
    <row r="15" spans="1:4" x14ac:dyDescent="0.25">
      <c r="A15" s="33" t="s">
        <v>32</v>
      </c>
      <c r="B15" s="33" t="s">
        <v>1</v>
      </c>
      <c r="C15" s="7" t="s">
        <v>103</v>
      </c>
      <c r="D15" s="8" t="s">
        <v>100</v>
      </c>
    </row>
    <row r="16" spans="1:4" x14ac:dyDescent="0.25">
      <c r="A16" s="33"/>
      <c r="B16" s="33" t="s">
        <v>1</v>
      </c>
      <c r="C16" s="7" t="s">
        <v>104</v>
      </c>
      <c r="D16" s="8" t="s">
        <v>105</v>
      </c>
    </row>
    <row r="17" spans="1:4" x14ac:dyDescent="0.25">
      <c r="A17" s="9" t="s">
        <v>40</v>
      </c>
      <c r="B17" s="34" t="s">
        <v>1</v>
      </c>
      <c r="C17" s="9" t="s">
        <v>106</v>
      </c>
      <c r="D17" s="10" t="s">
        <v>100</v>
      </c>
    </row>
    <row r="18" spans="1:4" x14ac:dyDescent="0.25">
      <c r="A18" s="35" t="s">
        <v>48</v>
      </c>
      <c r="B18" s="35" t="s">
        <v>1</v>
      </c>
      <c r="C18" s="35" t="s">
        <v>107</v>
      </c>
      <c r="D18" s="36" t="s">
        <v>108</v>
      </c>
    </row>
    <row r="19" spans="1:4" x14ac:dyDescent="0.25">
      <c r="A19" s="35"/>
      <c r="B19" s="35" t="s">
        <v>1</v>
      </c>
      <c r="C19" s="37" t="s">
        <v>109</v>
      </c>
      <c r="D19" s="36" t="s">
        <v>108</v>
      </c>
    </row>
    <row r="20" spans="1:4" x14ac:dyDescent="0.25">
      <c r="A20" s="38" t="s">
        <v>110</v>
      </c>
      <c r="B20" s="38" t="s">
        <v>1</v>
      </c>
      <c r="C20" s="15" t="s">
        <v>111</v>
      </c>
      <c r="D20" s="16" t="s">
        <v>97</v>
      </c>
    </row>
    <row r="21" spans="1:4" x14ac:dyDescent="0.25">
      <c r="A21" s="39" t="s">
        <v>61</v>
      </c>
      <c r="B21" s="39" t="s">
        <v>1</v>
      </c>
      <c r="C21" s="40" t="s">
        <v>112</v>
      </c>
      <c r="D21" s="41" t="s">
        <v>100</v>
      </c>
    </row>
    <row r="22" spans="1:4" ht="15" customHeight="1" x14ac:dyDescent="0.25">
      <c r="A22" s="42" t="s">
        <v>113</v>
      </c>
      <c r="B22" s="42" t="s">
        <v>1</v>
      </c>
      <c r="C22" s="42" t="s">
        <v>103</v>
      </c>
      <c r="D22" s="21" t="s">
        <v>100</v>
      </c>
    </row>
    <row r="23" spans="1:4" ht="15" customHeight="1" x14ac:dyDescent="0.25">
      <c r="A23" s="42"/>
      <c r="B23" s="42" t="s">
        <v>1</v>
      </c>
      <c r="C23" s="42" t="s">
        <v>104</v>
      </c>
      <c r="D23" s="21" t="s">
        <v>105</v>
      </c>
    </row>
    <row r="24" spans="1:4" x14ac:dyDescent="0.25">
      <c r="A24" s="42" t="s">
        <v>114</v>
      </c>
      <c r="B24" s="42" t="s">
        <v>1</v>
      </c>
      <c r="C24" s="42" t="s">
        <v>622</v>
      </c>
      <c r="D24" s="21" t="s">
        <v>100</v>
      </c>
    </row>
    <row r="25" spans="1:4" x14ac:dyDescent="0.25">
      <c r="A25" s="42" t="s">
        <v>115</v>
      </c>
      <c r="B25" s="42" t="s">
        <v>1</v>
      </c>
      <c r="C25" s="42" t="s">
        <v>103</v>
      </c>
      <c r="D25" s="21" t="s">
        <v>100</v>
      </c>
    </row>
    <row r="26" spans="1:4" x14ac:dyDescent="0.25">
      <c r="A26" s="42"/>
      <c r="B26" s="42" t="s">
        <v>1</v>
      </c>
      <c r="C26" s="42" t="s">
        <v>104</v>
      </c>
      <c r="D26" s="21" t="s">
        <v>105</v>
      </c>
    </row>
    <row r="27" spans="1:4" x14ac:dyDescent="0.25">
      <c r="A27" s="42" t="s">
        <v>116</v>
      </c>
      <c r="B27" s="42" t="s">
        <v>1</v>
      </c>
      <c r="C27" s="42" t="s">
        <v>103</v>
      </c>
      <c r="D27" s="21" t="s">
        <v>100</v>
      </c>
    </row>
    <row r="28" spans="1:4" x14ac:dyDescent="0.25">
      <c r="A28" s="42"/>
      <c r="B28" s="42" t="s">
        <v>1</v>
      </c>
      <c r="C28" s="42" t="s">
        <v>117</v>
      </c>
      <c r="D28" s="21" t="s">
        <v>100</v>
      </c>
    </row>
    <row r="29" spans="1:4" x14ac:dyDescent="0.25">
      <c r="A29" s="43" t="s">
        <v>71</v>
      </c>
      <c r="B29" s="43" t="s">
        <v>1</v>
      </c>
      <c r="C29" s="23" t="s">
        <v>641</v>
      </c>
      <c r="D29" s="24"/>
    </row>
    <row r="30" spans="1:4" ht="15" customHeight="1" x14ac:dyDescent="0.25">
      <c r="A30" s="43"/>
      <c r="B30" s="43" t="s">
        <v>1</v>
      </c>
      <c r="C30" s="23" t="s">
        <v>625</v>
      </c>
      <c r="D30" s="44"/>
    </row>
    <row r="31" spans="1:4" ht="15" customHeight="1" x14ac:dyDescent="0.25">
      <c r="A31" s="43"/>
      <c r="B31" s="43" t="s">
        <v>1</v>
      </c>
      <c r="C31" s="23" t="s">
        <v>655</v>
      </c>
      <c r="D31" s="1207" t="s">
        <v>97</v>
      </c>
    </row>
    <row r="32" spans="1:4" x14ac:dyDescent="0.25">
      <c r="B32" s="29"/>
    </row>
    <row r="33" spans="1:4" x14ac:dyDescent="0.25">
      <c r="A33" s="28" t="s">
        <v>118</v>
      </c>
      <c r="B33" s="29"/>
    </row>
    <row r="34" spans="1:4" x14ac:dyDescent="0.25">
      <c r="A34" t="s">
        <v>119</v>
      </c>
      <c r="B34" t="s">
        <v>1</v>
      </c>
      <c r="C34" s="29" t="s">
        <v>642</v>
      </c>
    </row>
    <row r="35" spans="1:4" x14ac:dyDescent="0.25">
      <c r="A35" t="s">
        <v>120</v>
      </c>
      <c r="B35" s="29" t="s">
        <v>1</v>
      </c>
      <c r="C35" s="29" t="s">
        <v>632</v>
      </c>
    </row>
    <row r="36" spans="1:4" x14ac:dyDescent="0.25">
      <c r="A36" s="45" t="s">
        <v>121</v>
      </c>
      <c r="B36" s="45" t="s">
        <v>1</v>
      </c>
      <c r="C36" s="45" t="s">
        <v>633</v>
      </c>
      <c r="D36" s="46"/>
    </row>
    <row r="37" spans="1:4" x14ac:dyDescent="0.25">
      <c r="A37" s="45" t="s">
        <v>122</v>
      </c>
      <c r="B37" s="45" t="s">
        <v>1</v>
      </c>
      <c r="C37" s="45" t="s">
        <v>634</v>
      </c>
      <c r="D37" s="47" t="s">
        <v>123</v>
      </c>
    </row>
    <row r="38" spans="1:4" x14ac:dyDescent="0.25">
      <c r="A38" s="45" t="s">
        <v>124</v>
      </c>
      <c r="B38" s="45" t="s">
        <v>1</v>
      </c>
      <c r="C38" s="45" t="s">
        <v>635</v>
      </c>
      <c r="D38" s="48" t="s">
        <v>125</v>
      </c>
    </row>
    <row r="39" spans="1:4" x14ac:dyDescent="0.25">
      <c r="A39" s="32" t="s">
        <v>126</v>
      </c>
      <c r="B39" s="32" t="s">
        <v>1</v>
      </c>
      <c r="C39" s="32" t="s">
        <v>636</v>
      </c>
      <c r="D39" s="49"/>
    </row>
    <row r="40" spans="1:4" x14ac:dyDescent="0.25">
      <c r="A40" s="32" t="s">
        <v>127</v>
      </c>
      <c r="B40" s="32" t="s">
        <v>1</v>
      </c>
      <c r="C40" s="32" t="s">
        <v>637</v>
      </c>
      <c r="D40" s="6" t="s">
        <v>123</v>
      </c>
    </row>
    <row r="41" spans="1:4" x14ac:dyDescent="0.25">
      <c r="A41" s="32" t="s">
        <v>128</v>
      </c>
      <c r="B41" s="32" t="s">
        <v>1</v>
      </c>
      <c r="C41" s="32" t="s">
        <v>638</v>
      </c>
      <c r="D41" s="6" t="s">
        <v>125</v>
      </c>
    </row>
    <row r="42" spans="1:4" x14ac:dyDescent="0.25">
      <c r="A42" s="7" t="s">
        <v>129</v>
      </c>
      <c r="B42" s="33" t="s">
        <v>1</v>
      </c>
      <c r="C42" s="33" t="s">
        <v>111</v>
      </c>
      <c r="D42" s="8"/>
    </row>
    <row r="43" spans="1:4" x14ac:dyDescent="0.25">
      <c r="A43" s="7" t="s">
        <v>130</v>
      </c>
      <c r="B43" s="33" t="s">
        <v>1</v>
      </c>
      <c r="C43" s="33" t="s">
        <v>637</v>
      </c>
      <c r="D43" s="50" t="s">
        <v>123</v>
      </c>
    </row>
    <row r="44" spans="1:4" x14ac:dyDescent="0.25">
      <c r="A44" s="7" t="s">
        <v>131</v>
      </c>
      <c r="B44" s="33" t="s">
        <v>1</v>
      </c>
      <c r="C44" s="33" t="s">
        <v>638</v>
      </c>
      <c r="D44" s="50" t="s">
        <v>125</v>
      </c>
    </row>
    <row r="45" spans="1:4" x14ac:dyDescent="0.25">
      <c r="A45" s="9" t="s">
        <v>132</v>
      </c>
      <c r="B45" s="9" t="s">
        <v>1</v>
      </c>
      <c r="C45" s="34" t="s">
        <v>111</v>
      </c>
      <c r="D45" s="10"/>
    </row>
    <row r="46" spans="1:4" x14ac:dyDescent="0.25">
      <c r="A46" s="9" t="s">
        <v>133</v>
      </c>
      <c r="B46" s="34" t="s">
        <v>1</v>
      </c>
      <c r="C46" s="34" t="s">
        <v>637</v>
      </c>
      <c r="D46" s="51" t="s">
        <v>123</v>
      </c>
    </row>
    <row r="47" spans="1:4" x14ac:dyDescent="0.25">
      <c r="A47" s="9" t="s">
        <v>134</v>
      </c>
      <c r="B47" s="34" t="s">
        <v>1</v>
      </c>
      <c r="C47" s="34" t="s">
        <v>638</v>
      </c>
      <c r="D47" s="51" t="s">
        <v>125</v>
      </c>
    </row>
    <row r="48" spans="1:4" x14ac:dyDescent="0.25">
      <c r="A48" s="35" t="s">
        <v>135</v>
      </c>
      <c r="B48" s="35" t="s">
        <v>1</v>
      </c>
      <c r="C48" s="35" t="s">
        <v>111</v>
      </c>
      <c r="D48" s="13"/>
    </row>
    <row r="49" spans="1:4" x14ac:dyDescent="0.25">
      <c r="A49" s="35" t="s">
        <v>136</v>
      </c>
      <c r="B49" s="35" t="s">
        <v>1</v>
      </c>
      <c r="C49" s="35" t="s">
        <v>638</v>
      </c>
      <c r="D49" s="13" t="s">
        <v>125</v>
      </c>
    </row>
    <row r="50" spans="1:4" x14ac:dyDescent="0.25">
      <c r="A50" s="52" t="s">
        <v>137</v>
      </c>
      <c r="B50" s="53" t="s">
        <v>1</v>
      </c>
      <c r="C50" s="53" t="s">
        <v>631</v>
      </c>
      <c r="D50" s="54"/>
    </row>
    <row r="51" spans="1:4" x14ac:dyDescent="0.25">
      <c r="A51" s="52" t="s">
        <v>138</v>
      </c>
      <c r="B51" s="53" t="s">
        <v>1</v>
      </c>
      <c r="C51" s="53" t="s">
        <v>637</v>
      </c>
      <c r="D51" s="55" t="s">
        <v>123</v>
      </c>
    </row>
    <row r="52" spans="1:4" x14ac:dyDescent="0.25">
      <c r="A52" s="52" t="s">
        <v>139</v>
      </c>
      <c r="B52" s="53" t="s">
        <v>1</v>
      </c>
      <c r="C52" s="53" t="s">
        <v>638</v>
      </c>
      <c r="D52" s="54" t="s">
        <v>125</v>
      </c>
    </row>
    <row r="53" spans="1:4" x14ac:dyDescent="0.25">
      <c r="A53" s="52" t="s">
        <v>140</v>
      </c>
      <c r="B53" s="53" t="s">
        <v>1</v>
      </c>
      <c r="C53" s="53" t="s">
        <v>638</v>
      </c>
      <c r="D53" s="54" t="s">
        <v>125</v>
      </c>
    </row>
    <row r="54" spans="1:4" x14ac:dyDescent="0.25">
      <c r="A54" s="39" t="s">
        <v>141</v>
      </c>
      <c r="B54" s="39" t="s">
        <v>1</v>
      </c>
      <c r="C54" s="1206" t="s">
        <v>631</v>
      </c>
      <c r="D54" s="56"/>
    </row>
    <row r="55" spans="1:4" x14ac:dyDescent="0.25">
      <c r="A55" s="39" t="s">
        <v>142</v>
      </c>
      <c r="B55" s="39" t="s">
        <v>1</v>
      </c>
      <c r="C55" s="39" t="s">
        <v>637</v>
      </c>
      <c r="D55" s="57" t="s">
        <v>123</v>
      </c>
    </row>
    <row r="56" spans="1:4" x14ac:dyDescent="0.25">
      <c r="A56" s="39" t="s">
        <v>143</v>
      </c>
      <c r="B56" s="39" t="s">
        <v>1</v>
      </c>
      <c r="C56" s="39" t="s">
        <v>638</v>
      </c>
      <c r="D56" s="41" t="s">
        <v>125</v>
      </c>
    </row>
    <row r="57" spans="1:4" x14ac:dyDescent="0.25">
      <c r="A57" s="23" t="s">
        <v>144</v>
      </c>
      <c r="B57" s="23" t="s">
        <v>1</v>
      </c>
      <c r="C57" s="43" t="s">
        <v>631</v>
      </c>
      <c r="D57" s="44"/>
    </row>
    <row r="58" spans="1:4" x14ac:dyDescent="0.25">
      <c r="A58" s="23" t="s">
        <v>145</v>
      </c>
      <c r="B58" s="43" t="s">
        <v>1</v>
      </c>
      <c r="C58" s="43" t="s">
        <v>639</v>
      </c>
      <c r="D58" s="24" t="s">
        <v>146</v>
      </c>
    </row>
    <row r="59" spans="1:4" x14ac:dyDescent="0.25">
      <c r="A59" s="23" t="s">
        <v>147</v>
      </c>
      <c r="B59" s="43" t="s">
        <v>1</v>
      </c>
      <c r="C59" s="43" t="s">
        <v>656</v>
      </c>
      <c r="D59" s="24" t="s">
        <v>617</v>
      </c>
    </row>
    <row r="60" spans="1:4" x14ac:dyDescent="0.25">
      <c r="A60" s="20" t="s">
        <v>148</v>
      </c>
      <c r="B60" s="20" t="s">
        <v>1</v>
      </c>
      <c r="C60" s="1190" t="s">
        <v>631</v>
      </c>
      <c r="D60" s="20"/>
    </row>
    <row r="61" spans="1:4" x14ac:dyDescent="0.25">
      <c r="A61" s="20" t="s">
        <v>149</v>
      </c>
      <c r="B61" s="20" t="s">
        <v>1</v>
      </c>
      <c r="C61" s="1190" t="s">
        <v>637</v>
      </c>
      <c r="D61" s="21" t="s">
        <v>123</v>
      </c>
    </row>
    <row r="62" spans="1:4" x14ac:dyDescent="0.25">
      <c r="A62" s="20" t="s">
        <v>150</v>
      </c>
      <c r="B62" s="20" t="s">
        <v>1</v>
      </c>
      <c r="C62" s="1190" t="s">
        <v>638</v>
      </c>
      <c r="D62" s="21" t="s">
        <v>125</v>
      </c>
    </row>
    <row r="63" spans="1:4" x14ac:dyDescent="0.25">
      <c r="A63" s="20" t="s">
        <v>151</v>
      </c>
      <c r="B63" s="20" t="s">
        <v>1</v>
      </c>
      <c r="C63" s="1190" t="s">
        <v>152</v>
      </c>
      <c r="D63" s="21" t="s">
        <v>125</v>
      </c>
    </row>
  </sheetData>
  <hyperlinks>
    <hyperlink ref="D58" r:id="rId1" xr:uid="{2A8B9042-92F5-4D76-B683-0F24F8B560BF}"/>
    <hyperlink ref="D15" r:id="rId2" display="http://kitco.com/gold.londonfix.html" xr:uid="{5CE2EBA0-33C7-4082-B763-7181D83333C5}"/>
    <hyperlink ref="D17" r:id="rId3" xr:uid="{BC6528EB-4B6F-43E5-9354-6D08301FE55D}"/>
    <hyperlink ref="D21" r:id="rId4" xr:uid="{8E7F5103-CDF2-47B7-8B8D-378B8B6163A2}"/>
    <hyperlink ref="D20" r:id="rId5" xr:uid="{5958D38D-F7DB-4ED2-A899-0EC20F467BB0}"/>
    <hyperlink ref="D10" r:id="rId6" xr:uid="{8A1D324C-B2B2-4F22-9B77-21B4F49F783F}"/>
    <hyperlink ref="D37" r:id="rId7" display="http://www.industry.gov.au/Office-of-the-Chief-Economist/Pages/default.aspx" xr:uid="{F862F9CD-7FC3-42BA-A3CE-0219B49EBAD4}"/>
    <hyperlink ref="D40" r:id="rId8" xr:uid="{C7E4CF15-C5DF-4B70-8700-CC413F014B06}"/>
    <hyperlink ref="D43" r:id="rId9" display="http://www.industry.gov.au/Office-of-the-Chief-Economist/Pages/default.aspx" xr:uid="{51409067-F03C-475D-9F5B-D6B1419B8001}"/>
    <hyperlink ref="D51" r:id="rId10" display="http://www.industry.gov.au/Office-of-the-Chief-Economist/Pages/default.aspx" xr:uid="{009CE3AC-9DEE-454D-A09C-E574C3F9C871}"/>
    <hyperlink ref="D55" r:id="rId11" display="http://www.industry.gov.au/Office-of-the-Chief-Economist/Pages/default.aspx" xr:uid="{917686BF-E5EE-45D7-90A2-3F284ED633DD}"/>
    <hyperlink ref="D46" r:id="rId12" display="http://www.industry.gov.au/Office-of-the-Chief-Economist/Pages/default.aspx" xr:uid="{0438DEA3-EA8E-442B-AB83-C24A3286A16D}"/>
    <hyperlink ref="D18" r:id="rId13" xr:uid="{7FFD8961-4257-4084-80AF-349A85300DA7}"/>
    <hyperlink ref="D61" r:id="rId14" xr:uid="{78019CAA-CA0D-4CBC-861C-30DC7C4ED8DF}"/>
    <hyperlink ref="D59" r:id="rId15" xr:uid="{ABCD7472-8335-4CEB-9D11-3CFB876B3733}"/>
    <hyperlink ref="D63" r:id="rId16" xr:uid="{EE0BB1E6-DED1-49E1-AD3D-489CC68F4084}"/>
    <hyperlink ref="D62" r:id="rId17" xr:uid="{26809483-4308-4351-9617-4849B1BB6DC9}"/>
    <hyperlink ref="D52" r:id="rId18" xr:uid="{C0E1D1A2-0D90-4164-A5CE-283C421E93E4}"/>
    <hyperlink ref="D53" r:id="rId19" xr:uid="{43D24EFC-A15B-48B0-A9EF-832DDC84B145}"/>
    <hyperlink ref="D47" r:id="rId20" xr:uid="{1F009943-D915-4FD3-BD3D-E4178990869B}"/>
    <hyperlink ref="D49" r:id="rId21" xr:uid="{FE7713E1-D87D-4EBD-8A00-7F9EAE083F58}"/>
    <hyperlink ref="D41" r:id="rId22" xr:uid="{6E781689-DC96-46C1-B0EF-BD0DF58B7FD9}"/>
    <hyperlink ref="D38" r:id="rId23" xr:uid="{89570491-9666-45A4-82D9-3E401D6A2B03}"/>
    <hyperlink ref="D56" r:id="rId24" xr:uid="{5C44FD31-C2F8-4D69-B6FB-75E96FDAE068}"/>
    <hyperlink ref="D11" r:id="rId25" xr:uid="{FF6E18B9-39E2-4093-8C11-8353DF0A3EF8}"/>
    <hyperlink ref="D22" r:id="rId26" display="http://kitco.com/gold.londonfix.html" xr:uid="{D8FA73DD-0CA1-439F-9599-69C22C6D3F71}"/>
    <hyperlink ref="D25" r:id="rId27" display="http://kitco.com/gold.londonfix.html" xr:uid="{AF958416-E735-4883-B89D-877F63330EB8}"/>
    <hyperlink ref="D27" r:id="rId28" display="http://kitco.com/gold.londonfix.html" xr:uid="{6B02E140-39BC-41F6-A4BE-A386AC032D2D}"/>
    <hyperlink ref="D16" r:id="rId29" xr:uid="{B515D07F-AD25-4681-9AC8-757531E40207}"/>
    <hyperlink ref="D19" r:id="rId30" xr:uid="{A05FD7F3-296C-4911-B3B8-00F00F537785}"/>
    <hyperlink ref="D28" r:id="rId31" display="http://kitco.com/gold.londonfix.html" xr:uid="{D8EA6BFF-B1FC-458F-A3D2-DB85B9436BDC}"/>
  </hyperlinks>
  <pageMargins left="0.7" right="0.7" top="0.75" bottom="0.75" header="0.3" footer="0.3"/>
  <pageSetup paperSize="9" orientation="portrait" r:id="rId32"/>
  <drawing r:id="rId3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6C11A-329C-43BD-9217-E59EA94B9CE9}">
  <sheetPr>
    <tabColor rgb="FFFFC000"/>
  </sheetPr>
  <dimension ref="A1:U70"/>
  <sheetViews>
    <sheetView showGridLines="0" zoomScale="85" zoomScaleNormal="85"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5" x14ac:dyDescent="0.25"/>
  <cols>
    <col min="1" max="1" width="12.7109375" customWidth="1"/>
    <col min="2" max="3" width="15.7109375" customWidth="1"/>
    <col min="4" max="4" width="8.7109375" customWidth="1"/>
    <col min="5" max="5" width="12.7109375" customWidth="1"/>
    <col min="6" max="7" width="15.7109375" customWidth="1"/>
  </cols>
  <sheetData>
    <row r="1" spans="1:21" x14ac:dyDescent="0.25">
      <c r="U1" s="58" t="s">
        <v>551</v>
      </c>
    </row>
    <row r="2" spans="1:21" x14ac:dyDescent="0.25">
      <c r="H2" s="421"/>
      <c r="U2" s="58" t="s">
        <v>552</v>
      </c>
    </row>
    <row r="7" spans="1:21" x14ac:dyDescent="0.25">
      <c r="A7" s="1393" t="s">
        <v>568</v>
      </c>
      <c r="B7" s="1393"/>
      <c r="C7" s="1393"/>
      <c r="E7" s="1393" t="s">
        <v>553</v>
      </c>
      <c r="F7" s="1393"/>
      <c r="G7" s="1393"/>
    </row>
    <row r="8" spans="1:21" ht="15.75" thickBot="1" x14ac:dyDescent="0.3">
      <c r="A8" s="1395" t="s">
        <v>569</v>
      </c>
      <c r="B8" s="1395"/>
      <c r="C8" s="1395"/>
      <c r="E8" s="1393" t="str">
        <f>E67</f>
        <v>Historic Calendar Year</v>
      </c>
      <c r="F8" s="1393"/>
      <c r="G8" s="1393"/>
      <c r="O8" s="146"/>
    </row>
    <row r="9" spans="1:21" x14ac:dyDescent="0.25">
      <c r="A9" s="647" t="s">
        <v>269</v>
      </c>
      <c r="B9" s="648" t="s">
        <v>575</v>
      </c>
      <c r="C9" s="649" t="s">
        <v>576</v>
      </c>
      <c r="E9" s="647" t="s">
        <v>272</v>
      </c>
      <c r="F9" s="648" t="s">
        <v>575</v>
      </c>
      <c r="G9" s="649" t="s">
        <v>576</v>
      </c>
    </row>
    <row r="10" spans="1:21" x14ac:dyDescent="0.25">
      <c r="A10" s="650">
        <f>LARGE('Commodity Prices'!C$161:C$904,61)</f>
        <v>44166</v>
      </c>
      <c r="B10" s="462">
        <f>SUMIF('Commodity Prices'!C$161:C$904,A10,'Commodity Prices'!I$161:I$904)</f>
        <v>1855.9549999999999</v>
      </c>
      <c r="C10" s="463">
        <f>SUMIF('Commodity Prices'!C$161:C$904,A10,'Commodity Prices'!J$161:J$904)</f>
        <v>2472.54</v>
      </c>
      <c r="E10" s="651">
        <f>IF(E8="Historic Calendar Year", 1971, "1971-72")</f>
        <v>1971</v>
      </c>
      <c r="F10" s="635">
        <f>IF($E$8="Historic Calendar Year",
 IF(COUNTIFS('Commodity Prices'!$I:$I, "&gt;0", 'Commodity Prices'!$A:$A, $E10)=12, AVERAGEIFS('Commodity Prices'!$I:$I, 'Commodity Prices'!$A:$A, $E10), NA()),
 IF(COUNTIFS('Commodity Prices'!$I:$I, "&gt;0", 'Commodity Prices'!$B:$B, $E10)=12, AVERAGEIFS('Commodity Prices'!$I:$I, 'Commodity Prices'!$B:$B, $E10), NA())
)</f>
        <v>35.706835625000004</v>
      </c>
      <c r="G10" s="638">
        <f>IF($E$8="Historic Calendar Year",
 IF(COUNTIFS('Commodity Prices'!$J:$J, "&gt;0", 'Commodity Prices'!$A:$A, $E10)=12, AVERAGEIFS('Commodity Prices'!$J:$J, 'Commodity Prices'!$A:$A, $E10), NA()),
 IF(COUNTIFS('Commodity Prices'!$J:$J, "&gt;0", 'Commodity Prices'!$B:$B, $E10)=12, AVERAGEIFS('Commodity Prices'!$J:$J, 'Commodity Prices'!$B:$B, $E10), NA())
)</f>
        <v>40.804166666666667</v>
      </c>
    </row>
    <row r="11" spans="1:21" x14ac:dyDescent="0.25">
      <c r="A11" s="650">
        <f>LARGE('Commodity Prices'!C$161:C$904,60)</f>
        <v>44197</v>
      </c>
      <c r="B11" s="652">
        <f>SUMIF('Commodity Prices'!C$161:C$904,A11,'Commodity Prices'!I$161:I$904)</f>
        <v>1866.9849999999999</v>
      </c>
      <c r="C11" s="653">
        <f>SUMIF('Commodity Prices'!C$161:C$904,A11,'Commodity Prices'!J$161:J$904)</f>
        <v>2420.9499999999998</v>
      </c>
      <c r="E11" s="651">
        <f>IF($E$8="Historic Calendar Year", E10+1, LEFT(E10, 4)+1 &amp; "-" &amp; RIGHT( LEFT(E10, 4)+2, 2))</f>
        <v>1972</v>
      </c>
      <c r="F11" s="652">
        <f>IF($E$8="Historic Calendar Year",
 IF(COUNTIFS('Commodity Prices'!$I:$I, "&gt;0", 'Commodity Prices'!$A:$A, $E11)=12, AVERAGEIFS('Commodity Prices'!$I:$I, 'Commodity Prices'!$A:$A, $E11), NA()),
 IF(COUNTIFS('Commodity Prices'!$I:$I, "&gt;0", 'Commodity Prices'!$B:$B, $E11)=12, AVERAGEIFS('Commodity Prices'!$I:$I, 'Commodity Prices'!$B:$B, $E11), NA())
)</f>
        <v>48.537630145000001</v>
      </c>
      <c r="G11" s="653">
        <f>IF($E$8="Historic Calendar Year",
 IF(COUNTIFS('Commodity Prices'!$J:$J, "&gt;0", 'Commodity Prices'!$A:$A, $E11)=12, AVERAGEIFS('Commodity Prices'!$J:$J, 'Commodity Prices'!$A:$A, $E11), NA()),
 IF(COUNTIFS('Commodity Prices'!$J:$J, "&gt;0", 'Commodity Prices'!$B:$B, $E11)=12, AVERAGEIFS('Commodity Prices'!$J:$J, 'Commodity Prices'!$B:$B, $E11), NA())
)</f>
        <v>58.159166666666657</v>
      </c>
    </row>
    <row r="12" spans="1:21" x14ac:dyDescent="0.25">
      <c r="A12" s="650">
        <f>LARGE('Commodity Prices'!C$161:C$904,59)</f>
        <v>44228</v>
      </c>
      <c r="B12" s="462">
        <f>SUMIF('Commodity Prices'!C$161:C$904,A12,'Commodity Prices'!I$161:I$904)</f>
        <v>1808.175</v>
      </c>
      <c r="C12" s="463">
        <f>SUMIF('Commodity Prices'!C$161:C$904,A12,'Commodity Prices'!J$161:J$904)</f>
        <v>2340.19</v>
      </c>
      <c r="E12" s="651">
        <f t="shared" ref="E12:E64" si="0">IF($E$8="Historic Calendar Year", E11+1, LEFT(E11, 4)+1 &amp; "-" &amp; RIGHT( LEFT(E11, 4)+2, 2))</f>
        <v>1973</v>
      </c>
      <c r="F12" s="635">
        <f>IF($E$8="Historic Calendar Year",
 IF(COUNTIFS('Commodity Prices'!$I:$I, "&gt;0", 'Commodity Prices'!$A:$A, $E12)=12, AVERAGEIFS('Commodity Prices'!$I:$I, 'Commodity Prices'!$A:$A, $E12), NA()),
 IF(COUNTIFS('Commodity Prices'!$I:$I, "&gt;0", 'Commodity Prices'!$B:$B, $E12)=12, AVERAGEIFS('Commodity Prices'!$I:$I, 'Commodity Prices'!$B:$B, $E12), NA())
)</f>
        <v>67.983213187027317</v>
      </c>
      <c r="G12" s="638">
        <f>IF($E$8="Historic Calendar Year",
 IF(COUNTIFS('Commodity Prices'!$J:$J, "&gt;0", 'Commodity Prices'!$A:$A, $E12)=12, AVERAGEIFS('Commodity Prices'!$J:$J, 'Commodity Prices'!$A:$A, $E12), NA()),
 IF(COUNTIFS('Commodity Prices'!$J:$J, "&gt;0", 'Commodity Prices'!$B:$B, $E12)=12, AVERAGEIFS('Commodity Prices'!$J:$J, 'Commodity Prices'!$B:$B, $E12), NA())
)</f>
        <v>97.35802890547501</v>
      </c>
    </row>
    <row r="13" spans="1:21" x14ac:dyDescent="0.25">
      <c r="A13" s="650">
        <f>LARGE('Commodity Prices'!C$161:C$904,58)</f>
        <v>44256</v>
      </c>
      <c r="B13" s="652">
        <f>SUMIF('Commodity Prices'!C$161:C$904,A13,'Commodity Prices'!I$161:I$904)</f>
        <v>1718.2280000000001</v>
      </c>
      <c r="C13" s="653">
        <f>SUMIF('Commodity Prices'!C$161:C$904,A13,'Commodity Prices'!J$161:J$904)</f>
        <v>2241.92</v>
      </c>
      <c r="E13" s="651">
        <f t="shared" si="0"/>
        <v>1974</v>
      </c>
      <c r="F13" s="652">
        <f>IF($E$8="Historic Calendar Year",
 IF(COUNTIFS('Commodity Prices'!$I:$I, "&gt;0", 'Commodity Prices'!$A:$A, $E13)=12, AVERAGEIFS('Commodity Prices'!$I:$I, 'Commodity Prices'!$A:$A, $E13), NA()),
 IF(COUNTIFS('Commodity Prices'!$I:$I, "&gt;0", 'Commodity Prices'!$B:$B, $E13)=12, AVERAGEIFS('Commodity Prices'!$I:$I, 'Commodity Prices'!$B:$B, $E13), NA())
)</f>
        <v>112.09585983443016</v>
      </c>
      <c r="G13" s="653">
        <f>IF($E$8="Historic Calendar Year",
 IF(COUNTIFS('Commodity Prices'!$J:$J, "&gt;0", 'Commodity Prices'!$A:$A, $E13)=12, AVERAGEIFS('Commodity Prices'!$J:$J, 'Commodity Prices'!$A:$A, $E13), NA()),
 IF(COUNTIFS('Commodity Prices'!$J:$J, "&gt;0", 'Commodity Prices'!$B:$B, $E13)=12, AVERAGEIFS('Commodity Prices'!$J:$J, 'Commodity Prices'!$B:$B, $E13), NA())
)</f>
        <v>159.438611728875</v>
      </c>
    </row>
    <row r="14" spans="1:21" x14ac:dyDescent="0.25">
      <c r="A14" s="650">
        <f>LARGE('Commodity Prices'!C$161:C$904,57)</f>
        <v>44287</v>
      </c>
      <c r="B14" s="462">
        <f>SUMIF('Commodity Prices'!C$161:C$904,A14,'Commodity Prices'!I$161:I$904)</f>
        <v>1761.6780000000001</v>
      </c>
      <c r="C14" s="463">
        <f>SUMIF('Commodity Prices'!C$161:C$904,A14,'Commodity Prices'!J$161:J$904)</f>
        <v>2289.79</v>
      </c>
      <c r="E14" s="654">
        <f t="shared" si="0"/>
        <v>1975</v>
      </c>
      <c r="F14" s="635">
        <f>IF($E$8="Historic Calendar Year",
 IF(COUNTIFS('Commodity Prices'!$I:$I, "&gt;0", 'Commodity Prices'!$A:$A, $E14)=12, AVERAGEIFS('Commodity Prices'!$I:$I, 'Commodity Prices'!$A:$A, $E14), NA()),
 IF(COUNTIFS('Commodity Prices'!$I:$I, "&gt;0", 'Commodity Prices'!$B:$B, $E14)=12, AVERAGEIFS('Commodity Prices'!$I:$I, 'Commodity Prices'!$B:$B, $E14), NA())
)</f>
        <v>122.9133828900956</v>
      </c>
      <c r="G14" s="638">
        <f>IF($E$8="Historic Calendar Year",
 IF(COUNTIFS('Commodity Prices'!$J:$J, "&gt;0", 'Commodity Prices'!$A:$A, $E14)=12, AVERAGEIFS('Commodity Prices'!$J:$J, 'Commodity Prices'!$A:$A, $E14), NA()),
 IF(COUNTIFS('Commodity Prices'!$J:$J, "&gt;0", 'Commodity Prices'!$B:$B, $E14)=12, AVERAGEIFS('Commodity Prices'!$J:$J, 'Commodity Prices'!$B:$B, $E14), NA())
)</f>
        <v>160.96236135876666</v>
      </c>
    </row>
    <row r="15" spans="1:21" x14ac:dyDescent="0.25">
      <c r="A15" s="650">
        <f>LARGE('Commodity Prices'!C$161:C$904,56)</f>
        <v>44317</v>
      </c>
      <c r="B15" s="652">
        <f>SUMIF('Commodity Prices'!C$161:C$904,A15,'Commodity Prices'!I$161:I$904)</f>
        <v>1853.2239999999999</v>
      </c>
      <c r="C15" s="653">
        <f>SUMIF('Commodity Prices'!C$161:C$904,A15,'Commodity Prices'!J$161:J$904)</f>
        <v>2385.63</v>
      </c>
      <c r="E15" s="651">
        <f t="shared" si="0"/>
        <v>1976</v>
      </c>
      <c r="F15" s="652">
        <f>IF($E$8="Historic Calendar Year",
 IF(COUNTIFS('Commodity Prices'!$I:$I, "&gt;0", 'Commodity Prices'!$A:$A, $E15)=12, AVERAGEIFS('Commodity Prices'!$I:$I, 'Commodity Prices'!$A:$A, $E15), NA()),
 IF(COUNTIFS('Commodity Prices'!$I:$I, "&gt;0", 'Commodity Prices'!$B:$B, $E15)=12, AVERAGEIFS('Commodity Prices'!$I:$I, 'Commodity Prices'!$B:$B, $E15), NA())
)</f>
        <v>103.75646281980045</v>
      </c>
      <c r="G15" s="653">
        <f>IF($E$8="Historic Calendar Year",
 IF(COUNTIFS('Commodity Prices'!$J:$J, "&gt;0", 'Commodity Prices'!$A:$A, $E15)=12, AVERAGEIFS('Commodity Prices'!$J:$J, 'Commodity Prices'!$A:$A, $E15), NA()),
 IF(COUNTIFS('Commodity Prices'!$J:$J, "&gt;0", 'Commodity Prices'!$B:$B, $E15)=12, AVERAGEIFS('Commodity Prices'!$J:$J, 'Commodity Prices'!$B:$B, $E15), NA())
)</f>
        <v>124.81329892480835</v>
      </c>
    </row>
    <row r="16" spans="1:21" x14ac:dyDescent="0.25">
      <c r="A16" s="650">
        <f>LARGE('Commodity Prices'!C$161:C$904,56)</f>
        <v>44317</v>
      </c>
      <c r="B16" s="462">
        <f>SUMIF('Commodity Prices'!C$161:C$904,A16,'Commodity Prices'!I$161:I$904)</f>
        <v>1853.2239999999999</v>
      </c>
      <c r="C16" s="463">
        <f>SUMIF('Commodity Prices'!C$161:C$904,A16,'Commodity Prices'!J$161:J$904)</f>
        <v>2385.63</v>
      </c>
      <c r="E16" s="651">
        <f t="shared" si="0"/>
        <v>1977</v>
      </c>
      <c r="F16" s="635">
        <f>IF($E$8="Historic Calendar Year",
 IF(COUNTIFS('Commodity Prices'!$I:$I, "&gt;0", 'Commodity Prices'!$A:$A, $E16)=12, AVERAGEIFS('Commodity Prices'!$I:$I, 'Commodity Prices'!$A:$A, $E16), NA()),
 IF(COUNTIFS('Commodity Prices'!$I:$I, "&gt;0", 'Commodity Prices'!$B:$B, $E16)=12, AVERAGEIFS('Commodity Prices'!$I:$I, 'Commodity Prices'!$B:$B, $E16), NA())
)</f>
        <v>132.87159356359371</v>
      </c>
      <c r="G16" s="638">
        <f>IF($E$8="Historic Calendar Year",
 IF(COUNTIFS('Commodity Prices'!$J:$J, "&gt;0", 'Commodity Prices'!$A:$A, $E16)=12, AVERAGEIFS('Commodity Prices'!$J:$J, 'Commodity Prices'!$A:$A, $E16), NA()),
 IF(COUNTIFS('Commodity Prices'!$J:$J, "&gt;0", 'Commodity Prices'!$B:$B, $E16)=12, AVERAGEIFS('Commodity Prices'!$J:$J, 'Commodity Prices'!$B:$B, $E16), NA())
)</f>
        <v>147.75641759620834</v>
      </c>
    </row>
    <row r="17" spans="1:7" x14ac:dyDescent="0.25">
      <c r="A17" s="650">
        <f>LARGE('Commodity Prices'!C$161:C$904,54)</f>
        <v>44378</v>
      </c>
      <c r="B17" s="652">
        <f>SUMIF('Commodity Prices'!C$161:C$904,A17,'Commodity Prices'!I$161:I$904)</f>
        <v>1807.0930000000001</v>
      </c>
      <c r="C17" s="653">
        <f>SUMIF('Commodity Prices'!C$161:C$904,A17,'Commodity Prices'!J$161:J$904)</f>
        <v>2436.5100000000002</v>
      </c>
      <c r="E17" s="651">
        <f t="shared" si="0"/>
        <v>1978</v>
      </c>
      <c r="F17" s="652">
        <f>IF($E$8="Historic Calendar Year",
 IF(COUNTIFS('Commodity Prices'!$I:$I, "&gt;0", 'Commodity Prices'!$A:$A, $E17)=12, AVERAGEIFS('Commodity Prices'!$I:$I, 'Commodity Prices'!$A:$A, $E17), NA()),
 IF(COUNTIFS('Commodity Prices'!$I:$I, "&gt;0", 'Commodity Prices'!$B:$B, $E17)=12, AVERAGEIFS('Commodity Prices'!$I:$I, 'Commodity Prices'!$B:$B, $E17), NA())
)</f>
        <v>168.26940290151194</v>
      </c>
      <c r="G17" s="653">
        <f>IF($E$8="Historic Calendar Year",
 IF(COUNTIFS('Commodity Prices'!$J:$J, "&gt;0", 'Commodity Prices'!$A:$A, $E17)=12, AVERAGEIFS('Commodity Prices'!$J:$J, 'Commodity Prices'!$A:$A, $E17), NA()),
 IF(COUNTIFS('Commodity Prices'!$J:$J, "&gt;0", 'Commodity Prices'!$B:$B, $E17)=12, AVERAGEIFS('Commodity Prices'!$J:$J, 'Commodity Prices'!$B:$B, $E17), NA())
)</f>
        <v>193.25000246828333</v>
      </c>
    </row>
    <row r="18" spans="1:7" x14ac:dyDescent="0.25">
      <c r="A18" s="650">
        <f>LARGE('Commodity Prices'!C$161:C$904,53)</f>
        <v>44409</v>
      </c>
      <c r="B18" s="462">
        <f>SUMIF('Commodity Prices'!C$161:C$904,A18,'Commodity Prices'!I$161:I$904)</f>
        <v>1783.9690000000001</v>
      </c>
      <c r="C18" s="463">
        <f>SUMIF('Commodity Prices'!C$161:C$904,A18,'Commodity Prices'!J$161:J$904)</f>
        <v>2449.9299999999998</v>
      </c>
      <c r="E18" s="654">
        <f t="shared" si="0"/>
        <v>1979</v>
      </c>
      <c r="F18" s="635">
        <f>IF($E$8="Historic Calendar Year",
 IF(COUNTIFS('Commodity Prices'!$I:$I, "&gt;0", 'Commodity Prices'!$A:$A, $E18)=12, AVERAGEIFS('Commodity Prices'!$I:$I, 'Commodity Prices'!$A:$A, $E18), NA()),
 IF(COUNTIFS('Commodity Prices'!$I:$I, "&gt;0", 'Commodity Prices'!$B:$B, $E18)=12, AVERAGEIFS('Commodity Prices'!$I:$I, 'Commodity Prices'!$B:$B, $E18), NA())
)</f>
        <v>275.6130443156224</v>
      </c>
      <c r="G18" s="638">
        <f>IF($E$8="Historic Calendar Year",
 IF(COUNTIFS('Commodity Prices'!$J:$J, "&gt;0", 'Commodity Prices'!$A:$A, $E18)=12, AVERAGEIFS('Commodity Prices'!$J:$J, 'Commodity Prices'!$A:$A, $E18), NA()),
 IF(COUNTIFS('Commodity Prices'!$J:$J, "&gt;0", 'Commodity Prices'!$B:$B, $E18)=12, AVERAGEIFS('Commodity Prices'!$J:$J, 'Commodity Prices'!$B:$B, $E18), NA())
)</f>
        <v>307.16288279422503</v>
      </c>
    </row>
    <row r="19" spans="1:7" x14ac:dyDescent="0.25">
      <c r="A19" s="650">
        <f>LARGE('Commodity Prices'!C$161:C$904,52)</f>
        <v>44440</v>
      </c>
      <c r="B19" s="652">
        <f>SUMIF('Commodity Prices'!C$161:C$904,A19,'Commodity Prices'!I$161:I$904)</f>
        <v>1777.252</v>
      </c>
      <c r="C19" s="653">
        <f>SUMIF('Commodity Prices'!C$161:C$904,A19,'Commodity Prices'!J$161:J$904)</f>
        <v>2437.69</v>
      </c>
      <c r="E19" s="651">
        <f t="shared" si="0"/>
        <v>1980</v>
      </c>
      <c r="F19" s="652">
        <f>IF($E$8="Historic Calendar Year",
 IF(COUNTIFS('Commodity Prices'!$I:$I, "&gt;0", 'Commodity Prices'!$A:$A, $E19)=12, AVERAGEIFS('Commodity Prices'!$I:$I, 'Commodity Prices'!$A:$A, $E19), NA()),
 IF(COUNTIFS('Commodity Prices'!$I:$I, "&gt;0", 'Commodity Prices'!$B:$B, $E19)=12, AVERAGEIFS('Commodity Prices'!$I:$I, 'Commodity Prices'!$B:$B, $E19), NA())
)</f>
        <v>536.39079665008728</v>
      </c>
      <c r="G19" s="653">
        <f>IF($E$8="Historic Calendar Year",
 IF(COUNTIFS('Commodity Prices'!$J:$J, "&gt;0", 'Commodity Prices'!$A:$A, $E19)=12, AVERAGEIFS('Commodity Prices'!$J:$J, 'Commodity Prices'!$A:$A, $E19), NA()),
 IF(COUNTIFS('Commodity Prices'!$J:$J, "&gt;0", 'Commodity Prices'!$B:$B, $E19)=12, AVERAGEIFS('Commodity Prices'!$J:$J, 'Commodity Prices'!$B:$B, $E19), NA())
)</f>
        <v>612.62523050664993</v>
      </c>
    </row>
    <row r="20" spans="1:7" x14ac:dyDescent="0.25">
      <c r="A20" s="650">
        <f>LARGE('Commodity Prices'!C$161:C$904,51)</f>
        <v>44470</v>
      </c>
      <c r="B20" s="462">
        <f>SUMIF('Commodity Prices'!C$161:C$904,A20,'Commodity Prices'!I$161:I$904)</f>
        <v>1776.855</v>
      </c>
      <c r="C20" s="463">
        <f>SUMIF('Commodity Prices'!C$161:C$904,A20,'Commodity Prices'!J$161:J$904)</f>
        <v>2405.17</v>
      </c>
      <c r="E20" s="654">
        <f t="shared" si="0"/>
        <v>1981</v>
      </c>
      <c r="F20" s="635">
        <f>IF($E$8="Historic Calendar Year",
 IF(COUNTIFS('Commodity Prices'!$I:$I, "&gt;0", 'Commodity Prices'!$A:$A, $E20)=12, AVERAGEIFS('Commodity Prices'!$I:$I, 'Commodity Prices'!$A:$A, $E20), NA()),
 IF(COUNTIFS('Commodity Prices'!$I:$I, "&gt;0", 'Commodity Prices'!$B:$B, $E20)=12, AVERAGEIFS('Commodity Prices'!$I:$I, 'Commodity Prices'!$B:$B, $E20), NA())
)</f>
        <v>399.94802762718473</v>
      </c>
      <c r="G20" s="638">
        <f>IF($E$8="Historic Calendar Year",
 IF(COUNTIFS('Commodity Prices'!$J:$J, "&gt;0", 'Commodity Prices'!$A:$A, $E20)=12, AVERAGEIFS('Commodity Prices'!$J:$J, 'Commodity Prices'!$A:$A, $E20), NA()),
 IF(COUNTIFS('Commodity Prices'!$J:$J, "&gt;0", 'Commodity Prices'!$B:$B, $E20)=12, AVERAGEIFS('Commodity Prices'!$J:$J, 'Commodity Prices'!$B:$B, $E20), NA())
)</f>
        <v>459.40341630442504</v>
      </c>
    </row>
    <row r="21" spans="1:7" x14ac:dyDescent="0.25">
      <c r="A21" s="650">
        <f>LARGE('Commodity Prices'!C$161:C$904,50)</f>
        <v>44501</v>
      </c>
      <c r="B21" s="652">
        <f>SUMIF('Commodity Prices'!C$161:C$904,A21,'Commodity Prices'!I$161:I$904)</f>
        <v>1820.2339999999999</v>
      </c>
      <c r="C21" s="653">
        <f>SUMIF('Commodity Prices'!C$161:C$904,A21,'Commodity Prices'!J$161:J$904)</f>
        <v>2495.37</v>
      </c>
      <c r="E21" s="651">
        <f t="shared" si="0"/>
        <v>1982</v>
      </c>
      <c r="F21" s="652">
        <f>IF($E$8="Historic Calendar Year",
 IF(COUNTIFS('Commodity Prices'!$I:$I, "&gt;0", 'Commodity Prices'!$A:$A, $E21)=12, AVERAGEIFS('Commodity Prices'!$I:$I, 'Commodity Prices'!$A:$A, $E21), NA()),
 IF(COUNTIFS('Commodity Prices'!$I:$I, "&gt;0", 'Commodity Prices'!$B:$B, $E21)=12, AVERAGEIFS('Commodity Prices'!$I:$I, 'Commodity Prices'!$B:$B, $E21), NA())
)</f>
        <v>373.89996587284605</v>
      </c>
      <c r="G21" s="653">
        <f>IF($E$8="Historic Calendar Year",
 IF(COUNTIFS('Commodity Prices'!$J:$J, "&gt;0", 'Commodity Prices'!$A:$A, $E21)=12, AVERAGEIFS('Commodity Prices'!$J:$J, 'Commodity Prices'!$A:$A, $E21), NA()),
 IF(COUNTIFS('Commodity Prices'!$J:$J, "&gt;0", 'Commodity Prices'!$B:$B, $E21)=12, AVERAGEIFS('Commodity Prices'!$J:$J, 'Commodity Prices'!$B:$B, $E21), NA())
)</f>
        <v>375.89852143419165</v>
      </c>
    </row>
    <row r="22" spans="1:7" x14ac:dyDescent="0.25">
      <c r="A22" s="650">
        <f>LARGE('Commodity Prices'!C$161:C$904,49)</f>
        <v>44531</v>
      </c>
      <c r="B22" s="462">
        <f>SUMIF('Commodity Prices'!C$161:C$904,A22,'Commodity Prices'!I$161:I$904)</f>
        <v>1786.653</v>
      </c>
      <c r="C22" s="463">
        <f>SUMIF('Commodity Prices'!C$161:C$904,A22,'Commodity Prices'!J$161:J$904)</f>
        <v>2514.13</v>
      </c>
      <c r="E22" s="654">
        <f t="shared" si="0"/>
        <v>1983</v>
      </c>
      <c r="F22" s="635">
        <f>IF($E$8="Historic Calendar Year",
 IF(COUNTIFS('Commodity Prices'!$I:$I, "&gt;0", 'Commodity Prices'!$A:$A, $E22)=12, AVERAGEIFS('Commodity Prices'!$I:$I, 'Commodity Prices'!$A:$A, $E22), NA()),
 IF(COUNTIFS('Commodity Prices'!$I:$I, "&gt;0", 'Commodity Prices'!$B:$B, $E22)=12, AVERAGEIFS('Commodity Prices'!$I:$I, 'Commodity Prices'!$B:$B, $E22), NA())
)</f>
        <v>447.83279001100169</v>
      </c>
      <c r="G22" s="638">
        <f>IF($E$8="Historic Calendar Year",
 IF(COUNTIFS('Commodity Prices'!$J:$J, "&gt;0", 'Commodity Prices'!$A:$A, $E22)=12, AVERAGEIFS('Commodity Prices'!$J:$J, 'Commodity Prices'!$A:$A, $E22), NA()),
 IF(COUNTIFS('Commodity Prices'!$J:$J, "&gt;0", 'Commodity Prices'!$B:$B, $E22)=12, AVERAGEIFS('Commodity Prices'!$J:$J, 'Commodity Prices'!$B:$B, $E22), NA())
)</f>
        <v>447.93605702293326</v>
      </c>
    </row>
    <row r="23" spans="1:7" x14ac:dyDescent="0.25">
      <c r="A23" s="650">
        <f>LARGE('Commodity Prices'!C$161:C$904,48)</f>
        <v>44562</v>
      </c>
      <c r="B23" s="652">
        <f>SUMIF('Commodity Prices'!C$161:C$904,A23,'Commodity Prices'!I$161:I$904)</f>
        <v>1816.7650000000001</v>
      </c>
      <c r="C23" s="653">
        <f>SUMIF('Commodity Prices'!C$161:C$904,A23,'Commodity Prices'!J$161:J$904)</f>
        <v>2538.2399999999998</v>
      </c>
      <c r="E23" s="651">
        <f t="shared" si="0"/>
        <v>1984</v>
      </c>
      <c r="F23" s="652">
        <f>IF($E$8="Historic Calendar Year",
 IF(COUNTIFS('Commodity Prices'!$I:$I, "&gt;0", 'Commodity Prices'!$A:$A, $E23)=12, AVERAGEIFS('Commodity Prices'!$I:$I, 'Commodity Prices'!$A:$A, $E23), NA()),
 IF(COUNTIFS('Commodity Prices'!$I:$I, "&gt;0", 'Commodity Prices'!$B:$B, $E23)=12, AVERAGEIFS('Commodity Prices'!$I:$I, 'Commodity Prices'!$B:$B, $E23), NA())
)</f>
        <v>360.68333333333334</v>
      </c>
      <c r="G23" s="653">
        <f>IF($E$8="Historic Calendar Year",
 IF(COUNTIFS('Commodity Prices'!$J:$J, "&gt;0", 'Commodity Prices'!$A:$A, $E23)=12, AVERAGEIFS('Commodity Prices'!$J:$J, 'Commodity Prices'!$A:$A, $E23), NA()),
 IF(COUNTIFS('Commodity Prices'!$J:$J, "&gt;0", 'Commodity Prices'!$B:$B, $E23)=12, AVERAGEIFS('Commodity Prices'!$J:$J, 'Commodity Prices'!$B:$B, $E23), NA())
)</f>
        <v>410.15416666666664</v>
      </c>
    </row>
    <row r="24" spans="1:7" x14ac:dyDescent="0.25">
      <c r="A24" s="650">
        <f>LARGE('Commodity Prices'!C$161:C$904,47)</f>
        <v>44593</v>
      </c>
      <c r="B24" s="462">
        <f>SUMIF('Commodity Prices'!C$161:C$904,A24,'Commodity Prices'!I$161:I$904)</f>
        <v>1856.2950000000001</v>
      </c>
      <c r="C24" s="463">
        <f>SUMIF('Commodity Prices'!C$161:C$904,A24,'Commodity Prices'!J$161:J$904)</f>
        <v>2595.4325389285709</v>
      </c>
      <c r="E24" s="654">
        <f t="shared" si="0"/>
        <v>1985</v>
      </c>
      <c r="F24" s="635">
        <f>IF($E$8="Historic Calendar Year",
 IF(COUNTIFS('Commodity Prices'!$I:$I, "&gt;0", 'Commodity Prices'!$A:$A, $E24)=12, AVERAGEIFS('Commodity Prices'!$I:$I, 'Commodity Prices'!$A:$A, $E24), NA()),
 IF(COUNTIFS('Commodity Prices'!$I:$I, "&gt;0", 'Commodity Prices'!$B:$B, $E24)=12, AVERAGEIFS('Commodity Prices'!$I:$I, 'Commodity Prices'!$B:$B, $E24), NA())
)</f>
        <v>317.22499999999997</v>
      </c>
      <c r="G24" s="638">
        <f>IF($E$8="Historic Calendar Year",
 IF(COUNTIFS('Commodity Prices'!$J:$J, "&gt;0", 'Commodity Prices'!$A:$A, $E24)=12, AVERAGEIFS('Commodity Prices'!$J:$J, 'Commodity Prices'!$A:$A, $E24), NA()),
 IF(COUNTIFS('Commodity Prices'!$J:$J, "&gt;0", 'Commodity Prices'!$B:$B, $E24)=12, AVERAGEIFS('Commodity Prices'!$J:$J, 'Commodity Prices'!$B:$B, $E24), NA())
)</f>
        <v>453.74583333333339</v>
      </c>
    </row>
    <row r="25" spans="1:7" x14ac:dyDescent="0.25">
      <c r="A25" s="650">
        <f>LARGE('Commodity Prices'!C$161:C$904,46)</f>
        <v>44621</v>
      </c>
      <c r="B25" s="652">
        <f>SUMIF('Commodity Prices'!C$161:C$904,A25,'Commodity Prices'!I$161:I$904)</f>
        <v>1947.828</v>
      </c>
      <c r="C25" s="653">
        <f>SUMIF('Commodity Prices'!C$161:C$904,A25,'Commodity Prices'!J$161:J$904)</f>
        <v>2640.7890441935479</v>
      </c>
      <c r="E25" s="651">
        <f t="shared" si="0"/>
        <v>1986</v>
      </c>
      <c r="F25" s="652">
        <f>IF($E$8="Historic Calendar Year",
 IF(COUNTIFS('Commodity Prices'!$I:$I, "&gt;0", 'Commodity Prices'!$A:$A, $E25)=12, AVERAGEIFS('Commodity Prices'!$I:$I, 'Commodity Prices'!$A:$A, $E25), NA()),
 IF(COUNTIFS('Commodity Prices'!$I:$I, "&gt;0", 'Commodity Prices'!$B:$B, $E25)=12, AVERAGEIFS('Commodity Prices'!$I:$I, 'Commodity Prices'!$B:$B, $E25), NA())
)</f>
        <v>367.38749999999999</v>
      </c>
      <c r="G25" s="653">
        <f>IF($E$8="Historic Calendar Year",
 IF(COUNTIFS('Commodity Prices'!$J:$J, "&gt;0", 'Commodity Prices'!$A:$A, $E25)=12, AVERAGEIFS('Commodity Prices'!$J:$J, 'Commodity Prices'!$A:$A, $E25), NA()),
 IF(COUNTIFS('Commodity Prices'!$J:$J, "&gt;0", 'Commodity Prices'!$B:$B, $E25)=12, AVERAGEIFS('Commodity Prices'!$J:$J, 'Commodity Prices'!$B:$B, $E25), NA())
)</f>
        <v>553.46249999999998</v>
      </c>
    </row>
    <row r="26" spans="1:7" x14ac:dyDescent="0.25">
      <c r="A26" s="650">
        <f>LARGE('Commodity Prices'!C$161:C$904,45)</f>
        <v>44652</v>
      </c>
      <c r="B26" s="462">
        <f>SUMIF('Commodity Prices'!C$161:C$904,A26,'Commodity Prices'!I$161:I$904)</f>
        <v>1933.9</v>
      </c>
      <c r="C26" s="463">
        <f>SUMIF('Commodity Prices'!C$161:C$904,A26,'Commodity Prices'!J$161:J$904)</f>
        <v>2630.7344226666669</v>
      </c>
      <c r="E26" s="654">
        <f t="shared" si="0"/>
        <v>1987</v>
      </c>
      <c r="F26" s="635">
        <f>IF($E$8="Historic Calendar Year",
 IF(COUNTIFS('Commodity Prices'!$I:$I, "&gt;0", 'Commodity Prices'!$A:$A, $E26)=12, AVERAGEIFS('Commodity Prices'!$I:$I, 'Commodity Prices'!$A:$A, $E26), NA()),
 IF(COUNTIFS('Commodity Prices'!$I:$I, "&gt;0", 'Commodity Prices'!$B:$B, $E26)=12, AVERAGEIFS('Commodity Prices'!$I:$I, 'Commodity Prices'!$B:$B, $E26), NA())
)</f>
        <v>446.80166666666668</v>
      </c>
      <c r="G26" s="638">
        <f>IF($E$8="Historic Calendar Year",
 IF(COUNTIFS('Commodity Prices'!$J:$J, "&gt;0", 'Commodity Prices'!$A:$A, $E26)=12, AVERAGEIFS('Commodity Prices'!$J:$J, 'Commodity Prices'!$A:$A, $E26), NA()),
 IF(COUNTIFS('Commodity Prices'!$J:$J, "&gt;0", 'Commodity Prices'!$B:$B, $E26)=12, AVERAGEIFS('Commodity Prices'!$J:$J, 'Commodity Prices'!$B:$B, $E26), NA())
)</f>
        <v>639.26249999999993</v>
      </c>
    </row>
    <row r="27" spans="1:7" x14ac:dyDescent="0.25">
      <c r="A27" s="650">
        <f>LARGE('Commodity Prices'!C$161:C$904,44)</f>
        <v>44682</v>
      </c>
      <c r="B27" s="652">
        <f>SUMIF('Commodity Prices'!C$161:C$904,A27,'Commodity Prices'!I$161:I$904)</f>
        <v>1848.3019999999999</v>
      </c>
      <c r="C27" s="653">
        <f>SUMIF('Commodity Prices'!C$161:C$904,A27,'Commodity Prices'!J$161:J$904)</f>
        <v>2623.7636222580645</v>
      </c>
      <c r="E27" s="651">
        <f t="shared" si="0"/>
        <v>1988</v>
      </c>
      <c r="F27" s="652">
        <f>IF($E$8="Historic Calendar Year",
 IF(COUNTIFS('Commodity Prices'!$I:$I, "&gt;0", 'Commodity Prices'!$A:$A, $E27)=12, AVERAGEIFS('Commodity Prices'!$I:$I, 'Commodity Prices'!$A:$A, $E27), NA()),
 IF(COUNTIFS('Commodity Prices'!$I:$I, "&gt;0", 'Commodity Prices'!$B:$B, $E27)=12, AVERAGEIFS('Commodity Prices'!$I:$I, 'Commodity Prices'!$B:$B, $E27), NA())
)</f>
        <v>437.51499999999993</v>
      </c>
      <c r="G27" s="653">
        <f>IF($E$8="Historic Calendar Year",
 IF(COUNTIFS('Commodity Prices'!$J:$J, "&gt;0", 'Commodity Prices'!$A:$A, $E27)=12, AVERAGEIFS('Commodity Prices'!$J:$J, 'Commodity Prices'!$A:$A, $E27), NA()),
 IF(COUNTIFS('Commodity Prices'!$J:$J, "&gt;0", 'Commodity Prices'!$B:$B, $E27)=12, AVERAGEIFS('Commodity Prices'!$J:$J, 'Commodity Prices'!$B:$B, $E27), NA())
)</f>
        <v>562.99249999999995</v>
      </c>
    </row>
    <row r="28" spans="1:7" x14ac:dyDescent="0.25">
      <c r="A28" s="650">
        <f>LARGE('Commodity Prices'!C$161:C$904,43)</f>
        <v>44713</v>
      </c>
      <c r="B28" s="462">
        <f>SUMIF('Commodity Prices'!C$161:C$904,A28,'Commodity Prices'!I$161:I$904)</f>
        <v>1833.825</v>
      </c>
      <c r="C28" s="463">
        <f>SUMIF('Commodity Prices'!C$161:C$904,A28,'Commodity Prices'!J$161:J$904)</f>
        <v>2618.6942396666664</v>
      </c>
      <c r="E28" s="654">
        <f t="shared" si="0"/>
        <v>1989</v>
      </c>
      <c r="F28" s="635">
        <f>IF($E$8="Historic Calendar Year",
 IF(COUNTIFS('Commodity Prices'!$I:$I, "&gt;0", 'Commodity Prices'!$A:$A, $E28)=12, AVERAGEIFS('Commodity Prices'!$I:$I, 'Commodity Prices'!$A:$A, $E28), NA()),
 IF(COUNTIFS('Commodity Prices'!$I:$I, "&gt;0", 'Commodity Prices'!$B:$B, $E28)=12, AVERAGEIFS('Commodity Prices'!$I:$I, 'Commodity Prices'!$B:$B, $E28), NA())
)</f>
        <v>381.83166666666665</v>
      </c>
      <c r="G28" s="638">
        <f>IF($E$8="Historic Calendar Year",
 IF(COUNTIFS('Commodity Prices'!$J:$J, "&gt;0", 'Commodity Prices'!$A:$A, $E28)=12, AVERAGEIFS('Commodity Prices'!$J:$J, 'Commodity Prices'!$A:$A, $E28), NA()),
 IF(COUNTIFS('Commodity Prices'!$J:$J, "&gt;0", 'Commodity Prices'!$B:$B, $E28)=12, AVERAGEIFS('Commodity Prices'!$J:$J, 'Commodity Prices'!$B:$B, $E28), NA())
)</f>
        <v>483.81833333333338</v>
      </c>
    </row>
    <row r="29" spans="1:7" x14ac:dyDescent="0.25">
      <c r="A29" s="650">
        <f>LARGE('Commodity Prices'!C$161:C$904,42)</f>
        <v>44743</v>
      </c>
      <c r="B29" s="652">
        <f>SUMIF('Commodity Prices'!C$161:C$904,A29,'Commodity Prices'!I$161:I$904)</f>
        <v>1736.3710000000001</v>
      </c>
      <c r="C29" s="653">
        <f>SUMIF('Commodity Prices'!C$161:C$904,A29,'Commodity Prices'!J$161:J$904)</f>
        <v>2539.8083667741939</v>
      </c>
      <c r="E29" s="651">
        <f t="shared" si="0"/>
        <v>1990</v>
      </c>
      <c r="F29" s="652">
        <f>IF($E$8="Historic Calendar Year",
 IF(COUNTIFS('Commodity Prices'!$I:$I, "&gt;0", 'Commodity Prices'!$A:$A, $E29)=12, AVERAGEIFS('Commodity Prices'!$I:$I, 'Commodity Prices'!$A:$A, $E29), NA()),
 IF(COUNTIFS('Commodity Prices'!$I:$I, "&gt;0", 'Commodity Prices'!$B:$B, $E29)=12, AVERAGEIFS('Commodity Prices'!$I:$I, 'Commodity Prices'!$B:$B, $E29), NA())
)</f>
        <v>383.67083333333329</v>
      </c>
      <c r="G29" s="653">
        <f>IF($E$8="Historic Calendar Year",
 IF(COUNTIFS('Commodity Prices'!$J:$J, "&gt;0", 'Commodity Prices'!$A:$A, $E29)=12, AVERAGEIFS('Commodity Prices'!$J:$J, 'Commodity Prices'!$A:$A, $E29), NA()),
 IF(COUNTIFS('Commodity Prices'!$J:$J, "&gt;0", 'Commodity Prices'!$B:$B, $E29)=12, AVERAGEIFS('Commodity Prices'!$J:$J, 'Commodity Prices'!$B:$B, $E29), NA())
)</f>
        <v>493.27333333333331</v>
      </c>
    </row>
    <row r="30" spans="1:7" x14ac:dyDescent="0.25">
      <c r="A30" s="650">
        <f>LARGE('Commodity Prices'!C$161:C$904,41)</f>
        <v>44774</v>
      </c>
      <c r="B30" s="462">
        <f>SUMIF('Commodity Prices'!C$161:C$904,A30,'Commodity Prices'!I$161:I$904)</f>
        <v>1765.655</v>
      </c>
      <c r="C30" s="463">
        <f>SUMIF('Commodity Prices'!C$161:C$904,A30,'Commodity Prices'!J$161:J$904)</f>
        <v>2537.6864038709678</v>
      </c>
      <c r="E30" s="654">
        <f t="shared" si="0"/>
        <v>1991</v>
      </c>
      <c r="F30" s="635">
        <f>IF($E$8="Historic Calendar Year",
 IF(COUNTIFS('Commodity Prices'!$I:$I, "&gt;0", 'Commodity Prices'!$A:$A, $E30)=12, AVERAGEIFS('Commodity Prices'!$I:$I, 'Commodity Prices'!$A:$A, $E30), NA()),
 IF(COUNTIFS('Commodity Prices'!$I:$I, "&gt;0", 'Commodity Prices'!$B:$B, $E30)=12, AVERAGEIFS('Commodity Prices'!$I:$I, 'Commodity Prices'!$B:$B, $E30), NA())
)</f>
        <v>362.57666666666665</v>
      </c>
      <c r="G30" s="638">
        <f>IF($E$8="Historic Calendar Year",
 IF(COUNTIFS('Commodity Prices'!$J:$J, "&gt;0", 'Commodity Prices'!$A:$A, $E30)=12, AVERAGEIFS('Commodity Prices'!$J:$J, 'Commodity Prices'!$A:$A, $E30), NA()),
 IF(COUNTIFS('Commodity Prices'!$J:$J, "&gt;0", 'Commodity Prices'!$B:$B, $E30)=12, AVERAGEIFS('Commodity Prices'!$J:$J, 'Commodity Prices'!$B:$B, $E30), NA())
)</f>
        <v>467.42333333333335</v>
      </c>
    </row>
    <row r="31" spans="1:7" x14ac:dyDescent="0.25">
      <c r="A31" s="650">
        <f>LARGE('Commodity Prices'!C$161:C$904,40)</f>
        <v>44805</v>
      </c>
      <c r="B31" s="652">
        <f>SUMIF('Commodity Prices'!C$161:C$904,A31,'Commodity Prices'!I$161:I$904)</f>
        <v>1682.9670000000001</v>
      </c>
      <c r="C31" s="653">
        <f>SUMIF('Commodity Prices'!C$161:C$904,A31,'Commodity Prices'!J$161:J$904)</f>
        <v>2517.5442363333336</v>
      </c>
      <c r="E31" s="651">
        <f t="shared" si="0"/>
        <v>1992</v>
      </c>
      <c r="F31" s="652">
        <f>IF($E$8="Historic Calendar Year",
 IF(COUNTIFS('Commodity Prices'!$I:$I, "&gt;0", 'Commodity Prices'!$A:$A, $E31)=12, AVERAGEIFS('Commodity Prices'!$I:$I, 'Commodity Prices'!$A:$A, $E31), NA()),
 IF(COUNTIFS('Commodity Prices'!$I:$I, "&gt;0", 'Commodity Prices'!$B:$B, $E31)=12, AVERAGEIFS('Commodity Prices'!$I:$I, 'Commodity Prices'!$B:$B, $E31), NA())
)</f>
        <v>343.83916666666664</v>
      </c>
      <c r="G31" s="653">
        <f>IF($E$8="Historic Calendar Year",
 IF(COUNTIFS('Commodity Prices'!$J:$J, "&gt;0", 'Commodity Prices'!$A:$A, $E31)=12, AVERAGEIFS('Commodity Prices'!$J:$J, 'Commodity Prices'!$A:$A, $E31), NA()),
 IF(COUNTIFS('Commodity Prices'!$J:$J, "&gt;0", 'Commodity Prices'!$B:$B, $E31)=12, AVERAGEIFS('Commodity Prices'!$J:$J, 'Commodity Prices'!$B:$B, $E31), NA())
)</f>
        <v>469.76500000000004</v>
      </c>
    </row>
    <row r="32" spans="1:7" x14ac:dyDescent="0.25">
      <c r="A32" s="650">
        <f>LARGE('Commodity Prices'!C$161:C$904,39)</f>
        <v>44835</v>
      </c>
      <c r="B32" s="462">
        <f>SUMIF('Commodity Prices'!C$161:C$904,A32,'Commodity Prices'!I$161:I$904)</f>
        <v>1664.4449999999999</v>
      </c>
      <c r="C32" s="463">
        <f>SUMIF('Commodity Prices'!C$161:C$904,A32,'Commodity Prices'!J$161:J$904)</f>
        <v>2617.8040206451606</v>
      </c>
      <c r="E32" s="654">
        <f t="shared" si="0"/>
        <v>1993</v>
      </c>
      <c r="F32" s="635">
        <f>IF($E$8="Historic Calendar Year",
 IF(COUNTIFS('Commodity Prices'!$I:$I, "&gt;0", 'Commodity Prices'!$A:$A, $E32)=12, AVERAGEIFS('Commodity Prices'!$I:$I, 'Commodity Prices'!$A:$A, $E32), NA()),
 IF(COUNTIFS('Commodity Prices'!$I:$I, "&gt;0", 'Commodity Prices'!$B:$B, $E32)=12, AVERAGEIFS('Commodity Prices'!$I:$I, 'Commodity Prices'!$B:$B, $E32), NA())
)</f>
        <v>359.80916666666661</v>
      </c>
      <c r="G32" s="638">
        <f>IF($E$8="Historic Calendar Year",
 IF(COUNTIFS('Commodity Prices'!$J:$J, "&gt;0", 'Commodity Prices'!$A:$A, $E32)=12, AVERAGEIFS('Commodity Prices'!$J:$J, 'Commodity Prices'!$A:$A, $E32), NA()),
 IF(COUNTIFS('Commodity Prices'!$J:$J, "&gt;0", 'Commodity Prices'!$B:$B, $E32)=12, AVERAGEIFS('Commodity Prices'!$J:$J, 'Commodity Prices'!$B:$B, $E32), NA())
)</f>
        <v>530.61</v>
      </c>
    </row>
    <row r="33" spans="1:7" x14ac:dyDescent="0.25">
      <c r="A33" s="650">
        <f>LARGE('Commodity Prices'!C$161:C$904,38)</f>
        <v>44866</v>
      </c>
      <c r="B33" s="652">
        <f>SUMIF('Commodity Prices'!C$161:C$904,A33,'Commodity Prices'!I$161:I$904)</f>
        <v>1726.4480000000001</v>
      </c>
      <c r="C33" s="653">
        <f>SUMIF('Commodity Prices'!C$161:C$904,A33,'Commodity Prices'!J$161:J$904)</f>
        <v>2614.5277180000003</v>
      </c>
      <c r="E33" s="651">
        <f t="shared" si="0"/>
        <v>1994</v>
      </c>
      <c r="F33" s="652">
        <f>IF($E$8="Historic Calendar Year",
 IF(COUNTIFS('Commodity Prices'!$I:$I, "&gt;0", 'Commodity Prices'!$A:$A, $E33)=12, AVERAGEIFS('Commodity Prices'!$I:$I, 'Commodity Prices'!$A:$A, $E33), NA()),
 IF(COUNTIFS('Commodity Prices'!$I:$I, "&gt;0", 'Commodity Prices'!$B:$B, $E33)=12, AVERAGEIFS('Commodity Prices'!$I:$I, 'Commodity Prices'!$B:$B, $E33), NA())
)</f>
        <v>384.08416666666659</v>
      </c>
      <c r="G33" s="653">
        <f>IF($E$8="Historic Calendar Year",
 IF(COUNTIFS('Commodity Prices'!$J:$J, "&gt;0", 'Commodity Prices'!$A:$A, $E33)=12, AVERAGEIFS('Commodity Prices'!$J:$J, 'Commodity Prices'!$A:$A, $E33), NA()),
 IF(COUNTIFS('Commodity Prices'!$J:$J, "&gt;0", 'Commodity Prices'!$B:$B, $E33)=12, AVERAGEIFS('Commodity Prices'!$J:$J, 'Commodity Prices'!$B:$B, $E33), NA())
)</f>
        <v>499.25210832669535</v>
      </c>
    </row>
    <row r="34" spans="1:7" x14ac:dyDescent="0.25">
      <c r="A34" s="650">
        <f>LARGE('Commodity Prices'!C$161:C$904,37)</f>
        <v>44896</v>
      </c>
      <c r="B34" s="462">
        <f>SUMIF('Commodity Prices'!C$161:C$904,A34,'Commodity Prices'!I$161:I$904)</f>
        <v>1796.742</v>
      </c>
      <c r="C34" s="463">
        <f>SUMIF('Commodity Prices'!C$161:C$904,A34,'Commodity Prices'!J$161:J$904)</f>
        <v>2662.9885051612905</v>
      </c>
      <c r="E34" s="654">
        <f t="shared" si="0"/>
        <v>1995</v>
      </c>
      <c r="F34" s="635">
        <f>IF($E$8="Historic Calendar Year",
 IF(COUNTIFS('Commodity Prices'!$I:$I, "&gt;0", 'Commodity Prices'!$A:$A, $E34)=12, AVERAGEIFS('Commodity Prices'!$I:$I, 'Commodity Prices'!$A:$A, $E34), NA()),
 IF(COUNTIFS('Commodity Prices'!$I:$I, "&gt;0", 'Commodity Prices'!$B:$B, $E34)=12, AVERAGEIFS('Commodity Prices'!$I:$I, 'Commodity Prices'!$B:$B, $E34), NA())
)</f>
        <v>384.23499999999996</v>
      </c>
      <c r="G34" s="638">
        <f>IF($E$8="Historic Calendar Year",
 IF(COUNTIFS('Commodity Prices'!$J:$J, "&gt;0", 'Commodity Prices'!$A:$A, $E34)=12, AVERAGEIFS('Commodity Prices'!$J:$J, 'Commodity Prices'!$A:$A, $E34), NA()),
 IF(COUNTIFS('Commodity Prices'!$J:$J, "&gt;0", 'Commodity Prices'!$B:$B, $E34)=12, AVERAGEIFS('Commodity Prices'!$J:$J, 'Commodity Prices'!$B:$B, $E34), NA())
)</f>
        <v>517.43880151020551</v>
      </c>
    </row>
    <row r="35" spans="1:7" x14ac:dyDescent="0.25">
      <c r="A35" s="650">
        <f>LARGE('Commodity Prices'!C$161:C$904,36)</f>
        <v>44927</v>
      </c>
      <c r="B35" s="652">
        <f>SUMIF('Commodity Prices'!C$161:C$904,A35,'Commodity Prices'!I$161:I$904)</f>
        <v>1898.6289999999999</v>
      </c>
      <c r="C35" s="653">
        <f>SUMIF('Commodity Prices'!C$161:C$904,A35,'Commodity Prices'!J$161:J$904)</f>
        <v>2730.4556435483869</v>
      </c>
      <c r="E35" s="651">
        <f t="shared" si="0"/>
        <v>1996</v>
      </c>
      <c r="F35" s="652">
        <f>IF($E$8="Historic Calendar Year",
 IF(COUNTIFS('Commodity Prices'!$I:$I, "&gt;0", 'Commodity Prices'!$A:$A, $E35)=12, AVERAGEIFS('Commodity Prices'!$I:$I, 'Commodity Prices'!$A:$A, $E35), NA()),
 IF(COUNTIFS('Commodity Prices'!$I:$I, "&gt;0", 'Commodity Prices'!$B:$B, $E35)=12, AVERAGEIFS('Commodity Prices'!$I:$I, 'Commodity Prices'!$B:$B, $E35), NA())
)</f>
        <v>387.79999999999995</v>
      </c>
      <c r="G35" s="653">
        <f>IF($E$8="Historic Calendar Year",
 IF(COUNTIFS('Commodity Prices'!$J:$J, "&gt;0", 'Commodity Prices'!$A:$A, $E35)=12, AVERAGEIFS('Commodity Prices'!$J:$J, 'Commodity Prices'!$A:$A, $E35), NA()),
 IF(COUNTIFS('Commodity Prices'!$J:$J, "&gt;0", 'Commodity Prices'!$B:$B, $E35)=12, AVERAGEIFS('Commodity Prices'!$J:$J, 'Commodity Prices'!$B:$B, $E35), NA())
)</f>
        <v>494.79666666666662</v>
      </c>
    </row>
    <row r="36" spans="1:7" x14ac:dyDescent="0.25">
      <c r="A36" s="650">
        <f>LARGE('Commodity Prices'!C$161:C$904,35)</f>
        <v>44958</v>
      </c>
      <c r="B36" s="462">
        <f>SUMIF('Commodity Prices'!C$161:C$904,A36,'Commodity Prices'!I$161:I$904)</f>
        <v>1854.54</v>
      </c>
      <c r="C36" s="463">
        <f>SUMIF('Commodity Prices'!C$161:C$904,A36,'Commodity Prices'!J$161:J$904)</f>
        <v>2690.315099285714</v>
      </c>
      <c r="E36" s="654">
        <f t="shared" si="0"/>
        <v>1997</v>
      </c>
      <c r="F36" s="635">
        <f>IF($E$8="Historic Calendar Year",
 IF(COUNTIFS('Commodity Prices'!$I:$I, "&gt;0", 'Commodity Prices'!$A:$A, $E36)=12, AVERAGEIFS('Commodity Prices'!$I:$I, 'Commodity Prices'!$A:$A, $E36), NA()),
 IF(COUNTIFS('Commodity Prices'!$I:$I, "&gt;0", 'Commodity Prices'!$B:$B, $E36)=12, AVERAGEIFS('Commodity Prices'!$I:$I, 'Commodity Prices'!$B:$B, $E36), NA())
)</f>
        <v>331.16833333333335</v>
      </c>
      <c r="G36" s="638">
        <f>IF($E$8="Historic Calendar Year",
 IF(COUNTIFS('Commodity Prices'!$J:$J, "&gt;0", 'Commodity Prices'!$A:$A, $E36)=12, AVERAGEIFS('Commodity Prices'!$J:$J, 'Commodity Prices'!$A:$A, $E36), NA()),
 IF(COUNTIFS('Commodity Prices'!$J:$J, "&gt;0", 'Commodity Prices'!$B:$B, $E36)=12, AVERAGEIFS('Commodity Prices'!$J:$J, 'Commodity Prices'!$B:$B, $E36), NA())
)</f>
        <v>447.61416666666668</v>
      </c>
    </row>
    <row r="37" spans="1:7" x14ac:dyDescent="0.25">
      <c r="A37" s="650">
        <f>LARGE('Commodity Prices'!C$161:C$904,34)</f>
        <v>44986</v>
      </c>
      <c r="B37" s="652">
        <f>SUMIF('Commodity Prices'!C$161:C$904,A37,'Commodity Prices'!I$161:I$904)</f>
        <v>1912.73</v>
      </c>
      <c r="C37" s="653">
        <f>SUMIF('Commodity Prices'!C$161:C$904,A37,'Commodity Prices'!J$161:J$904)</f>
        <v>2866.6851138709671</v>
      </c>
      <c r="E37" s="651">
        <f t="shared" si="0"/>
        <v>1998</v>
      </c>
      <c r="F37" s="652">
        <f>IF($E$8="Historic Calendar Year",
 IF(COUNTIFS('Commodity Prices'!$I:$I, "&gt;0", 'Commodity Prices'!$A:$A, $E37)=12, AVERAGEIFS('Commodity Prices'!$I:$I, 'Commodity Prices'!$A:$A, $E37), NA()),
 IF(COUNTIFS('Commodity Prices'!$I:$I, "&gt;0", 'Commodity Prices'!$B:$B, $E37)=12, AVERAGEIFS('Commodity Prices'!$I:$I, 'Commodity Prices'!$B:$B, $E37), NA())
)</f>
        <v>294.31824074074069</v>
      </c>
      <c r="G37" s="653">
        <f>IF($E$8="Historic Calendar Year",
 IF(COUNTIFS('Commodity Prices'!$J:$J, "&gt;0", 'Commodity Prices'!$A:$A, $E37)=12, AVERAGEIFS('Commodity Prices'!$J:$J, 'Commodity Prices'!$A:$A, $E37), NA()),
 IF(COUNTIFS('Commodity Prices'!$J:$J, "&gt;0", 'Commodity Prices'!$B:$B, $E37)=12, AVERAGEIFS('Commodity Prices'!$J:$J, 'Commodity Prices'!$B:$B, $E37), NA())
)</f>
        <v>469.56999999999994</v>
      </c>
    </row>
    <row r="38" spans="1:7" x14ac:dyDescent="0.25">
      <c r="A38" s="650">
        <f>LARGE('Commodity Prices'!C$161:C$904,33)</f>
        <v>45017</v>
      </c>
      <c r="B38" s="462">
        <f>SUMIF('Commodity Prices'!C$161:C$904,A38,'Commodity Prices'!I$161:I$904)</f>
        <v>2000.4169999999999</v>
      </c>
      <c r="C38" s="463">
        <f>SUMIF('Commodity Prices'!C$161:C$904,A38,'Commodity Prices'!J$161:J$904)</f>
        <v>2986.6147209999999</v>
      </c>
      <c r="E38" s="654">
        <f t="shared" si="0"/>
        <v>1999</v>
      </c>
      <c r="F38" s="635">
        <f>IF($E$8="Historic Calendar Year",
 IF(COUNTIFS('Commodity Prices'!$I:$I, "&gt;0", 'Commodity Prices'!$A:$A, $E38)=12, AVERAGEIFS('Commodity Prices'!$I:$I, 'Commodity Prices'!$A:$A, $E38), NA()),
 IF(COUNTIFS('Commodity Prices'!$I:$I, "&gt;0", 'Commodity Prices'!$B:$B, $E38)=12, AVERAGEIFS('Commodity Prices'!$I:$I, 'Commodity Prices'!$B:$B, $E38), NA())
)</f>
        <v>278.80983333333336</v>
      </c>
      <c r="G38" s="638">
        <f>IF($E$8="Historic Calendar Year",
 IF(COUNTIFS('Commodity Prices'!$J:$J, "&gt;0", 'Commodity Prices'!$A:$A, $E38)=12, AVERAGEIFS('Commodity Prices'!$J:$J, 'Commodity Prices'!$A:$A, $E38), NA()),
 IF(COUNTIFS('Commodity Prices'!$J:$J, "&gt;0", 'Commodity Prices'!$B:$B, $E38)=12, AVERAGEIFS('Commodity Prices'!$J:$J, 'Commodity Prices'!$B:$B, $E38), NA())
)</f>
        <v>433.45000000000005</v>
      </c>
    </row>
    <row r="39" spans="1:7" x14ac:dyDescent="0.25">
      <c r="A39" s="650">
        <f>LARGE('Commodity Prices'!C$161:C$904,32)</f>
        <v>45047</v>
      </c>
      <c r="B39" s="652">
        <f>SUMIF('Commodity Prices'!C$161:C$904,A39,'Commodity Prices'!I$161:I$904)</f>
        <v>1990.2180000000001</v>
      </c>
      <c r="C39" s="653">
        <f>SUMIF('Commodity Prices'!C$161:C$904,A39,'Commodity Prices'!J$161:J$904)</f>
        <v>2995.570909032258</v>
      </c>
      <c r="E39" s="651">
        <f t="shared" si="0"/>
        <v>2000</v>
      </c>
      <c r="F39" s="652">
        <f>IF($E$8="Historic Calendar Year",
 IF(COUNTIFS('Commodity Prices'!$I:$I, "&gt;0", 'Commodity Prices'!$A:$A, $E39)=12, AVERAGEIFS('Commodity Prices'!$I:$I, 'Commodity Prices'!$A:$A, $E39), NA()),
 IF(COUNTIFS('Commodity Prices'!$I:$I, "&gt;0", 'Commodity Prices'!$B:$B, $E39)=12, AVERAGEIFS('Commodity Prices'!$I:$I, 'Commodity Prices'!$B:$B, $E39), NA())
)</f>
        <v>279.07016666666664</v>
      </c>
      <c r="G39" s="653">
        <f>IF($E$8="Historic Calendar Year",
 IF(COUNTIFS('Commodity Prices'!$J:$J, "&gt;0", 'Commodity Prices'!$A:$A, $E39)=12, AVERAGEIFS('Commodity Prices'!$J:$J, 'Commodity Prices'!$A:$A, $E39), NA()),
 IF(COUNTIFS('Commodity Prices'!$J:$J, "&gt;0", 'Commodity Prices'!$B:$B, $E39)=12, AVERAGEIFS('Commodity Prices'!$J:$J, 'Commodity Prices'!$B:$B, $E39), NA())
)</f>
        <v>479.93333333333339</v>
      </c>
    </row>
    <row r="40" spans="1:7" x14ac:dyDescent="0.25">
      <c r="A40" s="650">
        <f>LARGE('Commodity Prices'!C$161:C$904,31)</f>
        <v>45078</v>
      </c>
      <c r="B40" s="462">
        <f>SUMIF('Commodity Prices'!C$161:C$904,A40,'Commodity Prices'!I$161:I$904)</f>
        <v>1942.9</v>
      </c>
      <c r="C40" s="463">
        <f>SUMIF('Commodity Prices'!C$161:C$904,A40,'Commodity Prices'!J$161:J$904)</f>
        <v>2895.1332883333334</v>
      </c>
      <c r="E40" s="654">
        <f t="shared" si="0"/>
        <v>2001</v>
      </c>
      <c r="F40" s="635">
        <f>IF($E$8="Historic Calendar Year",
 IF(COUNTIFS('Commodity Prices'!$I:$I, "&gt;0", 'Commodity Prices'!$A:$A, $E40)=12, AVERAGEIFS('Commodity Prices'!$I:$I, 'Commodity Prices'!$A:$A, $E40), NA()),
 IF(COUNTIFS('Commodity Prices'!$I:$I, "&gt;0", 'Commodity Prices'!$B:$B, $E40)=12, AVERAGEIFS('Commodity Prices'!$I:$I, 'Commodity Prices'!$B:$B, $E40), NA())
)</f>
        <v>270.98433333333332</v>
      </c>
      <c r="G40" s="638">
        <f>IF($E$8="Historic Calendar Year",
 IF(COUNTIFS('Commodity Prices'!$J:$J, "&gt;0", 'Commodity Prices'!$A:$A, $E40)=12, AVERAGEIFS('Commodity Prices'!$J:$J, 'Commodity Prices'!$A:$A, $E40), NA()),
 IF(COUNTIFS('Commodity Prices'!$J:$J, "&gt;0", 'Commodity Prices'!$B:$B, $E40)=12, AVERAGEIFS('Commodity Prices'!$J:$J, 'Commodity Prices'!$B:$B, $E40), NA())
)</f>
        <v>525.91416666666669</v>
      </c>
    </row>
    <row r="41" spans="1:7" x14ac:dyDescent="0.25">
      <c r="A41" s="650">
        <f>LARGE('Commodity Prices'!C$161:C$904,30)</f>
        <v>45108</v>
      </c>
      <c r="B41" s="652">
        <f>SUMIF('Commodity Prices'!C$161:C$904,A41,'Commodity Prices'!I$161:I$904)</f>
        <v>1948.855</v>
      </c>
      <c r="C41" s="653">
        <f>SUMIF('Commodity Prices'!C$161:C$904,A41,'Commodity Prices'!J$161:J$904)</f>
        <v>2894.3292848387096</v>
      </c>
      <c r="E41" s="651">
        <f t="shared" si="0"/>
        <v>2002</v>
      </c>
      <c r="F41" s="652">
        <f>IF($E$8="Historic Calendar Year",
 IF(COUNTIFS('Commodity Prices'!$I:$I, "&gt;0", 'Commodity Prices'!$A:$A, $E41)=12, AVERAGEIFS('Commodity Prices'!$I:$I, 'Commodity Prices'!$A:$A, $E41), NA()),
 IF(COUNTIFS('Commodity Prices'!$I:$I, "&gt;0", 'Commodity Prices'!$B:$B, $E41)=12, AVERAGEIFS('Commodity Prices'!$I:$I, 'Commodity Prices'!$B:$B, $E41), NA())
)</f>
        <v>309.90974999999997</v>
      </c>
      <c r="G41" s="653">
        <f>IF($E$8="Historic Calendar Year",
 IF(COUNTIFS('Commodity Prices'!$J:$J, "&gt;0", 'Commodity Prices'!$A:$A, $E41)=12, AVERAGEIFS('Commodity Prices'!$J:$J, 'Commodity Prices'!$A:$A, $E41), NA()),
 IF(COUNTIFS('Commodity Prices'!$J:$J, "&gt;0", 'Commodity Prices'!$B:$B, $E41)=12, AVERAGEIFS('Commodity Prices'!$J:$J, 'Commodity Prices'!$B:$B, $E41), NA())
)</f>
        <v>571.49833333333333</v>
      </c>
    </row>
    <row r="42" spans="1:7" x14ac:dyDescent="0.25">
      <c r="A42" s="650">
        <f>LARGE('Commodity Prices'!C$161:C$904,29)</f>
        <v>45139</v>
      </c>
      <c r="B42" s="462">
        <f>SUMIF('Commodity Prices'!C$161:C$904,A42,'Commodity Prices'!I$161:I$904)</f>
        <v>1920.0250000000001</v>
      </c>
      <c r="C42" s="463">
        <f>SUMIF('Commodity Prices'!C$161:C$904,A42,'Commodity Prices'!J$161:J$904)</f>
        <v>2960.7191825806453</v>
      </c>
      <c r="E42" s="654">
        <f t="shared" si="0"/>
        <v>2003</v>
      </c>
      <c r="F42" s="635">
        <f>IF($E$8="Historic Calendar Year",
 IF(COUNTIFS('Commodity Prices'!$I:$I, "&gt;0", 'Commodity Prices'!$A:$A, $E42)=12, AVERAGEIFS('Commodity Prices'!$I:$I, 'Commodity Prices'!$A:$A, $E42), NA()),
 IF(COUNTIFS('Commodity Prices'!$I:$I, "&gt;0", 'Commodity Prices'!$B:$B, $E42)=12, AVERAGEIFS('Commodity Prices'!$I:$I, 'Commodity Prices'!$B:$B, $E42), NA())
)</f>
        <v>363.41191666666668</v>
      </c>
      <c r="G42" s="638">
        <f>IF($E$8="Historic Calendar Year",
 IF(COUNTIFS('Commodity Prices'!$J:$J, "&gt;0", 'Commodity Prices'!$A:$A, $E42)=12, AVERAGEIFS('Commodity Prices'!$J:$J, 'Commodity Prices'!$A:$A, $E42), NA()),
 IF(COUNTIFS('Commodity Prices'!$J:$J, "&gt;0", 'Commodity Prices'!$B:$B, $E42)=12, AVERAGEIFS('Commodity Prices'!$J:$J, 'Commodity Prices'!$B:$B, $E42), NA())
)</f>
        <v>560.54750000000001</v>
      </c>
    </row>
    <row r="43" spans="1:7" x14ac:dyDescent="0.25">
      <c r="A43" s="650">
        <f>LARGE('Commodity Prices'!C$161:C$904,28)</f>
        <v>45170</v>
      </c>
      <c r="B43" s="652">
        <f>SUMIF('Commodity Prices'!C$161:C$904,A43,'Commodity Prices'!I$161:I$904)</f>
        <v>1916.96</v>
      </c>
      <c r="C43" s="653">
        <f>SUMIF('Commodity Prices'!C$161:C$904,A43,'Commodity Prices'!J$161:J$904)</f>
        <v>2984.2054969999999</v>
      </c>
      <c r="E43" s="651">
        <f t="shared" si="0"/>
        <v>2004</v>
      </c>
      <c r="F43" s="652">
        <f>IF($E$8="Historic Calendar Year",
 IF(COUNTIFS('Commodity Prices'!$I:$I, "&gt;0", 'Commodity Prices'!$A:$A, $E43)=12, AVERAGEIFS('Commodity Prices'!$I:$I, 'Commodity Prices'!$A:$A, $E43), NA()),
 IF(COUNTIFS('Commodity Prices'!$I:$I, "&gt;0", 'Commodity Prices'!$B:$B, $E43)=12, AVERAGEIFS('Commodity Prices'!$I:$I, 'Commodity Prices'!$B:$B, $E43), NA())
)</f>
        <v>409.18650000000002</v>
      </c>
      <c r="G43" s="653">
        <f>IF($E$8="Historic Calendar Year",
 IF(COUNTIFS('Commodity Prices'!$J:$J, "&gt;0", 'Commodity Prices'!$A:$A, $E43)=12, AVERAGEIFS('Commodity Prices'!$J:$J, 'Commodity Prices'!$A:$A, $E43), NA()),
 IF(COUNTIFS('Commodity Prices'!$J:$J, "&gt;0", 'Commodity Prices'!$B:$B, $E43)=12, AVERAGEIFS('Commodity Prices'!$J:$J, 'Commodity Prices'!$B:$B, $E43), NA())
)</f>
        <v>557.0533333333334</v>
      </c>
    </row>
    <row r="44" spans="1:7" x14ac:dyDescent="0.25">
      <c r="A44" s="650">
        <f>LARGE('Commodity Prices'!C$161:C$904,27)</f>
        <v>45200</v>
      </c>
      <c r="B44" s="462">
        <f>SUMIF('Commodity Prices'!C$161:C$904,A44,'Commodity Prices'!I$161:I$904)</f>
        <v>1913.0360000000001</v>
      </c>
      <c r="C44" s="463">
        <f>SUMIF('Commodity Prices'!C$161:C$904,A44,'Commodity Prices'!J$161:J$904)</f>
        <v>3023.2649787096775</v>
      </c>
      <c r="E44" s="654">
        <f t="shared" si="0"/>
        <v>2005</v>
      </c>
      <c r="F44" s="635">
        <f>IF($E$8="Historic Calendar Year",
 IF(COUNTIFS('Commodity Prices'!$I:$I, "&gt;0", 'Commodity Prices'!$A:$A, $E44)=12, AVERAGEIFS('Commodity Prices'!$I:$I, 'Commodity Prices'!$A:$A, $E44), NA()),
 IF(COUNTIFS('Commodity Prices'!$I:$I, "&gt;0", 'Commodity Prices'!$B:$B, $E44)=12, AVERAGEIFS('Commodity Prices'!$I:$I, 'Commodity Prices'!$B:$B, $E44), NA())
)</f>
        <v>444.86325000000005</v>
      </c>
      <c r="G44" s="638">
        <f>IF($E$8="Historic Calendar Year",
 IF(COUNTIFS('Commodity Prices'!$J:$J, "&gt;0", 'Commodity Prices'!$A:$A, $E44)=12, AVERAGEIFS('Commodity Prices'!$J:$J, 'Commodity Prices'!$A:$A, $E44), NA()),
 IF(COUNTIFS('Commodity Prices'!$J:$J, "&gt;0", 'Commodity Prices'!$B:$B, $E44)=12, AVERAGEIFS('Commodity Prices'!$J:$J, 'Commodity Prices'!$B:$B, $E44), NA())
)</f>
        <v>584.83499999999992</v>
      </c>
    </row>
    <row r="45" spans="1:7" x14ac:dyDescent="0.25">
      <c r="A45" s="650">
        <f>LARGE('Commodity Prices'!C$161:C$904,26)</f>
        <v>45231</v>
      </c>
      <c r="B45" s="652">
        <f>SUMIF('Commodity Prices'!C$161:C$904,A45,'Commodity Prices'!I$161:I$904)</f>
        <v>1985.2729999999999</v>
      </c>
      <c r="C45" s="653">
        <f>SUMIF('Commodity Prices'!C$161:C$904,A45,'Commodity Prices'!J$161:J$904)</f>
        <v>3052.067697</v>
      </c>
      <c r="E45" s="651">
        <f t="shared" si="0"/>
        <v>2006</v>
      </c>
      <c r="F45" s="652">
        <f>IF($E$8="Historic Calendar Year",
 IF(COUNTIFS('Commodity Prices'!$I:$I, "&gt;0", 'Commodity Prices'!$A:$A, $E45)=12, AVERAGEIFS('Commodity Prices'!$I:$I, 'Commodity Prices'!$A:$A, $E45), NA()),
 IF(COUNTIFS('Commodity Prices'!$I:$I, "&gt;0", 'Commodity Prices'!$B:$B, $E45)=12, AVERAGEIFS('Commodity Prices'!$I:$I, 'Commodity Prices'!$B:$B, $E45), NA())
)</f>
        <v>604.28508333333332</v>
      </c>
      <c r="G45" s="653">
        <f>IF($E$8="Historic Calendar Year",
 IF(COUNTIFS('Commodity Prices'!$J:$J, "&gt;0", 'Commodity Prices'!$A:$A, $E45)=12, AVERAGEIFS('Commodity Prices'!$J:$J, 'Commodity Prices'!$A:$A, $E45), NA()),
 IF(COUNTIFS('Commodity Prices'!$J:$J, "&gt;0", 'Commodity Prices'!$B:$B, $E45)=12, AVERAGEIFS('Commodity Prices'!$J:$J, 'Commodity Prices'!$B:$B, $E45), NA())
)</f>
        <v>802.76083333333338</v>
      </c>
    </row>
    <row r="46" spans="1:7" x14ac:dyDescent="0.25">
      <c r="A46" s="650">
        <f>LARGE('Commodity Prices'!C$161:C$904,25)</f>
        <v>45261</v>
      </c>
      <c r="B46" s="462">
        <f>SUMIF('Commodity Prices'!C$161:C$904,A46,'Commodity Prices'!I$161:I$904)</f>
        <v>2029.2909999999999</v>
      </c>
      <c r="C46" s="463">
        <f>SUMIF('Commodity Prices'!C$161:C$904,A46,'Commodity Prices'!J$161:J$904)</f>
        <v>3042.6198648387099</v>
      </c>
      <c r="E46" s="654">
        <f t="shared" si="0"/>
        <v>2007</v>
      </c>
      <c r="F46" s="635">
        <f>IF($E$8="Historic Calendar Year",
 IF(COUNTIFS('Commodity Prices'!$I:$I, "&gt;0", 'Commodity Prices'!$A:$A, $E46)=12, AVERAGEIFS('Commodity Prices'!$I:$I, 'Commodity Prices'!$A:$A, $E46), NA()),
 IF(COUNTIFS('Commodity Prices'!$I:$I, "&gt;0", 'Commodity Prices'!$B:$B, $E46)=12, AVERAGEIFS('Commodity Prices'!$I:$I, 'Commodity Prices'!$B:$B, $E46), NA())
)</f>
        <v>696.61141666666674</v>
      </c>
      <c r="G46" s="638">
        <f>IF($E$8="Historic Calendar Year",
 IF(COUNTIFS('Commodity Prices'!$J:$J, "&gt;0", 'Commodity Prices'!$A:$A, $E46)=12, AVERAGEIFS('Commodity Prices'!$J:$J, 'Commodity Prices'!$A:$A, $E46), NA()),
 IF(COUNTIFS('Commodity Prices'!$J:$J, "&gt;0", 'Commodity Prices'!$B:$B, $E46)=12, AVERAGEIFS('Commodity Prices'!$J:$J, 'Commodity Prices'!$B:$B, $E46), NA())
)</f>
        <v>830.21083333333343</v>
      </c>
    </row>
    <row r="47" spans="1:7" x14ac:dyDescent="0.25">
      <c r="A47" s="650">
        <f>LARGE('Commodity Prices'!C$161:C$904,24)</f>
        <v>45292</v>
      </c>
      <c r="B47" s="652">
        <f>SUMIF('Commodity Prices'!C$161:C$904,A47,'Commodity Prices'!I$161:I$904)</f>
        <v>2034.0409999999999</v>
      </c>
      <c r="C47" s="653">
        <f>SUMIF('Commodity Prices'!C$161:C$904,A47,'Commodity Prices'!J$161:J$904)</f>
        <v>3063.5120000000002</v>
      </c>
      <c r="E47" s="651">
        <f t="shared" si="0"/>
        <v>2008</v>
      </c>
      <c r="F47" s="652">
        <f>IF($E$8="Historic Calendar Year",
 IF(COUNTIFS('Commodity Prices'!$I:$I, "&gt;0", 'Commodity Prices'!$A:$A, $E47)=12, AVERAGEIFS('Commodity Prices'!$I:$I, 'Commodity Prices'!$A:$A, $E47), NA()),
 IF(COUNTIFS('Commodity Prices'!$I:$I, "&gt;0", 'Commodity Prices'!$B:$B, $E47)=12, AVERAGEIFS('Commodity Prices'!$I:$I, 'Commodity Prices'!$B:$B, $E47), NA())
)</f>
        <v>871.50808333333327</v>
      </c>
      <c r="G47" s="653">
        <f>IF($E$8="Historic Calendar Year",
 IF(COUNTIFS('Commodity Prices'!$J:$J, "&gt;0", 'Commodity Prices'!$A:$A, $E47)=12, AVERAGEIFS('Commodity Prices'!$J:$J, 'Commodity Prices'!$A:$A, $E47), NA()),
 IF(COUNTIFS('Commodity Prices'!$J:$J, "&gt;0", 'Commodity Prices'!$B:$B, $E47)=12, AVERAGEIFS('Commodity Prices'!$J:$J, 'Commodity Prices'!$B:$B, $E47), NA())
)</f>
        <v>1029.3374999999999</v>
      </c>
    </row>
    <row r="48" spans="1:7" x14ac:dyDescent="0.25">
      <c r="A48" s="650">
        <f>LARGE('Commodity Prices'!C$161:C$904,23)</f>
        <v>45323</v>
      </c>
      <c r="B48" s="462">
        <f>SUMIF('Commodity Prices'!C$161:C$904,A48,'Commodity Prices'!I$161:I$904)</f>
        <v>2023.2380000000001</v>
      </c>
      <c r="C48" s="463">
        <f>SUMIF('Commodity Prices'!C$161:C$904,A48,'Commodity Prices'!J$161:J$904)</f>
        <v>3103.3919999999998</v>
      </c>
      <c r="E48" s="654">
        <f t="shared" si="0"/>
        <v>2009</v>
      </c>
      <c r="F48" s="635">
        <f>IF($E$8="Historic Calendar Year",
 IF(COUNTIFS('Commodity Prices'!$I:$I, "&gt;0", 'Commodity Prices'!$A:$A, $E48)=12, AVERAGEIFS('Commodity Prices'!$I:$I, 'Commodity Prices'!$A:$A, $E48), NA()),
 IF(COUNTIFS('Commodity Prices'!$I:$I, "&gt;0", 'Commodity Prices'!$B:$B, $E48)=12, AVERAGEIFS('Commodity Prices'!$I:$I, 'Commodity Prices'!$B:$B, $E48), NA())
)</f>
        <v>972.84858333333341</v>
      </c>
      <c r="G48" s="638">
        <f>IF($E$8="Historic Calendar Year",
 IF(COUNTIFS('Commodity Prices'!$J:$J, "&gt;0", 'Commodity Prices'!$A:$A, $E48)=12, AVERAGEIFS('Commodity Prices'!$J:$J, 'Commodity Prices'!$A:$A, $E48), NA()),
 IF(COUNTIFS('Commodity Prices'!$J:$J, "&gt;0", 'Commodity Prices'!$B:$B, $E48)=12, AVERAGEIFS('Commodity Prices'!$J:$J, 'Commodity Prices'!$B:$B, $E48), NA())
)</f>
        <v>1235.6508333333334</v>
      </c>
    </row>
    <row r="49" spans="1:7" x14ac:dyDescent="0.25">
      <c r="A49" s="650">
        <f>LARGE('Commodity Prices'!C$161:C$904,22)</f>
        <v>45352</v>
      </c>
      <c r="B49" s="652">
        <f>SUMIF('Commodity Prices'!C$161:C$904,A49,'Commodity Prices'!I$161:I$904)</f>
        <v>2158.0129999999999</v>
      </c>
      <c r="C49" s="653">
        <f>SUMIF('Commodity Prices'!C$161:C$904,A49,'Commodity Prices'!J$161:J$904)</f>
        <v>3300.4520000000002</v>
      </c>
      <c r="E49" s="651">
        <f t="shared" si="0"/>
        <v>2010</v>
      </c>
      <c r="F49" s="652">
        <f>IF($E$8="Historic Calendar Year",
 IF(COUNTIFS('Commodity Prices'!$I:$I, "&gt;0", 'Commodity Prices'!$A:$A, $E49)=12, AVERAGEIFS('Commodity Prices'!$I:$I, 'Commodity Prices'!$A:$A, $E49), NA()),
 IF(COUNTIFS('Commodity Prices'!$I:$I, "&gt;0", 'Commodity Prices'!$B:$B, $E49)=12, AVERAGEIFS('Commodity Prices'!$I:$I, 'Commodity Prices'!$B:$B, $E49), NA())
)</f>
        <v>1224.5156666666664</v>
      </c>
      <c r="G49" s="653">
        <f>IF($E$8="Historic Calendar Year",
 IF(COUNTIFS('Commodity Prices'!$J:$J, "&gt;0", 'Commodity Prices'!$A:$A, $E49)=12, AVERAGEIFS('Commodity Prices'!$J:$J, 'Commodity Prices'!$A:$A, $E49), NA()),
 IF(COUNTIFS('Commodity Prices'!$J:$J, "&gt;0", 'Commodity Prices'!$B:$B, $E49)=12, AVERAGEIFS('Commodity Prices'!$J:$J, 'Commodity Prices'!$B:$B, $E49), NA())
)</f>
        <v>1335.4691666666668</v>
      </c>
    </row>
    <row r="50" spans="1:7" x14ac:dyDescent="0.25">
      <c r="A50" s="650">
        <f>LARGE('Commodity Prices'!C$161:C$904,21)</f>
        <v>45383</v>
      </c>
      <c r="B50" s="462">
        <f>SUMIF('Commodity Prices'!C$161:C$904,A50,'Commodity Prices'!I$161:I$904)</f>
        <v>2335.4899999999998</v>
      </c>
      <c r="C50" s="463">
        <f>SUMIF('Commodity Prices'!C$161:C$904,A50,'Commodity Prices'!J$161:J$904)</f>
        <v>3594.018</v>
      </c>
      <c r="E50" s="654">
        <f t="shared" si="0"/>
        <v>2011</v>
      </c>
      <c r="F50" s="635">
        <f>IF($E$8="Historic Calendar Year",
 IF(COUNTIFS('Commodity Prices'!$I:$I, "&gt;0", 'Commodity Prices'!$A:$A, $E50)=12, AVERAGEIFS('Commodity Prices'!$I:$I, 'Commodity Prices'!$A:$A, $E50), NA()),
 IF(COUNTIFS('Commodity Prices'!$I:$I, "&gt;0", 'Commodity Prices'!$B:$B, $E50)=12, AVERAGEIFS('Commodity Prices'!$I:$I, 'Commodity Prices'!$B:$B, $E50), NA())
)</f>
        <v>1568.3911666666665</v>
      </c>
      <c r="G50" s="638">
        <f>IF($E$8="Historic Calendar Year",
 IF(COUNTIFS('Commodity Prices'!$J:$J, "&gt;0", 'Commodity Prices'!$A:$A, $E50)=12, AVERAGEIFS('Commodity Prices'!$J:$J, 'Commodity Prices'!$A:$A, $E50), NA()),
 IF(COUNTIFS('Commodity Prices'!$J:$J, "&gt;0", 'Commodity Prices'!$B:$B, $E50)=12, AVERAGEIFS('Commodity Prices'!$J:$J, 'Commodity Prices'!$B:$B, $E50), NA())
)</f>
        <v>1535.4658333333334</v>
      </c>
    </row>
    <row r="51" spans="1:7" x14ac:dyDescent="0.25">
      <c r="A51" s="650">
        <f>LARGE('Commodity Prices'!C$161:C$904,20)</f>
        <v>45413</v>
      </c>
      <c r="B51" s="652">
        <f>SUMIF('Commodity Prices'!C$161:C$904,A51,'Commodity Prices'!I$161:I$904)</f>
        <v>2352.14</v>
      </c>
      <c r="C51" s="653">
        <f>SUMIF('Commodity Prices'!C$161:C$904,A51,'Commodity Prices'!J$161:J$904)</f>
        <v>3547.9270000000001</v>
      </c>
      <c r="E51" s="651">
        <f t="shared" si="0"/>
        <v>2012</v>
      </c>
      <c r="F51" s="652">
        <f>IF($E$8="Historic Calendar Year",
 IF(COUNTIFS('Commodity Prices'!$I:$I, "&gt;0", 'Commodity Prices'!$A:$A, $E51)=12, AVERAGEIFS('Commodity Prices'!$I:$I, 'Commodity Prices'!$A:$A, $E51), NA()),
 IF(COUNTIFS('Commodity Prices'!$I:$I, "&gt;0", 'Commodity Prices'!$B:$B, $E51)=12, AVERAGEIFS('Commodity Prices'!$I:$I, 'Commodity Prices'!$B:$B, $E51), NA())
)</f>
        <v>1668.8206666666663</v>
      </c>
      <c r="G51" s="653">
        <f>IF($E$8="Historic Calendar Year",
 IF(COUNTIFS('Commodity Prices'!$J:$J, "&gt;0", 'Commodity Prices'!$A:$A, $E51)=12, AVERAGEIFS('Commodity Prices'!$J:$J, 'Commodity Prices'!$A:$A, $E51), NA()),
 IF(COUNTIFS('Commodity Prices'!$J:$J, "&gt;0", 'Commodity Prices'!$B:$B, $E51)=12, AVERAGEIFS('Commodity Prices'!$J:$J, 'Commodity Prices'!$B:$B, $E51), NA())
)</f>
        <v>1619.6091666666669</v>
      </c>
    </row>
    <row r="52" spans="1:7" x14ac:dyDescent="0.25">
      <c r="A52" s="650">
        <f>LARGE('Commodity Prices'!C$161:C$904,19)</f>
        <v>45444</v>
      </c>
      <c r="B52" s="462">
        <f>SUMIF('Commodity Prices'!C$161:C$904,A52,'Commodity Prices'!I$161:I$904)</f>
        <v>2326.3330000000001</v>
      </c>
      <c r="C52" s="463">
        <f>SUMIF('Commodity Prices'!C$161:C$904,A52,'Commodity Prices'!J$161:J$904)</f>
        <v>3501.97</v>
      </c>
      <c r="E52" s="654">
        <f t="shared" si="0"/>
        <v>2013</v>
      </c>
      <c r="F52" s="635">
        <f>IF($E$8="Historic Calendar Year",
 IF(COUNTIFS('Commodity Prices'!$I:$I, "&gt;0", 'Commodity Prices'!$A:$A, $E52)=12, AVERAGEIFS('Commodity Prices'!$I:$I, 'Commodity Prices'!$A:$A, $E52), NA()),
 IF(COUNTIFS('Commodity Prices'!$I:$I, "&gt;0", 'Commodity Prices'!$B:$B, $E52)=12, AVERAGEIFS('Commodity Prices'!$I:$I, 'Commodity Prices'!$B:$B, $E52), NA())
)</f>
        <v>1410.8681666666664</v>
      </c>
      <c r="G52" s="638">
        <f>IF($E$8="Historic Calendar Year",
 IF(COUNTIFS('Commodity Prices'!$J:$J, "&gt;0", 'Commodity Prices'!$A:$A, $E52)=12, AVERAGEIFS('Commodity Prices'!$J:$J, 'Commodity Prices'!$A:$A, $E52), NA()),
 IF(COUNTIFS('Commodity Prices'!$J:$J, "&gt;0", 'Commodity Prices'!$B:$B, $E52)=12, AVERAGEIFS('Commodity Prices'!$J:$J, 'Commodity Prices'!$B:$B, $E52), NA())
)</f>
        <v>1465.1966666666665</v>
      </c>
    </row>
    <row r="53" spans="1:7" x14ac:dyDescent="0.25">
      <c r="A53" s="650">
        <f>LARGE('Commodity Prices'!C$161:C$904,18)</f>
        <v>45474</v>
      </c>
      <c r="B53" s="652">
        <f>SUMIF('Commodity Prices'!C$161:C$904,A53,'Commodity Prices'!I$161:I$904)</f>
        <v>2395.3069999999998</v>
      </c>
      <c r="C53" s="653">
        <f>SUMIF('Commodity Prices'!C$161:C$904,A53,'Commodity Prices'!J$161:J$904)</f>
        <v>3587.6579999999999</v>
      </c>
      <c r="E53" s="651">
        <f t="shared" si="0"/>
        <v>2014</v>
      </c>
      <c r="F53" s="652">
        <f>IF($E$8="Historic Calendar Year",
 IF(COUNTIFS('Commodity Prices'!$I:$I, "&gt;0", 'Commodity Prices'!$A:$A, $E53)=12, AVERAGEIFS('Commodity Prices'!$I:$I, 'Commodity Prices'!$A:$A, $E53), NA()),
 IF(COUNTIFS('Commodity Prices'!$I:$I, "&gt;0", 'Commodity Prices'!$B:$B, $E53)=12, AVERAGEIFS('Commodity Prices'!$I:$I, 'Commodity Prices'!$B:$B, $E53), NA())
)</f>
        <v>1266.1936666666666</v>
      </c>
      <c r="G53" s="653">
        <f>IF($E$8="Historic Calendar Year",
 IF(COUNTIFS('Commodity Prices'!$J:$J, "&gt;0", 'Commodity Prices'!$A:$A, $E53)=12, AVERAGEIFS('Commodity Prices'!$J:$J, 'Commodity Prices'!$A:$A, $E53), NA()),
 IF(COUNTIFS('Commodity Prices'!$J:$J, "&gt;0", 'Commodity Prices'!$B:$B, $E53)=12, AVERAGEIFS('Commodity Prices'!$J:$J, 'Commodity Prices'!$B:$B, $E53), NA())
)</f>
        <v>1413.0983333333334</v>
      </c>
    </row>
    <row r="54" spans="1:7" x14ac:dyDescent="0.25">
      <c r="A54" s="650">
        <f>LARGE('Commodity Prices'!C$161:C$904,17)</f>
        <v>45505</v>
      </c>
      <c r="B54" s="462">
        <f>SUMIF('Commodity Prices'!C$161:C$904,A54,'Commodity Prices'!I$161:I$904)</f>
        <v>2467.9670000000001</v>
      </c>
      <c r="C54" s="463">
        <f>SUMIF('Commodity Prices'!C$161:C$904,A54,'Commodity Prices'!J$161:J$904)</f>
        <v>3716.59</v>
      </c>
      <c r="E54" s="654">
        <f t="shared" si="0"/>
        <v>2015</v>
      </c>
      <c r="F54" s="635">
        <f>IF($E$8="Historic Calendar Year",
 IF(COUNTIFS('Commodity Prices'!$I:$I, "&gt;0", 'Commodity Prices'!$A:$A, $E54)=12, AVERAGEIFS('Commodity Prices'!$I:$I, 'Commodity Prices'!$A:$A, $E54), NA()),
 IF(COUNTIFS('Commodity Prices'!$I:$I, "&gt;0", 'Commodity Prices'!$B:$B, $E54)=12, AVERAGEIFS('Commodity Prices'!$I:$I, 'Commodity Prices'!$B:$B, $E54), NA())
)</f>
        <v>1160.1145833333333</v>
      </c>
      <c r="G54" s="638">
        <f>IF($E$8="Historic Calendar Year",
 IF(COUNTIFS('Commodity Prices'!$J:$J, "&gt;0", 'Commodity Prices'!$A:$A, $E54)=12, AVERAGEIFS('Commodity Prices'!$J:$J, 'Commodity Prices'!$A:$A, $E54), NA()),
 IF(COUNTIFS('Commodity Prices'!$J:$J, "&gt;0", 'Commodity Prices'!$B:$B, $E54)=12, AVERAGEIFS('Commodity Prices'!$J:$J, 'Commodity Prices'!$B:$B, $E54), NA())
)</f>
        <v>1554.5133333333331</v>
      </c>
    </row>
    <row r="55" spans="1:7" x14ac:dyDescent="0.25">
      <c r="A55" s="650">
        <f>LARGE('Commodity Prices'!C$161:C$904,16)</f>
        <v>45536</v>
      </c>
      <c r="B55" s="652">
        <f>SUMIF('Commodity Prices'!C$161:C$904,A55,'Commodity Prices'!I$161:I$904)</f>
        <v>2567.1239999999998</v>
      </c>
      <c r="C55" s="653">
        <f>SUMIF('Commodity Prices'!C$161:C$904,A55,'Commodity Prices'!J$161:J$904)</f>
        <v>3797.5410000000002</v>
      </c>
      <c r="E55" s="654">
        <f t="shared" si="0"/>
        <v>2016</v>
      </c>
      <c r="F55" s="652">
        <f>IF($E$8="Historic Calendar Year",
 IF(COUNTIFS('Commodity Prices'!$I:$I, "&gt;0", 'Commodity Prices'!$A:$A, $E55)=12, AVERAGEIFS('Commodity Prices'!$I:$I, 'Commodity Prices'!$A:$A, $E55), NA()),
 IF(COUNTIFS('Commodity Prices'!$I:$I, "&gt;0", 'Commodity Prices'!$B:$B, $E55)=12, AVERAGEIFS('Commodity Prices'!$I:$I, 'Commodity Prices'!$B:$B, $E55), NA())
)</f>
        <v>1248.3405833333334</v>
      </c>
      <c r="G55" s="653">
        <f>IF($E$8="Historic Calendar Year",
 IF(COUNTIFS('Commodity Prices'!$J:$J, "&gt;0", 'Commodity Prices'!$A:$A, $E55)=12, AVERAGEIFS('Commodity Prices'!$J:$J, 'Commodity Prices'!$A:$A, $E55), NA()),
 IF(COUNTIFS('Commodity Prices'!$J:$J, "&gt;0", 'Commodity Prices'!$B:$B, $E55)=12, AVERAGEIFS('Commodity Prices'!$J:$J, 'Commodity Prices'!$B:$B, $E55), NA())
)</f>
        <v>1687.5441666666668</v>
      </c>
    </row>
    <row r="56" spans="1:7" x14ac:dyDescent="0.25">
      <c r="A56" s="650">
        <f>LARGE('Commodity Prices'!C$161:C$904,15)</f>
        <v>45566</v>
      </c>
      <c r="B56" s="462">
        <f>SUMIF('Commodity Prices'!C$161:C$904,A56,'Commodity Prices'!I$161:I$904)</f>
        <v>2690.078</v>
      </c>
      <c r="C56" s="463">
        <f>SUMIF('Commodity Prices'!C$161:C$904,A56,'Commodity Prices'!J$161:J$904)</f>
        <v>4014.0279999999998</v>
      </c>
      <c r="E56" s="654">
        <f t="shared" si="0"/>
        <v>2017</v>
      </c>
      <c r="F56" s="635">
        <f>IF($E$8="Historic Calendar Year",
 IF(COUNTIFS('Commodity Prices'!$I:$I, "&gt;0", 'Commodity Prices'!$A:$A, $E56)=12, AVERAGEIFS('Commodity Prices'!$I:$I, 'Commodity Prices'!$A:$A, $E56), NA()),
 IF(COUNTIFS('Commodity Prices'!$I:$I, "&gt;0", 'Commodity Prices'!$B:$B, $E56)=12, AVERAGEIFS('Commodity Prices'!$I:$I, 'Commodity Prices'!$B:$B, $E56), NA())
)</f>
        <v>1257.1273333333331</v>
      </c>
      <c r="G56" s="638">
        <f>IF($E$8="Historic Calendar Year",
 IF(COUNTIFS('Commodity Prices'!$J:$J, "&gt;0", 'Commodity Prices'!$A:$A, $E56)=12, AVERAGEIFS('Commodity Prices'!$J:$J, 'Commodity Prices'!$A:$A, $E56), NA()),
 IF(COUNTIFS('Commodity Prices'!$J:$J, "&gt;0", 'Commodity Prices'!$B:$B, $E56)=12, AVERAGEIFS('Commodity Prices'!$J:$J, 'Commodity Prices'!$B:$B, $E56), NA())
)</f>
        <v>1645.8166666666666</v>
      </c>
    </row>
    <row r="57" spans="1:7" x14ac:dyDescent="0.25">
      <c r="A57" s="650">
        <f>LARGE('Commodity Prices'!C$161:C$904,14)</f>
        <v>45597</v>
      </c>
      <c r="B57" s="652">
        <f>SUMIF('Commodity Prices'!C$161:C$904,A57,'Commodity Prices'!I$161:I$904)</f>
        <v>2650.683</v>
      </c>
      <c r="C57" s="653">
        <f>SUMIF('Commodity Prices'!C$161:C$904,A57,'Commodity Prices'!J$161:J$904)</f>
        <v>4074.1979999999999</v>
      </c>
      <c r="E57" s="654">
        <f t="shared" si="0"/>
        <v>2018</v>
      </c>
      <c r="F57" s="652">
        <f>IF($E$8="Historic Calendar Year",
 IF(COUNTIFS('Commodity Prices'!$I:$I, "&gt;0", 'Commodity Prices'!$A:$A, $E57)=12, AVERAGEIFS('Commodity Prices'!$I:$I, 'Commodity Prices'!$A:$A, $E57), NA()),
 IF(COUNTIFS('Commodity Prices'!$I:$I, "&gt;0", 'Commodity Prices'!$B:$B, $E57)=12, AVERAGEIFS('Commodity Prices'!$I:$I, 'Commodity Prices'!$B:$B, $E57), NA())
)</f>
        <v>1269.1405000000002</v>
      </c>
      <c r="G57" s="653">
        <f>IF($E$8="Historic Calendar Year",
 IF(COUNTIFS('Commodity Prices'!$J:$J, "&gt;0", 'Commodity Prices'!$A:$A, $E57)=12, AVERAGEIFS('Commodity Prices'!$J:$J, 'Commodity Prices'!$A:$A, $E57), NA()),
 IF(COUNTIFS('Commodity Prices'!$J:$J, "&gt;0", 'Commodity Prices'!$B:$B, $E57)=12, AVERAGEIFS('Commodity Prices'!$J:$J, 'Commodity Prices'!$B:$B, $E57), NA())
)</f>
        <v>1700.585</v>
      </c>
    </row>
    <row r="58" spans="1:7" x14ac:dyDescent="0.25">
      <c r="A58" s="650">
        <f>LARGE('Commodity Prices'!C$161:C$904,13)</f>
        <v>45627</v>
      </c>
      <c r="B58" s="462">
        <f>SUMIF('Commodity Prices'!C$161:C$904,A58,'Commodity Prices'!I$161:I$904)</f>
        <v>2644.067</v>
      </c>
      <c r="C58" s="463">
        <f>SUMIF('Commodity Prices'!C$161:C$904,A58,'Commodity Prices'!J$161:J$904)</f>
        <v>4168.5450000000001</v>
      </c>
      <c r="E58" s="654">
        <f t="shared" si="0"/>
        <v>2019</v>
      </c>
      <c r="F58" s="635">
        <f>IF($E$8="Historic Calendar Year",
 IF(COUNTIFS('Commodity Prices'!$I:$I, "&gt;0", 'Commodity Prices'!$A:$A, $E58)=12, AVERAGEIFS('Commodity Prices'!$I:$I, 'Commodity Prices'!$A:$A, $E58), NA()),
 IF(COUNTIFS('Commodity Prices'!$I:$I, "&gt;0", 'Commodity Prices'!$B:$B, $E58)=12, AVERAGEIFS('Commodity Prices'!$I:$I, 'Commodity Prices'!$B:$B, $E58), NA())
)</f>
        <v>1392.1745833333334</v>
      </c>
      <c r="G58" s="638">
        <f>IF($E$8="Historic Calendar Year",
 IF(COUNTIFS('Commodity Prices'!$J:$J, "&gt;0", 'Commodity Prices'!$A:$A, $E58)=12, AVERAGEIFS('Commodity Prices'!$J:$J, 'Commodity Prices'!$A:$A, $E58), NA()),
 IF(COUNTIFS('Commodity Prices'!$J:$J, "&gt;0", 'Commodity Prices'!$B:$B, $E58)=12, AVERAGEIFS('Commodity Prices'!$J:$J, 'Commodity Prices'!$B:$B, $E58), NA())
)</f>
        <v>2009.4724999999996</v>
      </c>
    </row>
    <row r="59" spans="1:7" x14ac:dyDescent="0.25">
      <c r="A59" s="650">
        <f>LARGE('Commodity Prices'!C$161:C$904,12)</f>
        <v>45658</v>
      </c>
      <c r="B59" s="652">
        <f>SUMIF('Commodity Prices'!C$161:C$904,A59,'Commodity Prices'!I$161:I$904)</f>
        <v>2709.6889999999999</v>
      </c>
      <c r="C59" s="653">
        <f>SUMIF('Commodity Prices'!C$161:C$904,A59,'Commodity Prices'!J$161:J$904)</f>
        <v>4343.05496032258</v>
      </c>
      <c r="E59" s="654">
        <f t="shared" si="0"/>
        <v>2020</v>
      </c>
      <c r="F59" s="652">
        <f>IF($E$8="Historic Calendar Year",
 IF(COUNTIFS('Commodity Prices'!$I:$I, "&gt;0", 'Commodity Prices'!$A:$A, $E59)=12, AVERAGEIFS('Commodity Prices'!$I:$I, 'Commodity Prices'!$A:$A, $E59), NA()),
 IF(COUNTIFS('Commodity Prices'!$I:$I, "&gt;0", 'Commodity Prices'!$B:$B, $E59)=12, AVERAGEIFS('Commodity Prices'!$I:$I, 'Commodity Prices'!$B:$B, $E59), NA())
)</f>
        <v>1769.5873333333336</v>
      </c>
      <c r="G59" s="653">
        <f>IF($E$8="Historic Calendar Year",
 IF(COUNTIFS('Commodity Prices'!$J:$J, "&gt;0", 'Commodity Prices'!$A:$A, $E59)=12, AVERAGEIFS('Commodity Prices'!$J:$J, 'Commodity Prices'!$A:$A, $E59), NA()),
 IF(COUNTIFS('Commodity Prices'!$J:$J, "&gt;0", 'Commodity Prices'!$B:$B, $E59)=12, AVERAGEIFS('Commodity Prices'!$J:$J, 'Commodity Prices'!$B:$B, $E59), NA())
)</f>
        <v>2566.8400000000006</v>
      </c>
    </row>
    <row r="60" spans="1:7" x14ac:dyDescent="0.25">
      <c r="A60" s="650">
        <f>LARGE('Commodity Prices'!C$161:C$904,11)</f>
        <v>45689</v>
      </c>
      <c r="B60" s="462">
        <f>SUMIF('Commodity Prices'!C$161:C$904,A60,'Commodity Prices'!I$161:I$904)</f>
        <v>2894.7249999999999</v>
      </c>
      <c r="C60" s="463">
        <f>SUMIF('Commodity Prices'!C$161:C$904,A60,'Commodity Prices'!J$161:J$904)</f>
        <v>4585.1236410714291</v>
      </c>
      <c r="E60" s="654">
        <f t="shared" si="0"/>
        <v>2021</v>
      </c>
      <c r="F60" s="635">
        <f>IF($E$8="Historic Calendar Year",
 IF(COUNTIFS('Commodity Prices'!$I:$I, "&gt;0", 'Commodity Prices'!$A:$A, $E60)=12, AVERAGEIFS('Commodity Prices'!$I:$I, 'Commodity Prices'!$A:$A, $E60), NA()),
 IF(COUNTIFS('Commodity Prices'!$I:$I, "&gt;0", 'Commodity Prices'!$B:$B, $E60)=12, AVERAGEIFS('Commodity Prices'!$I:$I, 'Commodity Prices'!$B:$B, $E60), NA())
)</f>
        <v>1799.576</v>
      </c>
      <c r="G60" s="638">
        <f>IF($E$8="Historic Calendar Year",
 IF(COUNTIFS('Commodity Prices'!$J:$J, "&gt;0", 'Commodity Prices'!$A:$A, $E60)=12, AVERAGEIFS('Commodity Prices'!$J:$J, 'Commodity Prices'!$A:$A, $E60), NA()),
 IF(COUNTIFS('Commodity Prices'!$J:$J, "&gt;0", 'Commodity Prices'!$B:$B, $E60)=12, AVERAGEIFS('Commodity Prices'!$J:$J, 'Commodity Prices'!$B:$B, $E60), NA())
)</f>
        <v>2402.1908333333336</v>
      </c>
    </row>
    <row r="61" spans="1:7" x14ac:dyDescent="0.25">
      <c r="A61" s="650">
        <f>LARGE('Commodity Prices'!C$161:C$904,10)</f>
        <v>45717</v>
      </c>
      <c r="B61" s="652">
        <f>SUMIF('Commodity Prices'!C$161:C$904,A61,'Commodity Prices'!I$161:I$904)</f>
        <v>2983.2550000000001</v>
      </c>
      <c r="C61" s="653">
        <f>SUMIF('Commodity Prices'!C$161:C$904,A61,'Commodity Prices'!J$161:J$904)</f>
        <v>4733.5496432258042</v>
      </c>
      <c r="E61" s="654">
        <f t="shared" si="0"/>
        <v>2022</v>
      </c>
      <c r="F61" s="652">
        <f>IF($E$8="Historic Calendar Year",
 IF(COUNTIFS('Commodity Prices'!$I:$I, "&gt;0", 'Commodity Prices'!$A:$A, $E61)=12, AVERAGEIFS('Commodity Prices'!$I:$I, 'Commodity Prices'!$A:$A, $E61), NA()),
 IF(COUNTIFS('Commodity Prices'!$I:$I, "&gt;0", 'Commodity Prices'!$B:$B, $E61)=12, AVERAGEIFS('Commodity Prices'!$I:$I, 'Commodity Prices'!$B:$B, $E61), NA())
)</f>
        <v>1800.7952499999999</v>
      </c>
      <c r="G61" s="653">
        <f>IF($E$8="Historic Calendar Year",
 IF(COUNTIFS('Commodity Prices'!$J:$J, "&gt;0", 'Commodity Prices'!$A:$A, $E61)=12, AVERAGEIFS('Commodity Prices'!$J:$J, 'Commodity Prices'!$A:$A, $E61), NA()),
 IF(COUNTIFS('Commodity Prices'!$J:$J, "&gt;0", 'Commodity Prices'!$B:$B, $E61)=12, AVERAGEIFS('Commodity Prices'!$J:$J, 'Commodity Prices'!$B:$B, $E61), NA())
)</f>
        <v>2594.8344265415394</v>
      </c>
    </row>
    <row r="62" spans="1:7" x14ac:dyDescent="0.25">
      <c r="A62" s="650">
        <f>LARGE('Commodity Prices'!C$161:C$904,9)</f>
        <v>45748</v>
      </c>
      <c r="B62" s="462">
        <f>SUMIF('Commodity Prices'!C$161:C$904,A62,'Commodity Prices'!I$161:I$904)</f>
        <v>3207.4830000000002</v>
      </c>
      <c r="C62" s="463">
        <f>SUMIF('Commodity Prices'!C$161:C$904,A62,'Commodity Prices'!J$161:J$904)</f>
        <v>5118.9012359999997</v>
      </c>
      <c r="E62" s="654">
        <f t="shared" si="0"/>
        <v>2023</v>
      </c>
      <c r="F62" s="635">
        <f>IF($E$8="Historic Calendar Year",
 IF(COUNTIFS('Commodity Prices'!$I:$I, "&gt;0", 'Commodity Prices'!$A:$A, $E62)=12, AVERAGEIFS('Commodity Prices'!$I:$I, 'Commodity Prices'!$A:$A, $E62), NA()),
 IF(COUNTIFS('Commodity Prices'!$I:$I, "&gt;0", 'Commodity Prices'!$B:$B, $E62)=12, AVERAGEIFS('Commodity Prices'!$I:$I, 'Commodity Prices'!$B:$B, $E62), NA())
)</f>
        <v>1942.7394999999999</v>
      </c>
      <c r="G62" s="638">
        <f>IF($E$8="Historic Calendar Year",
 IF(COUNTIFS('Commodity Prices'!$J:$J, "&gt;0", 'Commodity Prices'!$A:$A, $E62)=12, AVERAGEIFS('Commodity Prices'!$J:$J, 'Commodity Prices'!$A:$A, $E62), NA()),
 IF(COUNTIFS('Commodity Prices'!$J:$J, "&gt;0", 'Commodity Prices'!$B:$B, $E62)=12, AVERAGEIFS('Commodity Prices'!$J:$J, 'Commodity Prices'!$B:$B, $E62), NA())
)</f>
        <v>2926.8317733365329</v>
      </c>
    </row>
    <row r="63" spans="1:7" x14ac:dyDescent="0.25">
      <c r="A63" s="650">
        <f>LARGE('Commodity Prices'!C$161:C$904,8)</f>
        <v>45778</v>
      </c>
      <c r="B63" s="652">
        <f>SUMIF('Commodity Prices'!C$161:C$904,A63,'Commodity Prices'!I$161:I$904)</f>
        <v>3277.99</v>
      </c>
      <c r="C63" s="653">
        <f>SUMIF('Commodity Prices'!C$161:C$904,A63,'Commodity Prices'!J$161:J$904)</f>
        <v>5101.8207448387093</v>
      </c>
      <c r="E63" s="654">
        <f t="shared" si="0"/>
        <v>2024</v>
      </c>
      <c r="F63" s="652">
        <f>IF($E$8="Historic Calendar Year",
 IF(COUNTIFS('Commodity Prices'!$I:$I, "&gt;0", 'Commodity Prices'!$A:$A, $E63)=12, AVERAGEIFS('Commodity Prices'!$I:$I, 'Commodity Prices'!$A:$A, $E63), NA()),
 IF(COUNTIFS('Commodity Prices'!$I:$I, "&gt;0", 'Commodity Prices'!$B:$B, $E63)=12, AVERAGEIFS('Commodity Prices'!$I:$I, 'Commodity Prices'!$B:$B, $E63), NA())
)</f>
        <v>2387.0400833333333</v>
      </c>
      <c r="G63" s="653">
        <f>IF($E$8="Historic Calendar Year",
 IF(COUNTIFS('Commodity Prices'!$J:$J, "&gt;0", 'Commodity Prices'!$A:$A, $E63)=12, AVERAGEIFS('Commodity Prices'!$J:$J, 'Commodity Prices'!$A:$A, $E63), NA()),
 IF(COUNTIFS('Commodity Prices'!$J:$J, "&gt;0", 'Commodity Prices'!$B:$B, $E63)=12, AVERAGEIFS('Commodity Prices'!$J:$J, 'Commodity Prices'!$B:$B, $E63), NA())
)</f>
        <v>3622.4859166666665</v>
      </c>
    </row>
    <row r="64" spans="1:7" ht="15.75" thickBot="1" x14ac:dyDescent="0.3">
      <c r="A64" s="650">
        <f>LARGE('Commodity Prices'!C$161:C$904,7)</f>
        <v>45809</v>
      </c>
      <c r="B64" s="462">
        <f>SUMIF('Commodity Prices'!C$161:C$904,A64,'Commodity Prices'!I$161:I$904)</f>
        <v>3352.002</v>
      </c>
      <c r="C64" s="463">
        <f>SUMIF('Commodity Prices'!C$161:C$904,A64,'Commodity Prices'!J$161:J$904)</f>
        <v>5155.9045203333326</v>
      </c>
      <c r="E64" s="655">
        <f t="shared" si="0"/>
        <v>2025</v>
      </c>
      <c r="F64" s="1211">
        <f>IF($E$8="Historic Calendar Year",
 IF(COUNTIFS('Commodity Prices'!$I:$I, "&gt;0", 'Commodity Prices'!$A:$A, $E64)=12, AVERAGEIFS('Commodity Prices'!$I:$I, 'Commodity Prices'!$A:$A, $E64), NA()),
 IF(COUNTIFS('Commodity Prices'!$I:$I, "&gt;0", 'Commodity Prices'!$B:$B, $E64)=12, AVERAGEIFS('Commodity Prices'!$I:$I, 'Commodity Prices'!$B:$B, $E64), NA())
)</f>
        <v>3434.779833333334</v>
      </c>
      <c r="G64" s="1212">
        <f>IF($E$8="Historic Calendar Year",
 IF(COUNTIFS('Commodity Prices'!$J:$J, "&gt;0", 'Commodity Prices'!$A:$A, $E64)=12, AVERAGEIFS('Commodity Prices'!$J:$J, 'Commodity Prices'!$A:$A, $E64), NA()),
 IF(COUNTIFS('Commodity Prices'!$J:$J, "&gt;0", 'Commodity Prices'!$B:$B, $E64)=12, AVERAGEIFS('Commodity Prices'!$J:$J, 'Commodity Prices'!$B:$B, $E64), NA())
)</f>
        <v>5324.3818183007561</v>
      </c>
    </row>
    <row r="65" spans="1:7" ht="15.75" thickBot="1" x14ac:dyDescent="0.3">
      <c r="A65" s="650">
        <f>LARGE('Commodity Prices'!C$161:C$904,6)</f>
        <v>45839</v>
      </c>
      <c r="B65" s="652">
        <f>SUMIF('Commodity Prices'!C$161:C$904,A65,'Commodity Prices'!I$161:I$904)</f>
        <v>3338.3130000000001</v>
      </c>
      <c r="C65" s="653">
        <f>SUMIF('Commodity Prices'!C$161:C$904,A65,'Commodity Prices'!J$161:J$904)</f>
        <v>5109.9593212903219</v>
      </c>
    </row>
    <row r="66" spans="1:7" x14ac:dyDescent="0.25">
      <c r="A66" s="650">
        <f>LARGE('Commodity Prices'!C$161:C$904,5)</f>
        <v>45870</v>
      </c>
      <c r="B66" s="462">
        <f>SUMIF('Commodity Prices'!C$161:C$904,A66,'Commodity Prices'!I$161:I$904)</f>
        <v>3362.9929999999999</v>
      </c>
      <c r="C66" s="463">
        <f>SUMIF('Commodity Prices'!C$161:C$904,A66,'Commodity Prices'!J$161:J$904)</f>
        <v>5189.0058141935488</v>
      </c>
      <c r="E66" s="1440" t="s">
        <v>156</v>
      </c>
      <c r="F66" s="1441"/>
      <c r="G66" s="1442"/>
    </row>
    <row r="67" spans="1:7" ht="15.75" thickBot="1" x14ac:dyDescent="0.3">
      <c r="A67" s="650">
        <f>LARGE('Commodity Prices'!C$161:C$904,4)</f>
        <v>45901</v>
      </c>
      <c r="B67" s="652">
        <f>SUMIF('Commodity Prices'!C$161:C$904,A67,'Commodity Prices'!I$161:I$904)</f>
        <v>3665.1950000000002</v>
      </c>
      <c r="C67" s="653">
        <f>SUMIF('Commodity Prices'!C$161:C$904,A67,'Commodity Prices'!J$161:J$904)</f>
        <v>5561.4530583333335</v>
      </c>
      <c r="E67" s="1400" t="s">
        <v>551</v>
      </c>
      <c r="F67" s="1395"/>
      <c r="G67" s="1401"/>
    </row>
    <row r="68" spans="1:7" x14ac:dyDescent="0.25">
      <c r="A68" s="650">
        <f>LARGE('Commodity Prices'!C$161:C$904,3)</f>
        <v>45931</v>
      </c>
      <c r="B68" s="462">
        <f>SUMIF('Commodity Prices'!C$161:C$904,A68,'Commodity Prices'!I$161:I$904)</f>
        <v>4053.2759999999998</v>
      </c>
      <c r="C68" s="463">
        <f>SUMIF('Commodity Prices'!C$161:C$904,A68,'Commodity Prices'!J$161:J$904)</f>
        <v>6208.3185016129037</v>
      </c>
      <c r="E68" s="1439" t="s">
        <v>554</v>
      </c>
      <c r="F68" s="1439"/>
      <c r="G68" s="1439"/>
    </row>
    <row r="69" spans="1:7" x14ac:dyDescent="0.25">
      <c r="A69" s="650">
        <f>LARGE('Commodity Prices'!C$161:C$904,2)</f>
        <v>45962</v>
      </c>
      <c r="B69" s="652">
        <f>SUMIF('Commodity Prices'!C$161:C$904,A69,'Commodity Prices'!I$161:I$904)</f>
        <v>4082.953</v>
      </c>
      <c r="C69" s="653">
        <f>SUMIF('Commodity Prices'!C$161:C$904,A69,'Commodity Prices'!J$161:J$904)</f>
        <v>6273.2346800000023</v>
      </c>
    </row>
    <row r="70" spans="1:7" ht="15.75" thickBot="1" x14ac:dyDescent="0.3">
      <c r="A70" s="657">
        <f>LARGE('Commodity Prices'!C$161:C$904,1)</f>
        <v>45992</v>
      </c>
      <c r="B70" s="656">
        <f>SUMIF('Commodity Prices'!C$161:C$904,A70,'Commodity Prices'!I$161:I$904)</f>
        <v>4289.4840000000004</v>
      </c>
      <c r="C70" s="468">
        <f>SUMIF('Commodity Prices'!C$161:C$904,A70,'Commodity Prices'!J$161:J$904)</f>
        <v>6512.2556983870982</v>
      </c>
    </row>
  </sheetData>
  <mergeCells count="7">
    <mergeCell ref="E68:G68"/>
    <mergeCell ref="A7:C7"/>
    <mergeCell ref="E7:G7"/>
    <mergeCell ref="A8:C8"/>
    <mergeCell ref="E8:G8"/>
    <mergeCell ref="E66:G66"/>
    <mergeCell ref="E67:G67"/>
  </mergeCells>
  <dataValidations count="1">
    <dataValidation type="list" allowBlank="1" showInputMessage="1" showErrorMessage="1" promptTitle="Select a Period:" prompt="Select Financial or Calendar years." sqref="E67:G67" xr:uid="{0F8F0D1A-D782-41BD-8802-4AEBFD310165}">
      <formula1>$U$1:$U$2</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692DC-892A-4F56-BE3D-DDF178FEAD33}">
  <sheetPr>
    <tabColor rgb="FFFFC000"/>
  </sheetPr>
  <dimension ref="A1:Q251"/>
  <sheetViews>
    <sheetView showGridLines="0" zoomScale="85" zoomScaleNormal="85" workbookViewId="0">
      <pane ySplit="8" topLeftCell="A9" activePane="bottomLeft" state="frozen"/>
      <selection pane="bottomLeft"/>
    </sheetView>
  </sheetViews>
  <sheetFormatPr defaultColWidth="9.140625" defaultRowHeight="15" x14ac:dyDescent="0.25"/>
  <cols>
    <col min="1" max="1" width="12.7109375" customWidth="1"/>
    <col min="2" max="3" width="15.7109375" customWidth="1"/>
    <col min="4" max="4" width="5.140625" hidden="1" customWidth="1"/>
    <col min="5" max="5" width="2.140625" hidden="1" customWidth="1"/>
    <col min="6" max="6" width="18.85546875" bestFit="1" customWidth="1"/>
    <col min="12" max="13" width="11.140625" customWidth="1"/>
    <col min="14" max="14" width="10.85546875" customWidth="1"/>
    <col min="15" max="15" width="12.7109375" style="148" customWidth="1"/>
    <col min="16" max="17" width="15.7109375" customWidth="1"/>
  </cols>
  <sheetData>
    <row r="1" spans="1:17" x14ac:dyDescent="0.25">
      <c r="A1" s="64" t="s">
        <v>178</v>
      </c>
    </row>
    <row r="2" spans="1:17" x14ac:dyDescent="0.25">
      <c r="A2" s="64" t="s">
        <v>179</v>
      </c>
    </row>
    <row r="4" spans="1:17" ht="18" customHeight="1" x14ac:dyDescent="0.25"/>
    <row r="5" spans="1:17" x14ac:dyDescent="0.25">
      <c r="A5" s="1407"/>
      <c r="B5" s="1407"/>
      <c r="C5" s="1407"/>
      <c r="D5" s="145"/>
      <c r="E5" s="145"/>
    </row>
    <row r="6" spans="1:17" x14ac:dyDescent="0.25">
      <c r="A6" s="145"/>
      <c r="B6" s="145"/>
      <c r="C6" s="145"/>
      <c r="D6" s="145"/>
      <c r="E6" s="145"/>
    </row>
    <row r="7" spans="1:17" ht="15.75" thickBot="1" x14ac:dyDescent="0.3">
      <c r="A7" s="1408" t="s">
        <v>555</v>
      </c>
      <c r="B7" s="1408"/>
      <c r="C7" s="1408"/>
      <c r="D7" s="145"/>
      <c r="E7" s="145"/>
    </row>
    <row r="8" spans="1:17" x14ac:dyDescent="0.25">
      <c r="A8" s="658" t="s">
        <v>557</v>
      </c>
      <c r="B8" s="659" t="s">
        <v>577</v>
      </c>
      <c r="C8" s="660" t="s">
        <v>559</v>
      </c>
      <c r="D8" s="146"/>
      <c r="E8" s="146"/>
    </row>
    <row r="9" spans="1:17" x14ac:dyDescent="0.25">
      <c r="A9" s="650">
        <v>36220</v>
      </c>
      <c r="B9" s="462">
        <v>52.66</v>
      </c>
      <c r="C9" s="463">
        <v>766.21</v>
      </c>
      <c r="D9" s="29">
        <f>YEAR(A9)</f>
        <v>1999</v>
      </c>
      <c r="E9" s="29" t="str">
        <f>IF(MONTH(A9)=3,"1",IF(MONTH(A9)=6,"2",IF(MONTH(A9)=9,"3","4")))</f>
        <v>1</v>
      </c>
      <c r="O9" s="1393" t="s">
        <v>578</v>
      </c>
      <c r="P9" s="1393"/>
      <c r="Q9" s="1393"/>
    </row>
    <row r="10" spans="1:17" ht="15.75" thickBot="1" x14ac:dyDescent="0.3">
      <c r="A10" s="650">
        <v>36312</v>
      </c>
      <c r="B10" s="652">
        <v>52.39</v>
      </c>
      <c r="C10" s="653">
        <v>704.47</v>
      </c>
      <c r="D10" s="29">
        <f t="shared" ref="D10:D72" si="0">YEAR(A10)</f>
        <v>1999</v>
      </c>
      <c r="E10" s="29" t="str">
        <f t="shared" ref="E10:E73" si="1">IF(MONTH(A10)=3,"1",IF(MONTH(A10)=6,"2",IF(MONTH(A10)=9,"3","4")))</f>
        <v>2</v>
      </c>
      <c r="O10" s="1393" t="s">
        <v>561</v>
      </c>
      <c r="P10" s="1393"/>
      <c r="Q10" s="1393"/>
    </row>
    <row r="11" spans="1:17" x14ac:dyDescent="0.25">
      <c r="A11" s="650">
        <v>36404</v>
      </c>
      <c r="B11" s="462">
        <v>53.69</v>
      </c>
      <c r="C11" s="463">
        <v>687.61</v>
      </c>
      <c r="D11" s="29">
        <f t="shared" si="0"/>
        <v>1999</v>
      </c>
      <c r="E11" s="29" t="str">
        <f t="shared" si="1"/>
        <v>3</v>
      </c>
      <c r="O11" s="661" t="s">
        <v>557</v>
      </c>
      <c r="P11" s="648" t="s">
        <v>577</v>
      </c>
      <c r="Q11" s="662" t="s">
        <v>559</v>
      </c>
    </row>
    <row r="12" spans="1:17" x14ac:dyDescent="0.25">
      <c r="A12" s="650">
        <v>36495</v>
      </c>
      <c r="B12" s="652">
        <v>52.96</v>
      </c>
      <c r="C12" s="653">
        <v>783.77</v>
      </c>
      <c r="D12" s="29">
        <f t="shared" si="0"/>
        <v>1999</v>
      </c>
      <c r="E12" s="29" t="str">
        <f t="shared" si="1"/>
        <v>4</v>
      </c>
      <c r="O12" s="663">
        <f>LARGE($A:$A, 9)</f>
        <v>45261</v>
      </c>
      <c r="P12" s="525">
        <f t="shared" ref="P12:P20" si="2">SUMIF($A$9:$A$739,$O12,B$9:B$751)</f>
        <v>54.666288051767729</v>
      </c>
      <c r="Q12" s="434">
        <f t="shared" ref="Q12:Q20" si="3">SUMIF($A$9:$A$739,$O12,C$9:C$751)</f>
        <v>5336.8239469999999</v>
      </c>
    </row>
    <row r="13" spans="1:17" x14ac:dyDescent="0.25">
      <c r="A13" s="650">
        <v>36586</v>
      </c>
      <c r="B13" s="462">
        <v>48.48</v>
      </c>
      <c r="C13" s="463">
        <v>718.08</v>
      </c>
      <c r="D13" s="29">
        <f t="shared" si="0"/>
        <v>2000</v>
      </c>
      <c r="E13" s="29" t="str">
        <f t="shared" si="1"/>
        <v>1</v>
      </c>
      <c r="O13" s="663">
        <f>LARGE($A:$A, 8)</f>
        <v>45352</v>
      </c>
      <c r="P13" s="664">
        <f t="shared" si="2"/>
        <v>47.555709063749035</v>
      </c>
      <c r="Q13" s="665">
        <f t="shared" si="3"/>
        <v>4804.5484839999999</v>
      </c>
    </row>
    <row r="14" spans="1:17" x14ac:dyDescent="0.25">
      <c r="A14" s="650">
        <v>36678</v>
      </c>
      <c r="B14" s="652">
        <v>50.11</v>
      </c>
      <c r="C14" s="653">
        <v>765.84</v>
      </c>
      <c r="D14" s="29">
        <f t="shared" si="0"/>
        <v>2000</v>
      </c>
      <c r="E14" s="29" t="str">
        <f t="shared" si="1"/>
        <v>2</v>
      </c>
      <c r="O14" s="663">
        <f>LARGE($A:$A, 7)</f>
        <v>45444</v>
      </c>
      <c r="P14" s="525">
        <f t="shared" si="2"/>
        <v>50.953982965936142</v>
      </c>
      <c r="Q14" s="434">
        <f t="shared" si="3"/>
        <v>5812.8118899999999</v>
      </c>
    </row>
    <row r="15" spans="1:17" x14ac:dyDescent="0.25">
      <c r="A15" s="650">
        <v>36770</v>
      </c>
      <c r="B15" s="462">
        <v>52.18</v>
      </c>
      <c r="C15" s="463">
        <v>807.56</v>
      </c>
      <c r="D15" s="29">
        <f t="shared" si="0"/>
        <v>2000</v>
      </c>
      <c r="E15" s="29" t="str">
        <f t="shared" si="1"/>
        <v>3</v>
      </c>
      <c r="O15" s="663">
        <f>LARGE($A:$A, 6)</f>
        <v>45536</v>
      </c>
      <c r="P15" s="664">
        <f t="shared" si="2"/>
        <v>52.346521546787841</v>
      </c>
      <c r="Q15" s="665">
        <f t="shared" si="3"/>
        <v>6228.5578049999995</v>
      </c>
    </row>
    <row r="16" spans="1:17" x14ac:dyDescent="0.25">
      <c r="A16" s="650">
        <v>36861</v>
      </c>
      <c r="B16" s="652">
        <v>48.85</v>
      </c>
      <c r="C16" s="653">
        <v>795.8</v>
      </c>
      <c r="D16" s="29">
        <f t="shared" si="0"/>
        <v>2000</v>
      </c>
      <c r="E16" s="29" t="str">
        <f t="shared" si="1"/>
        <v>4</v>
      </c>
      <c r="O16" s="663">
        <f>LARGE($A:$A, 5)</f>
        <v>45627</v>
      </c>
      <c r="P16" s="525">
        <f t="shared" si="2"/>
        <v>52.395144741171961</v>
      </c>
      <c r="Q16" s="434">
        <f t="shared" si="3"/>
        <v>6874.7797609999998</v>
      </c>
    </row>
    <row r="17" spans="1:17" x14ac:dyDescent="0.25">
      <c r="A17" s="650">
        <v>36951</v>
      </c>
      <c r="B17" s="462">
        <v>48.6</v>
      </c>
      <c r="C17" s="463">
        <v>775.97</v>
      </c>
      <c r="D17" s="29">
        <f t="shared" si="0"/>
        <v>2001</v>
      </c>
      <c r="E17" s="29" t="str">
        <f t="shared" si="1"/>
        <v>1</v>
      </c>
      <c r="O17" s="663">
        <f>LARGE($A:$A, 4)</f>
        <v>45717</v>
      </c>
      <c r="P17" s="664">
        <f t="shared" si="2"/>
        <v>53.050198114661896</v>
      </c>
      <c r="Q17" s="665">
        <f t="shared" si="3"/>
        <v>7773.7780210000001</v>
      </c>
    </row>
    <row r="18" spans="1:17" x14ac:dyDescent="0.25">
      <c r="A18" s="650">
        <v>37043</v>
      </c>
      <c r="B18" s="652">
        <v>51.58</v>
      </c>
      <c r="C18" s="653">
        <v>865.74</v>
      </c>
      <c r="D18" s="29">
        <f t="shared" si="0"/>
        <v>2001</v>
      </c>
      <c r="E18" s="29" t="str">
        <f t="shared" si="1"/>
        <v>2</v>
      </c>
      <c r="O18" s="663">
        <f>LARGE($A:$A, 3)</f>
        <v>45809</v>
      </c>
      <c r="P18" s="525">
        <f t="shared" si="2"/>
        <v>51.121384895110999</v>
      </c>
      <c r="Q18" s="434">
        <f t="shared" si="3"/>
        <v>8418.8779119999999</v>
      </c>
    </row>
    <row r="19" spans="1:17" x14ac:dyDescent="0.25">
      <c r="A19" s="650">
        <v>37135</v>
      </c>
      <c r="B19" s="462">
        <v>47.03</v>
      </c>
      <c r="C19" s="463">
        <v>807.87</v>
      </c>
      <c r="D19" s="29">
        <f t="shared" si="0"/>
        <v>2001</v>
      </c>
      <c r="E19" s="29" t="str">
        <f t="shared" si="1"/>
        <v>3</v>
      </c>
      <c r="O19" s="663">
        <f>LARGE($A:$A, 2)</f>
        <v>45901</v>
      </c>
      <c r="P19" s="664">
        <f t="shared" si="2"/>
        <v>55.337566367309535</v>
      </c>
      <c r="Q19" s="665">
        <f t="shared" si="3"/>
        <v>9416.7860430000001</v>
      </c>
    </row>
    <row r="20" spans="1:17" ht="15.75" thickBot="1" x14ac:dyDescent="0.3">
      <c r="A20" s="650">
        <v>37226</v>
      </c>
      <c r="B20" s="652">
        <v>44.99</v>
      </c>
      <c r="C20" s="653">
        <v>786.62</v>
      </c>
      <c r="D20" s="29">
        <f t="shared" si="0"/>
        <v>2001</v>
      </c>
      <c r="E20" s="29" t="str">
        <f t="shared" si="1"/>
        <v>4</v>
      </c>
      <c r="O20" s="666">
        <f>LARGE($A:$A, 1)</f>
        <v>45992</v>
      </c>
      <c r="P20" s="667">
        <f t="shared" si="2"/>
        <v>52.706917190331204</v>
      </c>
      <c r="Q20" s="447">
        <f t="shared" si="3"/>
        <v>10709.082923</v>
      </c>
    </row>
    <row r="21" spans="1:17" x14ac:dyDescent="0.25">
      <c r="A21" s="650">
        <v>37316</v>
      </c>
      <c r="B21" s="462">
        <v>44.81</v>
      </c>
      <c r="C21" s="463">
        <v>806.7</v>
      </c>
      <c r="D21" s="29">
        <f t="shared" si="0"/>
        <v>2002</v>
      </c>
      <c r="E21" s="29" t="str">
        <f t="shared" si="1"/>
        <v>1</v>
      </c>
      <c r="O21" s="668"/>
    </row>
    <row r="22" spans="1:17" x14ac:dyDescent="0.25">
      <c r="A22" s="650">
        <v>37408</v>
      </c>
      <c r="B22" s="652">
        <v>48.16</v>
      </c>
      <c r="C22" s="653">
        <v>878.31</v>
      </c>
      <c r="D22" s="29">
        <f t="shared" si="0"/>
        <v>2002</v>
      </c>
      <c r="E22" s="29" t="str">
        <f t="shared" si="1"/>
        <v>2</v>
      </c>
      <c r="O22" s="668"/>
    </row>
    <row r="23" spans="1:17" x14ac:dyDescent="0.25">
      <c r="A23" s="650">
        <v>37500</v>
      </c>
      <c r="B23" s="462">
        <v>47.52</v>
      </c>
      <c r="C23" s="463">
        <v>876.44</v>
      </c>
      <c r="D23" s="29">
        <f t="shared" si="0"/>
        <v>2002</v>
      </c>
      <c r="E23" s="29" t="str">
        <f t="shared" si="1"/>
        <v>3</v>
      </c>
      <c r="O23" s="668"/>
    </row>
    <row r="24" spans="1:17" x14ac:dyDescent="0.25">
      <c r="A24" s="650">
        <v>37591</v>
      </c>
      <c r="B24" s="652">
        <v>48.26</v>
      </c>
      <c r="C24" s="653">
        <v>895.78</v>
      </c>
      <c r="D24" s="29">
        <f t="shared" si="0"/>
        <v>2002</v>
      </c>
      <c r="E24" s="29" t="str">
        <f t="shared" si="1"/>
        <v>4</v>
      </c>
      <c r="O24" s="668"/>
    </row>
    <row r="25" spans="1:17" x14ac:dyDescent="0.25">
      <c r="A25" s="650">
        <v>37681</v>
      </c>
      <c r="B25" s="462">
        <v>44.92</v>
      </c>
      <c r="C25" s="463">
        <v>857.53</v>
      </c>
      <c r="D25" s="29">
        <f t="shared" si="0"/>
        <v>2003</v>
      </c>
      <c r="E25" s="29" t="str">
        <f t="shared" si="1"/>
        <v>1</v>
      </c>
      <c r="O25" s="668"/>
    </row>
    <row r="26" spans="1:17" x14ac:dyDescent="0.25">
      <c r="A26" s="650">
        <v>37773</v>
      </c>
      <c r="B26" s="652">
        <v>46.67</v>
      </c>
      <c r="C26" s="653">
        <v>812.36</v>
      </c>
      <c r="D26" s="29">
        <f t="shared" si="0"/>
        <v>2003</v>
      </c>
      <c r="E26" s="29" t="str">
        <f t="shared" si="1"/>
        <v>2</v>
      </c>
      <c r="O26" s="668"/>
    </row>
    <row r="27" spans="1:17" x14ac:dyDescent="0.25">
      <c r="A27" s="650">
        <v>37865</v>
      </c>
      <c r="B27" s="462">
        <v>46.62</v>
      </c>
      <c r="C27" s="463">
        <v>826.7</v>
      </c>
      <c r="D27" s="29">
        <f t="shared" si="0"/>
        <v>2003</v>
      </c>
      <c r="E27" s="29" t="str">
        <f t="shared" si="1"/>
        <v>3</v>
      </c>
      <c r="O27" s="668"/>
    </row>
    <row r="28" spans="1:17" x14ac:dyDescent="0.25">
      <c r="A28" s="650">
        <v>37956</v>
      </c>
      <c r="B28" s="652">
        <v>49.38</v>
      </c>
      <c r="C28" s="653">
        <v>869.49</v>
      </c>
      <c r="D28" s="29">
        <f t="shared" si="0"/>
        <v>2003</v>
      </c>
      <c r="E28" s="29" t="str">
        <f t="shared" si="1"/>
        <v>4</v>
      </c>
    </row>
    <row r="29" spans="1:17" x14ac:dyDescent="0.25">
      <c r="A29" s="650">
        <v>38047</v>
      </c>
      <c r="B29" s="462">
        <v>41.69</v>
      </c>
      <c r="C29" s="463">
        <v>716.23</v>
      </c>
      <c r="D29" s="29">
        <f t="shared" si="0"/>
        <v>2004</v>
      </c>
      <c r="E29" s="29" t="str">
        <f t="shared" si="1"/>
        <v>1</v>
      </c>
    </row>
    <row r="30" spans="1:17" x14ac:dyDescent="0.25">
      <c r="A30" s="650">
        <v>38139</v>
      </c>
      <c r="B30" s="652">
        <v>39.04</v>
      </c>
      <c r="C30" s="653">
        <v>691.75</v>
      </c>
      <c r="D30" s="29">
        <f t="shared" si="0"/>
        <v>2004</v>
      </c>
      <c r="E30" s="29" t="str">
        <f t="shared" si="1"/>
        <v>2</v>
      </c>
    </row>
    <row r="31" spans="1:17" x14ac:dyDescent="0.25">
      <c r="A31" s="650">
        <v>38231</v>
      </c>
      <c r="B31" s="462">
        <v>42.1</v>
      </c>
      <c r="C31" s="463">
        <v>766.16</v>
      </c>
      <c r="D31" s="29">
        <f t="shared" si="0"/>
        <v>2004</v>
      </c>
      <c r="E31" s="29" t="str">
        <f t="shared" si="1"/>
        <v>3</v>
      </c>
    </row>
    <row r="32" spans="1:17" x14ac:dyDescent="0.25">
      <c r="A32" s="650">
        <v>38322</v>
      </c>
      <c r="B32" s="652">
        <v>41.05</v>
      </c>
      <c r="C32" s="653">
        <v>757.24</v>
      </c>
      <c r="D32" s="29">
        <f t="shared" si="0"/>
        <v>2004</v>
      </c>
      <c r="E32" s="29" t="str">
        <f t="shared" si="1"/>
        <v>4</v>
      </c>
    </row>
    <row r="33" spans="1:17" ht="15.75" thickBot="1" x14ac:dyDescent="0.3">
      <c r="A33" s="650">
        <v>38412</v>
      </c>
      <c r="B33" s="462">
        <v>42.723512191792238</v>
      </c>
      <c r="C33" s="463">
        <v>755.68726600000002</v>
      </c>
      <c r="D33" s="29">
        <f t="shared" si="0"/>
        <v>2005</v>
      </c>
      <c r="E33" s="29" t="str">
        <f t="shared" si="1"/>
        <v>1</v>
      </c>
    </row>
    <row r="34" spans="1:17" x14ac:dyDescent="0.25">
      <c r="A34" s="650">
        <v>38504</v>
      </c>
      <c r="B34" s="652">
        <v>40.713426364949861</v>
      </c>
      <c r="C34" s="653">
        <v>727.41294899999991</v>
      </c>
      <c r="D34" s="29">
        <f t="shared" si="0"/>
        <v>2005</v>
      </c>
      <c r="E34" s="29" t="str">
        <f t="shared" si="1"/>
        <v>2</v>
      </c>
      <c r="O34" s="669" t="s">
        <v>158</v>
      </c>
      <c r="P34" s="1443" t="s">
        <v>178</v>
      </c>
      <c r="Q34" s="1444"/>
    </row>
    <row r="35" spans="1:17" x14ac:dyDescent="0.25">
      <c r="A35" s="650">
        <v>38596</v>
      </c>
      <c r="B35" s="462">
        <v>40.118682788492514</v>
      </c>
      <c r="C35" s="463">
        <v>744.97775000000001</v>
      </c>
      <c r="D35" s="29">
        <f t="shared" si="0"/>
        <v>2005</v>
      </c>
      <c r="E35" s="29" t="str">
        <f t="shared" si="1"/>
        <v>3</v>
      </c>
      <c r="O35" s="1404" t="str">
        <f>CONCATENATE(A5," Quantity And Value ")</f>
        <v xml:space="preserve"> Quantity And Value </v>
      </c>
      <c r="P35" s="1405"/>
      <c r="Q35" s="1406"/>
    </row>
    <row r="36" spans="1:17" x14ac:dyDescent="0.25">
      <c r="A36" s="650">
        <v>38687</v>
      </c>
      <c r="B36" s="652">
        <v>43.729459843146579</v>
      </c>
      <c r="C36" s="653">
        <v>916.05683299999998</v>
      </c>
      <c r="D36" s="29">
        <f t="shared" si="0"/>
        <v>2005</v>
      </c>
      <c r="E36" s="29" t="str">
        <f t="shared" si="1"/>
        <v>4</v>
      </c>
      <c r="O36" s="670" t="s">
        <v>272</v>
      </c>
      <c r="P36" s="671" t="str">
        <f>B8</f>
        <v>Quantity (t)</v>
      </c>
      <c r="Q36" s="672" t="str">
        <f>C8</f>
        <v>Value ($ Million)</v>
      </c>
    </row>
    <row r="37" spans="1:17" x14ac:dyDescent="0.25">
      <c r="A37" s="650">
        <v>38777</v>
      </c>
      <c r="B37" s="462">
        <v>39.623296407152885</v>
      </c>
      <c r="C37" s="463">
        <v>954.76192299999991</v>
      </c>
      <c r="D37" s="29">
        <f t="shared" si="0"/>
        <v>2006</v>
      </c>
      <c r="E37" s="29" t="str">
        <f t="shared" si="1"/>
        <v>1</v>
      </c>
      <c r="O37" s="673">
        <f t="shared" ref="O37:O54" si="4">IF($P$34="Calendar Year", O38-1, LEFT(O38,4)-1 &amp; "-" &amp; MID(O38,3,2))</f>
        <v>2006</v>
      </c>
      <c r="P37" s="573">
        <f>IF($P$34="Calendar Year",SUMIF($D$9:$D$201,$O37,$B$9:$B$201),SUMIFS($B$9:$B$201,$D$9:$D$201,LEFT($O37,4),$E$9:$E$201,3)+SUMIFS($B$9:$B$201,$D$9:$D$201,LEFT($O37,4),$E$9:$E$201,4)+SUMIFS($B$9:$B$201,$D$9:$D$201,LEFT($O37,4)+1,$E$9:$E$201,1)+SUMIFS($B$9:$B$201,$D$9:$D$201,LEFT($O37,4)+1,$E$9:$E$201,2))</f>
        <v>162.96885743588496</v>
      </c>
      <c r="Q37" s="674">
        <f>IF($P$34="Calendar Year",SUMIF($D$9:$D$201,$O37,$C$9:$C$201),SUMIFS($C$9:$C$201,$D$9:$D$201,LEFT($O37,4),$E$9:$E$201,3)+SUMIFS($C$9:$C$201,$D$9:$D$201,LEFT($O37,4),$E$9:$E$201,4)+SUMIFS($C$9:$C$201,$D$9:$D$201,LEFT($O37,4)+1,$E$9:$E$201,1)+SUMIFS($C$9:$C$201,$D$9:$D$201,LEFT($O37,4)+1,$E$9:$E$201,2))</f>
        <v>4208.3325699999996</v>
      </c>
    </row>
    <row r="38" spans="1:17" x14ac:dyDescent="0.25">
      <c r="A38" s="650">
        <v>38869</v>
      </c>
      <c r="B38" s="652">
        <v>39.868589031483282</v>
      </c>
      <c r="C38" s="653">
        <v>1080.5398189999999</v>
      </c>
      <c r="D38" s="29">
        <f t="shared" si="0"/>
        <v>2006</v>
      </c>
      <c r="E38" s="29" t="str">
        <f t="shared" si="1"/>
        <v>2</v>
      </c>
      <c r="O38" s="675">
        <f t="shared" si="4"/>
        <v>2007</v>
      </c>
      <c r="P38" s="676">
        <f t="shared" ref="P38:P56" si="5">IF(O38="","",IF($P$34="Calendar Year",SUMIF($D$9:$D$201,$O38,$B$9:$B$201),SUMIFS($B$9:$B$201,$D$9:$D$201,LEFT($O38,4),$E$9:$E$201,3)+SUMIFS($B$9:$B$201,$D$9:$D$201,LEFT($O38,4),$E$9:$E$201,4)+SUMIFS($B$9:$B$201,$D$9:$D$201,LEFT($O38,4)+1,$E$9:$E$201,1)+SUMIFS($B$9:$B$201,$D$9:$D$201,LEFT($O38,4)+1,$E$9:$E$201,2)))</f>
        <v>151.4486196955454</v>
      </c>
      <c r="Q38" s="677">
        <f t="shared" ref="Q38:Q56" si="6">IF(O38="","",IF($P$34="Calendar Year",SUMIF($D$9:$D$201,$O38,$C$9:$C$201),SUMIFS($C$9:$C$201,$D$9:$D$201,LEFT($O38,4),$E$9:$E$201,3)+SUMIFS($C$9:$C$201,$D$9:$D$201,LEFT($O38,4),$E$9:$E$201,4)+SUMIFS($C$9:$C$201,$D$9:$D$201,LEFT($O38,4)+1,$E$9:$E$201,1)+SUMIFS($C$9:$C$201,$D$9:$D$201,LEFT($O38,4)+1,$E$9:$E$201,2)))</f>
        <v>4039.0577289999997</v>
      </c>
    </row>
    <row r="39" spans="1:17" x14ac:dyDescent="0.25">
      <c r="A39" s="650">
        <v>38961</v>
      </c>
      <c r="B39" s="462">
        <v>39.836834278982572</v>
      </c>
      <c r="C39" s="463">
        <v>1053.8355959999999</v>
      </c>
      <c r="D39" s="29">
        <f t="shared" si="0"/>
        <v>2006</v>
      </c>
      <c r="E39" s="29" t="str">
        <f t="shared" si="1"/>
        <v>3</v>
      </c>
      <c r="O39" s="675">
        <f t="shared" si="4"/>
        <v>2008</v>
      </c>
      <c r="P39" s="573">
        <f t="shared" si="5"/>
        <v>132.07406222857139</v>
      </c>
      <c r="Q39" s="674">
        <f t="shared" si="6"/>
        <v>4399.5130680000002</v>
      </c>
    </row>
    <row r="40" spans="1:17" x14ac:dyDescent="0.25">
      <c r="A40" s="650">
        <v>39052</v>
      </c>
      <c r="B40" s="652">
        <v>43.640137718266239</v>
      </c>
      <c r="C40" s="653">
        <v>1119.195232</v>
      </c>
      <c r="D40" s="29">
        <f t="shared" si="0"/>
        <v>2006</v>
      </c>
      <c r="E40" s="29" t="str">
        <f t="shared" si="1"/>
        <v>4</v>
      </c>
      <c r="O40" s="675">
        <f t="shared" si="4"/>
        <v>2009</v>
      </c>
      <c r="P40" s="676">
        <f t="shared" si="5"/>
        <v>146.42769796810049</v>
      </c>
      <c r="Q40" s="677">
        <f t="shared" si="6"/>
        <v>5814.4216130000004</v>
      </c>
    </row>
    <row r="41" spans="1:17" x14ac:dyDescent="0.25">
      <c r="A41" s="650">
        <v>39142</v>
      </c>
      <c r="B41" s="462">
        <v>38.502006426435067</v>
      </c>
      <c r="C41" s="463">
        <v>1022.274917</v>
      </c>
      <c r="D41" s="29">
        <f t="shared" si="0"/>
        <v>2007</v>
      </c>
      <c r="E41" s="29" t="str">
        <f t="shared" si="1"/>
        <v>1</v>
      </c>
      <c r="O41" s="675">
        <f t="shared" si="4"/>
        <v>2010</v>
      </c>
      <c r="P41" s="573">
        <f t="shared" si="5"/>
        <v>182.89928812222109</v>
      </c>
      <c r="Q41" s="674">
        <f t="shared" si="6"/>
        <v>7849.1314590000002</v>
      </c>
    </row>
    <row r="42" spans="1:17" x14ac:dyDescent="0.25">
      <c r="A42" s="650">
        <v>39234</v>
      </c>
      <c r="B42" s="652">
        <v>37.595739042011999</v>
      </c>
      <c r="C42" s="653">
        <v>970.8007409999999</v>
      </c>
      <c r="D42" s="29">
        <f t="shared" si="0"/>
        <v>2007</v>
      </c>
      <c r="E42" s="29" t="str">
        <f t="shared" si="1"/>
        <v>2</v>
      </c>
      <c r="O42" s="675">
        <f t="shared" si="4"/>
        <v>2011</v>
      </c>
      <c r="P42" s="676">
        <f t="shared" si="5"/>
        <v>179.60791441262091</v>
      </c>
      <c r="Q42" s="677">
        <f t="shared" si="6"/>
        <v>8793.8925789999994</v>
      </c>
    </row>
    <row r="43" spans="1:17" x14ac:dyDescent="0.25">
      <c r="A43" s="650">
        <v>39326</v>
      </c>
      <c r="B43" s="462">
        <v>37.847523895054849</v>
      </c>
      <c r="C43" s="463">
        <v>978.01341500000001</v>
      </c>
      <c r="D43" s="29">
        <f t="shared" si="0"/>
        <v>2007</v>
      </c>
      <c r="E43" s="29" t="str">
        <f t="shared" si="1"/>
        <v>3</v>
      </c>
      <c r="O43" s="675">
        <f t="shared" si="4"/>
        <v>2012</v>
      </c>
      <c r="P43" s="573">
        <f t="shared" si="5"/>
        <v>181.29090201866299</v>
      </c>
      <c r="Q43" s="674">
        <f t="shared" si="6"/>
        <v>9380.5396099999998</v>
      </c>
    </row>
    <row r="44" spans="1:17" x14ac:dyDescent="0.25">
      <c r="A44" s="650">
        <v>39417</v>
      </c>
      <c r="B44" s="652">
        <v>37.503350332043475</v>
      </c>
      <c r="C44" s="653">
        <v>1067.968656</v>
      </c>
      <c r="D44" s="29">
        <f t="shared" si="0"/>
        <v>2007</v>
      </c>
      <c r="E44" s="29" t="str">
        <f t="shared" si="1"/>
        <v>4</v>
      </c>
      <c r="O44" s="675">
        <f t="shared" si="4"/>
        <v>2013</v>
      </c>
      <c r="P44" s="676">
        <f t="shared" si="5"/>
        <v>187.46183645020102</v>
      </c>
      <c r="Q44" s="677">
        <f t="shared" si="6"/>
        <v>8743.0332229999985</v>
      </c>
    </row>
    <row r="45" spans="1:17" x14ac:dyDescent="0.25">
      <c r="A45" s="650">
        <v>39508</v>
      </c>
      <c r="B45" s="462">
        <v>32.680399932773263</v>
      </c>
      <c r="C45" s="463">
        <v>1071.989239</v>
      </c>
      <c r="D45" s="29">
        <f t="shared" si="0"/>
        <v>2008</v>
      </c>
      <c r="E45" s="29" t="str">
        <f t="shared" si="1"/>
        <v>1</v>
      </c>
      <c r="O45" s="675">
        <f t="shared" si="4"/>
        <v>2014</v>
      </c>
      <c r="P45" s="573">
        <f t="shared" si="5"/>
        <v>194.61577561329449</v>
      </c>
      <c r="Q45" s="674">
        <f t="shared" si="6"/>
        <v>8780.646553999999</v>
      </c>
    </row>
    <row r="46" spans="1:17" x14ac:dyDescent="0.25">
      <c r="A46" s="650">
        <v>39600</v>
      </c>
      <c r="B46" s="652">
        <v>33.082325529506036</v>
      </c>
      <c r="C46" s="653">
        <v>1008.627221</v>
      </c>
      <c r="D46" s="29">
        <f t="shared" si="0"/>
        <v>2008</v>
      </c>
      <c r="E46" s="29" t="str">
        <f t="shared" si="1"/>
        <v>2</v>
      </c>
      <c r="O46" s="675">
        <f t="shared" si="4"/>
        <v>2015</v>
      </c>
      <c r="P46" s="676">
        <f t="shared" si="5"/>
        <v>194.47144014692842</v>
      </c>
      <c r="Q46" s="677">
        <f t="shared" si="6"/>
        <v>9627.6513769999983</v>
      </c>
    </row>
    <row r="47" spans="1:17" x14ac:dyDescent="0.25">
      <c r="A47" s="650">
        <v>39692</v>
      </c>
      <c r="B47" s="462">
        <v>31.606382913408179</v>
      </c>
      <c r="C47" s="463">
        <v>996.05240900000001</v>
      </c>
      <c r="D47" s="29">
        <f t="shared" si="0"/>
        <v>2008</v>
      </c>
      <c r="E47" s="29" t="str">
        <f t="shared" si="1"/>
        <v>3</v>
      </c>
      <c r="O47" s="675">
        <f t="shared" si="4"/>
        <v>2016</v>
      </c>
      <c r="P47" s="573">
        <f t="shared" si="5"/>
        <v>197.07233863062316</v>
      </c>
      <c r="Q47" s="674">
        <f t="shared" si="6"/>
        <v>10629.36248</v>
      </c>
    </row>
    <row r="48" spans="1:17" x14ac:dyDescent="0.25">
      <c r="A48" s="650">
        <v>39783</v>
      </c>
      <c r="B48" s="652">
        <v>34.704953852883918</v>
      </c>
      <c r="C48" s="653">
        <v>1322.8441989999999</v>
      </c>
      <c r="D48" s="29">
        <f t="shared" si="0"/>
        <v>2008</v>
      </c>
      <c r="E48" s="29" t="str">
        <f t="shared" si="1"/>
        <v>4</v>
      </c>
      <c r="O48" s="675">
        <f t="shared" si="4"/>
        <v>2017</v>
      </c>
      <c r="P48" s="676">
        <f t="shared" si="5"/>
        <v>210.99182809083629</v>
      </c>
      <c r="Q48" s="677">
        <f t="shared" si="6"/>
        <v>11126.621227</v>
      </c>
    </row>
    <row r="49" spans="1:17" x14ac:dyDescent="0.25">
      <c r="A49" s="650">
        <v>39873</v>
      </c>
      <c r="B49" s="462">
        <v>33.420366979859331</v>
      </c>
      <c r="C49" s="463">
        <v>1475.5212749999998</v>
      </c>
      <c r="D49" s="29">
        <f t="shared" si="0"/>
        <v>2009</v>
      </c>
      <c r="E49" s="29" t="str">
        <f t="shared" si="1"/>
        <v>1</v>
      </c>
      <c r="O49" s="675">
        <f t="shared" si="4"/>
        <v>2018</v>
      </c>
      <c r="P49" s="573">
        <f t="shared" si="5"/>
        <v>211.09598533001119</v>
      </c>
      <c r="Q49" s="674">
        <f t="shared" si="6"/>
        <v>11515.697427999998</v>
      </c>
    </row>
    <row r="50" spans="1:17" x14ac:dyDescent="0.25">
      <c r="A50" s="650">
        <v>39965</v>
      </c>
      <c r="B50" s="652">
        <v>37.264957609695983</v>
      </c>
      <c r="C50" s="653">
        <v>1453.6864429999998</v>
      </c>
      <c r="D50" s="29">
        <f t="shared" si="0"/>
        <v>2009</v>
      </c>
      <c r="E50" s="29" t="str">
        <f t="shared" si="1"/>
        <v>2</v>
      </c>
      <c r="O50" s="675">
        <f t="shared" si="4"/>
        <v>2019</v>
      </c>
      <c r="P50" s="676">
        <f t="shared" si="5"/>
        <v>213.87697104706592</v>
      </c>
      <c r="Q50" s="677">
        <f t="shared" si="6"/>
        <v>13810.68989</v>
      </c>
    </row>
    <row r="51" spans="1:17" x14ac:dyDescent="0.25">
      <c r="A51" s="650">
        <v>40057</v>
      </c>
      <c r="B51" s="462">
        <v>37.164156093529563</v>
      </c>
      <c r="C51" s="463">
        <v>1378.2166769999999</v>
      </c>
      <c r="D51" s="29">
        <f t="shared" si="0"/>
        <v>2009</v>
      </c>
      <c r="E51" s="29" t="str">
        <f t="shared" si="1"/>
        <v>3</v>
      </c>
      <c r="O51" s="675">
        <f t="shared" si="4"/>
        <v>2020</v>
      </c>
      <c r="P51" s="573">
        <f t="shared" si="5"/>
        <v>209.72645486184581</v>
      </c>
      <c r="Q51" s="674">
        <f t="shared" si="6"/>
        <v>17270.493809</v>
      </c>
    </row>
    <row r="52" spans="1:17" x14ac:dyDescent="0.25">
      <c r="A52" s="650">
        <v>40148</v>
      </c>
      <c r="B52" s="652">
        <v>38.578217285015626</v>
      </c>
      <c r="C52" s="653">
        <v>1506.997218</v>
      </c>
      <c r="D52" s="29">
        <f t="shared" si="0"/>
        <v>2009</v>
      </c>
      <c r="E52" s="29" t="str">
        <f t="shared" si="1"/>
        <v>4</v>
      </c>
      <c r="O52" s="675">
        <f t="shared" si="4"/>
        <v>2021</v>
      </c>
      <c r="P52" s="676">
        <f t="shared" si="5"/>
        <v>207.37680836642937</v>
      </c>
      <c r="Q52" s="677">
        <f t="shared" si="6"/>
        <v>15981.479809999997</v>
      </c>
    </row>
    <row r="53" spans="1:17" x14ac:dyDescent="0.25">
      <c r="A53" s="650">
        <v>40238</v>
      </c>
      <c r="B53" s="462">
        <v>45.239333677534248</v>
      </c>
      <c r="C53" s="463">
        <v>1782.4345119999998</v>
      </c>
      <c r="D53" s="29">
        <f t="shared" si="0"/>
        <v>2010</v>
      </c>
      <c r="E53" s="29" t="str">
        <f t="shared" si="1"/>
        <v>1</v>
      </c>
      <c r="O53" s="675">
        <f t="shared" si="4"/>
        <v>2022</v>
      </c>
      <c r="P53" s="573">
        <f t="shared" si="5"/>
        <v>214.56949247739956</v>
      </c>
      <c r="Q53" s="674">
        <f t="shared" si="6"/>
        <v>17877.996870999999</v>
      </c>
    </row>
    <row r="54" spans="1:17" x14ac:dyDescent="0.25">
      <c r="A54" s="650">
        <v>40330</v>
      </c>
      <c r="B54" s="652">
        <v>43.057204878433247</v>
      </c>
      <c r="C54" s="653">
        <v>1890.607653</v>
      </c>
      <c r="D54" s="29">
        <f t="shared" si="0"/>
        <v>2010</v>
      </c>
      <c r="E54" s="29" t="str">
        <f t="shared" si="1"/>
        <v>2</v>
      </c>
      <c r="O54" s="675">
        <f t="shared" si="4"/>
        <v>2023</v>
      </c>
      <c r="P54" s="676">
        <f t="shared" si="5"/>
        <v>211.6168668580421</v>
      </c>
      <c r="Q54" s="677">
        <f t="shared" si="6"/>
        <v>19929.109067000001</v>
      </c>
    </row>
    <row r="55" spans="1:17" x14ac:dyDescent="0.25">
      <c r="A55" s="650">
        <v>40422</v>
      </c>
      <c r="B55" s="462">
        <v>46.070417053559886</v>
      </c>
      <c r="C55" s="463">
        <v>2012.0115489999998</v>
      </c>
      <c r="D55" s="29">
        <f t="shared" si="0"/>
        <v>2010</v>
      </c>
      <c r="E55" s="29" t="str">
        <f t="shared" si="1"/>
        <v>3</v>
      </c>
      <c r="O55" s="675">
        <f>IF($P$34="Calendar Year", O56-1, LEFT(O56,4)-1 &amp; "-" &amp; MID(O56,3,2))</f>
        <v>2024</v>
      </c>
      <c r="P55" s="573">
        <f t="shared" si="5"/>
        <v>203.25135831764499</v>
      </c>
      <c r="Q55" s="674">
        <f t="shared" si="6"/>
        <v>23720.697939999998</v>
      </c>
    </row>
    <row r="56" spans="1:17" ht="15.75" thickBot="1" x14ac:dyDescent="0.3">
      <c r="A56" s="650">
        <v>40513</v>
      </c>
      <c r="B56" s="652">
        <v>48.532332512693721</v>
      </c>
      <c r="C56" s="653">
        <v>2164.077745</v>
      </c>
      <c r="D56" s="29">
        <f t="shared" si="0"/>
        <v>2010</v>
      </c>
      <c r="E56" s="29" t="str">
        <f t="shared" si="1"/>
        <v>4</v>
      </c>
      <c r="O56" s="678">
        <f>IF($P$34="Calendar Year",
    YEAR(LARGE($A:$A, 4)),
    IF(MONTH(LARGE($A:$A, 4))&gt;6,
        YEAR(LARGE($A:$A, 4)) &amp; "-" &amp; RIGHT(YEAR(LARGE($A:$A, 4))+1, 2),
        YEAR(LARGE($A:$A, 4))-1 &amp; "-" &amp; RIGHT(YEAR(LARGE($A:$A, 4)), 2)
    ))</f>
        <v>2025</v>
      </c>
      <c r="P56" s="679">
        <f t="shared" si="5"/>
        <v>212.21606656741363</v>
      </c>
      <c r="Q56" s="680">
        <f t="shared" si="6"/>
        <v>36318.524899000004</v>
      </c>
    </row>
    <row r="57" spans="1:17" x14ac:dyDescent="0.25">
      <c r="A57" s="650">
        <v>40603</v>
      </c>
      <c r="B57" s="462">
        <v>45.256900579092623</v>
      </c>
      <c r="C57" s="463">
        <v>2006.465418</v>
      </c>
      <c r="D57" s="29">
        <f t="shared" si="0"/>
        <v>2011</v>
      </c>
      <c r="E57" s="29" t="str">
        <f t="shared" si="1"/>
        <v>1</v>
      </c>
      <c r="O57" s="589"/>
      <c r="P57" s="573"/>
      <c r="Q57" s="573"/>
    </row>
    <row r="58" spans="1:17" x14ac:dyDescent="0.25">
      <c r="A58" s="650">
        <v>40695</v>
      </c>
      <c r="B58" s="652">
        <v>43.890825085130182</v>
      </c>
      <c r="C58" s="653">
        <v>2001.632744</v>
      </c>
      <c r="D58" s="29">
        <f t="shared" si="0"/>
        <v>2011</v>
      </c>
      <c r="E58" s="29" t="str">
        <f t="shared" si="1"/>
        <v>2</v>
      </c>
      <c r="O58" s="589"/>
      <c r="P58" s="573"/>
      <c r="Q58" s="573"/>
    </row>
    <row r="59" spans="1:17" x14ac:dyDescent="0.25">
      <c r="A59" s="650">
        <v>40787</v>
      </c>
      <c r="B59" s="462">
        <v>46.507563854179239</v>
      </c>
      <c r="C59" s="463">
        <v>2424.520254</v>
      </c>
      <c r="D59" s="29">
        <f t="shared" si="0"/>
        <v>2011</v>
      </c>
      <c r="E59" s="29" t="str">
        <f t="shared" si="1"/>
        <v>3</v>
      </c>
      <c r="O59" s="589"/>
      <c r="P59" s="573"/>
      <c r="Q59" s="573"/>
    </row>
    <row r="60" spans="1:17" x14ac:dyDescent="0.25">
      <c r="A60" s="650">
        <v>40878</v>
      </c>
      <c r="B60" s="652">
        <v>43.952624894218857</v>
      </c>
      <c r="C60" s="653">
        <v>2361.274163</v>
      </c>
      <c r="D60" s="29">
        <f t="shared" si="0"/>
        <v>2011</v>
      </c>
      <c r="E60" s="29" t="str">
        <f t="shared" si="1"/>
        <v>4</v>
      </c>
      <c r="G60" s="403"/>
      <c r="O60" s="589"/>
      <c r="P60" s="573"/>
      <c r="Q60" s="573"/>
    </row>
    <row r="61" spans="1:17" x14ac:dyDescent="0.25">
      <c r="A61" s="650">
        <v>40969</v>
      </c>
      <c r="B61" s="462">
        <v>46.51751845972214</v>
      </c>
      <c r="C61" s="463">
        <v>2393.0271119999998</v>
      </c>
      <c r="D61" s="29">
        <f t="shared" si="0"/>
        <v>2012</v>
      </c>
      <c r="E61" s="29" t="str">
        <f t="shared" si="1"/>
        <v>1</v>
      </c>
      <c r="G61" s="403"/>
      <c r="O61" s="681" t="str">
        <f>IFERROR(IF(YEAR(MAX('Commodity Prices'!$C$11:$C1516))=VALUE(RIGHT(O60,4)),"",IF($P$34="Calendar Year",O60+1,CONCATENATE(LEFT(O60,4)+1,"-",RIGHT(O60,4)+1))),"")</f>
        <v/>
      </c>
      <c r="P61" s="403" t="str">
        <f>IF(O61="","",IF($P$34="Calendar Year",SUMIF($D$9:$D$201,$O61,$B$9:$B$201),SUMIFS($B$9:$B$201,$D$9:$D$201,LEFT($O61,4),$E$9:$E$201,3)+SUMIFS($B$9:$B$201,$D$9:$D$201,LEFT($O61,4),$E$9:$E$201,4)+SUMIFS($B$9:$B$201,$D$9:$D$201,LEFT($O61,4)+1,$E$9:$E$201,1)+SUMIFS($B$9:$B$201,$D$9:$D$201,LEFT($O61,4)+1,$E$9:$E$201,2)))</f>
        <v/>
      </c>
      <c r="Q61" s="403" t="str">
        <f>IF(O61="","",IF($P$34="Calendar Year",SUMIF($D$9:$D$201,$O61,$C$9:$C$201),SUMIFS($C$9:$C$201,$D$9:$D$201,LEFT($O61,4),$E$9:$E$201,3)+SUMIFS($C$9:$C$201,$D$9:$D$201,LEFT($O61,4),$E$9:$E$201,4)+SUMIFS($C$9:$C$201,$D$9:$D$201,LEFT($O61,4)+1,$E$9:$E$201,1)+SUMIFS($C$9:$C$201,$D$9:$D$201,LEFT($O61,4)+1,$E$9:$E$201,2)))</f>
        <v/>
      </c>
    </row>
    <row r="62" spans="1:17" x14ac:dyDescent="0.25">
      <c r="A62" s="650">
        <v>41061</v>
      </c>
      <c r="B62" s="652">
        <v>43.793267226145332</v>
      </c>
      <c r="C62" s="653">
        <v>2242.6617980000001</v>
      </c>
      <c r="D62" s="29">
        <f t="shared" si="0"/>
        <v>2012</v>
      </c>
      <c r="E62" s="29" t="str">
        <f t="shared" si="1"/>
        <v>2</v>
      </c>
      <c r="G62" s="403"/>
      <c r="O62" s="681" t="str">
        <f>IFERROR(IF(YEAR(MAX('Commodity Prices'!$C$11:$C1516))=VALUE(RIGHT(O61,4)),"",IF($P$34="Calendar Year",O61+1,CONCATENATE(LEFT(O61,4)+1,"-",RIGHT(O61,4)+1))),"")</f>
        <v/>
      </c>
      <c r="P62" s="403" t="str">
        <f>IF(O62="","",IF($P$34="Calendar Year",SUMIF($D$9:$D$201,$O62,$B$9:$B$201),SUMIFS($B$9:$B$201,$D$9:$D$201,LEFT($O62,4),$E$9:$E$201,3)+SUMIFS($B$9:$B$201,$D$9:$D$201,LEFT($O62,4),$E$9:$E$201,4)+SUMIFS($B$9:$B$201,$D$9:$D$201,LEFT($O62,4)+1,$E$9:$E$201,1)+SUMIFS($B$9:$B$201,$D$9:$D$201,LEFT($O62,4)+1,$E$9:$E$201,2)))</f>
        <v/>
      </c>
      <c r="Q62" s="403" t="str">
        <f>IF(O62="","",IF($P$34="Calendar Year",SUMIF($D$9:$D$201,$O62,$C$9:$C$201),SUMIFS($C$9:$C$201,$D$9:$D$201,LEFT($O62,4),$E$9:$E$201,3)+SUMIFS($C$9:$C$201,$D$9:$D$201,LEFT($O62,4),$E$9:$E$201,4)+SUMIFS($C$9:$C$201,$D$9:$D$201,LEFT($O62,4)+1,$E$9:$E$201,1)+SUMIFS($C$9:$C$201,$D$9:$D$201,LEFT($O62,4)+1,$E$9:$E$201,2)))</f>
        <v/>
      </c>
    </row>
    <row r="63" spans="1:17" x14ac:dyDescent="0.25">
      <c r="A63" s="650">
        <v>41153</v>
      </c>
      <c r="B63" s="462">
        <v>44.714270287047611</v>
      </c>
      <c r="C63" s="463">
        <v>2284.5724930000001</v>
      </c>
      <c r="D63" s="29">
        <f t="shared" si="0"/>
        <v>2012</v>
      </c>
      <c r="E63" s="29" t="str">
        <f t="shared" si="1"/>
        <v>3</v>
      </c>
      <c r="G63" s="403"/>
    </row>
    <row r="64" spans="1:17" x14ac:dyDescent="0.25">
      <c r="A64" s="650">
        <v>41244</v>
      </c>
      <c r="B64" s="652">
        <v>46.265846045747914</v>
      </c>
      <c r="C64" s="653">
        <v>2460.2782069999998</v>
      </c>
      <c r="D64" s="29">
        <f t="shared" si="0"/>
        <v>2012</v>
      </c>
      <c r="E64" s="29" t="str">
        <f t="shared" si="1"/>
        <v>4</v>
      </c>
      <c r="F64" s="403"/>
      <c r="G64" s="403"/>
    </row>
    <row r="65" spans="1:7" x14ac:dyDescent="0.25">
      <c r="A65" s="650">
        <v>41334</v>
      </c>
      <c r="B65" s="462">
        <v>43.726006175289662</v>
      </c>
      <c r="C65" s="463">
        <v>2207.942571</v>
      </c>
      <c r="D65" s="29">
        <f t="shared" si="0"/>
        <v>2013</v>
      </c>
      <c r="E65" s="29" t="str">
        <f t="shared" si="1"/>
        <v>1</v>
      </c>
      <c r="G65" s="403"/>
    </row>
    <row r="66" spans="1:7" x14ac:dyDescent="0.25">
      <c r="A66" s="650">
        <v>41426</v>
      </c>
      <c r="B66" s="652">
        <v>45.150114380748185</v>
      </c>
      <c r="C66" s="653">
        <v>2070.0976609999998</v>
      </c>
      <c r="D66" s="29">
        <f t="shared" si="0"/>
        <v>2013</v>
      </c>
      <c r="E66" s="29" t="str">
        <f t="shared" si="1"/>
        <v>2</v>
      </c>
    </row>
    <row r="67" spans="1:7" x14ac:dyDescent="0.25">
      <c r="A67" s="650">
        <v>41518</v>
      </c>
      <c r="B67" s="462">
        <v>49.235788463606809</v>
      </c>
      <c r="C67" s="463">
        <v>2290.719936</v>
      </c>
      <c r="D67" s="29">
        <f t="shared" si="0"/>
        <v>2013</v>
      </c>
      <c r="E67" s="29" t="str">
        <f t="shared" si="1"/>
        <v>3</v>
      </c>
    </row>
    <row r="68" spans="1:7" x14ac:dyDescent="0.25">
      <c r="A68" s="650">
        <v>41609</v>
      </c>
      <c r="B68" s="652">
        <v>49.349927430556363</v>
      </c>
      <c r="C68" s="653">
        <v>2174.2730550000001</v>
      </c>
      <c r="D68" s="29">
        <f t="shared" si="0"/>
        <v>2013</v>
      </c>
      <c r="E68" s="29" t="str">
        <f t="shared" si="1"/>
        <v>4</v>
      </c>
    </row>
    <row r="69" spans="1:7" x14ac:dyDescent="0.25">
      <c r="A69" s="650">
        <v>41699</v>
      </c>
      <c r="B69" s="462">
        <v>48.800413192612069</v>
      </c>
      <c r="C69" s="463">
        <v>2265.094932</v>
      </c>
      <c r="D69" s="29">
        <f t="shared" si="0"/>
        <v>2014</v>
      </c>
      <c r="E69" s="29" t="str">
        <f t="shared" si="1"/>
        <v>1</v>
      </c>
    </row>
    <row r="70" spans="1:7" x14ac:dyDescent="0.25">
      <c r="A70" s="650">
        <v>41791</v>
      </c>
      <c r="B70" s="652">
        <v>48.637037079749888</v>
      </c>
      <c r="C70" s="653">
        <v>2158.6525959999999</v>
      </c>
      <c r="D70" s="29">
        <f t="shared" si="0"/>
        <v>2014</v>
      </c>
      <c r="E70" s="29" t="str">
        <f t="shared" si="1"/>
        <v>2</v>
      </c>
    </row>
    <row r="71" spans="1:7" x14ac:dyDescent="0.25">
      <c r="A71" s="650">
        <v>41883</v>
      </c>
      <c r="B71" s="462">
        <v>48.535183643998081</v>
      </c>
      <c r="C71" s="463">
        <v>2161.1339899999998</v>
      </c>
      <c r="D71" s="29">
        <f t="shared" si="0"/>
        <v>2014</v>
      </c>
      <c r="E71" s="29" t="str">
        <f t="shared" si="1"/>
        <v>3</v>
      </c>
    </row>
    <row r="72" spans="1:7" x14ac:dyDescent="0.25">
      <c r="A72" s="650">
        <v>41974</v>
      </c>
      <c r="B72" s="652">
        <v>48.643141696934443</v>
      </c>
      <c r="C72" s="653">
        <v>2195.7650359999998</v>
      </c>
      <c r="D72" s="29">
        <f t="shared" si="0"/>
        <v>2014</v>
      </c>
      <c r="E72" s="29" t="str">
        <f t="shared" si="1"/>
        <v>4</v>
      </c>
    </row>
    <row r="73" spans="1:7" x14ac:dyDescent="0.25">
      <c r="A73" s="650">
        <v>42064</v>
      </c>
      <c r="B73" s="462">
        <v>47.124409156905472</v>
      </c>
      <c r="C73" s="463">
        <v>2345.6908249999997</v>
      </c>
      <c r="D73" s="29">
        <f>YEAR(A73)</f>
        <v>2015</v>
      </c>
      <c r="E73" s="29" t="str">
        <f t="shared" si="1"/>
        <v>1</v>
      </c>
    </row>
    <row r="74" spans="1:7" x14ac:dyDescent="0.25">
      <c r="A74" s="650">
        <v>42156</v>
      </c>
      <c r="B74" s="652">
        <v>48.79315261471222</v>
      </c>
      <c r="C74" s="653">
        <v>2401.5574529999999</v>
      </c>
      <c r="D74" s="29">
        <f>YEAR(A74)</f>
        <v>2015</v>
      </c>
      <c r="E74" s="29" t="str">
        <f>IF(MONTH(A74)=3,"1",IF(MONTH(A74)=6,"2",IF(MONTH(A74)=9,"3","4")))</f>
        <v>2</v>
      </c>
    </row>
    <row r="75" spans="1:7" x14ac:dyDescent="0.25">
      <c r="A75" s="650">
        <v>42248</v>
      </c>
      <c r="B75" s="462">
        <v>47.840834635574637</v>
      </c>
      <c r="C75" s="463">
        <v>2382.0794689999998</v>
      </c>
      <c r="D75" s="29">
        <f>YEAR(A75)</f>
        <v>2015</v>
      </c>
      <c r="E75" s="29" t="str">
        <f>IF(MONTH(A75)=3,"1",IF(MONTH(A75)=6,"2",IF(MONTH(A75)=9,"3","4")))</f>
        <v>3</v>
      </c>
    </row>
    <row r="76" spans="1:7" x14ac:dyDescent="0.25">
      <c r="A76" s="650">
        <v>42339</v>
      </c>
      <c r="B76" s="652">
        <v>50.713043739736086</v>
      </c>
      <c r="C76" s="653">
        <v>2498.3236299999999</v>
      </c>
      <c r="D76" s="29">
        <f>YEAR(A76)</f>
        <v>2015</v>
      </c>
      <c r="E76" s="29" t="str">
        <f>IF(MONTH(A76)=3,"1",IF(MONTH(A76)=6,"2",IF(MONTH(A76)=9,"3","4")))</f>
        <v>4</v>
      </c>
    </row>
    <row r="77" spans="1:7" x14ac:dyDescent="0.25">
      <c r="A77" s="650">
        <v>42430</v>
      </c>
      <c r="B77" s="462">
        <v>48.788365105356199</v>
      </c>
      <c r="C77" s="463">
        <v>2574.6538029999997</v>
      </c>
      <c r="D77" s="29">
        <f t="shared" ref="D77:D140" si="7">YEAR(A77)</f>
        <v>2016</v>
      </c>
      <c r="E77" s="29" t="str">
        <f t="shared" ref="E77:E140" si="8">IF(MONTH(A77)=3,"1",IF(MONTH(A77)=6,"2",IF(MONTH(A77)=9,"3","4")))</f>
        <v>1</v>
      </c>
    </row>
    <row r="78" spans="1:7" x14ac:dyDescent="0.25">
      <c r="A78" s="650">
        <v>42522</v>
      </c>
      <c r="B78" s="652">
        <v>48.628216009315473</v>
      </c>
      <c r="C78" s="653">
        <v>2649.4312500000001</v>
      </c>
      <c r="D78" s="29">
        <f t="shared" si="7"/>
        <v>2016</v>
      </c>
      <c r="E78" s="29" t="str">
        <f t="shared" si="8"/>
        <v>2</v>
      </c>
    </row>
    <row r="79" spans="1:7" x14ac:dyDescent="0.25">
      <c r="A79" s="650">
        <v>42614</v>
      </c>
      <c r="B79" s="462">
        <v>47.875138255792159</v>
      </c>
      <c r="C79" s="463">
        <v>2708.3423439999997</v>
      </c>
      <c r="D79" s="29">
        <f t="shared" si="7"/>
        <v>2016</v>
      </c>
      <c r="E79" s="29" t="str">
        <f t="shared" si="8"/>
        <v>3</v>
      </c>
    </row>
    <row r="80" spans="1:7" x14ac:dyDescent="0.25">
      <c r="A80" s="650">
        <v>42705</v>
      </c>
      <c r="B80" s="652">
        <v>51.780619260159334</v>
      </c>
      <c r="C80" s="653">
        <v>2696.9350829999998</v>
      </c>
      <c r="D80" s="29">
        <f t="shared" si="7"/>
        <v>2016</v>
      </c>
      <c r="E80" s="29" t="str">
        <f t="shared" si="8"/>
        <v>4</v>
      </c>
    </row>
    <row r="81" spans="1:5" x14ac:dyDescent="0.25">
      <c r="A81" s="650">
        <v>42795</v>
      </c>
      <c r="B81" s="462">
        <v>51.146422012002859</v>
      </c>
      <c r="C81" s="463">
        <v>2644.2052879999997</v>
      </c>
      <c r="D81" s="29">
        <f t="shared" si="7"/>
        <v>2017</v>
      </c>
      <c r="E81" s="29" t="str">
        <f t="shared" si="8"/>
        <v>1</v>
      </c>
    </row>
    <row r="82" spans="1:5" x14ac:dyDescent="0.25">
      <c r="A82" s="650">
        <v>42887</v>
      </c>
      <c r="B82" s="652">
        <v>52.223809715148782</v>
      </c>
      <c r="C82" s="653">
        <v>2811.1793229999998</v>
      </c>
      <c r="D82" s="29">
        <f t="shared" si="7"/>
        <v>2017</v>
      </c>
      <c r="E82" s="29" t="str">
        <f t="shared" si="8"/>
        <v>2</v>
      </c>
    </row>
    <row r="83" spans="1:5" x14ac:dyDescent="0.25">
      <c r="A83" s="650">
        <v>42979</v>
      </c>
      <c r="B83" s="462">
        <v>53.129097962122216</v>
      </c>
      <c r="C83" s="463">
        <v>2764.118465</v>
      </c>
      <c r="D83" s="29">
        <f t="shared" si="7"/>
        <v>2017</v>
      </c>
      <c r="E83" s="29" t="str">
        <f t="shared" si="8"/>
        <v>3</v>
      </c>
    </row>
    <row r="84" spans="1:5" x14ac:dyDescent="0.25">
      <c r="A84" s="650">
        <v>43070</v>
      </c>
      <c r="B84" s="652">
        <v>54.49249840156245</v>
      </c>
      <c r="C84" s="653">
        <v>2907.1181509999997</v>
      </c>
      <c r="D84" s="29">
        <f t="shared" si="7"/>
        <v>2017</v>
      </c>
      <c r="E84" s="29" t="str">
        <f t="shared" si="8"/>
        <v>4</v>
      </c>
    </row>
    <row r="85" spans="1:5" x14ac:dyDescent="0.25">
      <c r="A85" s="650">
        <v>43160</v>
      </c>
      <c r="B85" s="462">
        <v>48.261704333611561</v>
      </c>
      <c r="C85" s="463">
        <v>2623.0905389999998</v>
      </c>
      <c r="D85" s="29">
        <f t="shared" si="7"/>
        <v>2018</v>
      </c>
      <c r="E85" s="29" t="str">
        <f t="shared" si="8"/>
        <v>1</v>
      </c>
    </row>
    <row r="86" spans="1:5" x14ac:dyDescent="0.25">
      <c r="A86" s="650">
        <v>43252</v>
      </c>
      <c r="B86" s="652">
        <v>56.337913744355596</v>
      </c>
      <c r="C86" s="653">
        <v>3125.127935</v>
      </c>
      <c r="D86" s="29">
        <f t="shared" si="7"/>
        <v>2018</v>
      </c>
      <c r="E86" s="29" t="str">
        <f t="shared" si="8"/>
        <v>2</v>
      </c>
    </row>
    <row r="87" spans="1:5" x14ac:dyDescent="0.25">
      <c r="A87" s="650">
        <v>43344</v>
      </c>
      <c r="B87" s="462">
        <v>52.152595723426607</v>
      </c>
      <c r="C87" s="456">
        <v>2780.4348049999999</v>
      </c>
      <c r="D87" s="29">
        <f t="shared" si="7"/>
        <v>2018</v>
      </c>
      <c r="E87" s="29" t="str">
        <f t="shared" si="8"/>
        <v>3</v>
      </c>
    </row>
    <row r="88" spans="1:5" x14ac:dyDescent="0.25">
      <c r="A88" s="650">
        <v>43435</v>
      </c>
      <c r="B88" s="652">
        <v>54.343771528617424</v>
      </c>
      <c r="C88" s="653">
        <v>2987.0441489999998</v>
      </c>
      <c r="D88" s="29">
        <f t="shared" si="7"/>
        <v>2018</v>
      </c>
      <c r="E88" s="29" t="str">
        <f t="shared" si="8"/>
        <v>4</v>
      </c>
    </row>
    <row r="89" spans="1:5" x14ac:dyDescent="0.25">
      <c r="A89" s="650">
        <v>43525</v>
      </c>
      <c r="B89" s="462">
        <v>52.108602685909389</v>
      </c>
      <c r="C89" s="456">
        <v>3065.5776959999998</v>
      </c>
      <c r="D89" s="29">
        <f t="shared" si="7"/>
        <v>2019</v>
      </c>
      <c r="E89" s="29" t="str">
        <f t="shared" si="8"/>
        <v>1</v>
      </c>
    </row>
    <row r="90" spans="1:5" x14ac:dyDescent="0.25">
      <c r="A90" s="650">
        <v>43617</v>
      </c>
      <c r="B90" s="652">
        <v>51.956183954682118</v>
      </c>
      <c r="C90" s="653">
        <v>3126.6972419999997</v>
      </c>
      <c r="D90" s="29">
        <f t="shared" si="7"/>
        <v>2019</v>
      </c>
      <c r="E90" s="29" t="str">
        <f t="shared" si="8"/>
        <v>2</v>
      </c>
    </row>
    <row r="91" spans="1:5" x14ac:dyDescent="0.25">
      <c r="A91" s="650">
        <v>43709</v>
      </c>
      <c r="B91" s="462">
        <v>52.189670725633952</v>
      </c>
      <c r="C91" s="456">
        <v>3600.7867429999997</v>
      </c>
      <c r="D91" s="29">
        <f t="shared" si="7"/>
        <v>2019</v>
      </c>
      <c r="E91" s="29" t="str">
        <f t="shared" si="8"/>
        <v>3</v>
      </c>
    </row>
    <row r="92" spans="1:5" x14ac:dyDescent="0.25">
      <c r="A92" s="650">
        <v>43800</v>
      </c>
      <c r="B92" s="652">
        <v>57.622513680840449</v>
      </c>
      <c r="C92" s="653">
        <v>4017.628209</v>
      </c>
      <c r="D92" s="29">
        <f t="shared" si="7"/>
        <v>2019</v>
      </c>
      <c r="E92" s="29" t="str">
        <f t="shared" si="8"/>
        <v>4</v>
      </c>
    </row>
    <row r="93" spans="1:5" x14ac:dyDescent="0.25">
      <c r="A93" s="650">
        <v>43891</v>
      </c>
      <c r="B93" s="462">
        <v>51.672248899534516</v>
      </c>
      <c r="C93" s="463">
        <v>4005.2562989999997</v>
      </c>
      <c r="D93" s="29">
        <f t="shared" si="7"/>
        <v>2020</v>
      </c>
      <c r="E93" s="29" t="str">
        <f t="shared" si="8"/>
        <v>1</v>
      </c>
    </row>
    <row r="94" spans="1:5" x14ac:dyDescent="0.25">
      <c r="A94" s="650">
        <v>43983</v>
      </c>
      <c r="B94" s="652">
        <v>50.769176091006607</v>
      </c>
      <c r="C94" s="653">
        <v>4252.4369179999994</v>
      </c>
      <c r="D94" s="29">
        <f t="shared" si="7"/>
        <v>2020</v>
      </c>
      <c r="E94" s="29" t="str">
        <f t="shared" si="8"/>
        <v>2</v>
      </c>
    </row>
    <row r="95" spans="1:5" x14ac:dyDescent="0.25">
      <c r="A95" s="650">
        <v>44075</v>
      </c>
      <c r="B95" s="462">
        <v>52.667403955474015</v>
      </c>
      <c r="C95" s="463">
        <v>4514.276613</v>
      </c>
      <c r="D95" s="29">
        <f t="shared" si="7"/>
        <v>2020</v>
      </c>
      <c r="E95" s="29" t="str">
        <f t="shared" si="8"/>
        <v>3</v>
      </c>
    </row>
    <row r="96" spans="1:5" x14ac:dyDescent="0.25">
      <c r="A96" s="650">
        <v>44166</v>
      </c>
      <c r="B96" s="652">
        <v>54.617625915830672</v>
      </c>
      <c r="C96" s="653">
        <v>4498.5239789999996</v>
      </c>
      <c r="D96" s="29">
        <f t="shared" si="7"/>
        <v>2020</v>
      </c>
      <c r="E96" s="29" t="str">
        <f t="shared" si="8"/>
        <v>4</v>
      </c>
    </row>
    <row r="97" spans="1:5" x14ac:dyDescent="0.25">
      <c r="A97" s="650">
        <v>44256</v>
      </c>
      <c r="B97" s="462">
        <v>49.22656650045996</v>
      </c>
      <c r="C97" s="463">
        <v>3673.9972339999999</v>
      </c>
      <c r="D97" s="29">
        <f t="shared" si="7"/>
        <v>2021</v>
      </c>
      <c r="E97" s="29" t="str">
        <f t="shared" si="8"/>
        <v>1</v>
      </c>
    </row>
    <row r="98" spans="1:5" x14ac:dyDescent="0.25">
      <c r="A98" s="650">
        <v>44348</v>
      </c>
      <c r="B98" s="652">
        <v>51.317288868493257</v>
      </c>
      <c r="C98" s="653">
        <v>3891.8589159999997</v>
      </c>
      <c r="D98" s="29">
        <f t="shared" si="7"/>
        <v>2021</v>
      </c>
      <c r="E98" s="29" t="str">
        <f t="shared" si="8"/>
        <v>2</v>
      </c>
    </row>
    <row r="99" spans="1:5" x14ac:dyDescent="0.25">
      <c r="A99" s="650">
        <v>44440</v>
      </c>
      <c r="B99" s="462">
        <v>54.116539884574429</v>
      </c>
      <c r="C99" s="463">
        <v>4235.4577629999994</v>
      </c>
      <c r="D99" s="29">
        <f t="shared" si="7"/>
        <v>2021</v>
      </c>
      <c r="E99" s="29" t="str">
        <f t="shared" si="8"/>
        <v>3</v>
      </c>
    </row>
    <row r="100" spans="1:5" x14ac:dyDescent="0.25">
      <c r="A100" s="650">
        <v>44531</v>
      </c>
      <c r="B100" s="652">
        <v>52.716413112901726</v>
      </c>
      <c r="C100" s="653">
        <v>4180.1658969999999</v>
      </c>
      <c r="D100" s="29">
        <f t="shared" si="7"/>
        <v>2021</v>
      </c>
      <c r="E100" s="29" t="str">
        <f t="shared" si="8"/>
        <v>4</v>
      </c>
    </row>
    <row r="101" spans="1:5" x14ac:dyDescent="0.25">
      <c r="A101" s="650">
        <v>44621</v>
      </c>
      <c r="B101" s="462">
        <v>53.812187543047514</v>
      </c>
      <c r="C101" s="463">
        <v>4481.3434509999997</v>
      </c>
      <c r="D101" s="29">
        <f t="shared" si="7"/>
        <v>2022</v>
      </c>
      <c r="E101" s="29" t="str">
        <f t="shared" si="8"/>
        <v>1</v>
      </c>
    </row>
    <row r="102" spans="1:5" x14ac:dyDescent="0.25">
      <c r="A102" s="650">
        <v>44713</v>
      </c>
      <c r="B102" s="652">
        <v>53.718779572144264</v>
      </c>
      <c r="C102" s="653">
        <v>4519.3328929999998</v>
      </c>
      <c r="D102" s="29">
        <f t="shared" si="7"/>
        <v>2022</v>
      </c>
      <c r="E102" s="29" t="str">
        <f t="shared" si="8"/>
        <v>2</v>
      </c>
    </row>
    <row r="103" spans="1:5" x14ac:dyDescent="0.25">
      <c r="A103" s="650">
        <v>44805</v>
      </c>
      <c r="B103" s="462">
        <v>53.613594580785495</v>
      </c>
      <c r="C103" s="463">
        <v>4356.2919819999997</v>
      </c>
      <c r="D103" s="29">
        <f t="shared" si="7"/>
        <v>2022</v>
      </c>
      <c r="E103" s="29" t="str">
        <f t="shared" si="8"/>
        <v>3</v>
      </c>
    </row>
    <row r="104" spans="1:5" x14ac:dyDescent="0.25">
      <c r="A104" s="650">
        <v>44896</v>
      </c>
      <c r="B104" s="652">
        <v>53.42493078142229</v>
      </c>
      <c r="C104" s="653">
        <v>4521.0285450000001</v>
      </c>
      <c r="D104" s="29">
        <f t="shared" si="7"/>
        <v>2022</v>
      </c>
      <c r="E104" s="29" t="str">
        <f t="shared" si="8"/>
        <v>4</v>
      </c>
    </row>
    <row r="105" spans="1:5" x14ac:dyDescent="0.25">
      <c r="A105" s="650">
        <v>44986</v>
      </c>
      <c r="B105" s="462">
        <v>49.637611201141809</v>
      </c>
      <c r="C105" s="463">
        <v>4410.9094919999998</v>
      </c>
      <c r="D105" s="29">
        <f t="shared" si="7"/>
        <v>2023</v>
      </c>
      <c r="E105" s="29" t="str">
        <f t="shared" si="8"/>
        <v>1</v>
      </c>
    </row>
    <row r="106" spans="1:5" x14ac:dyDescent="0.25">
      <c r="A106" s="650">
        <v>45078</v>
      </c>
      <c r="B106" s="652">
        <v>56.34786813217417</v>
      </c>
      <c r="C106" s="653">
        <v>5355.6585639999994</v>
      </c>
      <c r="D106" s="29">
        <f t="shared" si="7"/>
        <v>2023</v>
      </c>
      <c r="E106" s="29" t="str">
        <f t="shared" si="8"/>
        <v>2</v>
      </c>
    </row>
    <row r="107" spans="1:5" x14ac:dyDescent="0.25">
      <c r="A107" s="650">
        <v>45170</v>
      </c>
      <c r="B107" s="462">
        <v>50.965099472958386</v>
      </c>
      <c r="C107" s="463">
        <v>4825.7170639999995</v>
      </c>
      <c r="D107" s="29">
        <f t="shared" si="7"/>
        <v>2023</v>
      </c>
      <c r="E107" s="29" t="str">
        <f t="shared" si="8"/>
        <v>3</v>
      </c>
    </row>
    <row r="108" spans="1:5" x14ac:dyDescent="0.25">
      <c r="A108" s="650">
        <v>45261</v>
      </c>
      <c r="B108" s="652">
        <v>54.666288051767729</v>
      </c>
      <c r="C108" s="653">
        <v>5336.8239469999999</v>
      </c>
      <c r="D108" s="29">
        <f t="shared" si="7"/>
        <v>2023</v>
      </c>
      <c r="E108" s="29" t="str">
        <f t="shared" si="8"/>
        <v>4</v>
      </c>
    </row>
    <row r="109" spans="1:5" x14ac:dyDescent="0.25">
      <c r="A109" s="650">
        <v>45352</v>
      </c>
      <c r="B109" s="462">
        <v>47.555709063749035</v>
      </c>
      <c r="C109" s="463">
        <v>4804.5484839999999</v>
      </c>
      <c r="D109" s="29">
        <f t="shared" si="7"/>
        <v>2024</v>
      </c>
      <c r="E109" s="29" t="str">
        <f t="shared" si="8"/>
        <v>1</v>
      </c>
    </row>
    <row r="110" spans="1:5" x14ac:dyDescent="0.25">
      <c r="A110" s="650">
        <v>45444</v>
      </c>
      <c r="B110" s="652">
        <v>50.953982965936142</v>
      </c>
      <c r="C110" s="653">
        <v>5812.8118899999999</v>
      </c>
      <c r="D110" s="29">
        <f t="shared" si="7"/>
        <v>2024</v>
      </c>
      <c r="E110" s="29" t="str">
        <f t="shared" si="8"/>
        <v>2</v>
      </c>
    </row>
    <row r="111" spans="1:5" x14ac:dyDescent="0.25">
      <c r="A111" s="650">
        <v>45536</v>
      </c>
      <c r="B111" s="462">
        <v>52.346521546787841</v>
      </c>
      <c r="C111" s="463">
        <v>6228.5578049999995</v>
      </c>
      <c r="D111" s="29">
        <f t="shared" si="7"/>
        <v>2024</v>
      </c>
      <c r="E111" s="29" t="str">
        <f t="shared" si="8"/>
        <v>3</v>
      </c>
    </row>
    <row r="112" spans="1:5" x14ac:dyDescent="0.25">
      <c r="A112" s="650">
        <v>45627</v>
      </c>
      <c r="B112" s="652">
        <v>52.395144741171961</v>
      </c>
      <c r="C112" s="653">
        <v>6874.7797609999998</v>
      </c>
      <c r="D112" s="29">
        <f t="shared" si="7"/>
        <v>2024</v>
      </c>
      <c r="E112" s="29" t="str">
        <f t="shared" si="8"/>
        <v>4</v>
      </c>
    </row>
    <row r="113" spans="1:5" x14ac:dyDescent="0.25">
      <c r="A113" s="650">
        <v>45717</v>
      </c>
      <c r="B113" s="462">
        <v>53.050198114661896</v>
      </c>
      <c r="C113" s="463">
        <v>7773.7780210000001</v>
      </c>
      <c r="D113" s="29">
        <f t="shared" si="7"/>
        <v>2025</v>
      </c>
      <c r="E113" s="29" t="str">
        <f t="shared" si="8"/>
        <v>1</v>
      </c>
    </row>
    <row r="114" spans="1:5" x14ac:dyDescent="0.25">
      <c r="A114" s="650">
        <v>45809</v>
      </c>
      <c r="B114" s="652">
        <v>51.121384895110999</v>
      </c>
      <c r="C114" s="653">
        <v>8418.8779119999999</v>
      </c>
      <c r="D114" s="29">
        <f t="shared" si="7"/>
        <v>2025</v>
      </c>
      <c r="E114" s="29" t="str">
        <f t="shared" si="8"/>
        <v>2</v>
      </c>
    </row>
    <row r="115" spans="1:5" x14ac:dyDescent="0.25">
      <c r="A115" s="650">
        <v>45901</v>
      </c>
      <c r="B115" s="462">
        <v>55.337566367309535</v>
      </c>
      <c r="C115" s="463">
        <v>9416.7860430000001</v>
      </c>
      <c r="D115" s="29">
        <f t="shared" si="7"/>
        <v>2025</v>
      </c>
      <c r="E115" s="29" t="str">
        <f t="shared" si="8"/>
        <v>3</v>
      </c>
    </row>
    <row r="116" spans="1:5" ht="15.75" thickBot="1" x14ac:dyDescent="0.3">
      <c r="A116" s="657">
        <v>45992</v>
      </c>
      <c r="B116" s="682">
        <v>52.706917190331204</v>
      </c>
      <c r="C116" s="683">
        <v>10709.082923</v>
      </c>
      <c r="D116" s="29">
        <f t="shared" si="7"/>
        <v>2025</v>
      </c>
      <c r="E116" s="29" t="str">
        <f t="shared" si="8"/>
        <v>4</v>
      </c>
    </row>
    <row r="117" spans="1:5" x14ac:dyDescent="0.25">
      <c r="D117" s="29">
        <f t="shared" si="7"/>
        <v>1900</v>
      </c>
      <c r="E117" s="29" t="str">
        <f t="shared" si="8"/>
        <v>4</v>
      </c>
    </row>
    <row r="118" spans="1:5" x14ac:dyDescent="0.25">
      <c r="D118" s="29">
        <f t="shared" si="7"/>
        <v>1900</v>
      </c>
      <c r="E118" s="29" t="str">
        <f t="shared" si="8"/>
        <v>4</v>
      </c>
    </row>
    <row r="119" spans="1:5" x14ac:dyDescent="0.25">
      <c r="D119" s="29">
        <f t="shared" si="7"/>
        <v>1900</v>
      </c>
      <c r="E119" s="29" t="str">
        <f t="shared" si="8"/>
        <v>4</v>
      </c>
    </row>
    <row r="120" spans="1:5" x14ac:dyDescent="0.25">
      <c r="D120" s="29">
        <f t="shared" si="7"/>
        <v>1900</v>
      </c>
      <c r="E120" s="29" t="str">
        <f t="shared" si="8"/>
        <v>4</v>
      </c>
    </row>
    <row r="121" spans="1:5" x14ac:dyDescent="0.25">
      <c r="D121" s="29">
        <f t="shared" si="7"/>
        <v>1900</v>
      </c>
      <c r="E121" s="29" t="str">
        <f t="shared" si="8"/>
        <v>4</v>
      </c>
    </row>
    <row r="122" spans="1:5" x14ac:dyDescent="0.25">
      <c r="D122" s="29">
        <f t="shared" si="7"/>
        <v>1900</v>
      </c>
      <c r="E122" s="29" t="str">
        <f t="shared" si="8"/>
        <v>4</v>
      </c>
    </row>
    <row r="123" spans="1:5" x14ac:dyDescent="0.25">
      <c r="D123" s="29">
        <f t="shared" si="7"/>
        <v>1900</v>
      </c>
      <c r="E123" s="29" t="str">
        <f t="shared" si="8"/>
        <v>4</v>
      </c>
    </row>
    <row r="124" spans="1:5" x14ac:dyDescent="0.25">
      <c r="D124" s="29">
        <f t="shared" si="7"/>
        <v>1900</v>
      </c>
      <c r="E124" s="29" t="str">
        <f t="shared" si="8"/>
        <v>4</v>
      </c>
    </row>
    <row r="125" spans="1:5" x14ac:dyDescent="0.25">
      <c r="D125" s="29">
        <f t="shared" si="7"/>
        <v>1900</v>
      </c>
      <c r="E125" s="29" t="str">
        <f t="shared" si="8"/>
        <v>4</v>
      </c>
    </row>
    <row r="126" spans="1:5" x14ac:dyDescent="0.25">
      <c r="D126" s="29">
        <f t="shared" si="7"/>
        <v>1900</v>
      </c>
      <c r="E126" s="29" t="str">
        <f t="shared" si="8"/>
        <v>4</v>
      </c>
    </row>
    <row r="127" spans="1:5" x14ac:dyDescent="0.25">
      <c r="D127" s="29">
        <f t="shared" si="7"/>
        <v>1900</v>
      </c>
      <c r="E127" s="29" t="str">
        <f t="shared" si="8"/>
        <v>4</v>
      </c>
    </row>
    <row r="128" spans="1:5" x14ac:dyDescent="0.25">
      <c r="D128" s="29">
        <f t="shared" si="7"/>
        <v>1900</v>
      </c>
      <c r="E128" s="29" t="str">
        <f t="shared" si="8"/>
        <v>4</v>
      </c>
    </row>
    <row r="129" spans="4:5" x14ac:dyDescent="0.25">
      <c r="D129" s="29">
        <f t="shared" si="7"/>
        <v>1900</v>
      </c>
      <c r="E129" s="29" t="str">
        <f t="shared" si="8"/>
        <v>4</v>
      </c>
    </row>
    <row r="130" spans="4:5" x14ac:dyDescent="0.25">
      <c r="D130" s="29">
        <f t="shared" si="7"/>
        <v>1900</v>
      </c>
      <c r="E130" s="29" t="str">
        <f t="shared" si="8"/>
        <v>4</v>
      </c>
    </row>
    <row r="131" spans="4:5" x14ac:dyDescent="0.25">
      <c r="D131" s="29">
        <f t="shared" si="7"/>
        <v>1900</v>
      </c>
      <c r="E131" s="29" t="str">
        <f t="shared" si="8"/>
        <v>4</v>
      </c>
    </row>
    <row r="132" spans="4:5" x14ac:dyDescent="0.25">
      <c r="D132" s="29">
        <f t="shared" si="7"/>
        <v>1900</v>
      </c>
      <c r="E132" s="29" t="str">
        <f t="shared" si="8"/>
        <v>4</v>
      </c>
    </row>
    <row r="133" spans="4:5" x14ac:dyDescent="0.25">
      <c r="D133" s="29">
        <f t="shared" si="7"/>
        <v>1900</v>
      </c>
      <c r="E133" s="29" t="str">
        <f t="shared" si="8"/>
        <v>4</v>
      </c>
    </row>
    <row r="134" spans="4:5" x14ac:dyDescent="0.25">
      <c r="D134" s="29">
        <f t="shared" si="7"/>
        <v>1900</v>
      </c>
      <c r="E134" s="29" t="str">
        <f t="shared" si="8"/>
        <v>4</v>
      </c>
    </row>
    <row r="135" spans="4:5" x14ac:dyDescent="0.25">
      <c r="D135" s="29">
        <f t="shared" si="7"/>
        <v>1900</v>
      </c>
      <c r="E135" s="29" t="str">
        <f t="shared" si="8"/>
        <v>4</v>
      </c>
    </row>
    <row r="136" spans="4:5" x14ac:dyDescent="0.25">
      <c r="D136" s="29">
        <f t="shared" si="7"/>
        <v>1900</v>
      </c>
      <c r="E136" s="29" t="str">
        <f t="shared" si="8"/>
        <v>4</v>
      </c>
    </row>
    <row r="137" spans="4:5" x14ac:dyDescent="0.25">
      <c r="D137" s="29">
        <f t="shared" si="7"/>
        <v>1900</v>
      </c>
      <c r="E137" s="29" t="str">
        <f t="shared" si="8"/>
        <v>4</v>
      </c>
    </row>
    <row r="138" spans="4:5" x14ac:dyDescent="0.25">
      <c r="D138" s="29">
        <f t="shared" si="7"/>
        <v>1900</v>
      </c>
      <c r="E138" s="29" t="str">
        <f t="shared" si="8"/>
        <v>4</v>
      </c>
    </row>
    <row r="139" spans="4:5" x14ac:dyDescent="0.25">
      <c r="D139" s="29">
        <f t="shared" si="7"/>
        <v>1900</v>
      </c>
      <c r="E139" s="29" t="str">
        <f t="shared" si="8"/>
        <v>4</v>
      </c>
    </row>
    <row r="140" spans="4:5" x14ac:dyDescent="0.25">
      <c r="D140" s="29">
        <f t="shared" si="7"/>
        <v>1900</v>
      </c>
      <c r="E140" s="29" t="str">
        <f t="shared" si="8"/>
        <v>4</v>
      </c>
    </row>
    <row r="141" spans="4:5" x14ac:dyDescent="0.25">
      <c r="D141" s="29">
        <f t="shared" ref="D141:D204" si="9">YEAR(A141)</f>
        <v>1900</v>
      </c>
      <c r="E141" s="29" t="str">
        <f t="shared" ref="E141:E204" si="10">IF(MONTH(A141)=3,"1",IF(MONTH(A141)=6,"2",IF(MONTH(A141)=9,"3","4")))</f>
        <v>4</v>
      </c>
    </row>
    <row r="142" spans="4:5" x14ac:dyDescent="0.25">
      <c r="D142" s="29">
        <f t="shared" si="9"/>
        <v>1900</v>
      </c>
      <c r="E142" s="29" t="str">
        <f t="shared" si="10"/>
        <v>4</v>
      </c>
    </row>
    <row r="143" spans="4:5" x14ac:dyDescent="0.25">
      <c r="D143" s="29">
        <f t="shared" si="9"/>
        <v>1900</v>
      </c>
      <c r="E143" s="29" t="str">
        <f t="shared" si="10"/>
        <v>4</v>
      </c>
    </row>
    <row r="144" spans="4:5" x14ac:dyDescent="0.25">
      <c r="D144" s="29">
        <f t="shared" si="9"/>
        <v>1900</v>
      </c>
      <c r="E144" s="29" t="str">
        <f t="shared" si="10"/>
        <v>4</v>
      </c>
    </row>
    <row r="145" spans="4:5" x14ac:dyDescent="0.25">
      <c r="D145" s="29">
        <f t="shared" si="9"/>
        <v>1900</v>
      </c>
      <c r="E145" s="29" t="str">
        <f t="shared" si="10"/>
        <v>4</v>
      </c>
    </row>
    <row r="146" spans="4:5" x14ac:dyDescent="0.25">
      <c r="D146" s="29">
        <f t="shared" si="9"/>
        <v>1900</v>
      </c>
      <c r="E146" s="29" t="str">
        <f t="shared" si="10"/>
        <v>4</v>
      </c>
    </row>
    <row r="147" spans="4:5" x14ac:dyDescent="0.25">
      <c r="D147" s="29">
        <f t="shared" si="9"/>
        <v>1900</v>
      </c>
      <c r="E147" s="29" t="str">
        <f t="shared" si="10"/>
        <v>4</v>
      </c>
    </row>
    <row r="148" spans="4:5" x14ac:dyDescent="0.25">
      <c r="D148" s="29">
        <f t="shared" si="9"/>
        <v>1900</v>
      </c>
      <c r="E148" s="29" t="str">
        <f t="shared" si="10"/>
        <v>4</v>
      </c>
    </row>
    <row r="149" spans="4:5" x14ac:dyDescent="0.25">
      <c r="D149" s="29">
        <f t="shared" si="9"/>
        <v>1900</v>
      </c>
      <c r="E149" s="29" t="str">
        <f t="shared" si="10"/>
        <v>4</v>
      </c>
    </row>
    <row r="150" spans="4:5" x14ac:dyDescent="0.25">
      <c r="D150" s="29">
        <f t="shared" si="9"/>
        <v>1900</v>
      </c>
      <c r="E150" s="29" t="str">
        <f t="shared" si="10"/>
        <v>4</v>
      </c>
    </row>
    <row r="151" spans="4:5" x14ac:dyDescent="0.25">
      <c r="D151" s="29">
        <f t="shared" si="9"/>
        <v>1900</v>
      </c>
      <c r="E151" s="29" t="str">
        <f t="shared" si="10"/>
        <v>4</v>
      </c>
    </row>
    <row r="152" spans="4:5" x14ac:dyDescent="0.25">
      <c r="D152" s="29">
        <f t="shared" si="9"/>
        <v>1900</v>
      </c>
      <c r="E152" s="29" t="str">
        <f t="shared" si="10"/>
        <v>4</v>
      </c>
    </row>
    <row r="153" spans="4:5" x14ac:dyDescent="0.25">
      <c r="D153" s="29">
        <f t="shared" si="9"/>
        <v>1900</v>
      </c>
      <c r="E153" s="29" t="str">
        <f t="shared" si="10"/>
        <v>4</v>
      </c>
    </row>
    <row r="154" spans="4:5" x14ac:dyDescent="0.25">
      <c r="D154" s="29">
        <f t="shared" si="9"/>
        <v>1900</v>
      </c>
      <c r="E154" s="29" t="str">
        <f t="shared" si="10"/>
        <v>4</v>
      </c>
    </row>
    <row r="155" spans="4:5" x14ac:dyDescent="0.25">
      <c r="D155" s="29">
        <f t="shared" si="9"/>
        <v>1900</v>
      </c>
      <c r="E155" s="29" t="str">
        <f t="shared" si="10"/>
        <v>4</v>
      </c>
    </row>
    <row r="156" spans="4:5" x14ac:dyDescent="0.25">
      <c r="D156" s="29">
        <f t="shared" si="9"/>
        <v>1900</v>
      </c>
      <c r="E156" s="29" t="str">
        <f t="shared" si="10"/>
        <v>4</v>
      </c>
    </row>
    <row r="157" spans="4:5" x14ac:dyDescent="0.25">
      <c r="D157" s="29">
        <f t="shared" si="9"/>
        <v>1900</v>
      </c>
      <c r="E157" s="29" t="str">
        <f t="shared" si="10"/>
        <v>4</v>
      </c>
    </row>
    <row r="158" spans="4:5" x14ac:dyDescent="0.25">
      <c r="D158" s="29">
        <f t="shared" si="9"/>
        <v>1900</v>
      </c>
      <c r="E158" s="29" t="str">
        <f t="shared" si="10"/>
        <v>4</v>
      </c>
    </row>
    <row r="159" spans="4:5" x14ac:dyDescent="0.25">
      <c r="D159" s="29">
        <f t="shared" si="9"/>
        <v>1900</v>
      </c>
      <c r="E159" s="29" t="str">
        <f t="shared" si="10"/>
        <v>4</v>
      </c>
    </row>
    <row r="160" spans="4:5" x14ac:dyDescent="0.25">
      <c r="D160" s="29">
        <f t="shared" si="9"/>
        <v>1900</v>
      </c>
      <c r="E160" s="29" t="str">
        <f t="shared" si="10"/>
        <v>4</v>
      </c>
    </row>
    <row r="161" spans="4:5" x14ac:dyDescent="0.25">
      <c r="D161" s="29">
        <f t="shared" si="9"/>
        <v>1900</v>
      </c>
      <c r="E161" s="29" t="str">
        <f t="shared" si="10"/>
        <v>4</v>
      </c>
    </row>
    <row r="162" spans="4:5" x14ac:dyDescent="0.25">
      <c r="D162" s="29">
        <f t="shared" si="9"/>
        <v>1900</v>
      </c>
      <c r="E162" s="29" t="str">
        <f t="shared" si="10"/>
        <v>4</v>
      </c>
    </row>
    <row r="163" spans="4:5" x14ac:dyDescent="0.25">
      <c r="D163" s="29">
        <f t="shared" si="9"/>
        <v>1900</v>
      </c>
      <c r="E163" s="29" t="str">
        <f t="shared" si="10"/>
        <v>4</v>
      </c>
    </row>
    <row r="164" spans="4:5" x14ac:dyDescent="0.25">
      <c r="D164" s="29">
        <f t="shared" si="9"/>
        <v>1900</v>
      </c>
      <c r="E164" s="29" t="str">
        <f t="shared" si="10"/>
        <v>4</v>
      </c>
    </row>
    <row r="165" spans="4:5" x14ac:dyDescent="0.25">
      <c r="D165" s="29">
        <f t="shared" si="9"/>
        <v>1900</v>
      </c>
      <c r="E165" s="29" t="str">
        <f t="shared" si="10"/>
        <v>4</v>
      </c>
    </row>
    <row r="166" spans="4:5" x14ac:dyDescent="0.25">
      <c r="D166" s="29">
        <f t="shared" si="9"/>
        <v>1900</v>
      </c>
      <c r="E166" s="29" t="str">
        <f t="shared" si="10"/>
        <v>4</v>
      </c>
    </row>
    <row r="167" spans="4:5" x14ac:dyDescent="0.25">
      <c r="D167" s="29">
        <f t="shared" si="9"/>
        <v>1900</v>
      </c>
      <c r="E167" s="29" t="str">
        <f t="shared" si="10"/>
        <v>4</v>
      </c>
    </row>
    <row r="168" spans="4:5" x14ac:dyDescent="0.25">
      <c r="D168" s="29">
        <f t="shared" si="9"/>
        <v>1900</v>
      </c>
      <c r="E168" s="29" t="str">
        <f t="shared" si="10"/>
        <v>4</v>
      </c>
    </row>
    <row r="169" spans="4:5" x14ac:dyDescent="0.25">
      <c r="D169" s="29">
        <f t="shared" si="9"/>
        <v>1900</v>
      </c>
      <c r="E169" s="29" t="str">
        <f t="shared" si="10"/>
        <v>4</v>
      </c>
    </row>
    <row r="170" spans="4:5" x14ac:dyDescent="0.25">
      <c r="D170" s="29">
        <f t="shared" si="9"/>
        <v>1900</v>
      </c>
      <c r="E170" s="29" t="str">
        <f t="shared" si="10"/>
        <v>4</v>
      </c>
    </row>
    <row r="171" spans="4:5" x14ac:dyDescent="0.25">
      <c r="D171" s="29">
        <f t="shared" si="9"/>
        <v>1900</v>
      </c>
      <c r="E171" s="29" t="str">
        <f t="shared" si="10"/>
        <v>4</v>
      </c>
    </row>
    <row r="172" spans="4:5" x14ac:dyDescent="0.25">
      <c r="D172" s="29">
        <f t="shared" si="9"/>
        <v>1900</v>
      </c>
      <c r="E172" s="29" t="str">
        <f t="shared" si="10"/>
        <v>4</v>
      </c>
    </row>
    <row r="173" spans="4:5" x14ac:dyDescent="0.25">
      <c r="D173" s="29">
        <f t="shared" si="9"/>
        <v>1900</v>
      </c>
      <c r="E173" s="29" t="str">
        <f t="shared" si="10"/>
        <v>4</v>
      </c>
    </row>
    <row r="174" spans="4:5" x14ac:dyDescent="0.25">
      <c r="D174" s="29">
        <f t="shared" si="9"/>
        <v>1900</v>
      </c>
      <c r="E174" s="29" t="str">
        <f t="shared" si="10"/>
        <v>4</v>
      </c>
    </row>
    <row r="175" spans="4:5" x14ac:dyDescent="0.25">
      <c r="D175" s="29">
        <f t="shared" si="9"/>
        <v>1900</v>
      </c>
      <c r="E175" s="29" t="str">
        <f t="shared" si="10"/>
        <v>4</v>
      </c>
    </row>
    <row r="176" spans="4:5" x14ac:dyDescent="0.25">
      <c r="D176" s="29">
        <f t="shared" si="9"/>
        <v>1900</v>
      </c>
      <c r="E176" s="29" t="str">
        <f t="shared" si="10"/>
        <v>4</v>
      </c>
    </row>
    <row r="177" spans="4:5" x14ac:dyDescent="0.25">
      <c r="D177" s="29">
        <f t="shared" si="9"/>
        <v>1900</v>
      </c>
      <c r="E177" s="29" t="str">
        <f t="shared" si="10"/>
        <v>4</v>
      </c>
    </row>
    <row r="178" spans="4:5" x14ac:dyDescent="0.25">
      <c r="D178" s="29">
        <f t="shared" si="9"/>
        <v>1900</v>
      </c>
      <c r="E178" s="29" t="str">
        <f t="shared" si="10"/>
        <v>4</v>
      </c>
    </row>
    <row r="179" spans="4:5" x14ac:dyDescent="0.25">
      <c r="D179" s="29">
        <f t="shared" si="9"/>
        <v>1900</v>
      </c>
      <c r="E179" s="29" t="str">
        <f t="shared" si="10"/>
        <v>4</v>
      </c>
    </row>
    <row r="180" spans="4:5" x14ac:dyDescent="0.25">
      <c r="D180" s="29">
        <f t="shared" si="9"/>
        <v>1900</v>
      </c>
      <c r="E180" s="29" t="str">
        <f t="shared" si="10"/>
        <v>4</v>
      </c>
    </row>
    <row r="181" spans="4:5" x14ac:dyDescent="0.25">
      <c r="D181" s="29">
        <f t="shared" si="9"/>
        <v>1900</v>
      </c>
      <c r="E181" s="29" t="str">
        <f t="shared" si="10"/>
        <v>4</v>
      </c>
    </row>
    <row r="182" spans="4:5" x14ac:dyDescent="0.25">
      <c r="D182" s="29">
        <f t="shared" si="9"/>
        <v>1900</v>
      </c>
      <c r="E182" s="29" t="str">
        <f t="shared" si="10"/>
        <v>4</v>
      </c>
    </row>
    <row r="183" spans="4:5" x14ac:dyDescent="0.25">
      <c r="D183" s="29">
        <f t="shared" si="9"/>
        <v>1900</v>
      </c>
      <c r="E183" s="29" t="str">
        <f t="shared" si="10"/>
        <v>4</v>
      </c>
    </row>
    <row r="184" spans="4:5" x14ac:dyDescent="0.25">
      <c r="D184" s="29">
        <f t="shared" si="9"/>
        <v>1900</v>
      </c>
      <c r="E184" s="29" t="str">
        <f t="shared" si="10"/>
        <v>4</v>
      </c>
    </row>
    <row r="185" spans="4:5" x14ac:dyDescent="0.25">
      <c r="D185" s="29">
        <f t="shared" si="9"/>
        <v>1900</v>
      </c>
      <c r="E185" s="29" t="str">
        <f t="shared" si="10"/>
        <v>4</v>
      </c>
    </row>
    <row r="186" spans="4:5" x14ac:dyDescent="0.25">
      <c r="D186" s="29">
        <f t="shared" si="9"/>
        <v>1900</v>
      </c>
      <c r="E186" s="29" t="str">
        <f t="shared" si="10"/>
        <v>4</v>
      </c>
    </row>
    <row r="187" spans="4:5" x14ac:dyDescent="0.25">
      <c r="D187" s="29">
        <f t="shared" si="9"/>
        <v>1900</v>
      </c>
      <c r="E187" s="29" t="str">
        <f t="shared" si="10"/>
        <v>4</v>
      </c>
    </row>
    <row r="188" spans="4:5" x14ac:dyDescent="0.25">
      <c r="D188" s="29">
        <f t="shared" si="9"/>
        <v>1900</v>
      </c>
      <c r="E188" s="29" t="str">
        <f t="shared" si="10"/>
        <v>4</v>
      </c>
    </row>
    <row r="189" spans="4:5" x14ac:dyDescent="0.25">
      <c r="D189" s="29">
        <f t="shared" si="9"/>
        <v>1900</v>
      </c>
      <c r="E189" s="29" t="str">
        <f t="shared" si="10"/>
        <v>4</v>
      </c>
    </row>
    <row r="190" spans="4:5" x14ac:dyDescent="0.25">
      <c r="D190" s="29">
        <f t="shared" si="9"/>
        <v>1900</v>
      </c>
      <c r="E190" s="29" t="str">
        <f t="shared" si="10"/>
        <v>4</v>
      </c>
    </row>
    <row r="191" spans="4:5" x14ac:dyDescent="0.25">
      <c r="D191" s="29">
        <f t="shared" si="9"/>
        <v>1900</v>
      </c>
      <c r="E191" s="29" t="str">
        <f t="shared" si="10"/>
        <v>4</v>
      </c>
    </row>
    <row r="192" spans="4:5" x14ac:dyDescent="0.25">
      <c r="D192" s="29">
        <f t="shared" si="9"/>
        <v>1900</v>
      </c>
      <c r="E192" s="29" t="str">
        <f t="shared" si="10"/>
        <v>4</v>
      </c>
    </row>
    <row r="193" spans="4:5" x14ac:dyDescent="0.25">
      <c r="D193" s="29">
        <f t="shared" si="9"/>
        <v>1900</v>
      </c>
      <c r="E193" s="29" t="str">
        <f t="shared" si="10"/>
        <v>4</v>
      </c>
    </row>
    <row r="194" spans="4:5" x14ac:dyDescent="0.25">
      <c r="D194" s="29">
        <f t="shared" si="9"/>
        <v>1900</v>
      </c>
      <c r="E194" s="29" t="str">
        <f t="shared" si="10"/>
        <v>4</v>
      </c>
    </row>
    <row r="195" spans="4:5" x14ac:dyDescent="0.25">
      <c r="D195" s="29">
        <f t="shared" si="9"/>
        <v>1900</v>
      </c>
      <c r="E195" s="29" t="str">
        <f t="shared" si="10"/>
        <v>4</v>
      </c>
    </row>
    <row r="196" spans="4:5" x14ac:dyDescent="0.25">
      <c r="D196" s="29">
        <f t="shared" si="9"/>
        <v>1900</v>
      </c>
      <c r="E196" s="29" t="str">
        <f t="shared" si="10"/>
        <v>4</v>
      </c>
    </row>
    <row r="197" spans="4:5" x14ac:dyDescent="0.25">
      <c r="D197" s="29">
        <f t="shared" si="9"/>
        <v>1900</v>
      </c>
      <c r="E197" s="29" t="str">
        <f t="shared" si="10"/>
        <v>4</v>
      </c>
    </row>
    <row r="198" spans="4:5" x14ac:dyDescent="0.25">
      <c r="D198" s="29">
        <f t="shared" si="9"/>
        <v>1900</v>
      </c>
      <c r="E198" s="29" t="str">
        <f t="shared" si="10"/>
        <v>4</v>
      </c>
    </row>
    <row r="199" spans="4:5" x14ac:dyDescent="0.25">
      <c r="D199" s="29">
        <f t="shared" si="9"/>
        <v>1900</v>
      </c>
      <c r="E199" s="29" t="str">
        <f t="shared" si="10"/>
        <v>4</v>
      </c>
    </row>
    <row r="200" spans="4:5" x14ac:dyDescent="0.25">
      <c r="D200" s="29">
        <f t="shared" si="9"/>
        <v>1900</v>
      </c>
      <c r="E200" s="29" t="str">
        <f t="shared" si="10"/>
        <v>4</v>
      </c>
    </row>
    <row r="201" spans="4:5" x14ac:dyDescent="0.25">
      <c r="D201" s="29">
        <f t="shared" si="9"/>
        <v>1900</v>
      </c>
      <c r="E201" s="29" t="str">
        <f t="shared" si="10"/>
        <v>4</v>
      </c>
    </row>
    <row r="202" spans="4:5" x14ac:dyDescent="0.25">
      <c r="D202" s="29">
        <f t="shared" si="9"/>
        <v>1900</v>
      </c>
      <c r="E202" s="29" t="str">
        <f t="shared" si="10"/>
        <v>4</v>
      </c>
    </row>
    <row r="203" spans="4:5" x14ac:dyDescent="0.25">
      <c r="D203" s="29">
        <f t="shared" si="9"/>
        <v>1900</v>
      </c>
      <c r="E203" s="29" t="str">
        <f t="shared" si="10"/>
        <v>4</v>
      </c>
    </row>
    <row r="204" spans="4:5" x14ac:dyDescent="0.25">
      <c r="D204" s="29">
        <f t="shared" si="9"/>
        <v>1900</v>
      </c>
      <c r="E204" s="29" t="str">
        <f t="shared" si="10"/>
        <v>4</v>
      </c>
    </row>
    <row r="205" spans="4:5" x14ac:dyDescent="0.25">
      <c r="D205" s="29">
        <f t="shared" ref="D205:D251" si="11">YEAR(A205)</f>
        <v>1900</v>
      </c>
      <c r="E205" s="29" t="str">
        <f t="shared" ref="E205:E251" si="12">IF(MONTH(A205)=3,"1",IF(MONTH(A205)=6,"2",IF(MONTH(A205)=9,"3","4")))</f>
        <v>4</v>
      </c>
    </row>
    <row r="206" spans="4:5" x14ac:dyDescent="0.25">
      <c r="D206" s="29">
        <f t="shared" si="11"/>
        <v>1900</v>
      </c>
      <c r="E206" s="29" t="str">
        <f t="shared" si="12"/>
        <v>4</v>
      </c>
    </row>
    <row r="207" spans="4:5" x14ac:dyDescent="0.25">
      <c r="D207" s="29">
        <f t="shared" si="11"/>
        <v>1900</v>
      </c>
      <c r="E207" s="29" t="str">
        <f t="shared" si="12"/>
        <v>4</v>
      </c>
    </row>
    <row r="208" spans="4:5" x14ac:dyDescent="0.25">
      <c r="D208" s="29">
        <f t="shared" si="11"/>
        <v>1900</v>
      </c>
      <c r="E208" s="29" t="str">
        <f t="shared" si="12"/>
        <v>4</v>
      </c>
    </row>
    <row r="209" spans="4:5" x14ac:dyDescent="0.25">
      <c r="D209" s="29">
        <f t="shared" si="11"/>
        <v>1900</v>
      </c>
      <c r="E209" s="29" t="str">
        <f t="shared" si="12"/>
        <v>4</v>
      </c>
    </row>
    <row r="210" spans="4:5" x14ac:dyDescent="0.25">
      <c r="D210" s="29">
        <f t="shared" si="11"/>
        <v>1900</v>
      </c>
      <c r="E210" s="29" t="str">
        <f t="shared" si="12"/>
        <v>4</v>
      </c>
    </row>
    <row r="211" spans="4:5" x14ac:dyDescent="0.25">
      <c r="D211" s="29">
        <f t="shared" si="11"/>
        <v>1900</v>
      </c>
      <c r="E211" s="29" t="str">
        <f t="shared" si="12"/>
        <v>4</v>
      </c>
    </row>
    <row r="212" spans="4:5" x14ac:dyDescent="0.25">
      <c r="D212" s="29">
        <f t="shared" si="11"/>
        <v>1900</v>
      </c>
      <c r="E212" s="29" t="str">
        <f t="shared" si="12"/>
        <v>4</v>
      </c>
    </row>
    <row r="213" spans="4:5" x14ac:dyDescent="0.25">
      <c r="D213" s="29">
        <f t="shared" si="11"/>
        <v>1900</v>
      </c>
      <c r="E213" s="29" t="str">
        <f t="shared" si="12"/>
        <v>4</v>
      </c>
    </row>
    <row r="214" spans="4:5" x14ac:dyDescent="0.25">
      <c r="D214" s="29">
        <f t="shared" si="11"/>
        <v>1900</v>
      </c>
      <c r="E214" s="29" t="str">
        <f t="shared" si="12"/>
        <v>4</v>
      </c>
    </row>
    <row r="215" spans="4:5" x14ac:dyDescent="0.25">
      <c r="D215" s="29">
        <f t="shared" si="11"/>
        <v>1900</v>
      </c>
      <c r="E215" s="29" t="str">
        <f t="shared" si="12"/>
        <v>4</v>
      </c>
    </row>
    <row r="216" spans="4:5" x14ac:dyDescent="0.25">
      <c r="D216" s="29">
        <f t="shared" si="11"/>
        <v>1900</v>
      </c>
      <c r="E216" s="29" t="str">
        <f t="shared" si="12"/>
        <v>4</v>
      </c>
    </row>
    <row r="217" spans="4:5" x14ac:dyDescent="0.25">
      <c r="D217" s="29">
        <f t="shared" si="11"/>
        <v>1900</v>
      </c>
      <c r="E217" s="29" t="str">
        <f t="shared" si="12"/>
        <v>4</v>
      </c>
    </row>
    <row r="218" spans="4:5" x14ac:dyDescent="0.25">
      <c r="D218" s="29">
        <f t="shared" si="11"/>
        <v>1900</v>
      </c>
      <c r="E218" s="29" t="str">
        <f t="shared" si="12"/>
        <v>4</v>
      </c>
    </row>
    <row r="219" spans="4:5" x14ac:dyDescent="0.25">
      <c r="D219" s="29">
        <f t="shared" si="11"/>
        <v>1900</v>
      </c>
      <c r="E219" s="29" t="str">
        <f t="shared" si="12"/>
        <v>4</v>
      </c>
    </row>
    <row r="220" spans="4:5" x14ac:dyDescent="0.25">
      <c r="D220" s="29">
        <f t="shared" si="11"/>
        <v>1900</v>
      </c>
      <c r="E220" s="29" t="str">
        <f t="shared" si="12"/>
        <v>4</v>
      </c>
    </row>
    <row r="221" spans="4:5" x14ac:dyDescent="0.25">
      <c r="D221" s="29">
        <f t="shared" si="11"/>
        <v>1900</v>
      </c>
      <c r="E221" s="29" t="str">
        <f t="shared" si="12"/>
        <v>4</v>
      </c>
    </row>
    <row r="222" spans="4:5" x14ac:dyDescent="0.25">
      <c r="D222" s="29">
        <f t="shared" si="11"/>
        <v>1900</v>
      </c>
      <c r="E222" s="29" t="str">
        <f t="shared" si="12"/>
        <v>4</v>
      </c>
    </row>
    <row r="223" spans="4:5" x14ac:dyDescent="0.25">
      <c r="D223" s="29">
        <f t="shared" si="11"/>
        <v>1900</v>
      </c>
      <c r="E223" s="29" t="str">
        <f t="shared" si="12"/>
        <v>4</v>
      </c>
    </row>
    <row r="224" spans="4:5" x14ac:dyDescent="0.25">
      <c r="D224" s="29">
        <f t="shared" si="11"/>
        <v>1900</v>
      </c>
      <c r="E224" s="29" t="str">
        <f t="shared" si="12"/>
        <v>4</v>
      </c>
    </row>
    <row r="225" spans="4:5" x14ac:dyDescent="0.25">
      <c r="D225" s="29">
        <f t="shared" si="11"/>
        <v>1900</v>
      </c>
      <c r="E225" s="29" t="str">
        <f t="shared" si="12"/>
        <v>4</v>
      </c>
    </row>
    <row r="226" spans="4:5" x14ac:dyDescent="0.25">
      <c r="D226" s="29">
        <f t="shared" si="11"/>
        <v>1900</v>
      </c>
      <c r="E226" s="29" t="str">
        <f t="shared" si="12"/>
        <v>4</v>
      </c>
    </row>
    <row r="227" spans="4:5" x14ac:dyDescent="0.25">
      <c r="D227" s="29">
        <f t="shared" si="11"/>
        <v>1900</v>
      </c>
      <c r="E227" s="29" t="str">
        <f t="shared" si="12"/>
        <v>4</v>
      </c>
    </row>
    <row r="228" spans="4:5" x14ac:dyDescent="0.25">
      <c r="D228" s="29">
        <f t="shared" si="11"/>
        <v>1900</v>
      </c>
      <c r="E228" s="29" t="str">
        <f t="shared" si="12"/>
        <v>4</v>
      </c>
    </row>
    <row r="229" spans="4:5" x14ac:dyDescent="0.25">
      <c r="D229" s="29">
        <f t="shared" si="11"/>
        <v>1900</v>
      </c>
      <c r="E229" s="29" t="str">
        <f t="shared" si="12"/>
        <v>4</v>
      </c>
    </row>
    <row r="230" spans="4:5" x14ac:dyDescent="0.25">
      <c r="D230" s="29">
        <f t="shared" si="11"/>
        <v>1900</v>
      </c>
      <c r="E230" s="29" t="str">
        <f t="shared" si="12"/>
        <v>4</v>
      </c>
    </row>
    <row r="231" spans="4:5" x14ac:dyDescent="0.25">
      <c r="D231" s="29">
        <f t="shared" si="11"/>
        <v>1900</v>
      </c>
      <c r="E231" s="29" t="str">
        <f t="shared" si="12"/>
        <v>4</v>
      </c>
    </row>
    <row r="232" spans="4:5" x14ac:dyDescent="0.25">
      <c r="D232" s="29">
        <f t="shared" si="11"/>
        <v>1900</v>
      </c>
      <c r="E232" s="29" t="str">
        <f t="shared" si="12"/>
        <v>4</v>
      </c>
    </row>
    <row r="233" spans="4:5" x14ac:dyDescent="0.25">
      <c r="D233" s="29">
        <f t="shared" si="11"/>
        <v>1900</v>
      </c>
      <c r="E233" s="29" t="str">
        <f t="shared" si="12"/>
        <v>4</v>
      </c>
    </row>
    <row r="234" spans="4:5" x14ac:dyDescent="0.25">
      <c r="D234" s="29">
        <f t="shared" si="11"/>
        <v>1900</v>
      </c>
      <c r="E234" s="29" t="str">
        <f t="shared" si="12"/>
        <v>4</v>
      </c>
    </row>
    <row r="235" spans="4:5" x14ac:dyDescent="0.25">
      <c r="D235" s="29">
        <f t="shared" si="11"/>
        <v>1900</v>
      </c>
      <c r="E235" s="29" t="str">
        <f t="shared" si="12"/>
        <v>4</v>
      </c>
    </row>
    <row r="236" spans="4:5" x14ac:dyDescent="0.25">
      <c r="D236" s="29">
        <f t="shared" si="11"/>
        <v>1900</v>
      </c>
      <c r="E236" s="29" t="str">
        <f t="shared" si="12"/>
        <v>4</v>
      </c>
    </row>
    <row r="237" spans="4:5" x14ac:dyDescent="0.25">
      <c r="D237" s="29">
        <f t="shared" si="11"/>
        <v>1900</v>
      </c>
      <c r="E237" s="29" t="str">
        <f t="shared" si="12"/>
        <v>4</v>
      </c>
    </row>
    <row r="238" spans="4:5" x14ac:dyDescent="0.25">
      <c r="D238" s="29">
        <f t="shared" si="11"/>
        <v>1900</v>
      </c>
      <c r="E238" s="29" t="str">
        <f t="shared" si="12"/>
        <v>4</v>
      </c>
    </row>
    <row r="239" spans="4:5" x14ac:dyDescent="0.25">
      <c r="D239" s="29">
        <f t="shared" si="11"/>
        <v>1900</v>
      </c>
      <c r="E239" s="29" t="str">
        <f t="shared" si="12"/>
        <v>4</v>
      </c>
    </row>
    <row r="240" spans="4:5" x14ac:dyDescent="0.25">
      <c r="D240" s="29">
        <f t="shared" si="11"/>
        <v>1900</v>
      </c>
      <c r="E240" s="29" t="str">
        <f t="shared" si="12"/>
        <v>4</v>
      </c>
    </row>
    <row r="241" spans="4:5" x14ac:dyDescent="0.25">
      <c r="D241" s="29">
        <f t="shared" si="11"/>
        <v>1900</v>
      </c>
      <c r="E241" s="29" t="str">
        <f t="shared" si="12"/>
        <v>4</v>
      </c>
    </row>
    <row r="242" spans="4:5" x14ac:dyDescent="0.25">
      <c r="D242" s="29">
        <f t="shared" si="11"/>
        <v>1900</v>
      </c>
      <c r="E242" s="29" t="str">
        <f t="shared" si="12"/>
        <v>4</v>
      </c>
    </row>
    <row r="243" spans="4:5" x14ac:dyDescent="0.25">
      <c r="D243" s="29">
        <f t="shared" si="11"/>
        <v>1900</v>
      </c>
      <c r="E243" s="29" t="str">
        <f t="shared" si="12"/>
        <v>4</v>
      </c>
    </row>
    <row r="244" spans="4:5" x14ac:dyDescent="0.25">
      <c r="D244" s="29">
        <f t="shared" si="11"/>
        <v>1900</v>
      </c>
      <c r="E244" s="29" t="str">
        <f t="shared" si="12"/>
        <v>4</v>
      </c>
    </row>
    <row r="245" spans="4:5" x14ac:dyDescent="0.25">
      <c r="D245" s="29">
        <f t="shared" si="11"/>
        <v>1900</v>
      </c>
      <c r="E245" s="29" t="str">
        <f t="shared" si="12"/>
        <v>4</v>
      </c>
    </row>
    <row r="246" spans="4:5" x14ac:dyDescent="0.25">
      <c r="D246" s="29">
        <f t="shared" si="11"/>
        <v>1900</v>
      </c>
      <c r="E246" s="29" t="str">
        <f t="shared" si="12"/>
        <v>4</v>
      </c>
    </row>
    <row r="247" spans="4:5" x14ac:dyDescent="0.25">
      <c r="D247" s="29">
        <f t="shared" si="11"/>
        <v>1900</v>
      </c>
      <c r="E247" s="29" t="str">
        <f t="shared" si="12"/>
        <v>4</v>
      </c>
    </row>
    <row r="248" spans="4:5" x14ac:dyDescent="0.25">
      <c r="D248" s="29">
        <f t="shared" si="11"/>
        <v>1900</v>
      </c>
      <c r="E248" s="29" t="str">
        <f t="shared" si="12"/>
        <v>4</v>
      </c>
    </row>
    <row r="249" spans="4:5" x14ac:dyDescent="0.25">
      <c r="D249" s="29">
        <f t="shared" si="11"/>
        <v>1900</v>
      </c>
      <c r="E249" s="29" t="str">
        <f t="shared" si="12"/>
        <v>4</v>
      </c>
    </row>
    <row r="250" spans="4:5" x14ac:dyDescent="0.25">
      <c r="D250" s="29">
        <f t="shared" si="11"/>
        <v>1900</v>
      </c>
      <c r="E250" s="29" t="str">
        <f t="shared" si="12"/>
        <v>4</v>
      </c>
    </row>
    <row r="251" spans="4:5" x14ac:dyDescent="0.25">
      <c r="D251" s="29">
        <f t="shared" si="11"/>
        <v>1900</v>
      </c>
      <c r="E251" s="29" t="str">
        <f t="shared" si="12"/>
        <v>4</v>
      </c>
    </row>
  </sheetData>
  <mergeCells count="6">
    <mergeCell ref="O35:Q35"/>
    <mergeCell ref="A5:C5"/>
    <mergeCell ref="A7:C7"/>
    <mergeCell ref="O9:Q9"/>
    <mergeCell ref="O10:Q10"/>
    <mergeCell ref="P34:Q34"/>
  </mergeCells>
  <dataValidations count="1">
    <dataValidation type="list" allowBlank="1" showInputMessage="1" showErrorMessage="1" promptTitle="Select a Period:" prompt="Select Financial or Calendar years." sqref="P34:Q34" xr:uid="{6305BD17-74EE-48AA-AEEF-829309B11E5D}">
      <formula1>A1:A2</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4AF07-423C-44FD-96C5-E032100C1512}">
  <sheetPr>
    <tabColor rgb="FFFFC000"/>
  </sheetPr>
  <dimension ref="A1:Z27"/>
  <sheetViews>
    <sheetView showGridLines="0" zoomScale="85" zoomScaleNormal="85" workbookViewId="0"/>
  </sheetViews>
  <sheetFormatPr defaultColWidth="9.140625" defaultRowHeight="15" x14ac:dyDescent="0.25"/>
  <cols>
    <col min="1" max="1" width="24.5703125" bestFit="1" customWidth="1"/>
    <col min="2" max="2" width="5.28515625" bestFit="1" customWidth="1"/>
    <col min="3" max="3" width="21" bestFit="1" customWidth="1"/>
    <col min="4" max="4" width="13.42578125" bestFit="1" customWidth="1"/>
    <col min="5" max="14" width="15.42578125" customWidth="1"/>
    <col min="15" max="15" width="11" bestFit="1" customWidth="1"/>
    <col min="23" max="23" width="17.85546875" customWidth="1"/>
    <col min="25" max="25" width="9.140625" style="824"/>
  </cols>
  <sheetData>
    <row r="1" spans="1:26" ht="15" customHeight="1" x14ac:dyDescent="0.25">
      <c r="V1" s="58" t="s">
        <v>32</v>
      </c>
      <c r="W1" s="58" t="str">
        <f>"Gold Exports "&amp;B8&amp;CHAR(10)&amp;"Total Value: $"&amp;TEXT(C23,"#,###")</f>
        <v>Gold Exports 2025
Total Value: $33,997,406,000</v>
      </c>
      <c r="X1" s="58" t="s">
        <v>178</v>
      </c>
      <c r="Y1" s="824" cm="1">
        <f t="array" ref="Y1:Y24">IF($B$7="Calendar Year",
_xlfn._xlws.SORT(_xlfn.UNIQUE(_xlfn._xlws.FILTER('Commodity Prices'!$BB:$BB, 'Commodity Prices'!$BA:$BA="Gold"))),
_xlfn._xlws.SORT(_xlfn.UNIQUE(_xlfn._xlws.FILTER('Commodity Prices'!$BI:$BI, 'Commodity Prices'!$BH:$BH="Gold")))
)</f>
        <v>2002</v>
      </c>
      <c r="Z1" s="58">
        <f t="array" ref="Z1">MIN(IF('Commodity Prices'!$BA$11:$BA$1516=V1,'Commodity Prices'!$BB$11:$BB$1516))</f>
        <v>2002</v>
      </c>
    </row>
    <row r="2" spans="1:26" ht="15" customHeight="1" x14ac:dyDescent="0.25">
      <c r="W2" s="58" t="str">
        <f>IF($B$7=X1,IF(RIGHT(LEFT(B8,5),1)="-","Mismatch Error",""),IF(LEN(B8)=4,"Mismatch Error",""))</f>
        <v/>
      </c>
      <c r="X2" s="58" t="s">
        <v>179</v>
      </c>
      <c r="Y2" s="824">
        <v>2003</v>
      </c>
    </row>
    <row r="3" spans="1:26" ht="15" customHeight="1" x14ac:dyDescent="0.25">
      <c r="W3" s="58"/>
      <c r="X3" s="58"/>
      <c r="Y3" s="824">
        <v>2004</v>
      </c>
    </row>
    <row r="4" spans="1:26" ht="15" customHeight="1" x14ac:dyDescent="0.25">
      <c r="W4" s="58"/>
      <c r="X4" s="58"/>
      <c r="Y4" s="824">
        <v>2005</v>
      </c>
    </row>
    <row r="5" spans="1:26" ht="15" customHeight="1" x14ac:dyDescent="0.25">
      <c r="W5" s="58"/>
      <c r="X5" s="58"/>
      <c r="Y5" s="824">
        <v>2006</v>
      </c>
    </row>
    <row r="6" spans="1:26" ht="15" customHeight="1" thickBot="1" x14ac:dyDescent="0.3">
      <c r="W6" s="58"/>
      <c r="X6" s="58"/>
      <c r="Y6" s="824">
        <v>2007</v>
      </c>
    </row>
    <row r="7" spans="1:26" x14ac:dyDescent="0.25">
      <c r="A7" s="684" t="s">
        <v>158</v>
      </c>
      <c r="B7" s="1445" t="s">
        <v>178</v>
      </c>
      <c r="C7" s="1445"/>
      <c r="D7" s="1446"/>
      <c r="E7" s="260"/>
      <c r="W7" s="58"/>
      <c r="X7" s="58"/>
      <c r="Y7" s="824">
        <v>2008</v>
      </c>
    </row>
    <row r="8" spans="1:26" ht="15.75" thickBot="1" x14ac:dyDescent="0.3">
      <c r="A8" s="685" t="s">
        <v>158</v>
      </c>
      <c r="B8" s="1447">
        <v>2025</v>
      </c>
      <c r="C8" s="1447"/>
      <c r="D8" s="1448"/>
      <c r="E8" s="260"/>
      <c r="W8" s="58"/>
      <c r="X8" s="58"/>
      <c r="Y8" s="824">
        <v>2009</v>
      </c>
    </row>
    <row r="9" spans="1:26" x14ac:dyDescent="0.25">
      <c r="W9" s="58"/>
      <c r="X9" s="58"/>
      <c r="Y9" s="824">
        <v>2010</v>
      </c>
    </row>
    <row r="10" spans="1:26" ht="15.75" thickBot="1" x14ac:dyDescent="0.3">
      <c r="A10" s="1393" t="str">
        <f>IF($B$8="Click here to select an option","Select a year above for display.",CONCATENATE("Exports ",B8))</f>
        <v>Exports 2025</v>
      </c>
      <c r="B10" s="1393"/>
      <c r="C10" s="1393"/>
      <c r="D10" s="1393"/>
      <c r="W10" s="58"/>
      <c r="X10" s="58"/>
      <c r="Y10" s="824">
        <v>2011</v>
      </c>
    </row>
    <row r="11" spans="1:26" x14ac:dyDescent="0.25">
      <c r="A11" s="684" t="s">
        <v>562</v>
      </c>
      <c r="B11" s="686" t="s">
        <v>274</v>
      </c>
      <c r="C11" s="687" t="s">
        <v>563</v>
      </c>
      <c r="D11" s="688" t="s">
        <v>276</v>
      </c>
      <c r="W11" s="58"/>
      <c r="X11" s="58"/>
      <c r="Y11" s="824">
        <v>2012</v>
      </c>
    </row>
    <row r="12" spans="1:26" x14ac:dyDescent="0.25">
      <c r="A12" s="689" t="str" cm="1">
        <f t="array" ref="A12">IF($W$2="Mismatch Error","Mismatch Error",
IF($B$7="Calendar Year",
INDEX('Commodity Prices'!$BA:$BF,MATCH(1,(('Commodity Prices'!$BA:$BA)=$V$1)*(('Commodity Prices'!$BB:$BB)=$B$8)*(('Commodity Prices'!$BD:$BD)=$B12),0),3),
INDEX('Commodity Prices'!$BH:$BM,MATCH(1,(('Commodity Prices'!$BH:$BH)=$V$1)*(('Commodity Prices'!$BI:$BI)=$B$8)*(('Commodity Prices'!$BK:$BK)=$B12),0),3)
)
)</f>
        <v>United States of America</v>
      </c>
      <c r="B12" s="690">
        <v>1</v>
      </c>
      <c r="C12" s="691" cm="1">
        <f t="array" ref="C12">IF($W$2="Mismatch Error","Mismatch Error",
IF($B$7="Calendar Year",
INDEX('Commodity Prices'!$BA:$BF, MATCH(1,(('Commodity Prices'!$BA:$BA)=$V$1)*(('Commodity Prices'!$BB:$BB)=$B$8)*(('Commodity Prices'!$BD:$BD)=$B12),0), 5),
INDEX('Commodity Prices'!$BH:$BM, MATCH(1,(('Commodity Prices'!$BH:$BH)=$V$1)*(('Commodity Prices'!$BI:$BI)=$B$8)*(('Commodity Prices'!$BK:$BK)=$B12),0), 5)
)
)</f>
        <v>13137670000</v>
      </c>
      <c r="D12" s="692" cm="1">
        <f t="array" ref="D12">IF($W$2="Mismatch Error","Mismatch Error",
IF($B$7="Calendar Year",
INDEX('Commodity Prices'!$BA:$BF, MATCH(1,(('Commodity Prices'!$BA:$BA)=$V$1)*(('Commodity Prices'!$BB:$BB)=$B$8)*(('Commodity Prices'!$BD:$BD)=$B12),0), 6),
INDEX('Commodity Prices'!$BH:$BM, MATCH(1,(('Commodity Prices'!$BH:$BH)=$V$1)*(('Commodity Prices'!$BI:$BI)=$B$8)*(('Commodity Prices'!$BK:$BK)=$B12),0), 6)
)
)</f>
        <v>0.38643154127700213</v>
      </c>
      <c r="W12" s="58"/>
      <c r="X12" s="58"/>
      <c r="Y12" s="824">
        <v>2013</v>
      </c>
    </row>
    <row r="13" spans="1:26" x14ac:dyDescent="0.25">
      <c r="A13" s="693" t="str" cm="1">
        <f t="array" ref="A13">IF($W$2="Mismatch Error","Mismatch Error",
IF($B$7="Calendar Year",
INDEX('Commodity Prices'!$BA:$BF,MATCH(1,(('Commodity Prices'!$BA:$BA)=$V$1)*(('Commodity Prices'!$BB:$BB)=$B$8)*(('Commodity Prices'!$BD:$BD)=B13),0),3),
INDEX('Commodity Prices'!$BH:$BM,MATCH(1,(('Commodity Prices'!$BH:$BH)=$V$1)*(('Commodity Prices'!$BI:$BI)=$B$8)*(('Commodity Prices'!$BK:$BK)=B13),0),3)
)
)</f>
        <v>Hong Kong (SAR of China)</v>
      </c>
      <c r="B13" s="694">
        <v>2</v>
      </c>
      <c r="C13" s="695" cm="1">
        <f t="array" ref="C13">IF($W$2="Mismatch Error","Mismatch Error",
IF($B$7="Calendar Year",
INDEX('Commodity Prices'!$BA:$BF, MATCH(1,(('Commodity Prices'!$BA:$BA)=$V$1)*(('Commodity Prices'!$BB:$BB)=$B$8)*(('Commodity Prices'!$BD:$BD)=$B13),0), 5),
INDEX('Commodity Prices'!$BH:$BM, MATCH(1,(('Commodity Prices'!$BH:$BH)=$V$1)*(('Commodity Prices'!$BI:$BI)=$B$8)*(('Commodity Prices'!$BK:$BK)=$B13),0), 5)
)
)</f>
        <v>7779084000</v>
      </c>
      <c r="D13" s="696" cm="1">
        <f t="array" ref="D13">IF($W$2="Mismatch Error","Mismatch Error",
IF($B$7="Calendar Year",
INDEX('Commodity Prices'!$BA:$BF, MATCH(1,(('Commodity Prices'!$BA:$BA)=$V$1)*(('Commodity Prices'!$BB:$BB)=$B$8)*(('Commodity Prices'!$BD:$BD)=$B13),0), 6),
INDEX('Commodity Prices'!$BH:$BM, MATCH(1,(('Commodity Prices'!$BH:$BH)=$V$1)*(('Commodity Prices'!$BI:$BI)=$B$8)*(('Commodity Prices'!$BK:$BK)=$B13),0), 6)
)
)</f>
        <v>0.22881404540099323</v>
      </c>
      <c r="W13" s="58"/>
      <c r="X13" s="58"/>
      <c r="Y13" s="824">
        <v>2014</v>
      </c>
    </row>
    <row r="14" spans="1:26" x14ac:dyDescent="0.25">
      <c r="A14" s="689" t="str" cm="1">
        <f t="array" ref="A14">IF($W$2="Mismatch Error","Mismatch Error",
IF($B$7="Calendar Year",
INDEX('Commodity Prices'!$BA:$BF,MATCH(1,(('Commodity Prices'!$BA:$BA)=$V$1)*(('Commodity Prices'!$BB:$BB)=$B$8)*(('Commodity Prices'!$BD:$BD)=B14),0),3),
INDEX('Commodity Prices'!$BH:$BM,MATCH(1,(('Commodity Prices'!$BH:$BH)=$V$1)*(('Commodity Prices'!$BI:$BI)=$B$8)*(('Commodity Prices'!$BK:$BK)=B14),0),3)
)
)</f>
        <v>United Kingdom, Channel Islands and Isle of Man, nfd</v>
      </c>
      <c r="B14" s="690">
        <v>3</v>
      </c>
      <c r="C14" s="691" cm="1">
        <f t="array" ref="C14">IF($W$2="Mismatch Error","Mismatch Error",
IF($B$7="Calendar Year",
INDEX('Commodity Prices'!$BA:$BF, MATCH(1,(('Commodity Prices'!$BA:$BA)=$V$1)*(('Commodity Prices'!$BB:$BB)=$B$8)*(('Commodity Prices'!$BD:$BD)=$B14),0), 5),
INDEX('Commodity Prices'!$BH:$BM, MATCH(1,(('Commodity Prices'!$BH:$BH)=$V$1)*(('Commodity Prices'!$BI:$BI)=$B$8)*(('Commodity Prices'!$BK:$BK)=$B14),0), 5)
)
)</f>
        <v>3355619000</v>
      </c>
      <c r="D14" s="692" cm="1">
        <f t="array" ref="D14">IF($W$2="Mismatch Error","Mismatch Error",
IF($B$7="Calendar Year",
INDEX('Commodity Prices'!$BA:$BF, MATCH(1,(('Commodity Prices'!$BA:$BA)=$V$1)*(('Commodity Prices'!$BB:$BB)=$B$8)*(('Commodity Prices'!$BD:$BD)=$B14),0), 6),
INDEX('Commodity Prices'!$BH:$BM, MATCH(1,(('Commodity Prices'!$BH:$BH)=$V$1)*(('Commodity Prices'!$BI:$BI)=$B$8)*(('Commodity Prices'!$BK:$BK)=$B14),0), 6)
)
)</f>
        <v>9.870220686837107E-2</v>
      </c>
      <c r="W14" s="58"/>
      <c r="X14" s="58"/>
      <c r="Y14" s="824">
        <v>2015</v>
      </c>
    </row>
    <row r="15" spans="1:26" x14ac:dyDescent="0.25">
      <c r="A15" s="693" t="str" cm="1">
        <f t="array" ref="A15">IF($W$2="Mismatch Error","Mismatch Error",
IF($B$7="Calendar Year",
INDEX('Commodity Prices'!$BA:$BF,MATCH(1,(('Commodity Prices'!$BA:$BA)=$V$1)*(('Commodity Prices'!$BB:$BB)=$B$8)*(('Commodity Prices'!$BD:$BD)=B15),0),3),
INDEX('Commodity Prices'!$BH:$BM,MATCH(1,(('Commodity Prices'!$BH:$BH)=$V$1)*(('Commodity Prices'!$BI:$BI)=$B$8)*(('Commodity Prices'!$BK:$BK)=B15),0),3)
)
)</f>
        <v>India</v>
      </c>
      <c r="B15" s="694">
        <v>4</v>
      </c>
      <c r="C15" s="695" cm="1">
        <f t="array" ref="C15">IF($W$2="Mismatch Error","Mismatch Error",
IF($B$7="Calendar Year",
INDEX('Commodity Prices'!$BA:$BF, MATCH(1,(('Commodity Prices'!$BA:$BA)=$V$1)*(('Commodity Prices'!$BB:$BB)=$B$8)*(('Commodity Prices'!$BD:$BD)=$B15),0), 5),
INDEX('Commodity Prices'!$BH:$BM, MATCH(1,(('Commodity Prices'!$BH:$BH)=$V$1)*(('Commodity Prices'!$BI:$BI)=$B$8)*(('Commodity Prices'!$BK:$BK)=$B15),0), 5)
)
)</f>
        <v>3173124000</v>
      </c>
      <c r="D15" s="696" cm="1">
        <f t="array" ref="D15">IF($W$2="Mismatch Error","Mismatch Error",
IF($B$7="Calendar Year",
INDEX('Commodity Prices'!$BA:$BF, MATCH(1,(('Commodity Prices'!$BA:$BA)=$V$1)*(('Commodity Prices'!$BB:$BB)=$B$8)*(('Commodity Prices'!$BD:$BD)=$B15),0), 6),
INDEX('Commodity Prices'!$BH:$BM, MATCH(1,(('Commodity Prices'!$BH:$BH)=$V$1)*(('Commodity Prices'!$BI:$BI)=$B$8)*(('Commodity Prices'!$BK:$BK)=$B15),0), 6)
)
)</f>
        <v>9.3334297328449112E-2</v>
      </c>
      <c r="W15" s="58"/>
      <c r="X15" s="58"/>
      <c r="Y15" s="824">
        <v>2016</v>
      </c>
    </row>
    <row r="16" spans="1:26" x14ac:dyDescent="0.25">
      <c r="A16" s="689" t="str" cm="1">
        <f t="array" ref="A16">IF($W$2="Mismatch Error","Mismatch Error",
IF($B$7="Calendar Year",
INDEX('Commodity Prices'!$BA:$BF,MATCH(1,(('Commodity Prices'!$BA:$BA)=$V$1)*(('Commodity Prices'!$BB:$BB)=$B$8)*(('Commodity Prices'!$BD:$BD)=B16),0),3),
INDEX('Commodity Prices'!$BH:$BM,MATCH(1,(('Commodity Prices'!$BH:$BH)=$V$1)*(('Commodity Prices'!$BI:$BI)=$B$8)*(('Commodity Prices'!$BK:$BK)=B16),0),3)
)
)</f>
        <v>China (excludes SARs and Taiwan)</v>
      </c>
      <c r="B16" s="690">
        <v>5</v>
      </c>
      <c r="C16" s="691" cm="1">
        <f t="array" ref="C16">IF($W$2="Mismatch Error","Mismatch Error",
IF($B$7="Calendar Year",
INDEX('Commodity Prices'!$BA:$BF, MATCH(1,(('Commodity Prices'!$BA:$BA)=$V$1)*(('Commodity Prices'!$BB:$BB)=$B$8)*(('Commodity Prices'!$BD:$BD)=$B16),0), 5),
INDEX('Commodity Prices'!$BH:$BM, MATCH(1,(('Commodity Prices'!$BH:$BH)=$V$1)*(('Commodity Prices'!$BI:$BI)=$B$8)*(('Commodity Prices'!$BK:$BK)=$B16),0), 5)
)
)</f>
        <v>3162014000</v>
      </c>
      <c r="D16" s="692" cm="1">
        <f t="array" ref="D16">IF($W$2="Mismatch Error","Mismatch Error",
IF($B$7="Calendar Year",
INDEX('Commodity Prices'!$BA:$BF, MATCH(1,(('Commodity Prices'!$BA:$BA)=$V$1)*(('Commodity Prices'!$BB:$BB)=$B$8)*(('Commodity Prices'!$BD:$BD)=$B16),0), 6),
INDEX('Commodity Prices'!$BH:$BM, MATCH(1,(('Commodity Prices'!$BH:$BH)=$V$1)*(('Commodity Prices'!$BI:$BI)=$B$8)*(('Commodity Prices'!$BK:$BK)=$B16),0), 6)
)
)</f>
        <v>9.3007507690439681E-2</v>
      </c>
      <c r="W16" s="58"/>
      <c r="X16" s="58"/>
      <c r="Y16" s="824">
        <v>2017</v>
      </c>
    </row>
    <row r="17" spans="1:25" x14ac:dyDescent="0.25">
      <c r="A17" s="693" t="str" cm="1">
        <f t="array" ref="A17">IF($W$2="Mismatch Error","Mismatch Error",
IF($B$7="Calendar Year",
INDEX('Commodity Prices'!$BA:$BF,MATCH(1,(('Commodity Prices'!$BA:$BA)=$V$1)*(('Commodity Prices'!$BB:$BB)=$B$8)*(('Commodity Prices'!$BD:$BD)=B17),0),3),
INDEX('Commodity Prices'!$BH:$BM,MATCH(1,(('Commodity Prices'!$BH:$BH)=$V$1)*(('Commodity Prices'!$BI:$BI)=$B$8)*(('Commodity Prices'!$BK:$BK)=B17),0),3)
)
)</f>
        <v>Korea, Republic of (South)</v>
      </c>
      <c r="B17" s="694">
        <v>6</v>
      </c>
      <c r="C17" s="695" cm="1">
        <f t="array" ref="C17">IF($W$2="Mismatch Error","Mismatch Error",
IF($B$7="Calendar Year",
INDEX('Commodity Prices'!$BA:$BF, MATCH(1,(('Commodity Prices'!$BA:$BA)=$V$1)*(('Commodity Prices'!$BB:$BB)=$B$8)*(('Commodity Prices'!$BD:$BD)=$B17),0), 5),
INDEX('Commodity Prices'!$BH:$BM, MATCH(1,(('Commodity Prices'!$BH:$BH)=$V$1)*(('Commodity Prices'!$BI:$BI)=$B$8)*(('Commodity Prices'!$BK:$BK)=$B17),0), 5)
)
)</f>
        <v>1919547000</v>
      </c>
      <c r="D17" s="696" cm="1">
        <f t="array" ref="D17">IF($W$2="Mismatch Error","Mismatch Error",
IF($B$7="Calendar Year",
INDEX('Commodity Prices'!$BA:$BF, MATCH(1,(('Commodity Prices'!$BA:$BA)=$V$1)*(('Commodity Prices'!$BB:$BB)=$B$8)*(('Commodity Prices'!$BD:$BD)=$B17),0), 6),
INDEX('Commodity Prices'!$BH:$BM, MATCH(1,(('Commodity Prices'!$BH:$BH)=$V$1)*(('Commodity Prices'!$BI:$BI)=$B$8)*(('Commodity Prices'!$BK:$BK)=$B17),0), 6)
)
)</f>
        <v>5.6461572391728942E-2</v>
      </c>
      <c r="W17" s="58"/>
      <c r="X17" s="58"/>
      <c r="Y17" s="824">
        <v>2018</v>
      </c>
    </row>
    <row r="18" spans="1:25" x14ac:dyDescent="0.25">
      <c r="A18" s="689" t="str" cm="1">
        <f t="array" ref="A18">IF($W$2="Mismatch Error","Mismatch Error",
IF($B$7="Calendar Year",
INDEX('Commodity Prices'!$BA:$BF,MATCH(1,(('Commodity Prices'!$BA:$BA)=$V$1)*(('Commodity Prices'!$BB:$BB)=$B$8)*(('Commodity Prices'!$BD:$BD)=B18),0),3),
INDEX('Commodity Prices'!$BH:$BM,MATCH(1,(('Commodity Prices'!$BH:$BH)=$V$1)*(('Commodity Prices'!$BI:$BI)=$B$8)*(('Commodity Prices'!$BK:$BK)=B18),0),3)
)
)</f>
        <v>Singapore</v>
      </c>
      <c r="B18" s="690">
        <v>7</v>
      </c>
      <c r="C18" s="691" cm="1">
        <f t="array" ref="C18">IF($W$2="Mismatch Error","Mismatch Error",
IF($B$7="Calendar Year",
INDEX('Commodity Prices'!$BA:$BF, MATCH(1,(('Commodity Prices'!$BA:$BA)=$V$1)*(('Commodity Prices'!$BB:$BB)=$B$8)*(('Commodity Prices'!$BD:$BD)=$B18),0), 5),
INDEX('Commodity Prices'!$BH:$BM, MATCH(1,(('Commodity Prices'!$BH:$BH)=$V$1)*(('Commodity Prices'!$BI:$BI)=$B$8)*(('Commodity Prices'!$BK:$BK)=$B18),0), 5)
)
)</f>
        <v>1034137000</v>
      </c>
      <c r="D18" s="692" cm="1">
        <f t="array" ref="D18">IF($W$2="Mismatch Error","Mismatch Error",
IF($B$7="Calendar Year",
INDEX('Commodity Prices'!$BA:$BF, MATCH(1,(('Commodity Prices'!$BA:$BA)=$V$1)*(('Commodity Prices'!$BB:$BB)=$B$8)*(('Commodity Prices'!$BD:$BD)=$B18),0), 6),
INDEX('Commodity Prices'!$BH:$BM, MATCH(1,(('Commodity Prices'!$BH:$BH)=$V$1)*(('Commodity Prices'!$BI:$BI)=$B$8)*(('Commodity Prices'!$BK:$BK)=$B18),0), 6)
)
)</f>
        <v>3.0418114840879331E-2</v>
      </c>
      <c r="W18" s="58"/>
      <c r="X18" s="58"/>
      <c r="Y18" s="824">
        <v>2019</v>
      </c>
    </row>
    <row r="19" spans="1:25" x14ac:dyDescent="0.25">
      <c r="A19" s="693" t="str" cm="1">
        <f t="array" ref="A19">IF($W$2="Mismatch Error","Mismatch Error",
IF($B$7="Calendar Year",
INDEX('Commodity Prices'!$BA:$BF,MATCH(1,(('Commodity Prices'!$BA:$BA)=$V$1)*(('Commodity Prices'!$BB:$BB)=$B$8)*(('Commodity Prices'!$BD:$BD)=B19),0),3),
INDEX('Commodity Prices'!$BH:$BM,MATCH(1,(('Commodity Prices'!$BH:$BH)=$V$1)*(('Commodity Prices'!$BI:$BI)=$B$8)*(('Commodity Prices'!$BK:$BK)=B19),0),3)
)
)</f>
        <v>United Arab Emirates</v>
      </c>
      <c r="B19" s="694">
        <v>8</v>
      </c>
      <c r="C19" s="695" cm="1">
        <f t="array" ref="C19">IF($W$2="Mismatch Error","Mismatch Error",
IF($B$7="Calendar Year",
INDEX('Commodity Prices'!$BA:$BF, MATCH(1,(('Commodity Prices'!$BA:$BA)=$V$1)*(('Commodity Prices'!$BB:$BB)=$B$8)*(('Commodity Prices'!$BD:$BD)=$B19),0), 5),
INDEX('Commodity Prices'!$BH:$BM, MATCH(1,(('Commodity Prices'!$BH:$BH)=$V$1)*(('Commodity Prices'!$BI:$BI)=$B$8)*(('Commodity Prices'!$BK:$BK)=$B19),0), 5)
)
)</f>
        <v>175737000</v>
      </c>
      <c r="D19" s="696" cm="1">
        <f t="array" ref="D19">IF($W$2="Mismatch Error","Mismatch Error",
IF($B$7="Calendar Year",
INDEX('Commodity Prices'!$BA:$BF, MATCH(1,(('Commodity Prices'!$BA:$BA)=$V$1)*(('Commodity Prices'!$BB:$BB)=$B$8)*(('Commodity Prices'!$BD:$BD)=$B19),0), 6),
INDEX('Commodity Prices'!$BH:$BM, MATCH(1,(('Commodity Prices'!$BH:$BH)=$V$1)*(('Commodity Prices'!$BI:$BI)=$B$8)*(('Commodity Prices'!$BK:$BK)=$B19),0), 6)
)
)</f>
        <v>5.1691296683046934E-3</v>
      </c>
      <c r="W19" s="58"/>
      <c r="X19" s="58"/>
      <c r="Y19" s="824">
        <v>2020</v>
      </c>
    </row>
    <row r="20" spans="1:25" x14ac:dyDescent="0.25">
      <c r="A20" s="689" t="str" cm="1">
        <f t="array" ref="A20">IF($W$2="Mismatch Error","Mismatch Error",
IF($B$7="Calendar Year",
INDEX('Commodity Prices'!$BA:$BF,MATCH(1,(('Commodity Prices'!$BA:$BA)=$V$1)*(('Commodity Prices'!$BB:$BB)=$B$8)*(('Commodity Prices'!$BD:$BD)=B20),0),3),
INDEX('Commodity Prices'!$BH:$BM,MATCH(1,(('Commodity Prices'!$BH:$BH)=$V$1)*(('Commodity Prices'!$BI:$BI)=$B$8)*(('Commodity Prices'!$BK:$BK)=B20),0),3)
)
)</f>
        <v>Germany</v>
      </c>
      <c r="B20" s="690">
        <v>9</v>
      </c>
      <c r="C20" s="691" cm="1">
        <f t="array" ref="C20">IF($W$2="Mismatch Error","Mismatch Error",
IF($B$7="Calendar Year",
INDEX('Commodity Prices'!$BA:$BF, MATCH(1,(('Commodity Prices'!$BA:$BA)=$V$1)*(('Commodity Prices'!$BB:$BB)=$B$8)*(('Commodity Prices'!$BD:$BD)=$B20),0), 5),
INDEX('Commodity Prices'!$BH:$BM, MATCH(1,(('Commodity Prices'!$BH:$BH)=$V$1)*(('Commodity Prices'!$BI:$BI)=$B$8)*(('Commodity Prices'!$BK:$BK)=$B20),0), 5)
)
)</f>
        <v>136070000</v>
      </c>
      <c r="D20" s="692" cm="1">
        <f t="array" ref="D20">IF($W$2="Mismatch Error","Mismatch Error",
IF($B$7="Calendar Year",
INDEX('Commodity Prices'!$BA:$BF, MATCH(1,(('Commodity Prices'!$BA:$BA)=$V$1)*(('Commodity Prices'!$BB:$BB)=$B$8)*(('Commodity Prices'!$BD:$BD)=$B20),0), 6),
INDEX('Commodity Prices'!$BH:$BM, MATCH(1,(('Commodity Prices'!$BH:$BH)=$V$1)*(('Commodity Prices'!$BI:$BI)=$B$8)*(('Commodity Prices'!$BK:$BK)=$B20),0), 6)
)
)</f>
        <v>4.0023641803730555E-3</v>
      </c>
      <c r="W20" s="58"/>
      <c r="X20" s="58"/>
      <c r="Y20" s="824">
        <v>2021</v>
      </c>
    </row>
    <row r="21" spans="1:25" x14ac:dyDescent="0.25">
      <c r="A21" s="693" t="str" cm="1">
        <f t="array" ref="A21">IF($W$2="Mismatch Error","Mismatch Error",
IF($B$7="Calendar Year",
INDEX('Commodity Prices'!$BA:$BF,MATCH(1,(('Commodity Prices'!$BA:$BA)=$V$1)*(('Commodity Prices'!$BB:$BB)=$B$8)*(('Commodity Prices'!$BD:$BD)=B21),0),3),
INDEX('Commodity Prices'!$BH:$BM,MATCH(1,(('Commodity Prices'!$BH:$BH)=$V$1)*(('Commodity Prices'!$BI:$BI)=$B$8)*(('Commodity Prices'!$BK:$BK)=B21),0),3)
)
)</f>
        <v>New Zealand</v>
      </c>
      <c r="B21" s="694">
        <v>10</v>
      </c>
      <c r="C21" s="695" cm="1">
        <f t="array" ref="C21">IF($W$2="Mismatch Error","Mismatch Error",
IF($B$7="Calendar Year",
INDEX('Commodity Prices'!$BA:$BF, MATCH(1,(('Commodity Prices'!$BA:$BA)=$V$1)*(('Commodity Prices'!$BB:$BB)=$B$8)*(('Commodity Prices'!$BD:$BD)=$B21),0), 5),
INDEX('Commodity Prices'!$BH:$BM, MATCH(1,(('Commodity Prices'!$BH:$BH)=$V$1)*(('Commodity Prices'!$BI:$BI)=$B$8)*(('Commodity Prices'!$BK:$BK)=$B21),0), 5)
)
)</f>
        <v>83310000</v>
      </c>
      <c r="D21" s="696" cm="1">
        <f t="array" ref="D21">IF($W$2="Mismatch Error","Mismatch Error",
IF($B$7="Calendar Year",
INDEX('Commodity Prices'!$BA:$BF, MATCH(1,(('Commodity Prices'!$BA:$BA)=$V$1)*(('Commodity Prices'!$BB:$BB)=$B$8)*(('Commodity Prices'!$BD:$BD)=$B21),0), 6),
INDEX('Commodity Prices'!$BH:$BM, MATCH(1,(('Commodity Prices'!$BH:$BH)=$V$1)*(('Commodity Prices'!$BI:$BI)=$B$8)*(('Commodity Prices'!$BK:$BK)=$B21),0), 6)
)
)</f>
        <v>2.4504810749384821E-3</v>
      </c>
      <c r="W21" s="58"/>
      <c r="X21" s="58"/>
      <c r="Y21" s="824">
        <v>2022</v>
      </c>
    </row>
    <row r="22" spans="1:25" x14ac:dyDescent="0.25">
      <c r="A22" s="689" t="str">
        <f>IF($W$2="Mismatch Error","","Other")</f>
        <v>Other</v>
      </c>
      <c r="B22" s="690"/>
      <c r="C22" s="691" cm="1">
        <f t="array" ref="C22">IF($W$2="Mismatch Error","Mismatch Error",
IF($B$7="Calendar Year",
INDEX('Commodity Prices'!$BA:$BF, MATCH(1,(('Commodity Prices'!$BA:$BA)=$V$1)*(('Commodity Prices'!$BB:$BB)=$B$8)*(('Commodity Prices'!$BD:$BD)=$B22),0), 5),
INDEX('Commodity Prices'!$BH:$BM, MATCH(1,(('Commodity Prices'!$BH:$BH)=$V$1)*(('Commodity Prices'!$BI:$BI)=$B$8)*(('Commodity Prices'!$BK:$BK)=$B22),0), 5)
)
)</f>
        <v>41094000</v>
      </c>
      <c r="D22" s="697" cm="1">
        <f t="array" ref="D22">IF($W$2="Mismatch Error","Mismatch Error",
IF($B$7="Calendar Year",
INDEX('Commodity Prices'!$BA:$BF, MATCH(1,(('Commodity Prices'!$BA:$BA)=$V$1)*(('Commodity Prices'!$BB:$BB)=$B$8)*(('Commodity Prices'!$BD:$BD)=$B22),0), 6),
INDEX('Commodity Prices'!$BH:$BM, MATCH(1,(('Commodity Prices'!$BH:$BH)=$V$1)*(('Commodity Prices'!$BI:$BI)=$B$8)*(('Commodity Prices'!$BK:$BK)=$B22),0), 6)
)
)</f>
        <v>1.2087392785202495E-3</v>
      </c>
      <c r="W22" s="58"/>
      <c r="X22" s="58"/>
      <c r="Y22" s="824">
        <v>2023</v>
      </c>
    </row>
    <row r="23" spans="1:25" ht="15.75" thickBot="1" x14ac:dyDescent="0.3">
      <c r="A23" s="513" t="str">
        <f>IF($W$2="Mismatch Error","","Grand Total")</f>
        <v>Grand Total</v>
      </c>
      <c r="B23" s="514"/>
      <c r="C23" s="515">
        <f>SUM(C12:C22)</f>
        <v>33997406000</v>
      </c>
      <c r="D23" s="516"/>
      <c r="W23" s="58"/>
      <c r="X23" s="58"/>
      <c r="Y23" s="824">
        <v>2024</v>
      </c>
    </row>
    <row r="24" spans="1:25" x14ac:dyDescent="0.25">
      <c r="W24" s="58"/>
      <c r="X24" s="58"/>
      <c r="Y24" s="824">
        <v>2025</v>
      </c>
    </row>
    <row r="25" spans="1:25" x14ac:dyDescent="0.25">
      <c r="A25" s="517" t="str">
        <f>IF(A12="Mismatch Error","You have selected an incompatible year or year type. Change one or the other to display data.","")</f>
        <v/>
      </c>
      <c r="B25" s="517"/>
      <c r="C25" s="517"/>
      <c r="D25" s="517"/>
      <c r="W25" s="58"/>
      <c r="X25" s="58"/>
    </row>
    <row r="26" spans="1:25" x14ac:dyDescent="0.25">
      <c r="A26" s="517"/>
      <c r="B26" s="517"/>
      <c r="C26" s="517"/>
      <c r="D26" s="517"/>
      <c r="W26" s="58"/>
      <c r="X26" s="58"/>
    </row>
    <row r="27" spans="1:25" ht="15" customHeight="1" x14ac:dyDescent="0.25">
      <c r="A27" s="517" t="str">
        <f>IF(OR(ISNA(A12),ISNA(A13),ISNA(A14),ISNA(A15),ISNA(A16),ISNA(A17),ISNA(A18),ISNA(A19),ISNA(A20),ISNA(A21),ISNA(C12),ISNA(C13),ISNA(C14),ISNA(C15),ISNA(C16),ISNA(C17),ISNA(C18),ISNA(C19),ISNA(C20),ISNA(C21)),"You have ecountered an NA Error. This is most likely caused by the accidental loss of an array formula in the table above. Click on the cell showing #N/A above, then click the formula bar and press Ctrl, Shift and Enter.","")</f>
        <v/>
      </c>
      <c r="B27" s="517"/>
      <c r="C27" s="517"/>
      <c r="D27" s="517"/>
      <c r="W27" s="58"/>
      <c r="X27" s="58"/>
    </row>
  </sheetData>
  <mergeCells count="3">
    <mergeCell ref="B7:D7"/>
    <mergeCell ref="B8:D8"/>
    <mergeCell ref="A10:D10"/>
  </mergeCells>
  <dataValidations count="3">
    <dataValidation allowBlank="1" promptTitle="Select a Display Factor:" prompt="Clicking here will bring up a message describing the selections you can make." sqref="E7:E8" xr:uid="{04F9BCF6-8040-4AC1-AB23-BB6311809C19}"/>
    <dataValidation type="list" allowBlank="1" showInputMessage="1" showErrorMessage="1" promptTitle="Select a Display Factor:" prompt="Clicking here will bring up a message describing the selections you can make." sqref="B7:D7" xr:uid="{39ECD3F7-C3FC-435C-8A18-ED4F31F8D3A8}">
      <formula1>$X$1:$X$2</formula1>
    </dataValidation>
    <dataValidation type="list" allowBlank="1" showInputMessage="1" showErrorMessage="1" promptTitle="Select a Display Factor:" prompt="Clicking here will bring up a message describing the selections you can make." sqref="B8:D8" xr:uid="{241DC859-E972-4310-BA18-6DBA34B63646}">
      <formula1>$Y:$Y</formula1>
    </dataValidation>
  </dataValidation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50C4A-2A49-4FC6-8780-8BF36AF39C2C}">
  <sheetPr>
    <tabColor rgb="FFFFC000"/>
  </sheetPr>
  <dimension ref="A7:R143"/>
  <sheetViews>
    <sheetView showGridLines="0" zoomScale="85" zoomScaleNormal="85" workbookViewId="0">
      <pane xSplit="1" ySplit="8" topLeftCell="B9" activePane="bottomRight" state="frozen"/>
      <selection pane="topRight" activeCell="B1" sqref="B1"/>
      <selection pane="bottomLeft" activeCell="A9" sqref="A9"/>
      <selection pane="bottomRight"/>
    </sheetView>
  </sheetViews>
  <sheetFormatPr defaultColWidth="9.140625" defaultRowHeight="15" x14ac:dyDescent="0.25"/>
  <cols>
    <col min="1" max="1" width="12.7109375" customWidth="1"/>
    <col min="2" max="3" width="20.7109375" customWidth="1"/>
    <col min="4" max="4" width="8" customWidth="1"/>
    <col min="5" max="5" width="2.140625" customWidth="1"/>
    <col min="6" max="6" width="11" bestFit="1" customWidth="1"/>
    <col min="15" max="15" width="13.42578125" customWidth="1"/>
    <col min="16" max="16" width="12.7109375" customWidth="1"/>
    <col min="17" max="18" width="20.7109375" customWidth="1"/>
    <col min="19" max="19" width="10.85546875" customWidth="1"/>
    <col min="20" max="21" width="23.5703125" customWidth="1"/>
  </cols>
  <sheetData>
    <row r="7" spans="1:18" ht="15.75" thickBot="1" x14ac:dyDescent="0.3">
      <c r="A7" s="1407" t="s">
        <v>564</v>
      </c>
      <c r="B7" s="1407"/>
      <c r="C7" s="1407"/>
    </row>
    <row r="8" spans="1:18" x14ac:dyDescent="0.25">
      <c r="A8" s="658" t="s">
        <v>272</v>
      </c>
      <c r="B8" s="698" t="s">
        <v>579</v>
      </c>
      <c r="C8" s="699" t="s">
        <v>580</v>
      </c>
    </row>
    <row r="9" spans="1:18" x14ac:dyDescent="0.25">
      <c r="A9" s="700">
        <v>1890</v>
      </c>
      <c r="B9" s="701">
        <v>0.6345731</v>
      </c>
      <c r="C9" s="702">
        <v>37.890096900000003</v>
      </c>
      <c r="P9" s="1393" t="s">
        <v>564</v>
      </c>
      <c r="Q9" s="1393"/>
      <c r="R9" s="1393"/>
    </row>
    <row r="10" spans="1:18" ht="15.75" thickBot="1" x14ac:dyDescent="0.3">
      <c r="A10" s="700">
        <v>1891</v>
      </c>
      <c r="B10" s="433">
        <v>0.84340189999999993</v>
      </c>
      <c r="C10" s="674">
        <v>37.832368099999997</v>
      </c>
      <c r="P10" s="1393" t="s">
        <v>567</v>
      </c>
      <c r="Q10" s="1393"/>
      <c r="R10" s="1393"/>
    </row>
    <row r="11" spans="1:18" x14ac:dyDescent="0.25">
      <c r="A11" s="700">
        <v>1892</v>
      </c>
      <c r="B11" s="701">
        <v>1.6569130000000001</v>
      </c>
      <c r="C11" s="702">
        <v>41.384076999999998</v>
      </c>
      <c r="P11" s="647" t="s">
        <v>272</v>
      </c>
      <c r="Q11" s="648" t="str">
        <f>B8</f>
        <v>Western Australia (t)</v>
      </c>
      <c r="R11" s="649" t="str">
        <f>C8</f>
        <v>Rest of Australia (t)</v>
      </c>
    </row>
    <row r="12" spans="1:18" x14ac:dyDescent="0.25">
      <c r="A12" s="700">
        <v>1893</v>
      </c>
      <c r="B12" s="433">
        <v>3.0855579999999998</v>
      </c>
      <c r="C12" s="674">
        <v>42.217962</v>
      </c>
      <c r="P12" s="700">
        <f>LARGE(A$9:A$151,10)</f>
        <v>2015</v>
      </c>
      <c r="Q12" s="701">
        <f t="shared" ref="Q12:R21" si="0">SUMIF($A$9:$A$151,$P12,B$9:B$151)</f>
        <v>194.47144014692842</v>
      </c>
      <c r="R12" s="702">
        <f t="shared" si="0"/>
        <v>89.7</v>
      </c>
    </row>
    <row r="13" spans="1:18" x14ac:dyDescent="0.25">
      <c r="A13" s="700">
        <v>1894</v>
      </c>
      <c r="B13" s="701">
        <v>5.7633179999999999</v>
      </c>
      <c r="C13" s="702">
        <v>49.169462000000003</v>
      </c>
      <c r="P13" s="700">
        <f>LARGE(A$9:A$151,9)</f>
        <v>2016</v>
      </c>
      <c r="Q13" s="433">
        <f t="shared" si="0"/>
        <v>197.07233863062316</v>
      </c>
      <c r="R13" s="674">
        <f t="shared" si="0"/>
        <v>94.1</v>
      </c>
    </row>
    <row r="14" spans="1:18" x14ac:dyDescent="0.25">
      <c r="A14" s="700">
        <v>1895</v>
      </c>
      <c r="B14" s="433">
        <v>6.441872</v>
      </c>
      <c r="C14" s="674">
        <v>49.512628000000007</v>
      </c>
      <c r="P14" s="700">
        <f>LARGE(A$9:A$151,8)</f>
        <v>2017</v>
      </c>
      <c r="Q14" s="701">
        <f t="shared" si="0"/>
        <v>210.99182809083629</v>
      </c>
      <c r="R14" s="702">
        <f t="shared" si="0"/>
        <v>87.5</v>
      </c>
    </row>
    <row r="15" spans="1:18" x14ac:dyDescent="0.25">
      <c r="A15" s="700">
        <v>1896</v>
      </c>
      <c r="B15" s="701">
        <v>7.8261940000000001</v>
      </c>
      <c r="C15" s="702">
        <v>49.497975999999994</v>
      </c>
      <c r="P15" s="700">
        <f>LARGE(A$9:A$151,7)</f>
        <v>2018</v>
      </c>
      <c r="Q15" s="433">
        <f t="shared" si="0"/>
        <v>211.09598533001119</v>
      </c>
      <c r="R15" s="674">
        <f t="shared" si="0"/>
        <v>96.2</v>
      </c>
    </row>
    <row r="16" spans="1:18" x14ac:dyDescent="0.25">
      <c r="A16" s="700">
        <v>1897</v>
      </c>
      <c r="B16" s="433">
        <v>18.2789</v>
      </c>
      <c r="C16" s="674">
        <v>54.138829999999992</v>
      </c>
      <c r="P16" s="700">
        <f>LARGE(A$9:A$151,6)</f>
        <v>2019</v>
      </c>
      <c r="Q16" s="701">
        <f t="shared" si="0"/>
        <v>213.87697104706592</v>
      </c>
      <c r="R16" s="702">
        <f t="shared" si="0"/>
        <v>111.12302895293399</v>
      </c>
    </row>
    <row r="17" spans="1:18" x14ac:dyDescent="0.25">
      <c r="A17" s="700">
        <v>1898</v>
      </c>
      <c r="B17" s="701">
        <v>29.50365</v>
      </c>
      <c r="C17" s="702">
        <v>56.012799999999991</v>
      </c>
      <c r="P17" s="700">
        <f>LARGE(A$9:A$151,5)</f>
        <v>2020</v>
      </c>
      <c r="Q17" s="433">
        <f t="shared" si="0"/>
        <v>209.72645486184581</v>
      </c>
      <c r="R17" s="674">
        <f t="shared" si="0"/>
        <v>107.941</v>
      </c>
    </row>
    <row r="18" spans="1:18" x14ac:dyDescent="0.25">
      <c r="A18" s="700">
        <v>1899</v>
      </c>
      <c r="B18" s="433">
        <v>44.892300000000006</v>
      </c>
      <c r="C18" s="674">
        <v>61.525300000000001</v>
      </c>
      <c r="P18" s="700">
        <f>LARGE(A$9:A$151,4)</f>
        <v>2021</v>
      </c>
      <c r="Q18" s="701">
        <f t="shared" si="0"/>
        <v>207.37680836642937</v>
      </c>
      <c r="R18" s="702">
        <f t="shared" si="0"/>
        <v>94.019000000000005</v>
      </c>
    </row>
    <row r="19" spans="1:18" x14ac:dyDescent="0.25">
      <c r="A19" s="700">
        <v>1900</v>
      </c>
      <c r="B19" s="701">
        <v>41.324719999999999</v>
      </c>
      <c r="C19" s="702">
        <v>58.101740000000007</v>
      </c>
      <c r="P19" s="700">
        <f>LARGE(A$9:A$151,3)</f>
        <v>2022</v>
      </c>
      <c r="Q19" s="433">
        <f t="shared" si="0"/>
        <v>214.56949247739956</v>
      </c>
      <c r="R19" s="674">
        <f t="shared" si="0"/>
        <v>86.501999999999995</v>
      </c>
    </row>
    <row r="20" spans="1:18" x14ac:dyDescent="0.25">
      <c r="A20" s="700">
        <v>1901</v>
      </c>
      <c r="B20" s="433">
        <v>49.205489999999998</v>
      </c>
      <c r="C20" s="674">
        <v>53.436310000000006</v>
      </c>
      <c r="P20" s="700">
        <f>LARGE(A$9:A$151,2)</f>
        <v>2023</v>
      </c>
      <c r="Q20" s="701">
        <f t="shared" si="0"/>
        <v>211.6168668580421</v>
      </c>
      <c r="R20" s="702">
        <f t="shared" si="0"/>
        <v>84.437139532133983</v>
      </c>
    </row>
    <row r="21" spans="1:18" ht="15.75" thickBot="1" x14ac:dyDescent="0.3">
      <c r="A21" s="700">
        <v>1902</v>
      </c>
      <c r="B21" s="701">
        <v>55.71705</v>
      </c>
      <c r="C21" s="702">
        <v>52.741749999999996</v>
      </c>
      <c r="P21" s="703">
        <f>LARGE(A$9:A$151,1)</f>
        <v>2024</v>
      </c>
      <c r="Q21" s="446">
        <f t="shared" si="0"/>
        <v>203.25135831764499</v>
      </c>
      <c r="R21" s="704">
        <f t="shared" si="0"/>
        <v>80.875</v>
      </c>
    </row>
    <row r="22" spans="1:18" x14ac:dyDescent="0.25">
      <c r="A22" s="700">
        <v>1903</v>
      </c>
      <c r="B22" s="433">
        <v>61.036239999999999</v>
      </c>
      <c r="C22" s="674">
        <v>58.338259999999998</v>
      </c>
      <c r="Q22" s="148"/>
      <c r="R22" s="148"/>
    </row>
    <row r="23" spans="1:18" x14ac:dyDescent="0.25">
      <c r="A23" s="700">
        <v>1904</v>
      </c>
      <c r="B23" s="701">
        <v>59.52693</v>
      </c>
      <c r="C23" s="702">
        <v>57.158269999999995</v>
      </c>
    </row>
    <row r="24" spans="1:18" x14ac:dyDescent="0.25">
      <c r="A24" s="700">
        <v>1905</v>
      </c>
      <c r="B24" s="433">
        <v>57.250809999999994</v>
      </c>
      <c r="C24" s="674">
        <v>56.770389999999999</v>
      </c>
    </row>
    <row r="25" spans="1:18" x14ac:dyDescent="0.25">
      <c r="A25" s="700">
        <v>1906</v>
      </c>
      <c r="B25" s="701">
        <v>54.004820000000002</v>
      </c>
      <c r="C25" s="702">
        <v>53.096979999999995</v>
      </c>
    </row>
    <row r="26" spans="1:18" x14ac:dyDescent="0.25">
      <c r="A26" s="700">
        <v>1907</v>
      </c>
      <c r="B26" s="433">
        <v>52.00479</v>
      </c>
      <c r="C26" s="674">
        <v>46.95617</v>
      </c>
    </row>
    <row r="27" spans="1:18" x14ac:dyDescent="0.25">
      <c r="A27" s="700">
        <v>1908</v>
      </c>
      <c r="B27" s="701">
        <v>49.031699999999994</v>
      </c>
      <c r="C27" s="702">
        <v>46.601350000000004</v>
      </c>
    </row>
    <row r="28" spans="1:18" x14ac:dyDescent="0.25">
      <c r="A28" s="700">
        <v>1909</v>
      </c>
      <c r="B28" s="433">
        <v>49.031699999999994</v>
      </c>
      <c r="C28" s="674">
        <v>43.31427</v>
      </c>
    </row>
    <row r="29" spans="1:18" x14ac:dyDescent="0.25">
      <c r="A29" s="700">
        <v>1910</v>
      </c>
      <c r="B29" s="701">
        <v>44.236339999999998</v>
      </c>
      <c r="C29" s="702">
        <v>40.393820000000005</v>
      </c>
    </row>
    <row r="30" spans="1:18" x14ac:dyDescent="0.25">
      <c r="A30" s="700">
        <v>1911</v>
      </c>
      <c r="B30" s="433">
        <v>41.647150000000003</v>
      </c>
      <c r="C30" s="674">
        <v>35.615839999999999</v>
      </c>
    </row>
    <row r="31" spans="1:18" x14ac:dyDescent="0.25">
      <c r="A31" s="700">
        <v>1912</v>
      </c>
      <c r="B31" s="701">
        <v>39.434379999999997</v>
      </c>
      <c r="C31" s="702">
        <v>32.910220000000002</v>
      </c>
    </row>
    <row r="32" spans="1:18" x14ac:dyDescent="0.25">
      <c r="A32" s="700">
        <v>1913</v>
      </c>
      <c r="B32" s="433">
        <v>40.406179999999999</v>
      </c>
      <c r="C32" s="674">
        <v>28.25262</v>
      </c>
    </row>
    <row r="33" spans="1:3" x14ac:dyDescent="0.25">
      <c r="A33" s="700">
        <v>1914</v>
      </c>
      <c r="B33" s="701">
        <v>37.767060000000001</v>
      </c>
      <c r="C33" s="702">
        <v>26.1569</v>
      </c>
    </row>
    <row r="34" spans="1:3" x14ac:dyDescent="0.25">
      <c r="A34" s="700">
        <v>1915</v>
      </c>
      <c r="B34" s="433">
        <v>37.184160000000006</v>
      </c>
      <c r="C34" s="674">
        <v>23.371409999999997</v>
      </c>
    </row>
    <row r="35" spans="1:3" x14ac:dyDescent="0.25">
      <c r="A35" s="700">
        <v>1916</v>
      </c>
      <c r="B35" s="701">
        <v>32.090290000000003</v>
      </c>
      <c r="C35" s="702">
        <v>19.722379999999994</v>
      </c>
    </row>
    <row r="36" spans="1:3" x14ac:dyDescent="0.25">
      <c r="A36" s="700">
        <v>1917</v>
      </c>
      <c r="B36" s="433">
        <v>29.77908</v>
      </c>
      <c r="C36" s="674">
        <v>15.512810000000002</v>
      </c>
    </row>
    <row r="37" spans="1:3" x14ac:dyDescent="0.25">
      <c r="A37" s="700">
        <v>1918</v>
      </c>
      <c r="B37" s="701">
        <v>26.625990000000002</v>
      </c>
      <c r="C37" s="702">
        <v>12.974579999999996</v>
      </c>
    </row>
    <row r="38" spans="1:3" x14ac:dyDescent="0.25">
      <c r="A38" s="700">
        <v>1919</v>
      </c>
      <c r="B38" s="433">
        <v>21.40588</v>
      </c>
      <c r="C38" s="674">
        <v>11.815799999999999</v>
      </c>
    </row>
    <row r="39" spans="1:3" x14ac:dyDescent="0.25">
      <c r="A39" s="700">
        <v>1920</v>
      </c>
      <c r="B39" s="701">
        <v>19.491289999999999</v>
      </c>
      <c r="C39" s="702">
        <v>9.8596299999999992</v>
      </c>
    </row>
    <row r="40" spans="1:3" x14ac:dyDescent="0.25">
      <c r="A40" s="700">
        <v>1921</v>
      </c>
      <c r="B40" s="433">
        <v>16.346629999999998</v>
      </c>
      <c r="C40" s="674">
        <v>7.2299600000000019</v>
      </c>
    </row>
    <row r="41" spans="1:3" x14ac:dyDescent="0.25">
      <c r="A41" s="700">
        <v>1922</v>
      </c>
      <c r="B41" s="701">
        <v>16.68824</v>
      </c>
      <c r="C41" s="702">
        <v>6.8094999999999999</v>
      </c>
    </row>
    <row r="42" spans="1:3" x14ac:dyDescent="0.25">
      <c r="A42" s="700">
        <v>1923</v>
      </c>
      <c r="B42" s="433">
        <v>15.41714</v>
      </c>
      <c r="C42" s="674">
        <v>6.7370599999999996</v>
      </c>
    </row>
    <row r="43" spans="1:3" x14ac:dyDescent="0.25">
      <c r="A43" s="700">
        <v>1924</v>
      </c>
      <c r="B43" s="701">
        <v>14.251860000000001</v>
      </c>
      <c r="C43" s="702">
        <v>6.7721300000000006</v>
      </c>
    </row>
    <row r="44" spans="1:3" x14ac:dyDescent="0.25">
      <c r="A44" s="700">
        <v>1925</v>
      </c>
      <c r="B44" s="433">
        <v>13.51549</v>
      </c>
      <c r="C44" s="674">
        <v>3.8771999999999984</v>
      </c>
    </row>
    <row r="45" spans="1:3" x14ac:dyDescent="0.25">
      <c r="A45" s="700">
        <v>1926</v>
      </c>
      <c r="B45" s="701">
        <v>13.322559999999999</v>
      </c>
      <c r="C45" s="702">
        <v>2.8921799999999998</v>
      </c>
    </row>
    <row r="46" spans="1:3" x14ac:dyDescent="0.25">
      <c r="A46" s="700">
        <v>1927</v>
      </c>
      <c r="B46" s="433">
        <v>12.64264</v>
      </c>
      <c r="C46" s="674">
        <v>3.1669800000000006</v>
      </c>
    </row>
    <row r="47" spans="1:3" x14ac:dyDescent="0.25">
      <c r="A47" s="700">
        <v>1928</v>
      </c>
      <c r="B47" s="701">
        <v>12.19501</v>
      </c>
      <c r="C47" s="702">
        <v>2.0400900000000011</v>
      </c>
    </row>
    <row r="48" spans="1:3" x14ac:dyDescent="0.25">
      <c r="A48" s="700">
        <v>1929</v>
      </c>
      <c r="B48" s="433">
        <v>11.57249</v>
      </c>
      <c r="C48" s="674">
        <v>1.7136700000000005</v>
      </c>
    </row>
    <row r="49" spans="1:3" x14ac:dyDescent="0.25">
      <c r="A49" s="700">
        <v>1930</v>
      </c>
      <c r="B49" s="701">
        <v>13.05622</v>
      </c>
      <c r="C49" s="702">
        <v>1.4921799999999994</v>
      </c>
    </row>
    <row r="50" spans="1:3" x14ac:dyDescent="0.25">
      <c r="A50" s="700">
        <v>1931</v>
      </c>
      <c r="B50" s="433">
        <v>16.113</v>
      </c>
      <c r="C50" s="674">
        <v>2.3973900000000015</v>
      </c>
    </row>
    <row r="51" spans="1:3" x14ac:dyDescent="0.25">
      <c r="A51" s="700">
        <v>1932</v>
      </c>
      <c r="B51" s="701">
        <v>18.644069999999999</v>
      </c>
      <c r="C51" s="702">
        <v>3.568010000000001</v>
      </c>
    </row>
    <row r="52" spans="1:3" x14ac:dyDescent="0.25">
      <c r="A52" s="700">
        <v>1933</v>
      </c>
      <c r="B52" s="433">
        <v>19.810680000000001</v>
      </c>
      <c r="C52" s="674">
        <v>6.0135099999999966</v>
      </c>
    </row>
    <row r="53" spans="1:3" x14ac:dyDescent="0.25">
      <c r="A53" s="700">
        <v>1934</v>
      </c>
      <c r="B53" s="701">
        <v>19.90222</v>
      </c>
      <c r="C53" s="702">
        <v>7.6743999999999986</v>
      </c>
    </row>
    <row r="54" spans="1:3" x14ac:dyDescent="0.25">
      <c r="A54" s="700">
        <v>1935</v>
      </c>
      <c r="B54" s="433">
        <v>20.09751</v>
      </c>
      <c r="C54" s="674">
        <v>8.2219499999999996</v>
      </c>
    </row>
    <row r="55" spans="1:3" x14ac:dyDescent="0.25">
      <c r="A55" s="700">
        <v>1936</v>
      </c>
      <c r="B55" s="701">
        <v>26.513279999999998</v>
      </c>
      <c r="C55" s="702">
        <v>10.181080000000005</v>
      </c>
    </row>
    <row r="56" spans="1:3" x14ac:dyDescent="0.25">
      <c r="A56" s="700">
        <v>1937</v>
      </c>
      <c r="B56" s="433">
        <v>31.330179999999999</v>
      </c>
      <c r="C56" s="674">
        <v>11.759949999999996</v>
      </c>
    </row>
    <row r="57" spans="1:3" x14ac:dyDescent="0.25">
      <c r="A57" s="700">
        <v>1938</v>
      </c>
      <c r="B57" s="701">
        <v>36.482810000000001</v>
      </c>
      <c r="C57" s="702">
        <v>13.034979999999997</v>
      </c>
    </row>
    <row r="58" spans="1:3" x14ac:dyDescent="0.25">
      <c r="A58" s="700">
        <v>1939</v>
      </c>
      <c r="B58" s="433">
        <v>36.959809999999997</v>
      </c>
      <c r="C58" s="674">
        <v>14.227080000000001</v>
      </c>
    </row>
    <row r="59" spans="1:3" x14ac:dyDescent="0.25">
      <c r="A59" s="700">
        <v>1940</v>
      </c>
      <c r="B59" s="701">
        <v>35.919629999999998</v>
      </c>
      <c r="C59" s="702">
        <v>15.214450000000006</v>
      </c>
    </row>
    <row r="60" spans="1:3" x14ac:dyDescent="0.25">
      <c r="A60" s="700">
        <v>1941</v>
      </c>
      <c r="B60" s="433">
        <v>34.384169999999997</v>
      </c>
      <c r="C60" s="674">
        <v>12.168340000000008</v>
      </c>
    </row>
    <row r="61" spans="1:3" x14ac:dyDescent="0.25">
      <c r="A61" s="700">
        <v>1942</v>
      </c>
      <c r="B61" s="701">
        <v>26.306450000000002</v>
      </c>
      <c r="C61" s="702">
        <v>9.5803399999999961</v>
      </c>
    </row>
    <row r="62" spans="1:3" x14ac:dyDescent="0.25">
      <c r="A62" s="700">
        <v>1943</v>
      </c>
      <c r="B62" s="433">
        <v>16.539189999999998</v>
      </c>
      <c r="C62" s="674">
        <v>6.8282000000000025</v>
      </c>
    </row>
    <row r="63" spans="1:3" x14ac:dyDescent="0.25">
      <c r="A63" s="700">
        <v>1944</v>
      </c>
      <c r="B63" s="701">
        <v>14.69914</v>
      </c>
      <c r="C63" s="702">
        <v>5.7317099999999996</v>
      </c>
    </row>
    <row r="64" spans="1:3" x14ac:dyDescent="0.25">
      <c r="A64" s="700">
        <v>1945</v>
      </c>
      <c r="B64" s="433">
        <v>14.61572</v>
      </c>
      <c r="C64" s="674">
        <v>5.8258900000000011</v>
      </c>
    </row>
    <row r="65" spans="1:3" x14ac:dyDescent="0.25">
      <c r="A65" s="700">
        <v>1946</v>
      </c>
      <c r="B65" s="701">
        <v>19.240839999999999</v>
      </c>
      <c r="C65" s="702">
        <v>6.4033499999999997</v>
      </c>
    </row>
    <row r="66" spans="1:3" x14ac:dyDescent="0.25">
      <c r="A66" s="700">
        <v>1947</v>
      </c>
      <c r="B66" s="433">
        <v>21.82694</v>
      </c>
      <c r="C66" s="674">
        <v>7.3373600000000003</v>
      </c>
    </row>
    <row r="67" spans="1:3" x14ac:dyDescent="0.25">
      <c r="A67" s="700">
        <v>1948</v>
      </c>
      <c r="B67" s="701">
        <v>20.61354</v>
      </c>
      <c r="C67" s="702">
        <v>6.9288099999999986</v>
      </c>
    </row>
    <row r="68" spans="1:3" x14ac:dyDescent="0.25">
      <c r="A68" s="700">
        <v>1949</v>
      </c>
      <c r="B68" s="433">
        <v>20.203949999999999</v>
      </c>
      <c r="C68" s="674">
        <v>7.4488400000000006</v>
      </c>
    </row>
    <row r="69" spans="1:3" x14ac:dyDescent="0.25">
      <c r="A69" s="700">
        <v>1950</v>
      </c>
      <c r="B69" s="701">
        <v>18.930610000000001</v>
      </c>
      <c r="C69" s="702">
        <v>8.1150099999999981</v>
      </c>
    </row>
    <row r="70" spans="1:3" x14ac:dyDescent="0.25">
      <c r="A70" s="700">
        <v>1951</v>
      </c>
      <c r="B70" s="433">
        <v>20.162669999999999</v>
      </c>
      <c r="C70" s="674">
        <v>7.6920800000000007</v>
      </c>
    </row>
    <row r="71" spans="1:3" x14ac:dyDescent="0.25">
      <c r="A71" s="700">
        <v>1952</v>
      </c>
      <c r="B71" s="701">
        <v>22.62678</v>
      </c>
      <c r="C71" s="702">
        <v>7.8681599999999996</v>
      </c>
    </row>
    <row r="72" spans="1:3" x14ac:dyDescent="0.25">
      <c r="A72" s="700">
        <v>1953</v>
      </c>
      <c r="B72" s="433">
        <v>25.608460000000001</v>
      </c>
      <c r="C72" s="674">
        <v>7.8334100000000007</v>
      </c>
    </row>
    <row r="73" spans="1:3" x14ac:dyDescent="0.25">
      <c r="A73" s="700">
        <v>1954</v>
      </c>
      <c r="B73" s="701">
        <v>26.810950000000002</v>
      </c>
      <c r="C73" s="702">
        <v>7.9547100000000022</v>
      </c>
    </row>
    <row r="74" spans="1:3" x14ac:dyDescent="0.25">
      <c r="A74" s="700">
        <v>1955</v>
      </c>
      <c r="B74" s="433">
        <v>25.950430000000001</v>
      </c>
      <c r="C74" s="674">
        <v>6.678329999999999</v>
      </c>
    </row>
    <row r="75" spans="1:3" x14ac:dyDescent="0.25">
      <c r="A75" s="700">
        <v>1956</v>
      </c>
      <c r="B75" s="701">
        <v>25.306330000000003</v>
      </c>
      <c r="C75" s="702">
        <v>6.7246799999999922</v>
      </c>
    </row>
    <row r="76" spans="1:3" x14ac:dyDescent="0.25">
      <c r="A76" s="700">
        <v>1957</v>
      </c>
      <c r="B76" s="433">
        <v>26.42989</v>
      </c>
      <c r="C76" s="674">
        <v>7.2844400000000036</v>
      </c>
    </row>
    <row r="77" spans="1:3" x14ac:dyDescent="0.25">
      <c r="A77" s="700">
        <v>1958</v>
      </c>
      <c r="B77" s="701">
        <v>27.209910000000001</v>
      </c>
      <c r="C77" s="702">
        <v>7.1276999999999973</v>
      </c>
    </row>
    <row r="78" spans="1:3" x14ac:dyDescent="0.25">
      <c r="A78" s="700">
        <v>1959</v>
      </c>
      <c r="B78" s="433">
        <v>26.779130000000002</v>
      </c>
      <c r="C78" s="674">
        <v>6.9713700000000003</v>
      </c>
    </row>
    <row r="79" spans="1:3" x14ac:dyDescent="0.25">
      <c r="A79" s="700">
        <v>1960</v>
      </c>
      <c r="B79" s="701">
        <v>27.058979999999998</v>
      </c>
      <c r="C79" s="702">
        <v>6.7414500000000004</v>
      </c>
    </row>
    <row r="80" spans="1:3" x14ac:dyDescent="0.25">
      <c r="A80" s="700">
        <v>1961</v>
      </c>
      <c r="B80" s="433">
        <v>27.080490000000001</v>
      </c>
      <c r="C80" s="674">
        <v>6.3959299999999963</v>
      </c>
    </row>
    <row r="81" spans="1:3" x14ac:dyDescent="0.25">
      <c r="A81" s="700">
        <v>1962</v>
      </c>
      <c r="B81" s="701">
        <v>26.750209999999999</v>
      </c>
      <c r="C81" s="702">
        <v>6.4943300000000015</v>
      </c>
    </row>
    <row r="82" spans="1:3" x14ac:dyDescent="0.25">
      <c r="A82" s="700">
        <v>1963</v>
      </c>
      <c r="B82" s="433">
        <v>24.971730000000001</v>
      </c>
      <c r="C82" s="674">
        <v>6.8772999999999982</v>
      </c>
    </row>
    <row r="83" spans="1:3" x14ac:dyDescent="0.25">
      <c r="A83" s="700">
        <v>1964</v>
      </c>
      <c r="B83" s="701">
        <v>22.25395</v>
      </c>
      <c r="C83" s="702">
        <v>7.7246400000000008</v>
      </c>
    </row>
    <row r="84" spans="1:3" x14ac:dyDescent="0.25">
      <c r="A84" s="700">
        <v>1965</v>
      </c>
      <c r="B84" s="433">
        <v>20.414930000000002</v>
      </c>
      <c r="C84" s="674">
        <v>6.8828199999999988</v>
      </c>
    </row>
    <row r="85" spans="1:3" x14ac:dyDescent="0.25">
      <c r="A85" s="700">
        <v>1966</v>
      </c>
      <c r="B85" s="701">
        <v>19.503490000000003</v>
      </c>
      <c r="C85" s="702">
        <v>9.0179299999999962</v>
      </c>
    </row>
    <row r="86" spans="1:3" x14ac:dyDescent="0.25">
      <c r="A86" s="700">
        <v>1967</v>
      </c>
      <c r="B86" s="433">
        <v>17.845759999999999</v>
      </c>
      <c r="C86" s="674">
        <v>7.2029899999999998</v>
      </c>
    </row>
    <row r="87" spans="1:3" x14ac:dyDescent="0.25">
      <c r="A87" s="700">
        <v>1968</v>
      </c>
      <c r="B87" s="701">
        <v>16.047840000000001</v>
      </c>
      <c r="C87" s="702">
        <v>8.2683</v>
      </c>
    </row>
    <row r="88" spans="1:3" x14ac:dyDescent="0.25">
      <c r="A88" s="700">
        <v>1969</v>
      </c>
      <c r="B88" s="433">
        <v>13.68755</v>
      </c>
      <c r="C88" s="674">
        <v>8.1438199999999998</v>
      </c>
    </row>
    <row r="89" spans="1:3" x14ac:dyDescent="0.25">
      <c r="A89" s="700">
        <v>1970</v>
      </c>
      <c r="B89" s="701">
        <v>10.89833</v>
      </c>
      <c r="C89" s="702">
        <v>8.3834</v>
      </c>
    </row>
    <row r="90" spans="1:3" x14ac:dyDescent="0.25">
      <c r="A90" s="700">
        <v>1971</v>
      </c>
      <c r="B90" s="433">
        <v>10.73376</v>
      </c>
      <c r="C90" s="674">
        <v>10.184239999999999</v>
      </c>
    </row>
    <row r="91" spans="1:3" x14ac:dyDescent="0.25">
      <c r="A91" s="700">
        <v>1972</v>
      </c>
      <c r="B91" s="701">
        <v>10.47786</v>
      </c>
      <c r="C91" s="702">
        <v>12.883140000000001</v>
      </c>
    </row>
    <row r="92" spans="1:3" x14ac:dyDescent="0.25">
      <c r="A92" s="700">
        <v>1973</v>
      </c>
      <c r="B92" s="433">
        <v>8.5868889999999993</v>
      </c>
      <c r="C92" s="674">
        <v>8.5871110000000002</v>
      </c>
    </row>
    <row r="93" spans="1:3" x14ac:dyDescent="0.25">
      <c r="A93" s="700">
        <v>1974</v>
      </c>
      <c r="B93" s="701">
        <v>6.5834330000000003</v>
      </c>
      <c r="C93" s="702">
        <v>9.3605669999999996</v>
      </c>
    </row>
    <row r="94" spans="1:3" x14ac:dyDescent="0.25">
      <c r="A94" s="700">
        <v>1975</v>
      </c>
      <c r="B94" s="433">
        <v>7.1049750000000005</v>
      </c>
      <c r="C94" s="674">
        <v>9.2810249999999996</v>
      </c>
    </row>
    <row r="95" spans="1:3" x14ac:dyDescent="0.25">
      <c r="A95" s="700">
        <v>1976</v>
      </c>
      <c r="B95" s="701">
        <v>7.0914160000000006</v>
      </c>
      <c r="C95" s="702">
        <v>8.5455839999999998</v>
      </c>
    </row>
    <row r="96" spans="1:3" x14ac:dyDescent="0.25">
      <c r="A96" s="700">
        <v>1977</v>
      </c>
      <c r="B96" s="433">
        <v>10.74737</v>
      </c>
      <c r="C96" s="674">
        <v>8.6696300000000015</v>
      </c>
    </row>
    <row r="97" spans="1:3" x14ac:dyDescent="0.25">
      <c r="A97" s="700">
        <v>1978</v>
      </c>
      <c r="B97" s="701">
        <v>13.332420000000001</v>
      </c>
      <c r="C97" s="702">
        <v>6.8095799999999986</v>
      </c>
    </row>
    <row r="98" spans="1:3" x14ac:dyDescent="0.25">
      <c r="A98" s="700">
        <v>1979</v>
      </c>
      <c r="B98" s="433">
        <v>11.581989999999999</v>
      </c>
      <c r="C98" s="674">
        <v>8.9840099999999996</v>
      </c>
    </row>
    <row r="99" spans="1:3" x14ac:dyDescent="0.25">
      <c r="A99" s="700">
        <v>1980</v>
      </c>
      <c r="B99" s="701">
        <v>11.232940000000001</v>
      </c>
      <c r="C99" s="702">
        <v>5.8020599999999991</v>
      </c>
    </row>
    <row r="100" spans="1:3" x14ac:dyDescent="0.25">
      <c r="A100" s="700">
        <v>1981</v>
      </c>
      <c r="B100" s="433">
        <v>12.046629999999999</v>
      </c>
      <c r="C100" s="674">
        <v>6.3273700000000002</v>
      </c>
    </row>
    <row r="101" spans="1:3" x14ac:dyDescent="0.25">
      <c r="A101" s="700">
        <v>1982</v>
      </c>
      <c r="B101" s="701">
        <v>20.75675</v>
      </c>
      <c r="C101" s="702">
        <v>6.2042499999999983</v>
      </c>
    </row>
    <row r="102" spans="1:3" x14ac:dyDescent="0.25">
      <c r="A102" s="700">
        <v>1983</v>
      </c>
      <c r="B102" s="433">
        <v>23.88092</v>
      </c>
      <c r="C102" s="674">
        <v>6.7100800000000014</v>
      </c>
    </row>
    <row r="103" spans="1:3" x14ac:dyDescent="0.25">
      <c r="A103" s="700">
        <v>1984</v>
      </c>
      <c r="B103" s="701">
        <v>32.110979999999998</v>
      </c>
      <c r="C103" s="702">
        <v>8.1980199999999996</v>
      </c>
    </row>
    <row r="104" spans="1:3" x14ac:dyDescent="0.25">
      <c r="A104" s="700">
        <v>1985</v>
      </c>
      <c r="B104" s="433">
        <v>41.195999999999998</v>
      </c>
      <c r="C104" s="674">
        <v>17.258720000000004</v>
      </c>
    </row>
    <row r="105" spans="1:3" x14ac:dyDescent="0.25">
      <c r="A105" s="700">
        <v>1986</v>
      </c>
      <c r="B105" s="701">
        <v>53.639470000000003</v>
      </c>
      <c r="C105" s="702">
        <v>21.439529999999991</v>
      </c>
    </row>
    <row r="106" spans="1:3" x14ac:dyDescent="0.25">
      <c r="A106" s="700">
        <v>1987</v>
      </c>
      <c r="B106" s="433">
        <v>79.164000000000001</v>
      </c>
      <c r="C106" s="674">
        <v>32.257660000000001</v>
      </c>
    </row>
    <row r="107" spans="1:3" x14ac:dyDescent="0.25">
      <c r="A107" s="700">
        <v>1988</v>
      </c>
      <c r="B107" s="701">
        <v>108.133</v>
      </c>
      <c r="C107" s="702">
        <v>46.432700000000011</v>
      </c>
    </row>
    <row r="108" spans="1:3" x14ac:dyDescent="0.25">
      <c r="A108" s="700">
        <v>1989</v>
      </c>
      <c r="B108" s="433">
        <v>150.459</v>
      </c>
      <c r="C108" s="674">
        <v>56.530500000000018</v>
      </c>
    </row>
    <row r="109" spans="1:3" x14ac:dyDescent="0.25">
      <c r="A109" s="700">
        <v>1990</v>
      </c>
      <c r="B109" s="701">
        <v>187.744</v>
      </c>
      <c r="C109" s="702">
        <v>65.951999999999998</v>
      </c>
    </row>
    <row r="110" spans="1:3" x14ac:dyDescent="0.25">
      <c r="A110" s="700">
        <v>1991</v>
      </c>
      <c r="B110" s="433">
        <v>184.41</v>
      </c>
      <c r="C110" s="674">
        <v>55.257999999999981</v>
      </c>
    </row>
    <row r="111" spans="1:3" x14ac:dyDescent="0.25">
      <c r="A111" s="700">
        <v>1992</v>
      </c>
      <c r="B111" s="701">
        <v>182.45</v>
      </c>
      <c r="C111" s="702">
        <v>58.68</v>
      </c>
    </row>
    <row r="112" spans="1:3" x14ac:dyDescent="0.25">
      <c r="A112" s="700">
        <v>1993</v>
      </c>
      <c r="B112" s="433">
        <v>182.154</v>
      </c>
      <c r="C112" s="674">
        <v>63.709000000000003</v>
      </c>
    </row>
    <row r="113" spans="1:3" x14ac:dyDescent="0.25">
      <c r="A113" s="700">
        <v>1994</v>
      </c>
      <c r="B113" s="701">
        <v>192.953</v>
      </c>
      <c r="C113" s="702">
        <v>62.046999999999997</v>
      </c>
    </row>
    <row r="114" spans="1:3" x14ac:dyDescent="0.25">
      <c r="A114" s="700">
        <v>1995</v>
      </c>
      <c r="B114" s="433">
        <v>196.791</v>
      </c>
      <c r="C114" s="674">
        <v>56.308999999999997</v>
      </c>
    </row>
    <row r="115" spans="1:3" x14ac:dyDescent="0.25">
      <c r="A115" s="700">
        <v>1996</v>
      </c>
      <c r="B115" s="701">
        <v>228.005</v>
      </c>
      <c r="C115" s="702">
        <v>60.875</v>
      </c>
    </row>
    <row r="116" spans="1:3" x14ac:dyDescent="0.25">
      <c r="A116" s="700">
        <v>1997</v>
      </c>
      <c r="B116" s="433">
        <v>238.33535699999999</v>
      </c>
      <c r="C116" s="674">
        <v>75.114643000000001</v>
      </c>
    </row>
    <row r="117" spans="1:3" x14ac:dyDescent="0.25">
      <c r="A117" s="700">
        <v>1998</v>
      </c>
      <c r="B117" s="701">
        <v>231.375</v>
      </c>
      <c r="C117" s="702">
        <v>78.225000000000023</v>
      </c>
    </row>
    <row r="118" spans="1:3" x14ac:dyDescent="0.25">
      <c r="A118" s="700">
        <v>1999</v>
      </c>
      <c r="B118" s="433">
        <f>SUMIF('Gold - Q&amp;V'!D$9:D$509, A118,'Gold - Q&amp;V'!B$9:B$509)</f>
        <v>211.70000000000002</v>
      </c>
      <c r="C118" s="674">
        <v>87.765999999999991</v>
      </c>
    </row>
    <row r="119" spans="1:3" x14ac:dyDescent="0.25">
      <c r="A119" s="700">
        <v>2000</v>
      </c>
      <c r="B119" s="701">
        <f>SUMIF('Gold - Q&amp;V'!D$9:D$509, A119,'Gold - Q&amp;V'!B$9:B$509)</f>
        <v>199.62</v>
      </c>
      <c r="C119" s="702">
        <v>96.00800000000001</v>
      </c>
    </row>
    <row r="120" spans="1:3" x14ac:dyDescent="0.25">
      <c r="A120" s="700">
        <v>2001</v>
      </c>
      <c r="B120" s="433">
        <f>SUMIF('Gold - Q&amp;V'!D$9:D$509, A120,'Gold - Q&amp;V'!B$9:B$509)</f>
        <v>192.20000000000002</v>
      </c>
      <c r="C120" s="674">
        <v>92.826310999999976</v>
      </c>
    </row>
    <row r="121" spans="1:3" x14ac:dyDescent="0.25">
      <c r="A121" s="700">
        <v>2002</v>
      </c>
      <c r="B121" s="701">
        <f>SUMIF('Gold - Q&amp;V'!D$9:D$509, A121,'Gold - Q&amp;V'!B$9:B$509)</f>
        <v>188.75</v>
      </c>
      <c r="C121" s="702">
        <v>77.281331999999992</v>
      </c>
    </row>
    <row r="122" spans="1:3" x14ac:dyDescent="0.25">
      <c r="A122" s="700">
        <v>2003</v>
      </c>
      <c r="B122" s="433">
        <f>SUMIF('Gold - Q&amp;V'!D$9:D$509, A122,'Gold - Q&amp;V'!B$9:B$509)</f>
        <v>187.59</v>
      </c>
      <c r="C122" s="674">
        <v>96.716024000000004</v>
      </c>
    </row>
    <row r="123" spans="1:3" x14ac:dyDescent="0.25">
      <c r="A123" s="700">
        <v>2004</v>
      </c>
      <c r="B123" s="701">
        <f>SUMIF('Gold - Q&amp;V'!D$9:D$509, A123,'Gold - Q&amp;V'!B$9:B$509)</f>
        <v>163.88</v>
      </c>
      <c r="C123" s="702">
        <v>94.578000000000003</v>
      </c>
    </row>
    <row r="124" spans="1:3" x14ac:dyDescent="0.25">
      <c r="A124" s="700">
        <v>2005</v>
      </c>
      <c r="B124" s="433">
        <f>SUMIF('Gold - Q&amp;V'!D$9:D$509, A124,'Gold - Q&amp;V'!B$9:B$509)</f>
        <v>167.28508118838118</v>
      </c>
      <c r="C124" s="674">
        <v>92.165999999999997</v>
      </c>
    </row>
    <row r="125" spans="1:3" x14ac:dyDescent="0.25">
      <c r="A125" s="700">
        <v>2006</v>
      </c>
      <c r="B125" s="701">
        <f>SUMIF('Gold - Q&amp;V'!D$9:D$509, A125,'Gold - Q&amp;V'!B$9:B$509)</f>
        <v>162.96885743588496</v>
      </c>
      <c r="C125" s="702">
        <v>80.349999999999994</v>
      </c>
    </row>
    <row r="126" spans="1:3" x14ac:dyDescent="0.25">
      <c r="A126" s="700">
        <v>2007</v>
      </c>
      <c r="B126" s="433">
        <f>SUMIF('Gold - Q&amp;V'!D$9:D$509, A126,'Gold - Q&amp;V'!B$9:B$509)</f>
        <v>151.4486196955454</v>
      </c>
      <c r="C126" s="674">
        <v>92.31</v>
      </c>
    </row>
    <row r="127" spans="1:3" x14ac:dyDescent="0.25">
      <c r="A127" s="700">
        <v>2008</v>
      </c>
      <c r="B127" s="701">
        <f>SUMIF('Gold - Q&amp;V'!D$9:D$509, A127,'Gold - Q&amp;V'!B$9:B$509)</f>
        <v>132.07406222857139</v>
      </c>
      <c r="C127" s="702">
        <v>83.175999999999988</v>
      </c>
    </row>
    <row r="128" spans="1:3" x14ac:dyDescent="0.25">
      <c r="A128" s="700">
        <v>2009</v>
      </c>
      <c r="B128" s="433">
        <f>SUMIF('Gold - Q&amp;V'!D$9:D$509, A128,'Gold - Q&amp;V'!B$9:B$509)</f>
        <v>146.42769796810049</v>
      </c>
      <c r="C128" s="674">
        <v>71.5</v>
      </c>
    </row>
    <row r="129" spans="1:3" x14ac:dyDescent="0.25">
      <c r="A129" s="700">
        <v>2010</v>
      </c>
      <c r="B129" s="701">
        <f>SUMIF('Gold - Q&amp;V'!D$9:D$509, A129,'Gold - Q&amp;V'!B$9:B$509)</f>
        <v>182.89928812222109</v>
      </c>
      <c r="C129" s="702">
        <v>77.5</v>
      </c>
    </row>
    <row r="130" spans="1:3" x14ac:dyDescent="0.25">
      <c r="A130" s="700">
        <v>2011</v>
      </c>
      <c r="B130" s="433">
        <f>SUMIF('Gold - Q&amp;V'!D$9:D$509, A130,'Gold - Q&amp;V'!B$9:B$509)</f>
        <v>179.60791441262091</v>
      </c>
      <c r="C130" s="674">
        <v>78.400000000000006</v>
      </c>
    </row>
    <row r="131" spans="1:3" x14ac:dyDescent="0.25">
      <c r="A131" s="700">
        <v>2012</v>
      </c>
      <c r="B131" s="701">
        <f>SUMIF('Gold - Q&amp;V'!D$9:D$509, A131,'Gold - Q&amp;V'!B$9:B$509)</f>
        <v>181.29090201866299</v>
      </c>
      <c r="C131" s="702">
        <v>69.5</v>
      </c>
    </row>
    <row r="132" spans="1:3" x14ac:dyDescent="0.25">
      <c r="A132" s="700">
        <v>2013</v>
      </c>
      <c r="B132" s="433">
        <f>SUMIF('Gold - Q&amp;V'!D$9:D$509, A132,'Gold - Q&amp;V'!B$9:B$509)</f>
        <v>187.46183645020102</v>
      </c>
      <c r="C132" s="674">
        <v>81.7</v>
      </c>
    </row>
    <row r="133" spans="1:3" x14ac:dyDescent="0.25">
      <c r="A133" s="700">
        <v>2014</v>
      </c>
      <c r="B133" s="701">
        <f>SUMIF('Gold - Q&amp;V'!D$9:D$509, A133,'Gold - Q&amp;V'!B$9:B$509)</f>
        <v>194.61577561329449</v>
      </c>
      <c r="C133" s="702">
        <v>85.5</v>
      </c>
    </row>
    <row r="134" spans="1:3" x14ac:dyDescent="0.25">
      <c r="A134" s="700">
        <v>2015</v>
      </c>
      <c r="B134" s="433">
        <f>SUMIF('Gold - Q&amp;V'!D$9:D$509, A134,'Gold - Q&amp;V'!B$9:B$509)</f>
        <v>194.47144014692842</v>
      </c>
      <c r="C134" s="674">
        <v>89.7</v>
      </c>
    </row>
    <row r="135" spans="1:3" x14ac:dyDescent="0.25">
      <c r="A135" s="700">
        <v>2016</v>
      </c>
      <c r="B135" s="701">
        <f>SUMIF('Gold - Q&amp;V'!D$9:D$509, A135,'Gold - Q&amp;V'!B$9:B$509)</f>
        <v>197.07233863062316</v>
      </c>
      <c r="C135" s="702">
        <v>94.1</v>
      </c>
    </row>
    <row r="136" spans="1:3" x14ac:dyDescent="0.25">
      <c r="A136" s="700">
        <v>2017</v>
      </c>
      <c r="B136" s="433">
        <f>SUMIF('Gold - Q&amp;V'!D$9:D$509, A136,'Gold - Q&amp;V'!B$9:B$509)</f>
        <v>210.99182809083629</v>
      </c>
      <c r="C136" s="674">
        <v>87.5</v>
      </c>
    </row>
    <row r="137" spans="1:3" x14ac:dyDescent="0.25">
      <c r="A137" s="700">
        <v>2018</v>
      </c>
      <c r="B137" s="701">
        <f>SUMIF('Gold - Q&amp;V'!D$9:D$509, A137,'Gold - Q&amp;V'!B$9:B$509)</f>
        <v>211.09598533001119</v>
      </c>
      <c r="C137" s="702">
        <v>96.2</v>
      </c>
    </row>
    <row r="138" spans="1:3" x14ac:dyDescent="0.25">
      <c r="A138" s="700">
        <v>2019</v>
      </c>
      <c r="B138" s="433">
        <f>SUMIF('Gold - Q&amp;V'!D$9:D$509, A138,'Gold - Q&amp;V'!B$9:B$509)</f>
        <v>213.87697104706592</v>
      </c>
      <c r="C138" s="674">
        <v>111.12302895293399</v>
      </c>
    </row>
    <row r="139" spans="1:3" x14ac:dyDescent="0.25">
      <c r="A139" s="700">
        <v>2020</v>
      </c>
      <c r="B139" s="701">
        <f>SUMIF('Gold - Q&amp;V'!D$9:D$509, A139,'Gold - Q&amp;V'!B$9:B$509)</f>
        <v>209.72645486184581</v>
      </c>
      <c r="C139" s="702">
        <v>107.941</v>
      </c>
    </row>
    <row r="140" spans="1:3" x14ac:dyDescent="0.25">
      <c r="A140" s="700">
        <v>2021</v>
      </c>
      <c r="B140" s="433">
        <f>SUMIF('Gold - Q&amp;V'!D$9:D$509, A140,'Gold - Q&amp;V'!B$9:B$509)</f>
        <v>207.37680836642937</v>
      </c>
      <c r="C140" s="674">
        <v>94.019000000000005</v>
      </c>
    </row>
    <row r="141" spans="1:3" x14ac:dyDescent="0.25">
      <c r="A141" s="700">
        <v>2022</v>
      </c>
      <c r="B141" s="705">
        <f>SUMIF('Gold - Q&amp;V'!D$9:D$509, A141,'Gold - Q&amp;V'!B$9:B$509)</f>
        <v>214.56949247739956</v>
      </c>
      <c r="C141" s="677">
        <v>86.501999999999995</v>
      </c>
    </row>
    <row r="142" spans="1:3" x14ac:dyDescent="0.25">
      <c r="A142" s="700">
        <v>2023</v>
      </c>
      <c r="B142" s="433">
        <f>SUMIF('Gold - Q&amp;V'!D$9:D$509, A142,'Gold - Q&amp;V'!B$9:B$509)</f>
        <v>211.6168668580421</v>
      </c>
      <c r="C142" s="674">
        <v>84.437139532133983</v>
      </c>
    </row>
    <row r="143" spans="1:3" ht="15.75" thickBot="1" x14ac:dyDescent="0.3">
      <c r="A143" s="703">
        <v>2024</v>
      </c>
      <c r="B143" s="1184">
        <f>SUMIF('Gold - Q&amp;V'!D$9:D$509, A143,'Gold - Q&amp;V'!B$9:B$509)</f>
        <v>203.25135831764499</v>
      </c>
      <c r="C143" s="680">
        <v>80.875</v>
      </c>
    </row>
  </sheetData>
  <mergeCells count="3">
    <mergeCell ref="A7:C7"/>
    <mergeCell ref="P9:R9"/>
    <mergeCell ref="P10:R10"/>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154DD-495A-4158-8521-B566F3759CAD}">
  <sheetPr>
    <tabColor theme="5" tint="0.39997558519241921"/>
  </sheetPr>
  <dimension ref="A1:T71"/>
  <sheetViews>
    <sheetView showGridLines="0" zoomScale="85" zoomScaleNormal="85" workbookViewId="0">
      <pane xSplit="1" ySplit="10" topLeftCell="B11" activePane="bottomRight" state="frozen"/>
      <selection pane="topRight" activeCell="B1" sqref="B1"/>
      <selection pane="bottomLeft" activeCell="A11" sqref="A11"/>
      <selection pane="bottomRight"/>
    </sheetView>
  </sheetViews>
  <sheetFormatPr defaultColWidth="9.140625" defaultRowHeight="15" x14ac:dyDescent="0.25"/>
  <cols>
    <col min="1" max="1" width="12.7109375" customWidth="1"/>
    <col min="2" max="3" width="25.7109375" customWidth="1"/>
    <col min="4" max="4" width="10.7109375" customWidth="1"/>
    <col min="5" max="5" width="12.7109375" customWidth="1"/>
    <col min="6" max="7" width="25.7109375" customWidth="1"/>
  </cols>
  <sheetData>
    <row r="1" spans="1:20" ht="15" customHeight="1" x14ac:dyDescent="0.25">
      <c r="T1" s="58" t="s">
        <v>551</v>
      </c>
    </row>
    <row r="2" spans="1:20" ht="15" customHeight="1" x14ac:dyDescent="0.25">
      <c r="T2" s="58" t="s">
        <v>552</v>
      </c>
    </row>
    <row r="3" spans="1:20" ht="15" customHeight="1" x14ac:dyDescent="0.25"/>
    <row r="4" spans="1:20" ht="15" customHeight="1" x14ac:dyDescent="0.25"/>
    <row r="5" spans="1:20" ht="15" customHeight="1" x14ac:dyDescent="0.25">
      <c r="E5" s="421"/>
    </row>
    <row r="6" spans="1:20" ht="15" customHeight="1" x14ac:dyDescent="0.25">
      <c r="E6" s="421"/>
    </row>
    <row r="7" spans="1:20" ht="15" customHeight="1" x14ac:dyDescent="0.25">
      <c r="A7" s="1393" t="s">
        <v>568</v>
      </c>
      <c r="B7" s="1393"/>
      <c r="C7" s="1393"/>
      <c r="E7" s="1393" t="s">
        <v>553</v>
      </c>
      <c r="F7" s="1393"/>
      <c r="G7" s="1393"/>
    </row>
    <row r="8" spans="1:20" ht="15" customHeight="1" thickBot="1" x14ac:dyDescent="0.3">
      <c r="A8" s="1393" t="s">
        <v>569</v>
      </c>
      <c r="B8" s="1393"/>
      <c r="C8" s="1393"/>
      <c r="E8" s="1395" t="str">
        <f>E28</f>
        <v>Historic Calendar Year</v>
      </c>
      <c r="F8" s="1395"/>
      <c r="G8" s="1395"/>
    </row>
    <row r="9" spans="1:20" x14ac:dyDescent="0.25">
      <c r="A9" s="706"/>
      <c r="B9" s="707" t="s">
        <v>581</v>
      </c>
      <c r="C9" s="708" t="s">
        <v>581</v>
      </c>
      <c r="E9" s="709"/>
      <c r="F9" s="710" t="s">
        <v>581</v>
      </c>
      <c r="G9" s="711" t="s">
        <v>581</v>
      </c>
    </row>
    <row r="10" spans="1:20" x14ac:dyDescent="0.25">
      <c r="A10" s="712" t="s">
        <v>269</v>
      </c>
      <c r="B10" s="713" t="s">
        <v>258</v>
      </c>
      <c r="C10" s="714" t="s">
        <v>259</v>
      </c>
      <c r="E10" s="712" t="s">
        <v>272</v>
      </c>
      <c r="F10" s="715" t="s">
        <v>258</v>
      </c>
      <c r="G10" s="716" t="s">
        <v>259</v>
      </c>
    </row>
    <row r="11" spans="1:20" x14ac:dyDescent="0.25">
      <c r="A11" s="717">
        <f>LARGE('Commodity Prices'!C$161:C$904,61)</f>
        <v>44166</v>
      </c>
      <c r="B11" s="462">
        <f>SUMIF('Commodity Prices'!$C$161:$C$904,$A11,'Commodity Prices'!K$161:K$904)</f>
        <v>156</v>
      </c>
      <c r="C11" s="463">
        <f>SUMIF('Commodity Prices'!$C$161:$C$904,$A11,'Commodity Prices'!L$161:L$904)</f>
        <v>207.43367314633068</v>
      </c>
      <c r="E11" s="718">
        <f>IF(E8="Historic Calendar Year", 2011, "2011-12")</f>
        <v>2011</v>
      </c>
      <c r="F11" s="635">
        <f>IF($E$8="Historic Calendar Year",
 IF(COUNTIFS('Commodity Prices'!$K:$K, "&gt;0", 'Commodity Prices'!$A:$A, $E11)=12, AVERAGEIFS('Commodity Prices'!$K:$K, 'Commodity Prices'!$A:$A, $E11), NA()),
 IF(COUNTIFS('Commodity Prices'!$K:$K, "&gt;0", 'Commodity Prices'!$B:$B, $E11)=12, AVERAGEIFS('Commodity Prices'!$K:$K, 'Commodity Prices'!$B:$B, $E11), NA())
)</f>
        <v>167.58166666666668</v>
      </c>
      <c r="G11" s="638">
        <f>IF($E$8="Historic Calendar Year",
 IF(COUNTIFS('Commodity Prices'!$L:$L, "&gt;0", 'Commodity Prices'!$A:$A, $E11)=12, AVERAGEIFS('Commodity Prices'!$L:$L, 'Commodity Prices'!$A:$A, $E11), NA()),
 IF(COUNTIFS('Commodity Prices'!$L:$L, "&gt;0", 'Commodity Prices'!$B:$B, $E11)=12, AVERAGEIFS('Commodity Prices'!$L:$L, 'Commodity Prices'!$B:$B, $E11), NA())
)</f>
        <v>162.39359500074252</v>
      </c>
    </row>
    <row r="12" spans="1:20" x14ac:dyDescent="0.25">
      <c r="A12" s="719">
        <f>LARGE('Commodity Prices'!C$161:C$904,60)</f>
        <v>44197</v>
      </c>
      <c r="B12" s="720">
        <f>SUMIF('Commodity Prices'!$C$161:$C$904,$A12,'Commodity Prices'!K$161:K$904)</f>
        <v>168</v>
      </c>
      <c r="C12" s="721">
        <f>SUMIF('Commodity Prices'!$C$161:$C$904,$A12,'Commodity Prices'!L$161:L$904)</f>
        <v>217.45202362542659</v>
      </c>
      <c r="E12" s="722">
        <f>IF($E$8="Historic Calendar Year", E11+1, LEFT(E11, 4)+1 &amp; "-" &amp; RIGHT( LEFT(E11, 4)+2, 2))</f>
        <v>2012</v>
      </c>
      <c r="F12" s="720">
        <f>IF($E$8="Historic Calendar Year",
 IF(COUNTIFS('Commodity Prices'!$K:$K, "&gt;0", 'Commodity Prices'!$A:$A, $E12)=12, AVERAGEIFS('Commodity Prices'!$K:$K, 'Commodity Prices'!$A:$A, $E12), NA()),
 IF(COUNTIFS('Commodity Prices'!$K:$K, "&gt;0", 'Commodity Prices'!$B:$B, $E12)=12, AVERAGEIFS('Commodity Prices'!$K:$K, 'Commodity Prices'!$B:$B, $E12), NA())
)</f>
        <v>128.42583333333334</v>
      </c>
      <c r="G12" s="721">
        <f>IF($E$8="Historic Calendar Year",
 IF(COUNTIFS('Commodity Prices'!$L:$L, "&gt;0", 'Commodity Prices'!$A:$A, $E12)=12, AVERAGEIFS('Commodity Prices'!$L:$L, 'Commodity Prices'!$A:$A, $E12), NA()),
 IF(COUNTIFS('Commodity Prices'!$L:$L, "&gt;0", 'Commodity Prices'!$B:$B, $E12)=12, AVERAGEIFS('Commodity Prices'!$L:$L, 'Commodity Prices'!$B:$B, $E12), NA())
)</f>
        <v>124.02123322821585</v>
      </c>
    </row>
    <row r="13" spans="1:20" x14ac:dyDescent="0.25">
      <c r="A13" s="717">
        <f>LARGE('Commodity Prices'!C$161:C$904,59)</f>
        <v>44228</v>
      </c>
      <c r="B13" s="462">
        <f>SUMIF('Commodity Prices'!$C$161:$C$904,$A13,'Commodity Prices'!K$161:K$904)</f>
        <v>165.36</v>
      </c>
      <c r="C13" s="463">
        <f>SUMIF('Commodity Prices'!$C$161:$C$904,$A13,'Commodity Prices'!L$161:L$904)</f>
        <v>213.24254792347722</v>
      </c>
      <c r="E13" s="718">
        <f t="shared" ref="E13:E25" si="0">IF($E$8="Historic Calendar Year", E12+1, LEFT(E12, 4)+1 &amp; "-" &amp; RIGHT( LEFT(E12, 4)+2, 2))</f>
        <v>2013</v>
      </c>
      <c r="F13" s="635">
        <f>IF($E$8="Historic Calendar Year",
 IF(COUNTIFS('Commodity Prices'!$K:$K, "&gt;0", 'Commodity Prices'!$A:$A, $E13)=12, AVERAGEIFS('Commodity Prices'!$K:$K, 'Commodity Prices'!$A:$A, $E13), NA()),
 IF(COUNTIFS('Commodity Prices'!$K:$K, "&gt;0", 'Commodity Prices'!$B:$B, $E13)=12, AVERAGEIFS('Commodity Prices'!$K:$K, 'Commodity Prices'!$B:$B, $E13), NA())
)</f>
        <v>135.18833333333333</v>
      </c>
      <c r="G13" s="638">
        <f>IF($E$8="Historic Calendar Year",
 IF(COUNTIFS('Commodity Prices'!$L:$L, "&gt;0", 'Commodity Prices'!$A:$A, $E13)=12, AVERAGEIFS('Commodity Prices'!$L:$L, 'Commodity Prices'!$A:$A, $E13), NA()),
 IF(COUNTIFS('Commodity Prices'!$L:$L, "&gt;0", 'Commodity Prices'!$B:$B, $E13)=12, AVERAGEIFS('Commodity Prices'!$L:$L, 'Commodity Prices'!$B:$B, $E13), NA())
)</f>
        <v>139.71546765309628</v>
      </c>
    </row>
    <row r="14" spans="1:20" x14ac:dyDescent="0.25">
      <c r="A14" s="719">
        <f>LARGE('Commodity Prices'!C$161:C$904,58)</f>
        <v>44256</v>
      </c>
      <c r="B14" s="720">
        <f>SUMIF('Commodity Prices'!$C$161:$C$904,$A14,'Commodity Prices'!K$161:K$904)</f>
        <v>166.9</v>
      </c>
      <c r="C14" s="721">
        <f>SUMIF('Commodity Prices'!$C$161:$C$904,$A14,'Commodity Prices'!L$161:L$904)</f>
        <v>216.44892274554692</v>
      </c>
      <c r="E14" s="722">
        <f t="shared" si="0"/>
        <v>2014</v>
      </c>
      <c r="F14" s="720">
        <f>IF($E$8="Historic Calendar Year",
 IF(COUNTIFS('Commodity Prices'!$K:$K, "&gt;0", 'Commodity Prices'!$A:$A, $E14)=12, AVERAGEIFS('Commodity Prices'!$K:$K, 'Commodity Prices'!$A:$A, $E14), NA()),
 IF(COUNTIFS('Commodity Prices'!$K:$K, "&gt;0", 'Commodity Prices'!$B:$B, $E14)=12, AVERAGEIFS('Commodity Prices'!$K:$K, 'Commodity Prices'!$B:$B, $E14), NA())
)</f>
        <v>96.352916666666673</v>
      </c>
      <c r="G14" s="721">
        <f>IF($E$8="Historic Calendar Year",
 IF(COUNTIFS('Commodity Prices'!$L:$L, "&gt;0", 'Commodity Prices'!$A:$A, $E14)=12, AVERAGEIFS('Commodity Prices'!$L:$L, 'Commodity Prices'!$A:$A, $E14), NA()),
 IF(COUNTIFS('Commodity Prices'!$L:$L, "&gt;0", 'Commodity Prices'!$B:$B, $E14)=12, AVERAGEIFS('Commodity Prices'!$L:$L, 'Commodity Prices'!$B:$B, $E14), NA())
)</f>
        <v>106.50278486438286</v>
      </c>
    </row>
    <row r="15" spans="1:20" x14ac:dyDescent="0.25">
      <c r="A15" s="717">
        <f>LARGE('Commodity Prices'!C$161:C$904,57)</f>
        <v>44287</v>
      </c>
      <c r="B15" s="462">
        <f>SUMIF('Commodity Prices'!$C$161:$C$904,$A15,'Commodity Prices'!K$161:K$904)</f>
        <v>179.85</v>
      </c>
      <c r="C15" s="463">
        <f>SUMIF('Commodity Prices'!$C$161:$C$904,$A15,'Commodity Prices'!L$161:L$904)</f>
        <v>233.47136941310865</v>
      </c>
      <c r="E15" s="718">
        <f t="shared" si="0"/>
        <v>2015</v>
      </c>
      <c r="F15" s="635">
        <f>IF($E$8="Historic Calendar Year",
 IF(COUNTIFS('Commodity Prices'!$K:$K, "&gt;0", 'Commodity Prices'!$A:$A, $E15)=12, AVERAGEIFS('Commodity Prices'!$K:$K, 'Commodity Prices'!$A:$A, $E15), NA()),
 IF(COUNTIFS('Commodity Prices'!$K:$K, "&gt;0", 'Commodity Prices'!$B:$B, $E15)=12, AVERAGEIFS('Commodity Prices'!$K:$K, 'Commodity Prices'!$B:$B, $E15), NA())
)</f>
        <v>54.300833333333337</v>
      </c>
      <c r="G15" s="638">
        <f>IF($E$8="Historic Calendar Year",
 IF(COUNTIFS('Commodity Prices'!$L:$L, "&gt;0", 'Commodity Prices'!$A:$A, $E15)=12, AVERAGEIFS('Commodity Prices'!$L:$L, 'Commodity Prices'!$A:$A, $E15), NA()),
 IF(COUNTIFS('Commodity Prices'!$L:$L, "&gt;0", 'Commodity Prices'!$B:$B, $E15)=12, AVERAGEIFS('Commodity Prices'!$L:$L, 'Commodity Prices'!$B:$B, $E15), NA())
)</f>
        <v>71.974003408098795</v>
      </c>
    </row>
    <row r="16" spans="1:20" x14ac:dyDescent="0.25">
      <c r="A16" s="719">
        <f>LARGE('Commodity Prices'!C$161:C$904,56)</f>
        <v>44317</v>
      </c>
      <c r="B16" s="720">
        <f>SUMIF('Commodity Prices'!$C$161:$C$904,$A16,'Commodity Prices'!K$161:K$904)</f>
        <v>205.37</v>
      </c>
      <c r="C16" s="721">
        <f>SUMIF('Commodity Prices'!$C$161:$C$904,$A16,'Commodity Prices'!L$161:L$904)</f>
        <v>264.67155166065243</v>
      </c>
      <c r="E16" s="718">
        <f t="shared" si="0"/>
        <v>2016</v>
      </c>
      <c r="F16" s="720">
        <f>IF($E$8="Historic Calendar Year",
 IF(COUNTIFS('Commodity Prices'!$K:$K, "&gt;0", 'Commodity Prices'!$A:$A, $E16)=12, AVERAGEIFS('Commodity Prices'!$K:$K, 'Commodity Prices'!$A:$A, $E16), NA()),
 IF(COUNTIFS('Commodity Prices'!$K:$K, "&gt;0", 'Commodity Prices'!$B:$B, $E16)=12, AVERAGEIFS('Commodity Prices'!$K:$K, 'Commodity Prices'!$B:$B, $E16), NA())
)</f>
        <v>57.74583333333333</v>
      </c>
      <c r="G16" s="721">
        <f>IF($E$8="Historic Calendar Year",
 IF(COUNTIFS('Commodity Prices'!$L:$L, "&gt;0", 'Commodity Prices'!$A:$A, $E16)=12, AVERAGEIFS('Commodity Prices'!$L:$L, 'Commodity Prices'!$A:$A, $E16), NA()),
 IF(COUNTIFS('Commodity Prices'!$L:$L, "&gt;0", 'Commodity Prices'!$B:$B, $E16)=12, AVERAGEIFS('Commodity Prices'!$L:$L, 'Commodity Prices'!$B:$B, $E16), NA())
)</f>
        <v>77.489999999999995</v>
      </c>
    </row>
    <row r="17" spans="1:7" x14ac:dyDescent="0.25">
      <c r="A17" s="717">
        <f>LARGE('Commodity Prices'!C$161:C$904,56)</f>
        <v>44317</v>
      </c>
      <c r="B17" s="462">
        <f>SUMIF('Commodity Prices'!$C$161:$C$904,$A17,'Commodity Prices'!K$161:K$904)</f>
        <v>205.37</v>
      </c>
      <c r="C17" s="463">
        <f>SUMIF('Commodity Prices'!$C$161:$C$904,$A17,'Commodity Prices'!L$161:L$904)</f>
        <v>264.67155166065243</v>
      </c>
      <c r="E17" s="718">
        <f t="shared" si="0"/>
        <v>2017</v>
      </c>
      <c r="F17" s="635">
        <f>IF($E$8="Historic Calendar Year",
 IF(COUNTIFS('Commodity Prices'!$K:$K, "&gt;0", 'Commodity Prices'!$A:$A, $E17)=12, AVERAGEIFS('Commodity Prices'!$K:$K, 'Commodity Prices'!$A:$A, $E17), NA()),
 IF(COUNTIFS('Commodity Prices'!$K:$K, "&gt;0", 'Commodity Prices'!$B:$B, $E17)=12, AVERAGEIFS('Commodity Prices'!$K:$K, 'Commodity Prices'!$B:$B, $E17), NA())
)</f>
        <v>71.602500000000006</v>
      </c>
      <c r="G17" s="638">
        <f>IF($E$8="Historic Calendar Year",
 IF(COUNTIFS('Commodity Prices'!$L:$L, "&gt;0", 'Commodity Prices'!$A:$A, $E17)=12, AVERAGEIFS('Commodity Prices'!$L:$L, 'Commodity Prices'!$A:$A, $E17), NA()),
 IF(COUNTIFS('Commodity Prices'!$L:$L, "&gt;0", 'Commodity Prices'!$B:$B, $E17)=12, AVERAGEIFS('Commodity Prices'!$L:$L, 'Commodity Prices'!$B:$B, $E17), NA())
)</f>
        <v>93.28703937731278</v>
      </c>
    </row>
    <row r="18" spans="1:7" x14ac:dyDescent="0.25">
      <c r="A18" s="719">
        <f>LARGE('Commodity Prices'!C$161:C$904,54)</f>
        <v>44378</v>
      </c>
      <c r="B18" s="720">
        <f>SUMIF('Commodity Prices'!$C$161:$C$904,$A18,'Commodity Prices'!K$161:K$904)</f>
        <v>211.88</v>
      </c>
      <c r="C18" s="721">
        <f>SUMIF('Commodity Prices'!$C$161:$C$904,$A18,'Commodity Prices'!L$161:L$904)</f>
        <v>285.36900425479814</v>
      </c>
      <c r="E18" s="718">
        <f t="shared" si="0"/>
        <v>2018</v>
      </c>
      <c r="F18" s="720">
        <f>IF($E$8="Historic Calendar Year",
 IF(COUNTIFS('Commodity Prices'!$K:$K, "&gt;0", 'Commodity Prices'!$A:$A, $E18)=12, AVERAGEIFS('Commodity Prices'!$K:$K, 'Commodity Prices'!$A:$A, $E18), NA()),
 IF(COUNTIFS('Commodity Prices'!$K:$K, "&gt;0", 'Commodity Prices'!$B:$B, $E18)=12, AVERAGEIFS('Commodity Prices'!$K:$K, 'Commodity Prices'!$B:$B, $E18), NA())
)</f>
        <v>69.38</v>
      </c>
      <c r="G18" s="721">
        <f>IF($E$8="Historic Calendar Year",
 IF(COUNTIFS('Commodity Prices'!$L:$L, "&gt;0", 'Commodity Prices'!$A:$A, $E18)=12, AVERAGEIFS('Commodity Prices'!$L:$L, 'Commodity Prices'!$A:$A, $E18), NA()),
 IF(COUNTIFS('Commodity Prices'!$L:$L, "&gt;0", 'Commodity Prices'!$B:$B, $E18)=12, AVERAGEIFS('Commodity Prices'!$L:$L, 'Commodity Prices'!$B:$B, $E18), NA())
)</f>
        <v>92.802397500993834</v>
      </c>
    </row>
    <row r="19" spans="1:7" x14ac:dyDescent="0.25">
      <c r="A19" s="717">
        <f>LARGE('Commodity Prices'!C$161:C$904,53)</f>
        <v>44409</v>
      </c>
      <c r="B19" s="462">
        <f>SUMIF('Commodity Prices'!$C$161:$C$904,$A19,'Commodity Prices'!K$161:K$904)</f>
        <v>159.19999999999999</v>
      </c>
      <c r="C19" s="463">
        <f>SUMIF('Commodity Prices'!$C$161:$C$904,$A19,'Commodity Prices'!L$161:L$904)</f>
        <v>218.0551660263894</v>
      </c>
      <c r="E19" s="718">
        <f t="shared" si="0"/>
        <v>2019</v>
      </c>
      <c r="F19" s="635">
        <f>IF($E$8="Historic Calendar Year",
 IF(COUNTIFS('Commodity Prices'!$K:$K, "&gt;0", 'Commodity Prices'!$A:$A, $E19)=12, AVERAGEIFS('Commodity Prices'!$K:$K, 'Commodity Prices'!$A:$A, $E19), NA()),
 IF(COUNTIFS('Commodity Prices'!$K:$K, "&gt;0", 'Commodity Prices'!$B:$B, $E19)=12, AVERAGEIFS('Commodity Prices'!$K:$K, 'Commodity Prices'!$B:$B, $E19), NA())
)</f>
        <v>93.331666666666663</v>
      </c>
      <c r="G19" s="638">
        <f>IF($E$8="Historic Calendar Year",
 IF(COUNTIFS('Commodity Prices'!$L:$L, "&gt;0", 'Commodity Prices'!$A:$A, $E19)=12, AVERAGEIFS('Commodity Prices'!$L:$L, 'Commodity Prices'!$A:$A, $E19), NA()),
 IF(COUNTIFS('Commodity Prices'!$L:$L, "&gt;0", 'Commodity Prices'!$B:$B, $E19)=12, AVERAGEIFS('Commodity Prices'!$L:$L, 'Commodity Prices'!$B:$B, $E19), NA())
)</f>
        <v>134.30853316588613</v>
      </c>
    </row>
    <row r="20" spans="1:7" x14ac:dyDescent="0.25">
      <c r="A20" s="719">
        <f>LARGE('Commodity Prices'!C$161:C$904,52)</f>
        <v>44440</v>
      </c>
      <c r="B20" s="720">
        <f>SUMIF('Commodity Prices'!$C$161:$C$904,$A20,'Commodity Prices'!K$161:K$904)</f>
        <v>120.32</v>
      </c>
      <c r="C20" s="721">
        <f>SUMIF('Commodity Prices'!$C$161:$C$904,$A20,'Commodity Prices'!L$161:L$904)</f>
        <v>164.32566657354812</v>
      </c>
      <c r="E20" s="718">
        <f t="shared" si="0"/>
        <v>2020</v>
      </c>
      <c r="F20" s="720">
        <f>IF($E$8="Historic Calendar Year",
 IF(COUNTIFS('Commodity Prices'!$K:$K, "&gt;0", 'Commodity Prices'!$A:$A, $E20)=12, AVERAGEIFS('Commodity Prices'!$K:$K, 'Commodity Prices'!$A:$A, $E20), NA()),
 IF(COUNTIFS('Commodity Prices'!$K:$K, "&gt;0", 'Commodity Prices'!$B:$B, $E20)=12, AVERAGEIFS('Commodity Prices'!$K:$K, 'Commodity Prices'!$B:$B, $E20), NA())
)</f>
        <v>108.10916666666668</v>
      </c>
      <c r="G20" s="721">
        <f>IF($E$8="Historic Calendar Year",
 IF(COUNTIFS('Commodity Prices'!$L:$L, "&gt;0", 'Commodity Prices'!$A:$A, $E20)=12, AVERAGEIFS('Commodity Prices'!$L:$L, 'Commodity Prices'!$A:$A, $E20), NA()),
 IF(COUNTIFS('Commodity Prices'!$L:$L, "&gt;0", 'Commodity Prices'!$B:$B, $E20)=12, AVERAGEIFS('Commodity Prices'!$L:$L, 'Commodity Prices'!$B:$B, $E20), NA())
)</f>
        <v>155.54133628125152</v>
      </c>
    </row>
    <row r="21" spans="1:7" x14ac:dyDescent="0.25">
      <c r="A21" s="717">
        <f>LARGE('Commodity Prices'!C$161:C$904,51)</f>
        <v>44470</v>
      </c>
      <c r="B21" s="462">
        <f>SUMIF('Commodity Prices'!$C$161:$C$904,$A21,'Commodity Prices'!K$161:K$904)</f>
        <v>120.97</v>
      </c>
      <c r="C21" s="463">
        <f>SUMIF('Commodity Prices'!$C$161:$C$904,$A21,'Commodity Prices'!L$161:L$904)</f>
        <v>163.40783066210093</v>
      </c>
      <c r="E21" s="718">
        <f t="shared" si="0"/>
        <v>2021</v>
      </c>
      <c r="F21" s="635">
        <f>IF($E$8="Historic Calendar Year",
 IF(COUNTIFS('Commodity Prices'!$K:$K, "&gt;0", 'Commodity Prices'!$A:$A, $E21)=12, AVERAGEIFS('Commodity Prices'!$K:$K, 'Commodity Prices'!$A:$A, $E21), NA()),
 IF(COUNTIFS('Commodity Prices'!$K:$K, "&gt;0", 'Commodity Prices'!$B:$B, $E21)=12, AVERAGEIFS('Commodity Prices'!$K:$K, 'Commodity Prices'!$B:$B, $E21), NA())
)</f>
        <v>160.02833333333336</v>
      </c>
      <c r="G21" s="638">
        <f>IF($E$8="Historic Calendar Year",
 IF(COUNTIFS('Commodity Prices'!$L:$L, "&gt;0", 'Commodity Prices'!$A:$A, $E21)=12, AVERAGEIFS('Commodity Prices'!$L:$L, 'Commodity Prices'!$A:$A, $E21), NA()),
 IF(COUNTIFS('Commodity Prices'!$L:$L, "&gt;0", 'Commodity Prices'!$B:$B, $E21)=12, AVERAGEIFS('Commodity Prices'!$L:$L, 'Commodity Prices'!$B:$B, $E21), NA())
)</f>
        <v>212.07700457820101</v>
      </c>
    </row>
    <row r="22" spans="1:7" x14ac:dyDescent="0.25">
      <c r="A22" s="719">
        <f>LARGE('Commodity Prices'!C$161:C$904,50)</f>
        <v>44501</v>
      </c>
      <c r="B22" s="720">
        <f>SUMIF('Commodity Prices'!$C$161:$C$904,$A22,'Commodity Prices'!K$161:K$904)</f>
        <v>94.94</v>
      </c>
      <c r="C22" s="721">
        <f>SUMIF('Commodity Prices'!$C$161:$C$904,$A22,'Commodity Prices'!L$161:L$904)</f>
        <v>129.8203741686867</v>
      </c>
      <c r="E22" s="718">
        <f>IF($E$8="Historic Calendar Year", E21+1, LEFT(E21, 4)+1 &amp; "-" &amp; RIGHT( LEFT(E21, 4)+2, 2))</f>
        <v>2022</v>
      </c>
      <c r="F22" s="720">
        <f>IF($E$8="Historic Calendar Year",
 IF(COUNTIFS('Commodity Prices'!$K:$K, "&gt;0", 'Commodity Prices'!$A:$A, $E22)=12, AVERAGEIFS('Commodity Prices'!$K:$K, 'Commodity Prices'!$A:$A, $E22), NA()),
 IF(COUNTIFS('Commodity Prices'!$K:$K, "&gt;0", 'Commodity Prices'!$B:$B, $E22)=12, AVERAGEIFS('Commodity Prices'!$K:$K, 'Commodity Prices'!$B:$B, $E22), NA())
)</f>
        <v>120.40749999999998</v>
      </c>
      <c r="G22" s="723">
        <f>IF($E$8="Historic Calendar Year",
 IF(COUNTIFS('Commodity Prices'!$L:$L, "&gt;0", 'Commodity Prices'!$A:$A, $E22)=12, AVERAGEIFS('Commodity Prices'!$L:$L, 'Commodity Prices'!$A:$A, $E22), NA()),
 IF(COUNTIFS('Commodity Prices'!$L:$L, "&gt;0", 'Commodity Prices'!$B:$B, $E22)=12, AVERAGEIFS('Commodity Prices'!$L:$L, 'Commodity Prices'!$B:$B, $E22), NA())
)</f>
        <v>172.36656467958414</v>
      </c>
    </row>
    <row r="23" spans="1:7" x14ac:dyDescent="0.25">
      <c r="A23" s="717">
        <f>LARGE('Commodity Prices'!C$161:C$904,49)</f>
        <v>44531</v>
      </c>
      <c r="B23" s="462">
        <f>SUMIF('Commodity Prices'!$C$161:$C$904,$A23,'Commodity Prices'!K$161:K$904)</f>
        <v>112.94</v>
      </c>
      <c r="C23" s="463">
        <f>SUMIF('Commodity Prices'!$C$161:$C$904,$A23,'Commodity Prices'!L$161:L$904)</f>
        <v>157.94541894753667</v>
      </c>
      <c r="E23" s="718">
        <f t="shared" si="0"/>
        <v>2023</v>
      </c>
      <c r="F23" s="635">
        <f>IF($E$8="Historic Calendar Year",
 IF(COUNTIFS('Commodity Prices'!$K:$K, "&gt;0", 'Commodity Prices'!$A:$A, $E23)=12, AVERAGEIFS('Commodity Prices'!$K:$K, 'Commodity Prices'!$A:$A, $E23), NA()),
 IF(COUNTIFS('Commodity Prices'!$K:$K, "&gt;0", 'Commodity Prices'!$B:$B, $E23)=12, AVERAGEIFS('Commodity Prices'!$K:$K, 'Commodity Prices'!$B:$B, $E23), NA())
)</f>
        <v>119.73416666666667</v>
      </c>
      <c r="G23" s="638">
        <f>IF($E$8="Historic Calendar Year",
 IF(COUNTIFS('Commodity Prices'!$L:$L, "&gt;0", 'Commodity Prices'!$A:$A, $E23)=12, AVERAGEIFS('Commodity Prices'!$L:$L, 'Commodity Prices'!$A:$A, $E23), NA()),
 IF(COUNTIFS('Commodity Prices'!$L:$L, "&gt;0", 'Commodity Prices'!$B:$B, $E23)=12, AVERAGEIFS('Commodity Prices'!$L:$L, 'Commodity Prices'!$B:$B, $E23), NA())
)</f>
        <v>180.18389635046742</v>
      </c>
    </row>
    <row r="24" spans="1:7" x14ac:dyDescent="0.25">
      <c r="A24" s="719">
        <f>LARGE('Commodity Prices'!C$161:C$904,48)</f>
        <v>44562</v>
      </c>
      <c r="B24" s="720">
        <f>SUMIF('Commodity Prices'!$C$161:$C$904,$A24,'Commodity Prices'!K$161:K$904)</f>
        <v>131.37</v>
      </c>
      <c r="C24" s="721">
        <f>SUMIF('Commodity Prices'!$C$161:$C$904,$A24,'Commodity Prices'!L$161:L$904)</f>
        <v>182.98401108447513</v>
      </c>
      <c r="E24" s="718">
        <f t="shared" si="0"/>
        <v>2024</v>
      </c>
      <c r="F24" s="1213">
        <f>IF($E$8="Historic Calendar Year",
 IF(COUNTIFS('Commodity Prices'!$K:$K, "&gt;0", 'Commodity Prices'!$A:$A, $E24)=12, AVERAGEIFS('Commodity Prices'!$K:$K, 'Commodity Prices'!$A:$A, $E24), NA()),
 IF(COUNTIFS('Commodity Prices'!$K:$K, "&gt;0", 'Commodity Prices'!$B:$B, $E24)=12, AVERAGEIFS('Commodity Prices'!$K:$K, 'Commodity Prices'!$B:$B, $E24), NA())
)</f>
        <v>109.38499999999999</v>
      </c>
      <c r="G24" s="723">
        <f>IF($E$8="Historic Calendar Year",
 IF(COUNTIFS('Commodity Prices'!$L:$L, "&gt;0", 'Commodity Prices'!$A:$A, $E24)=12, AVERAGEIFS('Commodity Prices'!$L:$L, 'Commodity Prices'!$A:$A, $E24), NA()),
 IF(COUNTIFS('Commodity Prices'!$L:$L, "&gt;0", 'Commodity Prices'!$B:$B, $E24)=12, AVERAGEIFS('Commodity Prices'!$L:$L, 'Commodity Prices'!$B:$B, $E24), NA())
)</f>
        <v>165.7946199745007</v>
      </c>
    </row>
    <row r="25" spans="1:7" ht="15.75" thickBot="1" x14ac:dyDescent="0.3">
      <c r="A25" s="717">
        <f>LARGE('Commodity Prices'!C$161:C$904,47)</f>
        <v>44593</v>
      </c>
      <c r="B25" s="462">
        <f>SUMIF('Commodity Prices'!$C$161:$C$904,$A25,'Commodity Prices'!K$161:K$904)</f>
        <v>141.65</v>
      </c>
      <c r="C25" s="463">
        <f>SUMIF('Commodity Prices'!$C$161:$C$904,$A25,'Commodity Prices'!L$161:L$904)</f>
        <v>197.90014879185208</v>
      </c>
      <c r="E25" s="724">
        <f t="shared" si="0"/>
        <v>2025</v>
      </c>
      <c r="F25" s="1214">
        <f>IF($E$8="Historic Calendar Year",
 IF(COUNTIFS('Commodity Prices'!$K:$K, "&gt;0", 'Commodity Prices'!$A:$A, $E25)=12, AVERAGEIFS('Commodity Prices'!$K:$K, 'Commodity Prices'!$A:$A, $E25), NA()),
 IF(COUNTIFS('Commodity Prices'!$K:$K, "&gt;0", 'Commodity Prices'!$B:$B, $E25)=12, AVERAGEIFS('Commodity Prices'!$K:$K, 'Commodity Prices'!$B:$B, $E25), NA())
)</f>
        <v>101.99666666666667</v>
      </c>
      <c r="G25" s="1212">
        <f>IF($E$8="Historic Calendar Year",
 IF(COUNTIFS('Commodity Prices'!$L:$L, "&gt;0", 'Commodity Prices'!$A:$A, $E25)=12, AVERAGEIFS('Commodity Prices'!$L:$L, 'Commodity Prices'!$A:$A, $E25), NA()),
 IF(COUNTIFS('Commodity Prices'!$L:$L, "&gt;0", 'Commodity Prices'!$B:$B, $E25)=12, AVERAGEIFS('Commodity Prices'!$L:$L, 'Commodity Prices'!$B:$B, $E25), NA())
)</f>
        <v>158.28167250960928</v>
      </c>
    </row>
    <row r="26" spans="1:7" ht="15.75" thickBot="1" x14ac:dyDescent="0.3">
      <c r="A26" s="719">
        <f>LARGE('Commodity Prices'!C$161:C$904,46)</f>
        <v>44621</v>
      </c>
      <c r="B26" s="720">
        <f>SUMIF('Commodity Prices'!$C$161:$C$904,$A26,'Commodity Prices'!K$161:K$904)</f>
        <v>150.49</v>
      </c>
      <c r="C26" s="721">
        <f>SUMIF('Commodity Prices'!$C$161:$C$904,$A26,'Commodity Prices'!L$161:L$904)</f>
        <v>204.23002259867005</v>
      </c>
    </row>
    <row r="27" spans="1:7" x14ac:dyDescent="0.25">
      <c r="A27" s="717">
        <f>LARGE('Commodity Prices'!C$161:C$904,45)</f>
        <v>44652</v>
      </c>
      <c r="B27" s="462">
        <f>SUMIF('Commodity Prices'!$C$161:$C$904,$A27,'Commodity Prices'!K$161:K$904)</f>
        <v>150.71</v>
      </c>
      <c r="C27" s="463">
        <f>SUMIF('Commodity Prices'!$C$161:$C$904,$A27,'Commodity Prices'!L$161:L$904)</f>
        <v>203.73099019939173</v>
      </c>
      <c r="E27" s="1449" t="s">
        <v>156</v>
      </c>
      <c r="F27" s="1450"/>
      <c r="G27" s="1451"/>
    </row>
    <row r="28" spans="1:7" ht="15.75" thickBot="1" x14ac:dyDescent="0.3">
      <c r="A28" s="719">
        <f>LARGE('Commodity Prices'!C$161:C$904,44)</f>
        <v>44682</v>
      </c>
      <c r="B28" s="720">
        <f>SUMIF('Commodity Prices'!$C$161:$C$904,$A28,'Commodity Prices'!K$161:K$904)</f>
        <v>133.41999999999999</v>
      </c>
      <c r="C28" s="721">
        <f>SUMIF('Commodity Prices'!$C$161:$C$904,$A28,'Commodity Prices'!L$161:L$904)</f>
        <v>189.19455473624501</v>
      </c>
      <c r="E28" s="1400" t="s">
        <v>551</v>
      </c>
      <c r="F28" s="1395"/>
      <c r="G28" s="1401"/>
    </row>
    <row r="29" spans="1:7" x14ac:dyDescent="0.25">
      <c r="A29" s="717">
        <f>LARGE('Commodity Prices'!C$161:C$904,43)</f>
        <v>44713</v>
      </c>
      <c r="B29" s="462">
        <f>SUMIF('Commodity Prices'!$C$161:$C$904,$A29,'Commodity Prices'!K$161:K$904)</f>
        <v>130.07</v>
      </c>
      <c r="C29" s="463">
        <f>SUMIF('Commodity Prices'!$C$161:$C$904,$A29,'Commodity Prices'!L$161:L$904)</f>
        <v>185.01256460101465</v>
      </c>
      <c r="E29" s="1439" t="s">
        <v>554</v>
      </c>
      <c r="F29" s="1439"/>
      <c r="G29" s="1439"/>
    </row>
    <row r="30" spans="1:7" x14ac:dyDescent="0.25">
      <c r="A30" s="719">
        <f>LARGE('Commodity Prices'!C$161:C$904,42)</f>
        <v>44743</v>
      </c>
      <c r="B30" s="720">
        <f>SUMIF('Commodity Prices'!$C$161:$C$904,$A30,'Commodity Prices'!K$161:K$904)</f>
        <v>107.43</v>
      </c>
      <c r="C30" s="721">
        <f>SUMIF('Commodity Prices'!$C$161:$C$904,$A30,'Commodity Prices'!L$161:L$904)</f>
        <v>156.72099033011003</v>
      </c>
    </row>
    <row r="31" spans="1:7" x14ac:dyDescent="0.25">
      <c r="A31" s="717">
        <f>LARGE('Commodity Prices'!C$161:C$904,41)</f>
        <v>44774</v>
      </c>
      <c r="B31" s="462">
        <f>SUMIF('Commodity Prices'!$C$161:$C$904,$A31,'Commodity Prices'!K$161:K$904)</f>
        <v>104.84</v>
      </c>
      <c r="C31" s="463">
        <f>SUMIF('Commodity Prices'!$C$161:$C$904,$A31,'Commodity Prices'!L$161:L$904)</f>
        <v>150.63120016196339</v>
      </c>
    </row>
    <row r="32" spans="1:7" x14ac:dyDescent="0.25">
      <c r="A32" s="719">
        <f>LARGE('Commodity Prices'!C$161:C$904,40)</f>
        <v>44805</v>
      </c>
      <c r="B32" s="720">
        <f>SUMIF('Commodity Prices'!$C$161:$C$904,$A32,'Commodity Prices'!K$161:K$904)</f>
        <v>98.35</v>
      </c>
      <c r="C32" s="721">
        <f>SUMIF('Commodity Prices'!$C$161:$C$904,$A32,'Commodity Prices'!L$161:L$904)</f>
        <v>147.06594416001479</v>
      </c>
    </row>
    <row r="33" spans="1:3" x14ac:dyDescent="0.25">
      <c r="A33" s="717">
        <f>LARGE('Commodity Prices'!C$161:C$904,39)</f>
        <v>44835</v>
      </c>
      <c r="B33" s="462">
        <f>SUMIF('Commodity Prices'!$C$161:$C$904,$A33,'Commodity Prices'!K$161:K$904)</f>
        <v>92.28</v>
      </c>
      <c r="C33" s="463">
        <f>SUMIF('Commodity Prices'!$C$161:$C$904,$A33,'Commodity Prices'!L$161:L$904)</f>
        <v>145.07381030986184</v>
      </c>
    </row>
    <row r="34" spans="1:3" x14ac:dyDescent="0.25">
      <c r="A34" s="719">
        <f>LARGE('Commodity Prices'!C$161:C$904,38)</f>
        <v>44866</v>
      </c>
      <c r="B34" s="720">
        <f>SUMIF('Commodity Prices'!$C$161:$C$904,$A34,'Commodity Prices'!K$161:K$904)</f>
        <v>93.13</v>
      </c>
      <c r="C34" s="721">
        <f>SUMIF('Commodity Prices'!$C$161:$C$904,$A34,'Commodity Prices'!L$161:L$904)</f>
        <v>141.23542914653225</v>
      </c>
    </row>
    <row r="35" spans="1:3" x14ac:dyDescent="0.25">
      <c r="A35" s="717">
        <f>LARGE('Commodity Prices'!C$161:C$904,37)</f>
        <v>44896</v>
      </c>
      <c r="B35" s="462">
        <f>SUMIF('Commodity Prices'!$C$161:$C$904,$A35,'Commodity Prices'!K$161:K$904)</f>
        <v>111.15</v>
      </c>
      <c r="C35" s="463">
        <f>SUMIF('Commodity Prices'!$C$161:$C$904,$A35,'Commodity Prices'!L$161:L$904)</f>
        <v>164.61911003487882</v>
      </c>
    </row>
    <row r="36" spans="1:3" x14ac:dyDescent="0.25">
      <c r="A36" s="719">
        <f>LARGE('Commodity Prices'!C$161:C$904,36)</f>
        <v>44927</v>
      </c>
      <c r="B36" s="720">
        <f>SUMIF('Commodity Prices'!$C$161:$C$904,$A36,'Commodity Prices'!K$161:K$904)</f>
        <v>122.93</v>
      </c>
      <c r="C36" s="721">
        <f>SUMIF('Commodity Prices'!$C$161:$C$904,$A36,'Commodity Prices'!L$161:L$904)</f>
        <v>176.91078906845883</v>
      </c>
    </row>
    <row r="37" spans="1:3" x14ac:dyDescent="0.25">
      <c r="A37" s="717">
        <f>LARGE('Commodity Prices'!C$161:C$904,35)</f>
        <v>44958</v>
      </c>
      <c r="B37" s="462">
        <f>SUMIF('Commodity Prices'!$C$161:$C$904,$A37,'Commodity Prices'!K$161:K$904)</f>
        <v>125.75</v>
      </c>
      <c r="C37" s="463">
        <f>SUMIF('Commodity Prices'!$C$161:$C$904,$A37,'Commodity Prices'!L$161:L$904)</f>
        <v>181.86156827582215</v>
      </c>
    </row>
    <row r="38" spans="1:3" ht="15" customHeight="1" x14ac:dyDescent="0.25">
      <c r="A38" s="719">
        <f>LARGE('Commodity Prices'!C$161:C$904,34)</f>
        <v>44986</v>
      </c>
      <c r="B38" s="720">
        <f>SUMIF('Commodity Prices'!$C$161:$C$904,$A38,'Commodity Prices'!K$161:K$904)</f>
        <v>126.67</v>
      </c>
      <c r="C38" s="721">
        <f>SUMIF('Commodity Prices'!$C$161:$C$904,$A38,'Commodity Prices'!L$161:L$904)</f>
        <v>189.4235520532626</v>
      </c>
    </row>
    <row r="39" spans="1:3" x14ac:dyDescent="0.25">
      <c r="A39" s="717">
        <f>LARGE('Commodity Prices'!C$161:C$904,33)</f>
        <v>45017</v>
      </c>
      <c r="B39" s="462">
        <f>SUMIF('Commodity Prices'!$C$161:$C$904,$A39,'Commodity Prices'!K$161:K$904)</f>
        <v>115.37</v>
      </c>
      <c r="C39" s="463">
        <f>SUMIF('Commodity Prices'!$C$161:$C$904,$A39,'Commodity Prices'!L$161:L$904)</f>
        <v>172.33019945523245</v>
      </c>
    </row>
    <row r="40" spans="1:3" x14ac:dyDescent="0.25">
      <c r="A40" s="719">
        <f>LARGE('Commodity Prices'!C$161:C$904,32)</f>
        <v>45047</v>
      </c>
      <c r="B40" s="720">
        <f>SUMIF('Commodity Prices'!$C$161:$C$904,$A40,'Commodity Prices'!K$161:K$904)</f>
        <v>104.37</v>
      </c>
      <c r="C40" s="721">
        <f>SUMIF('Commodity Prices'!$C$161:$C$904,$A40,'Commodity Prices'!L$161:L$904)</f>
        <v>156.92479669481997</v>
      </c>
    </row>
    <row r="41" spans="1:3" x14ac:dyDescent="0.25">
      <c r="A41" s="717">
        <f>LARGE('Commodity Prices'!C$161:C$904,31)</f>
        <v>45078</v>
      </c>
      <c r="B41" s="462">
        <f>SUMIF('Commodity Prices'!$C$161:$C$904,$A41,'Commodity Prices'!K$161:K$904)</f>
        <v>112.91</v>
      </c>
      <c r="C41" s="463">
        <f>SUMIF('Commodity Prices'!$C$161:$C$904,$A41,'Commodity Prices'!L$161:L$904)</f>
        <v>168.31901753389644</v>
      </c>
    </row>
    <row r="42" spans="1:3" x14ac:dyDescent="0.25">
      <c r="A42" s="719">
        <f>LARGE('Commodity Prices'!C$161:C$904,30)</f>
        <v>45108</v>
      </c>
      <c r="B42" s="720">
        <f>SUMIF('Commodity Prices'!$C$161:$C$904,$A42,'Commodity Prices'!K$161:K$904)</f>
        <v>112.96</v>
      </c>
      <c r="C42" s="721">
        <f>SUMIF('Commodity Prices'!$C$161:$C$904,$A42,'Commodity Prices'!L$161:L$904)</f>
        <v>167.65684964908934</v>
      </c>
    </row>
    <row r="43" spans="1:3" x14ac:dyDescent="0.25">
      <c r="A43" s="717">
        <f>LARGE('Commodity Prices'!C$161:C$904,29)</f>
        <v>45139</v>
      </c>
      <c r="B43" s="462">
        <f>SUMIF('Commodity Prices'!$C$161:$C$904,$A43,'Commodity Prices'!K$161:K$904)</f>
        <v>109.3</v>
      </c>
      <c r="C43" s="463">
        <f>SUMIF('Commodity Prices'!$C$161:$C$904,$A43,'Commodity Prices'!L$161:L$904)</f>
        <v>168.46013731259629</v>
      </c>
    </row>
    <row r="44" spans="1:3" x14ac:dyDescent="0.25">
      <c r="A44" s="719">
        <f>LARGE('Commodity Prices'!C$161:C$904,28)</f>
        <v>45170</v>
      </c>
      <c r="B44" s="720">
        <f>SUMIF('Commodity Prices'!$C$161:$C$904,$A44,'Commodity Prices'!K$161:K$904)</f>
        <v>120.53</v>
      </c>
      <c r="C44" s="721">
        <f>SUMIF('Commodity Prices'!$C$161:$C$904,$A44,'Commodity Prices'!L$161:L$904)</f>
        <v>187.60645433859335</v>
      </c>
    </row>
    <row r="45" spans="1:3" x14ac:dyDescent="0.25">
      <c r="A45" s="717">
        <f>LARGE('Commodity Prices'!C$161:C$904,27)</f>
        <v>45200</v>
      </c>
      <c r="B45" s="462">
        <f>SUMIF('Commodity Prices'!$C$161:$C$904,$A45,'Commodity Prices'!K$161:K$904)</f>
        <v>118.97</v>
      </c>
      <c r="C45" s="463">
        <f>SUMIF('Commodity Prices'!$C$161:$C$904,$A45,'Commodity Prices'!L$161:L$904)</f>
        <v>187.35011585791094</v>
      </c>
    </row>
    <row r="46" spans="1:3" x14ac:dyDescent="0.25">
      <c r="A46" s="719">
        <f>LARGE('Commodity Prices'!C$161:C$904,26)</f>
        <v>45231</v>
      </c>
      <c r="B46" s="720">
        <f>SUMIF('Commodity Prices'!$C$161:$C$904,$A46,'Commodity Prices'!K$161:K$904)</f>
        <v>130.69</v>
      </c>
      <c r="C46" s="721">
        <f>SUMIF('Commodity Prices'!$C$161:$C$904,$A46,'Commodity Prices'!L$161:L$904)</f>
        <v>201.31353232367789</v>
      </c>
    </row>
    <row r="47" spans="1:3" x14ac:dyDescent="0.25">
      <c r="A47" s="717">
        <f>LARGE('Commodity Prices'!C$161:C$904,25)</f>
        <v>45261</v>
      </c>
      <c r="B47" s="462">
        <f>SUMIF('Commodity Prices'!$C$161:$C$904,$A47,'Commodity Prices'!K$161:K$904)</f>
        <v>136.36000000000001</v>
      </c>
      <c r="C47" s="463">
        <f>SUMIF('Commodity Prices'!$C$161:$C$904,$A47,'Commodity Prices'!L$161:L$904)</f>
        <v>204.04974364224901</v>
      </c>
    </row>
    <row r="48" spans="1:3" x14ac:dyDescent="0.25">
      <c r="A48" s="719">
        <f>LARGE('Commodity Prices'!C$161:C$904,24)</f>
        <v>45292</v>
      </c>
      <c r="B48" s="720">
        <f>SUMIF('Commodity Prices'!$C$161:$C$904,$A48,'Commodity Prices'!K$161:K$904)</f>
        <v>135.19999999999999</v>
      </c>
      <c r="C48" s="721">
        <f>SUMIF('Commodity Prices'!$C$161:$C$904,$A48,'Commodity Prices'!L$161:L$904)</f>
        <v>203.23695946284511</v>
      </c>
    </row>
    <row r="49" spans="1:3" x14ac:dyDescent="0.25">
      <c r="A49" s="717">
        <f>LARGE('Commodity Prices'!C$161:C$904,23)</f>
        <v>45323</v>
      </c>
      <c r="B49" s="462">
        <f>SUMIF('Commodity Prices'!$C$161:$C$904,$A49,'Commodity Prices'!K$161:K$904)</f>
        <v>124.31</v>
      </c>
      <c r="C49" s="463">
        <f>SUMIF('Commodity Prices'!$C$161:$C$904,$A49,'Commodity Prices'!L$161:L$904)</f>
        <v>190.36614623972696</v>
      </c>
    </row>
    <row r="50" spans="1:3" x14ac:dyDescent="0.25">
      <c r="A50" s="719">
        <f>LARGE('Commodity Prices'!C$161:C$904,22)</f>
        <v>45352</v>
      </c>
      <c r="B50" s="720">
        <f>SUMIF('Commodity Prices'!$C$161:$C$904,$A50,'Commodity Prices'!K$161:K$904)</f>
        <v>109.67</v>
      </c>
      <c r="C50" s="721">
        <f>SUMIF('Commodity Prices'!$C$161:$C$904,$A50,'Commodity Prices'!L$161:L$904)</f>
        <v>167.20664130691654</v>
      </c>
    </row>
    <row r="51" spans="1:3" x14ac:dyDescent="0.25">
      <c r="A51" s="717">
        <f>LARGE('Commodity Prices'!C$161:C$904,21)</f>
        <v>45383</v>
      </c>
      <c r="B51" s="462">
        <f>SUMIF('Commodity Prices'!$C$161:$C$904,$A51,'Commodity Prices'!K$161:K$904)</f>
        <v>110.95</v>
      </c>
      <c r="C51" s="463">
        <f>SUMIF('Commodity Prices'!$C$161:$C$904,$A51,'Commodity Prices'!L$161:L$904)</f>
        <v>170.386921901515</v>
      </c>
    </row>
    <row r="52" spans="1:3" x14ac:dyDescent="0.25">
      <c r="A52" s="719">
        <f>LARGE('Commodity Prices'!C$161:C$904,20)</f>
        <v>45413</v>
      </c>
      <c r="B52" s="720">
        <f>SUMIF('Commodity Prices'!$C$161:$C$904,$A52,'Commodity Prices'!K$161:K$904)</f>
        <v>117.52</v>
      </c>
      <c r="C52" s="721">
        <f>SUMIF('Commodity Prices'!$C$161:$C$904,$A52,'Commodity Prices'!L$161:L$904)</f>
        <v>177.58214034649717</v>
      </c>
    </row>
    <row r="53" spans="1:3" x14ac:dyDescent="0.25">
      <c r="A53" s="717">
        <f>LARGE('Commodity Prices'!C$161:C$904,19)</f>
        <v>45444</v>
      </c>
      <c r="B53" s="462">
        <f>SUMIF('Commodity Prices'!$C$161:$C$904,$A53,'Commodity Prices'!K$161:K$904)</f>
        <v>106.34</v>
      </c>
      <c r="C53" s="463">
        <f>SUMIF('Commodity Prices'!$C$161:$C$904,$A53,'Commodity Prices'!L$161:L$904)</f>
        <v>159.96421417656978</v>
      </c>
    </row>
    <row r="54" spans="1:3" x14ac:dyDescent="0.25">
      <c r="A54" s="719">
        <f>LARGE('Commodity Prices'!C$161:C$904,18)</f>
        <v>45474</v>
      </c>
      <c r="B54" s="720">
        <f>SUMIF('Commodity Prices'!$C$161:$C$904,$A54,'Commodity Prices'!K$161:K$904)</f>
        <v>105.73</v>
      </c>
      <c r="C54" s="721">
        <f>SUMIF('Commodity Prices'!$C$161:$C$904,$A54,'Commodity Prices'!L$161:L$904)</f>
        <v>158.4403484424985</v>
      </c>
    </row>
    <row r="55" spans="1:3" x14ac:dyDescent="0.25">
      <c r="A55" s="717">
        <f>LARGE('Commodity Prices'!C$161:C$904,17)</f>
        <v>45505</v>
      </c>
      <c r="B55" s="462">
        <f>SUMIF('Commodity Prices'!$C$161:$C$904,$A55,'Commodity Prices'!K$161:K$904)</f>
        <v>98.85</v>
      </c>
      <c r="C55" s="463">
        <f>SUMIF('Commodity Prices'!$C$161:$C$904,$A55,'Commodity Prices'!L$161:L$904)</f>
        <v>148.39689745147797</v>
      </c>
    </row>
    <row r="56" spans="1:3" x14ac:dyDescent="0.25">
      <c r="A56" s="719">
        <f>LARGE('Commodity Prices'!C$161:C$904,16)</f>
        <v>45536</v>
      </c>
      <c r="B56" s="720">
        <f>SUMIF('Commodity Prices'!$C$161:$C$904,$A56,'Commodity Prices'!K$161:K$904)</f>
        <v>93.92</v>
      </c>
      <c r="C56" s="721">
        <f>SUMIF('Commodity Prices'!$C$161:$C$904,$A56,'Commodity Prices'!L$161:L$904)</f>
        <v>138.75604145121466</v>
      </c>
    </row>
    <row r="57" spans="1:3" x14ac:dyDescent="0.25">
      <c r="A57" s="717">
        <f>LARGE('Commodity Prices'!C$161:C$904,15)</f>
        <v>45566</v>
      </c>
      <c r="B57" s="462">
        <f>SUMIF('Commodity Prices'!$C$161:$C$904,$A57,'Commodity Prices'!K$161:K$904)</f>
        <v>104.07</v>
      </c>
      <c r="C57" s="463">
        <f>SUMIF('Commodity Prices'!$C$161:$C$904,$A57,'Commodity Prices'!L$161:L$904)</f>
        <v>155.08846560273119</v>
      </c>
    </row>
    <row r="58" spans="1:3" x14ac:dyDescent="0.25">
      <c r="A58" s="719">
        <f>LARGE('Commodity Prices'!C$161:C$904,14)</f>
        <v>45597</v>
      </c>
      <c r="B58" s="720">
        <f>SUMIF('Commodity Prices'!$C$161:$C$904,$A58,'Commodity Prices'!K$161:K$904)</f>
        <v>102.22</v>
      </c>
      <c r="C58" s="721">
        <f>SUMIF('Commodity Prices'!$C$161:$C$904,$A58,'Commodity Prices'!L$161:L$904)</f>
        <v>156.39876724006035</v>
      </c>
    </row>
    <row r="59" spans="1:3" x14ac:dyDescent="0.25">
      <c r="A59" s="717">
        <f>LARGE('Commodity Prices'!C$161:C$904,13)</f>
        <v>45627</v>
      </c>
      <c r="B59" s="462">
        <f>SUMIF('Commodity Prices'!$C$161:$C$904,$A59,'Commodity Prices'!K$161:K$904)</f>
        <v>103.84</v>
      </c>
      <c r="C59" s="463">
        <f>SUMIF('Commodity Prices'!$C$161:$C$904,$A59,'Commodity Prices'!L$161:L$904)</f>
        <v>163.71189607195501</v>
      </c>
    </row>
    <row r="60" spans="1:3" x14ac:dyDescent="0.25">
      <c r="A60" s="719">
        <f>LARGE('Commodity Prices'!C$161:C$904,12)</f>
        <v>45658</v>
      </c>
      <c r="B60" s="720">
        <f>SUMIF('Commodity Prices'!$C$161:$C$904,$A60,'Commodity Prices'!K$161:K$904)</f>
        <v>101.47</v>
      </c>
      <c r="C60" s="721">
        <f>SUMIF('Commodity Prices'!$C$161:$C$904,$A60,'Commodity Prices'!L$161:L$904)</f>
        <v>163.01025091799264</v>
      </c>
    </row>
    <row r="61" spans="1:3" x14ac:dyDescent="0.25">
      <c r="A61" s="717">
        <f>LARGE('Commodity Prices'!C$161:C$904,11)</f>
        <v>45689</v>
      </c>
      <c r="B61" s="462">
        <f>SUMIF('Commodity Prices'!$C$161:$C$904,$A61,'Commodity Prices'!K$161:K$904)</f>
        <v>106.52</v>
      </c>
      <c r="C61" s="463">
        <f>SUMIF('Commodity Prices'!$C$161:$C$904,$A61,'Commodity Prices'!L$161:L$904)</f>
        <v>169.12768727572961</v>
      </c>
    </row>
    <row r="62" spans="1:3" x14ac:dyDescent="0.25">
      <c r="A62" s="719">
        <f>LARGE('Commodity Prices'!C$161:C$904,10)</f>
        <v>45717</v>
      </c>
      <c r="B62" s="720">
        <f>SUMIF('Commodity Prices'!$C$161:$C$904,$A62,'Commodity Prices'!K$161:K$904)</f>
        <v>102.02</v>
      </c>
      <c r="C62" s="721">
        <f>SUMIF('Commodity Prices'!$C$161:$C$904,$A62,'Commodity Prices'!L$161:L$904)</f>
        <v>162.01610768707226</v>
      </c>
    </row>
    <row r="63" spans="1:3" x14ac:dyDescent="0.25">
      <c r="A63" s="717">
        <f>LARGE('Commodity Prices'!C$161:C$904,9)</f>
        <v>45748</v>
      </c>
      <c r="B63" s="462">
        <f>SUMIF('Commodity Prices'!$C$161:$C$904,$A63,'Commodity Prices'!K$161:K$904)</f>
        <v>99.58</v>
      </c>
      <c r="C63" s="463">
        <f>SUMIF('Commodity Prices'!$C$161:$C$904,$A63,'Commodity Prices'!L$161:L$904)</f>
        <v>158.60808624433099</v>
      </c>
    </row>
    <row r="64" spans="1:3" x14ac:dyDescent="0.25">
      <c r="A64" s="719">
        <f>LARGE('Commodity Prices'!C$161:C$904,8)</f>
        <v>45778</v>
      </c>
      <c r="B64" s="720">
        <f>SUMIF('Commodity Prices'!$C$161:$C$904,$A64,'Commodity Prices'!K$161:K$904)</f>
        <v>99.16</v>
      </c>
      <c r="C64" s="721">
        <f>SUMIF('Commodity Prices'!$C$161:$C$904,$A64,'Commodity Prices'!L$161:L$904)</f>
        <v>153.94147243333265</v>
      </c>
    </row>
    <row r="65" spans="1:3" x14ac:dyDescent="0.25">
      <c r="A65" s="719">
        <f>LARGE('Commodity Prices'!C$161:C$904,7)</f>
        <v>45809</v>
      </c>
      <c r="B65" s="462">
        <f>SUMIF('Commodity Prices'!$C$161:$C$904,$A65,'Commodity Prices'!K$161:K$904)</f>
        <v>93.52</v>
      </c>
      <c r="C65" s="463">
        <f>SUMIF('Commodity Prices'!$C$161:$C$904,$A65,'Commodity Prices'!L$161:L$904)</f>
        <v>143.99211677033932</v>
      </c>
    </row>
    <row r="66" spans="1:3" x14ac:dyDescent="0.25">
      <c r="A66" s="719">
        <f>LARGE('Commodity Prices'!C$161:C$904,6)</f>
        <v>45839</v>
      </c>
      <c r="B66" s="720">
        <f>SUMIF('Commodity Prices'!$C$161:$C$904,$A66,'Commodity Prices'!K$161:K$904)</f>
        <v>98.74</v>
      </c>
      <c r="C66" s="721">
        <f>SUMIF('Commodity Prices'!$C$161:$C$904,$A66,'Commodity Prices'!L$161:L$904)</f>
        <v>150.88731056201868</v>
      </c>
    </row>
    <row r="67" spans="1:3" x14ac:dyDescent="0.25">
      <c r="A67" s="719">
        <f>LARGE('Commodity Prices'!C$161:C$904,5)</f>
        <v>45870</v>
      </c>
      <c r="B67" s="462">
        <f>SUMIF('Commodity Prices'!$C$161:$C$904,$A67,'Commodity Prices'!K$161:K$904)</f>
        <v>101.53</v>
      </c>
      <c r="C67" s="463">
        <f>SUMIF('Commodity Prices'!$C$161:$C$904,$A67,'Commodity Prices'!L$161:L$904)</f>
        <v>156.40452899946087</v>
      </c>
    </row>
    <row r="68" spans="1:3" x14ac:dyDescent="0.25">
      <c r="A68" s="719">
        <f>LARGE('Commodity Prices'!C$161:C$904,4)</f>
        <v>45901</v>
      </c>
      <c r="B68" s="720">
        <f>SUMIF('Commodity Prices'!$C$161:$C$904,$A68,'Commodity Prices'!K$161:K$904)</f>
        <v>105.03</v>
      </c>
      <c r="C68" s="721">
        <f>SUMIF('Commodity Prices'!$C$161:$C$904,$A68,'Commodity Prices'!L$161:L$904)</f>
        <v>159.2998324727165</v>
      </c>
    </row>
    <row r="69" spans="1:3" x14ac:dyDescent="0.25">
      <c r="A69" s="719">
        <f>LARGE('Commodity Prices'!C$161:C$904,3)</f>
        <v>45931</v>
      </c>
      <c r="B69" s="462">
        <f>SUMIF('Commodity Prices'!$C$161:$C$904,$A69,'Commodity Prices'!K$161:K$904)</f>
        <v>105.68</v>
      </c>
      <c r="C69" s="463">
        <f>SUMIF('Commodity Prices'!$C$161:$C$904,$A69,'Commodity Prices'!L$161:L$904)</f>
        <v>161.47237559468005</v>
      </c>
    </row>
    <row r="70" spans="1:3" x14ac:dyDescent="0.25">
      <c r="A70" s="719">
        <f>LARGE('Commodity Prices'!C$161:C$904,2)</f>
        <v>45962</v>
      </c>
      <c r="B70" s="720">
        <f>SUMIF('Commodity Prices'!$C$161:$C$904,$A70,'Commodity Prices'!K$161:K$904)</f>
        <v>104.5</v>
      </c>
      <c r="C70" s="721">
        <f>SUMIF('Commodity Prices'!$C$161:$C$904,$A70,'Commodity Prices'!L$161:L$904)</f>
        <v>160.60121718817234</v>
      </c>
    </row>
    <row r="71" spans="1:3" ht="15.75" thickBot="1" x14ac:dyDescent="0.3">
      <c r="A71" s="725">
        <f>LARGE('Commodity Prices'!C$161:C$904,1)</f>
        <v>45992</v>
      </c>
      <c r="B71" s="656">
        <f>SUMIF('Commodity Prices'!$C$161:$C$904,$A71,'Commodity Prices'!K$161:K$904)</f>
        <v>106.21</v>
      </c>
      <c r="C71" s="468">
        <f>SUMIF('Commodity Prices'!$C$161:$C$904,$A71,'Commodity Prices'!L$161:L$904)</f>
        <v>160.01908396946561</v>
      </c>
    </row>
  </sheetData>
  <mergeCells count="7">
    <mergeCell ref="E29:G29"/>
    <mergeCell ref="A7:C7"/>
    <mergeCell ref="E7:G7"/>
    <mergeCell ref="A8:C8"/>
    <mergeCell ref="E8:G8"/>
    <mergeCell ref="E27:G27"/>
    <mergeCell ref="E28:G28"/>
  </mergeCells>
  <dataValidations count="1">
    <dataValidation type="list" allowBlank="1" showInputMessage="1" showErrorMessage="1" promptTitle="Select a Period:" prompt="Select Financial or Calendar years." sqref="E28" xr:uid="{5090A76F-F6E4-42B3-8BBB-257A7C72573B}">
      <formula1>$T$1:$T$2</formula1>
    </dataValidation>
  </dataValidation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A4497-81A1-41E9-A28D-1A70F4945393}">
  <sheetPr>
    <tabColor theme="5" tint="0.39997558519241921"/>
  </sheetPr>
  <dimension ref="A1:S251"/>
  <sheetViews>
    <sheetView showGridLines="0" zoomScale="85" zoomScaleNormal="85" workbookViewId="0">
      <pane ySplit="8" topLeftCell="A9" activePane="bottomLeft" state="frozen"/>
      <selection pane="bottomLeft"/>
    </sheetView>
  </sheetViews>
  <sheetFormatPr defaultColWidth="9.140625" defaultRowHeight="15" x14ac:dyDescent="0.25"/>
  <cols>
    <col min="1" max="1" width="12.7109375" customWidth="1"/>
    <col min="2" max="3" width="15.7109375" customWidth="1"/>
    <col min="4" max="5" width="11.5703125" hidden="1" customWidth="1"/>
    <col min="17" max="17" width="12.7109375" customWidth="1"/>
    <col min="18" max="19" width="15.7109375" customWidth="1"/>
  </cols>
  <sheetData>
    <row r="1" spans="1:19" x14ac:dyDescent="0.25">
      <c r="A1" s="64" t="s">
        <v>178</v>
      </c>
      <c r="J1" s="726"/>
    </row>
    <row r="2" spans="1:19" x14ac:dyDescent="0.25">
      <c r="A2" s="64" t="s">
        <v>179</v>
      </c>
    </row>
    <row r="5" spans="1:19" x14ac:dyDescent="0.25">
      <c r="A5" s="1407"/>
      <c r="B5" s="1407"/>
      <c r="C5" s="1407"/>
      <c r="D5" s="145"/>
      <c r="E5" s="145"/>
    </row>
    <row r="6" spans="1:19" x14ac:dyDescent="0.25">
      <c r="A6" s="145"/>
      <c r="B6" s="145"/>
      <c r="C6" s="145"/>
      <c r="D6" s="145"/>
      <c r="E6" s="145"/>
    </row>
    <row r="7" spans="1:19" ht="15.75" thickBot="1" x14ac:dyDescent="0.3">
      <c r="A7" s="1408" t="s">
        <v>555</v>
      </c>
      <c r="B7" s="1408"/>
      <c r="C7" s="1408"/>
      <c r="D7" s="145"/>
      <c r="E7" s="145"/>
    </row>
    <row r="8" spans="1:19" x14ac:dyDescent="0.25">
      <c r="A8" s="727" t="s">
        <v>557</v>
      </c>
      <c r="B8" s="728" t="s">
        <v>558</v>
      </c>
      <c r="C8" s="729" t="s">
        <v>559</v>
      </c>
      <c r="D8" s="146"/>
      <c r="E8" s="146"/>
    </row>
    <row r="9" spans="1:19" x14ac:dyDescent="0.25">
      <c r="A9" s="730">
        <v>36220</v>
      </c>
      <c r="B9" s="462">
        <v>31.82</v>
      </c>
      <c r="C9" s="463">
        <v>891.76</v>
      </c>
      <c r="D9" s="29">
        <f t="shared" ref="D9:D72" si="0">YEAR(A9)</f>
        <v>1999</v>
      </c>
      <c r="E9" s="29" t="str">
        <f>IF(MONTH(A9)=3,"1",IF(MONTH(A9)=6,"2",IF(MONTH(A9)=9,"3","4")))</f>
        <v>1</v>
      </c>
      <c r="Q9" s="1393" t="s">
        <v>582</v>
      </c>
      <c r="R9" s="1393"/>
      <c r="S9" s="1393"/>
    </row>
    <row r="10" spans="1:19" ht="15.75" thickBot="1" x14ac:dyDescent="0.3">
      <c r="A10" s="730">
        <v>36312</v>
      </c>
      <c r="B10" s="720">
        <v>35.439</v>
      </c>
      <c r="C10" s="721">
        <v>846.16</v>
      </c>
      <c r="D10" s="29">
        <f t="shared" si="0"/>
        <v>1999</v>
      </c>
      <c r="E10" s="29" t="str">
        <f t="shared" ref="E10:E73" si="1">IF(MONTH(A10)=3,"1",IF(MONTH(A10)=6,"2",IF(MONTH(A10)=9,"3","4")))</f>
        <v>2</v>
      </c>
      <c r="Q10" s="1393" t="s">
        <v>561</v>
      </c>
      <c r="R10" s="1393"/>
      <c r="S10" s="1393"/>
    </row>
    <row r="11" spans="1:19" x14ac:dyDescent="0.25">
      <c r="A11" s="730">
        <v>36404</v>
      </c>
      <c r="B11" s="462">
        <v>38.18</v>
      </c>
      <c r="C11" s="463">
        <v>882.23</v>
      </c>
      <c r="D11" s="29">
        <f t="shared" si="0"/>
        <v>1999</v>
      </c>
      <c r="E11" s="29" t="str">
        <f t="shared" si="1"/>
        <v>3</v>
      </c>
      <c r="Q11" s="731" t="s">
        <v>557</v>
      </c>
      <c r="R11" s="732" t="s">
        <v>558</v>
      </c>
      <c r="S11" s="733" t="s">
        <v>559</v>
      </c>
    </row>
    <row r="12" spans="1:19" x14ac:dyDescent="0.25">
      <c r="A12" s="730">
        <v>36495</v>
      </c>
      <c r="B12" s="720">
        <v>37.567</v>
      </c>
      <c r="C12" s="721">
        <v>896.91</v>
      </c>
      <c r="D12" s="29">
        <f t="shared" si="0"/>
        <v>1999</v>
      </c>
      <c r="E12" s="29" t="str">
        <f t="shared" si="1"/>
        <v>4</v>
      </c>
      <c r="Q12" s="730">
        <f>LARGE($A:$A, 9)</f>
        <v>45261</v>
      </c>
      <c r="R12" s="462">
        <f t="shared" ref="R12:S20" si="2">SUMIF($A$9:$A$739,$Q12,B$9:B$739)</f>
        <v>221.04884128299997</v>
      </c>
      <c r="S12" s="463">
        <f t="shared" si="2"/>
        <v>39530.294561999995</v>
      </c>
    </row>
    <row r="13" spans="1:19" x14ac:dyDescent="0.25">
      <c r="A13" s="730">
        <v>36586</v>
      </c>
      <c r="B13" s="462">
        <v>34.799999999999997</v>
      </c>
      <c r="C13" s="463">
        <v>843.83</v>
      </c>
      <c r="D13" s="29">
        <f t="shared" si="0"/>
        <v>2000</v>
      </c>
      <c r="E13" s="29" t="str">
        <f t="shared" si="1"/>
        <v>1</v>
      </c>
      <c r="Q13" s="730">
        <f>LARGE($A:$A, 8)</f>
        <v>45352</v>
      </c>
      <c r="R13" s="720">
        <f t="shared" si="2"/>
        <v>204.996959737</v>
      </c>
      <c r="S13" s="721">
        <f t="shared" si="2"/>
        <v>35985.011854999997</v>
      </c>
    </row>
    <row r="14" spans="1:19" x14ac:dyDescent="0.25">
      <c r="A14" s="730">
        <v>36678</v>
      </c>
      <c r="B14" s="720">
        <v>40.612000000000002</v>
      </c>
      <c r="C14" s="721">
        <v>1099.06</v>
      </c>
      <c r="D14" s="29">
        <f t="shared" si="0"/>
        <v>2000</v>
      </c>
      <c r="E14" s="29" t="str">
        <f t="shared" si="1"/>
        <v>2</v>
      </c>
      <c r="Q14" s="730">
        <f>LARGE($A:$A, 7)</f>
        <v>45444</v>
      </c>
      <c r="R14" s="462">
        <f t="shared" si="2"/>
        <v>224.07293183200002</v>
      </c>
      <c r="S14" s="463">
        <f t="shared" si="2"/>
        <v>36614.164529000001</v>
      </c>
    </row>
    <row r="15" spans="1:19" x14ac:dyDescent="0.25">
      <c r="A15" s="730">
        <v>36770</v>
      </c>
      <c r="B15" s="462">
        <v>42.546999999999997</v>
      </c>
      <c r="C15" s="463">
        <v>1188.4100000000001</v>
      </c>
      <c r="D15" s="29">
        <f t="shared" si="0"/>
        <v>2000</v>
      </c>
      <c r="E15" s="29" t="str">
        <f t="shared" si="1"/>
        <v>3</v>
      </c>
      <c r="Q15" s="730">
        <f>LARGE($A:$A, 6)</f>
        <v>45536</v>
      </c>
      <c r="R15" s="720">
        <f t="shared" si="2"/>
        <v>216.93364215799997</v>
      </c>
      <c r="S15" s="721">
        <f t="shared" si="2"/>
        <v>31220.927563999998</v>
      </c>
    </row>
    <row r="16" spans="1:19" x14ac:dyDescent="0.25">
      <c r="A16" s="730">
        <v>36861</v>
      </c>
      <c r="B16" s="720">
        <v>40.906999999999996</v>
      </c>
      <c r="C16" s="721">
        <v>1233.8900000000001</v>
      </c>
      <c r="D16" s="29">
        <f t="shared" si="0"/>
        <v>2000</v>
      </c>
      <c r="E16" s="29" t="str">
        <f t="shared" si="1"/>
        <v>4</v>
      </c>
      <c r="Q16" s="730">
        <f>LARGE($A:$A, 5)</f>
        <v>45627</v>
      </c>
      <c r="R16" s="462">
        <f t="shared" si="2"/>
        <v>220.56610668399995</v>
      </c>
      <c r="S16" s="463">
        <f t="shared" si="2"/>
        <v>32283.355840999997</v>
      </c>
    </row>
    <row r="17" spans="1:19" x14ac:dyDescent="0.25">
      <c r="A17" s="730">
        <v>36951</v>
      </c>
      <c r="B17" s="462">
        <v>38.255000000000003</v>
      </c>
      <c r="C17" s="463">
        <v>1206.4000000000001</v>
      </c>
      <c r="D17" s="29">
        <f t="shared" si="0"/>
        <v>2001</v>
      </c>
      <c r="E17" s="29" t="str">
        <f t="shared" si="1"/>
        <v>1</v>
      </c>
      <c r="Q17" s="730">
        <f>LARGE($A:$A, 4)</f>
        <v>45717</v>
      </c>
      <c r="R17" s="720">
        <f t="shared" si="2"/>
        <v>198.74014446299998</v>
      </c>
      <c r="S17" s="721">
        <f t="shared" si="2"/>
        <v>30228.619219999997</v>
      </c>
    </row>
    <row r="18" spans="1:19" x14ac:dyDescent="0.25">
      <c r="A18" s="730">
        <v>37043</v>
      </c>
      <c r="B18" s="720">
        <v>40.061</v>
      </c>
      <c r="C18" s="721">
        <v>1284</v>
      </c>
      <c r="D18" s="29">
        <f t="shared" si="0"/>
        <v>2001</v>
      </c>
      <c r="E18" s="29" t="str">
        <f t="shared" si="1"/>
        <v>2</v>
      </c>
      <c r="Q18" s="730">
        <f>LARGE($A:$A, 3)</f>
        <v>45809</v>
      </c>
      <c r="R18" s="462">
        <f t="shared" si="2"/>
        <v>230.11696775569996</v>
      </c>
      <c r="S18" s="463">
        <f t="shared" si="2"/>
        <v>32081.521632</v>
      </c>
    </row>
    <row r="19" spans="1:19" x14ac:dyDescent="0.25">
      <c r="A19" s="730">
        <v>37135</v>
      </c>
      <c r="B19" s="462">
        <v>44.878</v>
      </c>
      <c r="C19" s="463">
        <v>1479.86</v>
      </c>
      <c r="D19" s="29">
        <f t="shared" si="0"/>
        <v>2001</v>
      </c>
      <c r="E19" s="29" t="str">
        <f t="shared" si="1"/>
        <v>3</v>
      </c>
      <c r="Q19" s="730">
        <f>LARGE($A:$A, 2)</f>
        <v>45901</v>
      </c>
      <c r="R19" s="720">
        <f t="shared" si="2"/>
        <v>223.375715923</v>
      </c>
      <c r="S19" s="721">
        <f t="shared" si="2"/>
        <v>30974.441146999998</v>
      </c>
    </row>
    <row r="20" spans="1:19" ht="15.75" thickBot="1" x14ac:dyDescent="0.3">
      <c r="A20" s="730">
        <v>37226</v>
      </c>
      <c r="B20" s="720">
        <v>42.820999999999998</v>
      </c>
      <c r="C20" s="721">
        <v>1399.45</v>
      </c>
      <c r="D20" s="29">
        <f t="shared" si="0"/>
        <v>2001</v>
      </c>
      <c r="E20" s="29" t="str">
        <f t="shared" si="1"/>
        <v>4</v>
      </c>
      <c r="Q20" s="734">
        <f>LARGE($A:$A, 1)</f>
        <v>45992</v>
      </c>
      <c r="R20" s="656">
        <f t="shared" si="2"/>
        <v>237.24972713799997</v>
      </c>
      <c r="S20" s="468">
        <f t="shared" si="2"/>
        <v>32949.703721377096</v>
      </c>
    </row>
    <row r="21" spans="1:19" x14ac:dyDescent="0.25">
      <c r="A21" s="730">
        <v>37316</v>
      </c>
      <c r="B21" s="462">
        <v>36.344999999999999</v>
      </c>
      <c r="C21" s="463">
        <v>1139.8</v>
      </c>
      <c r="D21" s="29">
        <f t="shared" si="0"/>
        <v>2002</v>
      </c>
      <c r="E21" s="29" t="str">
        <f t="shared" si="1"/>
        <v>1</v>
      </c>
      <c r="Q21" s="469"/>
    </row>
    <row r="22" spans="1:19" x14ac:dyDescent="0.25">
      <c r="A22" s="730">
        <v>37408</v>
      </c>
      <c r="B22" s="720">
        <v>40.590000000000003</v>
      </c>
      <c r="C22" s="721">
        <v>1188.51</v>
      </c>
      <c r="D22" s="29">
        <f t="shared" si="0"/>
        <v>2002</v>
      </c>
      <c r="E22" s="29" t="str">
        <f t="shared" si="1"/>
        <v>2</v>
      </c>
      <c r="Q22" s="469"/>
    </row>
    <row r="23" spans="1:19" x14ac:dyDescent="0.25">
      <c r="A23" s="730">
        <v>37500</v>
      </c>
      <c r="B23" s="462">
        <v>47.561999999999998</v>
      </c>
      <c r="C23" s="463">
        <v>1387.45</v>
      </c>
      <c r="D23" s="29">
        <f t="shared" si="0"/>
        <v>2002</v>
      </c>
      <c r="E23" s="29" t="str">
        <f t="shared" si="1"/>
        <v>3</v>
      </c>
      <c r="Q23" s="469"/>
    </row>
    <row r="24" spans="1:19" x14ac:dyDescent="0.25">
      <c r="A24" s="730">
        <v>37591</v>
      </c>
      <c r="B24" s="720">
        <v>47.27</v>
      </c>
      <c r="C24" s="721">
        <v>1348.87</v>
      </c>
      <c r="D24" s="29">
        <f t="shared" si="0"/>
        <v>2002</v>
      </c>
      <c r="E24" s="29" t="str">
        <f t="shared" si="1"/>
        <v>4</v>
      </c>
      <c r="Q24" s="469"/>
    </row>
    <row r="25" spans="1:19" x14ac:dyDescent="0.25">
      <c r="A25" s="730">
        <v>37681</v>
      </c>
      <c r="B25" s="462">
        <v>45.606999999999999</v>
      </c>
      <c r="C25" s="463">
        <v>1215.81</v>
      </c>
      <c r="D25" s="29">
        <f t="shared" si="0"/>
        <v>2003</v>
      </c>
      <c r="E25" s="29" t="str">
        <f t="shared" si="1"/>
        <v>1</v>
      </c>
      <c r="Q25" s="469"/>
    </row>
    <row r="26" spans="1:19" x14ac:dyDescent="0.25">
      <c r="A26" s="730">
        <v>37773</v>
      </c>
      <c r="B26" s="720">
        <v>47.893999999999998</v>
      </c>
      <c r="C26" s="721">
        <v>1246.04</v>
      </c>
      <c r="D26" s="29">
        <f t="shared" si="0"/>
        <v>2003</v>
      </c>
      <c r="E26" s="29" t="str">
        <f t="shared" si="1"/>
        <v>2</v>
      </c>
      <c r="Q26" s="469"/>
    </row>
    <row r="27" spans="1:19" x14ac:dyDescent="0.25">
      <c r="A27" s="730">
        <v>37865</v>
      </c>
      <c r="B27" s="462">
        <v>49.100225399999999</v>
      </c>
      <c r="C27" s="463">
        <v>1298.5731617599999</v>
      </c>
      <c r="D27" s="29">
        <f t="shared" si="0"/>
        <v>2003</v>
      </c>
      <c r="E27" s="29" t="str">
        <f t="shared" si="1"/>
        <v>3</v>
      </c>
      <c r="Q27" s="469"/>
    </row>
    <row r="28" spans="1:19" x14ac:dyDescent="0.25">
      <c r="A28" s="730">
        <v>37956</v>
      </c>
      <c r="B28" s="720">
        <v>51.992777760000003</v>
      </c>
      <c r="C28" s="721">
        <v>1296.3779992100001</v>
      </c>
      <c r="D28" s="29">
        <f t="shared" si="0"/>
        <v>2003</v>
      </c>
      <c r="E28" s="29" t="str">
        <f t="shared" si="1"/>
        <v>4</v>
      </c>
    </row>
    <row r="29" spans="1:19" x14ac:dyDescent="0.25">
      <c r="A29" s="730">
        <v>38047</v>
      </c>
      <c r="B29" s="462">
        <v>49.918986199999999</v>
      </c>
      <c r="C29" s="463">
        <v>1223.62471413</v>
      </c>
      <c r="D29" s="29">
        <f t="shared" si="0"/>
        <v>2004</v>
      </c>
      <c r="E29" s="29" t="str">
        <f t="shared" si="1"/>
        <v>1</v>
      </c>
    </row>
    <row r="30" spans="1:19" x14ac:dyDescent="0.25">
      <c r="A30" s="730">
        <v>38139</v>
      </c>
      <c r="B30" s="720">
        <v>49.924693769999998</v>
      </c>
      <c r="C30" s="721">
        <v>1541.8841010599999</v>
      </c>
      <c r="D30" s="29">
        <f t="shared" si="0"/>
        <v>2004</v>
      </c>
      <c r="E30" s="29" t="str">
        <f t="shared" si="1"/>
        <v>2</v>
      </c>
    </row>
    <row r="31" spans="1:19" x14ac:dyDescent="0.25">
      <c r="A31" s="730">
        <v>38231</v>
      </c>
      <c r="B31" s="462">
        <v>54.938313600000001</v>
      </c>
      <c r="C31" s="463">
        <v>1690.3767697599999</v>
      </c>
      <c r="D31" s="29">
        <f t="shared" si="0"/>
        <v>2004</v>
      </c>
      <c r="E31" s="29" t="str">
        <f t="shared" si="1"/>
        <v>3</v>
      </c>
    </row>
    <row r="32" spans="1:19" x14ac:dyDescent="0.25">
      <c r="A32" s="730">
        <v>38322</v>
      </c>
      <c r="B32" s="720">
        <v>58.749635499999997</v>
      </c>
      <c r="C32" s="721">
        <v>1737.0907341899999</v>
      </c>
      <c r="D32" s="29">
        <f t="shared" si="0"/>
        <v>2004</v>
      </c>
      <c r="E32" s="29" t="str">
        <f t="shared" si="1"/>
        <v>4</v>
      </c>
    </row>
    <row r="33" spans="1:19" ht="15.75" thickBot="1" x14ac:dyDescent="0.3">
      <c r="A33" s="730">
        <v>38412</v>
      </c>
      <c r="B33" s="462">
        <v>57.198419289999997</v>
      </c>
      <c r="C33" s="463">
        <v>1771.794298</v>
      </c>
      <c r="D33" s="29">
        <f t="shared" si="0"/>
        <v>2005</v>
      </c>
      <c r="E33" s="29" t="str">
        <f t="shared" si="1"/>
        <v>1</v>
      </c>
    </row>
    <row r="34" spans="1:19" x14ac:dyDescent="0.25">
      <c r="A34" s="730">
        <v>38504</v>
      </c>
      <c r="B34" s="720">
        <v>59.228280230000003</v>
      </c>
      <c r="C34" s="721">
        <v>3087.9183412000002</v>
      </c>
      <c r="D34" s="29">
        <f t="shared" si="0"/>
        <v>2005</v>
      </c>
      <c r="E34" s="29" t="str">
        <f t="shared" si="1"/>
        <v>2</v>
      </c>
      <c r="Q34" s="735" t="s">
        <v>158</v>
      </c>
      <c r="R34" s="1452" t="s">
        <v>178</v>
      </c>
      <c r="S34" s="1453"/>
    </row>
    <row r="35" spans="1:19" x14ac:dyDescent="0.25">
      <c r="A35" s="730">
        <v>38596</v>
      </c>
      <c r="B35" s="462">
        <v>59.310883619999998</v>
      </c>
      <c r="C35" s="463">
        <v>3043.2077460300002</v>
      </c>
      <c r="D35" s="29">
        <f t="shared" si="0"/>
        <v>2005</v>
      </c>
      <c r="E35" s="29" t="str">
        <f t="shared" si="1"/>
        <v>3</v>
      </c>
      <c r="Q35" s="1404" t="str">
        <f>CONCATENATE(A5," Quantity And Value By Year")</f>
        <v xml:space="preserve"> Quantity And Value By Year</v>
      </c>
      <c r="R35" s="1405"/>
      <c r="S35" s="1406"/>
    </row>
    <row r="36" spans="1:19" x14ac:dyDescent="0.25">
      <c r="A36" s="730">
        <v>38687</v>
      </c>
      <c r="B36" s="720">
        <v>64.764090550000006</v>
      </c>
      <c r="C36" s="721">
        <v>3405.7975597599998</v>
      </c>
      <c r="D36" s="29">
        <f t="shared" si="0"/>
        <v>2005</v>
      </c>
      <c r="E36" s="29" t="str">
        <f t="shared" si="1"/>
        <v>4</v>
      </c>
      <c r="Q36" s="736" t="s">
        <v>272</v>
      </c>
      <c r="R36" s="737" t="str">
        <f>B8</f>
        <v>Quantity (Mt)</v>
      </c>
      <c r="S36" s="738" t="str">
        <f>C8</f>
        <v>Value ($ Million)</v>
      </c>
    </row>
    <row r="37" spans="1:19" x14ac:dyDescent="0.25">
      <c r="A37" s="730">
        <v>38777</v>
      </c>
      <c r="B37" s="462">
        <v>54.599854749999999</v>
      </c>
      <c r="C37" s="463">
        <v>2862.9376372400002</v>
      </c>
      <c r="D37" s="29">
        <f t="shared" si="0"/>
        <v>2006</v>
      </c>
      <c r="E37" s="29" t="str">
        <f t="shared" si="1"/>
        <v>1</v>
      </c>
      <c r="Q37" s="739">
        <f t="shared" ref="Q37:Q54" si="3">IF($R$34="Calendar Year", Q38-1, LEFT(Q38,4)-1 &amp; "-" &amp; MID(Q38,3,2))</f>
        <v>2006</v>
      </c>
      <c r="R37" s="740">
        <f>IF($R$34="Calendar Year",SUMIF($D$9:$D$201,$Q37,$B$9:$B$201),SUMIFS($B$9:$B$201,$D$9:$D$201,LEFT($Q37,4),$E$9:$E$201,3)+SUMIFS($B$9:$B$201,$D$9:$D$201,LEFT($Q37,4),$E$9:$E$201,4)+SUMIFS($B$9:$B$201,$D$9:$D$201,LEFT($Q37,4)+1,$E$9:$E$201,1)+SUMIFS($B$9:$B$201,$D$9:$D$201,LEFT($Q37,4)+1,$E$9:$E$201,2))</f>
        <v>250.325766362</v>
      </c>
      <c r="S37" s="580">
        <f>IF($R$34="Calendar Year",SUMIF($D$9:$D$201,$Q37,$C$9:$C$201),SUMIFS($C$9:$C$201,$D$9:$D$201,LEFT($Q37,4),$E$9:$E$201,3)+SUMIFS($C$9:$C$201,$D$9:$D$201,LEFT($Q37,4),$E$9:$E$201,4)+SUMIFS($C$9:$C$201,$D$9:$D$201,LEFT($Q37,4)+1,$E$9:$E$201,1)+SUMIFS($C$9:$C$201,$D$9:$D$201,LEFT($Q37,4)+1,$E$9:$E$201,2))</f>
        <v>14780.092745670001</v>
      </c>
    </row>
    <row r="38" spans="1:19" x14ac:dyDescent="0.25">
      <c r="A38" s="730">
        <v>38869</v>
      </c>
      <c r="B38" s="720">
        <v>61.893562467999999</v>
      </c>
      <c r="C38" s="721">
        <v>3728.8830937900002</v>
      </c>
      <c r="D38" s="29">
        <f t="shared" si="0"/>
        <v>2006</v>
      </c>
      <c r="E38" s="29" t="str">
        <f t="shared" si="1"/>
        <v>2</v>
      </c>
      <c r="Q38" s="739">
        <f t="shared" si="3"/>
        <v>2007</v>
      </c>
      <c r="R38" s="741">
        <f t="shared" ref="R38:R56" si="4">IF(Q38="","",IF($R$34="Calendar Year",SUMIF($D$9:$D$201,$Q38,$B$9:$B$201),SUMIFS($B$9:$B$201,$D$9:$D$201,LEFT($Q38,4),$E$9:$E$201,3)+SUMIFS($B$9:$B$201,$D$9:$D$201,LEFT($Q38,4),$E$9:$E$201,4)+SUMIFS($B$9:$B$201,$D$9:$D$201,LEFT($Q38,4)+1,$E$9:$E$201,1)+SUMIFS($B$9:$B$201,$D$9:$D$201,LEFT($Q38,4)+1,$E$9:$E$201,2)))</f>
        <v>264.44915205099994</v>
      </c>
      <c r="S38" s="742">
        <f t="shared" ref="S38:S56" si="5">IF(Q38="","",IF($R$34="Calendar Year",SUMIF($D$9:$D$201,$Q38,$C$9:$C$201),SUMIFS($C$9:$C$201,$D$9:$D$201,LEFT($Q38,4),$E$9:$E$201,3)+SUMIFS($C$9:$C$201,$D$9:$D$201,LEFT($Q38,4),$E$9:$E$201,4)+SUMIFS($C$9:$C$201,$D$9:$D$201,LEFT($Q38,4)+1,$E$9:$E$201,1)+SUMIFS($C$9:$C$201,$D$9:$D$201,LEFT($Q38,4)+1,$E$9:$E$201,2)))</f>
        <v>16135.90395344</v>
      </c>
    </row>
    <row r="39" spans="1:19" x14ac:dyDescent="0.25">
      <c r="A39" s="730">
        <v>38961</v>
      </c>
      <c r="B39" s="462">
        <v>64.795758108000001</v>
      </c>
      <c r="C39" s="463">
        <v>3954.9073160200001</v>
      </c>
      <c r="D39" s="29">
        <f t="shared" si="0"/>
        <v>2006</v>
      </c>
      <c r="E39" s="29" t="str">
        <f t="shared" si="1"/>
        <v>3</v>
      </c>
      <c r="Q39" s="739">
        <f t="shared" si="3"/>
        <v>2008</v>
      </c>
      <c r="R39" s="740">
        <f t="shared" si="4"/>
        <v>305.88447268200002</v>
      </c>
      <c r="S39" s="580">
        <f t="shared" si="5"/>
        <v>31909.855018219998</v>
      </c>
    </row>
    <row r="40" spans="1:19" x14ac:dyDescent="0.25">
      <c r="A40" s="730">
        <v>39052</v>
      </c>
      <c r="B40" s="720">
        <v>69.036591036000004</v>
      </c>
      <c r="C40" s="721">
        <v>4233.3646986200001</v>
      </c>
      <c r="D40" s="29">
        <f t="shared" si="0"/>
        <v>2006</v>
      </c>
      <c r="E40" s="29" t="str">
        <f t="shared" si="1"/>
        <v>4</v>
      </c>
      <c r="Q40" s="739">
        <f t="shared" si="3"/>
        <v>2009</v>
      </c>
      <c r="R40" s="741">
        <f t="shared" si="4"/>
        <v>356.06964630899995</v>
      </c>
      <c r="S40" s="742">
        <f t="shared" si="5"/>
        <v>28133.427135669997</v>
      </c>
    </row>
    <row r="41" spans="1:19" x14ac:dyDescent="0.25">
      <c r="A41" s="730">
        <v>39142</v>
      </c>
      <c r="B41" s="462">
        <v>58.234962271999997</v>
      </c>
      <c r="C41" s="463">
        <v>3517.6331391799999</v>
      </c>
      <c r="D41" s="29">
        <f t="shared" si="0"/>
        <v>2007</v>
      </c>
      <c r="E41" s="29" t="str">
        <f t="shared" si="1"/>
        <v>1</v>
      </c>
      <c r="Q41" s="739">
        <f t="shared" si="3"/>
        <v>2010</v>
      </c>
      <c r="R41" s="740">
        <f t="shared" si="4"/>
        <v>393.85115706600004</v>
      </c>
      <c r="S41" s="580">
        <f t="shared" si="5"/>
        <v>50262.149327229999</v>
      </c>
    </row>
    <row r="42" spans="1:19" x14ac:dyDescent="0.25">
      <c r="A42" s="730">
        <v>39234</v>
      </c>
      <c r="B42" s="720">
        <v>66.929610177000001</v>
      </c>
      <c r="C42" s="721">
        <v>4073.28629654</v>
      </c>
      <c r="D42" s="29">
        <f t="shared" si="0"/>
        <v>2007</v>
      </c>
      <c r="E42" s="29" t="str">
        <f t="shared" si="1"/>
        <v>2</v>
      </c>
      <c r="Q42" s="739">
        <f t="shared" si="3"/>
        <v>2011</v>
      </c>
      <c r="R42" s="741">
        <f t="shared" si="4"/>
        <v>426.67287969500001</v>
      </c>
      <c r="S42" s="742">
        <f t="shared" si="5"/>
        <v>62863.290517729998</v>
      </c>
    </row>
    <row r="43" spans="1:19" x14ac:dyDescent="0.25">
      <c r="A43" s="730">
        <v>39326</v>
      </c>
      <c r="B43" s="462">
        <v>66.547036129999995</v>
      </c>
      <c r="C43" s="463">
        <v>4027.29191631</v>
      </c>
      <c r="D43" s="29">
        <f t="shared" si="0"/>
        <v>2007</v>
      </c>
      <c r="E43" s="29" t="str">
        <f t="shared" si="1"/>
        <v>3</v>
      </c>
      <c r="Q43" s="739">
        <f t="shared" si="3"/>
        <v>2012</v>
      </c>
      <c r="R43" s="740">
        <f t="shared" si="4"/>
        <v>478.32621689000001</v>
      </c>
      <c r="S43" s="580">
        <f t="shared" si="5"/>
        <v>52823.916640019997</v>
      </c>
    </row>
    <row r="44" spans="1:19" x14ac:dyDescent="0.25">
      <c r="A44" s="730">
        <v>39417</v>
      </c>
      <c r="B44" s="720">
        <v>72.737543471999999</v>
      </c>
      <c r="C44" s="721">
        <v>4517.69260141</v>
      </c>
      <c r="D44" s="29">
        <f t="shared" si="0"/>
        <v>2007</v>
      </c>
      <c r="E44" s="29" t="str">
        <f t="shared" si="1"/>
        <v>4</v>
      </c>
      <c r="Q44" s="739">
        <f t="shared" si="3"/>
        <v>2013</v>
      </c>
      <c r="R44" s="741">
        <f t="shared" si="4"/>
        <v>544.937833372</v>
      </c>
      <c r="S44" s="742">
        <f t="shared" si="5"/>
        <v>71124.725319999998</v>
      </c>
    </row>
    <row r="45" spans="1:19" x14ac:dyDescent="0.25">
      <c r="A45" s="730">
        <v>39508</v>
      </c>
      <c r="B45" s="462">
        <v>73.459152786000004</v>
      </c>
      <c r="C45" s="463">
        <v>5322.6792588799999</v>
      </c>
      <c r="D45" s="29">
        <f t="shared" si="0"/>
        <v>2008</v>
      </c>
      <c r="E45" s="29" t="str">
        <f t="shared" si="1"/>
        <v>1</v>
      </c>
      <c r="Q45" s="739">
        <f t="shared" si="3"/>
        <v>2014</v>
      </c>
      <c r="R45" s="740">
        <f t="shared" si="4"/>
        <v>686.23315313900002</v>
      </c>
      <c r="S45" s="580">
        <f t="shared" si="5"/>
        <v>65059.73704</v>
      </c>
    </row>
    <row r="46" spans="1:19" x14ac:dyDescent="0.25">
      <c r="A46" s="730">
        <v>39600</v>
      </c>
      <c r="B46" s="720">
        <v>78.422382924000004</v>
      </c>
      <c r="C46" s="721">
        <v>8092.7429333399996</v>
      </c>
      <c r="D46" s="29">
        <f t="shared" si="0"/>
        <v>2008</v>
      </c>
      <c r="E46" s="29" t="str">
        <f t="shared" si="1"/>
        <v>2</v>
      </c>
      <c r="Q46" s="739">
        <f t="shared" si="3"/>
        <v>2015</v>
      </c>
      <c r="R46" s="741">
        <f t="shared" si="4"/>
        <v>742.40984031599999</v>
      </c>
      <c r="S46" s="742">
        <f t="shared" si="5"/>
        <v>49630.774950999999</v>
      </c>
    </row>
    <row r="47" spans="1:19" x14ac:dyDescent="0.25">
      <c r="A47" s="730">
        <v>39692</v>
      </c>
      <c r="B47" s="462">
        <v>86.950802327000005</v>
      </c>
      <c r="C47" s="463">
        <v>9861.1783441700009</v>
      </c>
      <c r="D47" s="29">
        <f t="shared" si="0"/>
        <v>2008</v>
      </c>
      <c r="E47" s="29" t="str">
        <f t="shared" si="1"/>
        <v>3</v>
      </c>
      <c r="Q47" s="739">
        <f t="shared" si="3"/>
        <v>2016</v>
      </c>
      <c r="R47" s="740">
        <f t="shared" si="4"/>
        <v>795.71547145499994</v>
      </c>
      <c r="S47" s="580">
        <f t="shared" si="5"/>
        <v>55609.172696999995</v>
      </c>
    </row>
    <row r="48" spans="1:19" x14ac:dyDescent="0.25">
      <c r="A48" s="730">
        <v>39783</v>
      </c>
      <c r="B48" s="720">
        <v>67.052134644999995</v>
      </c>
      <c r="C48" s="721">
        <v>8633.2544818299993</v>
      </c>
      <c r="D48" s="29">
        <f t="shared" si="0"/>
        <v>2008</v>
      </c>
      <c r="E48" s="29" t="str">
        <f t="shared" si="1"/>
        <v>4</v>
      </c>
      <c r="Q48" s="739">
        <f t="shared" si="3"/>
        <v>2017</v>
      </c>
      <c r="R48" s="741">
        <f t="shared" si="4"/>
        <v>814.12094474599985</v>
      </c>
      <c r="S48" s="742">
        <f t="shared" si="5"/>
        <v>63830.848204999988</v>
      </c>
    </row>
    <row r="49" spans="1:19" x14ac:dyDescent="0.25">
      <c r="A49" s="730">
        <v>39873</v>
      </c>
      <c r="B49" s="462">
        <v>74.655362797999999</v>
      </c>
      <c r="C49" s="463">
        <v>8405.6447132600006</v>
      </c>
      <c r="D49" s="29">
        <f t="shared" si="0"/>
        <v>2009</v>
      </c>
      <c r="E49" s="29" t="str">
        <f t="shared" si="1"/>
        <v>1</v>
      </c>
      <c r="Q49" s="739">
        <f t="shared" si="3"/>
        <v>2018</v>
      </c>
      <c r="R49" s="740">
        <f t="shared" si="4"/>
        <v>813.57781896699998</v>
      </c>
      <c r="S49" s="580">
        <f t="shared" si="5"/>
        <v>65755.563037999993</v>
      </c>
    </row>
    <row r="50" spans="1:19" x14ac:dyDescent="0.25">
      <c r="A50" s="730">
        <v>39965</v>
      </c>
      <c r="B50" s="720">
        <v>87.887633027999996</v>
      </c>
      <c r="C50" s="721">
        <v>6721.7997574299998</v>
      </c>
      <c r="D50" s="29">
        <f t="shared" si="0"/>
        <v>2009</v>
      </c>
      <c r="E50" s="29" t="str">
        <f t="shared" si="1"/>
        <v>2</v>
      </c>
      <c r="Q50" s="739">
        <f t="shared" si="3"/>
        <v>2019</v>
      </c>
      <c r="R50" s="741">
        <f t="shared" si="4"/>
        <v>811.78788645099996</v>
      </c>
      <c r="S50" s="742">
        <f t="shared" si="5"/>
        <v>99729.341920000006</v>
      </c>
    </row>
    <row r="51" spans="1:19" x14ac:dyDescent="0.25">
      <c r="A51" s="730">
        <v>40057</v>
      </c>
      <c r="B51" s="462">
        <v>95.559004707</v>
      </c>
      <c r="C51" s="463">
        <v>6885.2803868600004</v>
      </c>
      <c r="D51" s="29">
        <f t="shared" si="0"/>
        <v>2009</v>
      </c>
      <c r="E51" s="29" t="str">
        <f t="shared" si="1"/>
        <v>3</v>
      </c>
      <c r="Q51" s="739">
        <f t="shared" si="3"/>
        <v>2020</v>
      </c>
      <c r="R51" s="740">
        <f t="shared" si="4"/>
        <v>847.132426775</v>
      </c>
      <c r="S51" s="580">
        <f t="shared" si="5"/>
        <v>118437.941051</v>
      </c>
    </row>
    <row r="52" spans="1:19" x14ac:dyDescent="0.25">
      <c r="A52" s="730">
        <v>40148</v>
      </c>
      <c r="B52" s="720">
        <v>97.967645775999998</v>
      </c>
      <c r="C52" s="721">
        <v>6120.7022781200003</v>
      </c>
      <c r="D52" s="29">
        <f t="shared" si="0"/>
        <v>2009</v>
      </c>
      <c r="E52" s="29" t="str">
        <f t="shared" si="1"/>
        <v>4</v>
      </c>
      <c r="Q52" s="739">
        <f t="shared" si="3"/>
        <v>2021</v>
      </c>
      <c r="R52" s="741">
        <f t="shared" si="4"/>
        <v>838.29191462300003</v>
      </c>
      <c r="S52" s="742">
        <f t="shared" si="5"/>
        <v>157824.71403499998</v>
      </c>
    </row>
    <row r="53" spans="1:19" x14ac:dyDescent="0.25">
      <c r="A53" s="730">
        <v>40238</v>
      </c>
      <c r="B53" s="462">
        <v>93.986817368999994</v>
      </c>
      <c r="C53" s="463">
        <v>7923.4848495799997</v>
      </c>
      <c r="D53" s="29">
        <f t="shared" si="0"/>
        <v>2010</v>
      </c>
      <c r="E53" s="29" t="str">
        <f t="shared" si="1"/>
        <v>1</v>
      </c>
      <c r="Q53" s="739">
        <f t="shared" si="3"/>
        <v>2022</v>
      </c>
      <c r="R53" s="740">
        <f t="shared" si="4"/>
        <v>855.78732936100016</v>
      </c>
      <c r="S53" s="580">
        <f t="shared" si="5"/>
        <v>128090.47812699999</v>
      </c>
    </row>
    <row r="54" spans="1:19" x14ac:dyDescent="0.25">
      <c r="A54" s="730">
        <v>40330</v>
      </c>
      <c r="B54" s="720">
        <v>97.451399953999996</v>
      </c>
      <c r="C54" s="721">
        <v>14284.953068790001</v>
      </c>
      <c r="D54" s="29">
        <f t="shared" si="0"/>
        <v>2010</v>
      </c>
      <c r="E54" s="29" t="str">
        <f t="shared" si="1"/>
        <v>2</v>
      </c>
      <c r="Q54" s="739">
        <f t="shared" si="3"/>
        <v>2023</v>
      </c>
      <c r="R54" s="741">
        <f t="shared" si="4"/>
        <v>860.24326515400003</v>
      </c>
      <c r="S54" s="742">
        <f t="shared" si="5"/>
        <v>139783.54434399999</v>
      </c>
    </row>
    <row r="55" spans="1:19" x14ac:dyDescent="0.25">
      <c r="A55" s="730">
        <v>40422</v>
      </c>
      <c r="B55" s="462">
        <v>97.011669995999995</v>
      </c>
      <c r="C55" s="463">
        <v>14189.22551518</v>
      </c>
      <c r="D55" s="29">
        <f t="shared" si="0"/>
        <v>2010</v>
      </c>
      <c r="E55" s="29" t="str">
        <f t="shared" si="1"/>
        <v>3</v>
      </c>
      <c r="Q55" s="739">
        <f>IF($R$34="Calendar Year", Q56-1, LEFT(Q56,4)-1 &amp; "-" &amp; MID(Q56,3,2))</f>
        <v>2024</v>
      </c>
      <c r="R55" s="740">
        <f t="shared" si="4"/>
        <v>866.56964041099991</v>
      </c>
      <c r="S55" s="580">
        <f t="shared" si="5"/>
        <v>136103.45978899999</v>
      </c>
    </row>
    <row r="56" spans="1:19" ht="15.75" thickBot="1" x14ac:dyDescent="0.3">
      <c r="A56" s="730">
        <v>40513</v>
      </c>
      <c r="B56" s="720">
        <v>105.401269747</v>
      </c>
      <c r="C56" s="721">
        <v>13864.485893679999</v>
      </c>
      <c r="D56" s="29">
        <f t="shared" si="0"/>
        <v>2010</v>
      </c>
      <c r="E56" s="29" t="str">
        <f t="shared" si="1"/>
        <v>4</v>
      </c>
      <c r="Q56" s="743">
        <f>IF($R$34="Calendar Year",
    YEAR(LARGE($A:$A, 4)),
    IF(MONTH(LARGE($A:$A, 4))&gt;6,
        YEAR(LARGE($A:$A, 4)) &amp; "-" &amp; RIGHT(YEAR(LARGE($A:$A, 4))+1, 2),
        YEAR(LARGE($A:$A, 4))-1 &amp; "-" &amp; RIGHT(YEAR(LARGE($A:$A, 4)), 2)
    ))</f>
        <v>2025</v>
      </c>
      <c r="R56" s="744">
        <f t="shared" si="4"/>
        <v>889.48255527969991</v>
      </c>
      <c r="S56" s="745">
        <f t="shared" si="5"/>
        <v>126234.28572037708</v>
      </c>
    </row>
    <row r="57" spans="1:19" x14ac:dyDescent="0.25">
      <c r="A57" s="730">
        <v>40603</v>
      </c>
      <c r="B57" s="462">
        <v>92.160356540999999</v>
      </c>
      <c r="C57" s="463">
        <v>13502.716071020001</v>
      </c>
      <c r="D57" s="29">
        <f t="shared" si="0"/>
        <v>2011</v>
      </c>
      <c r="E57" s="29" t="str">
        <f t="shared" si="1"/>
        <v>1</v>
      </c>
      <c r="Q57" s="588"/>
      <c r="R57" s="573"/>
      <c r="S57" s="573"/>
    </row>
    <row r="58" spans="1:19" x14ac:dyDescent="0.25">
      <c r="A58" s="730">
        <v>40695</v>
      </c>
      <c r="B58" s="720">
        <v>103.030917184</v>
      </c>
      <c r="C58" s="721">
        <v>15976.673848820001</v>
      </c>
      <c r="D58" s="29">
        <f t="shared" si="0"/>
        <v>2011</v>
      </c>
      <c r="E58" s="29" t="str">
        <f t="shared" si="1"/>
        <v>2</v>
      </c>
      <c r="Q58" s="588"/>
      <c r="R58" s="573"/>
      <c r="S58" s="573"/>
    </row>
    <row r="59" spans="1:19" x14ac:dyDescent="0.25">
      <c r="A59" s="730">
        <v>40787</v>
      </c>
      <c r="B59" s="462">
        <v>112.872409969</v>
      </c>
      <c r="C59" s="463">
        <v>17693.954844650001</v>
      </c>
      <c r="D59" s="29">
        <f t="shared" si="0"/>
        <v>2011</v>
      </c>
      <c r="E59" s="29" t="str">
        <f t="shared" si="1"/>
        <v>3</v>
      </c>
      <c r="Q59" s="588"/>
      <c r="R59" s="573"/>
      <c r="S59" s="573"/>
    </row>
    <row r="60" spans="1:19" x14ac:dyDescent="0.25">
      <c r="A60" s="730">
        <v>40878</v>
      </c>
      <c r="B60" s="720">
        <v>118.609196001</v>
      </c>
      <c r="C60" s="721">
        <v>15689.945753239999</v>
      </c>
      <c r="D60" s="29">
        <f t="shared" si="0"/>
        <v>2011</v>
      </c>
      <c r="E60" s="29" t="str">
        <f t="shared" si="1"/>
        <v>4</v>
      </c>
      <c r="Q60" s="588"/>
      <c r="R60" s="573"/>
      <c r="S60" s="573"/>
    </row>
    <row r="61" spans="1:19" x14ac:dyDescent="0.25">
      <c r="A61" s="730">
        <v>40969</v>
      </c>
      <c r="B61" s="462">
        <v>103.279320281</v>
      </c>
      <c r="C61" s="463">
        <v>12545.06644411</v>
      </c>
      <c r="D61" s="29">
        <f t="shared" si="0"/>
        <v>2012</v>
      </c>
      <c r="E61" s="29" t="str">
        <f t="shared" si="1"/>
        <v>1</v>
      </c>
      <c r="Q61" s="589" t="str">
        <f>IFERROR(IF(YEAR(MAX('Commodity Prices'!$C$11:$C1516))=VALUE(RIGHT(Q60,4)),"",IF($R$34="Calendar Year",Q60+1,CONCATENATE(LEFT(Q60,4)+1,"-",RIGHT(Q60,4)+1))),"")</f>
        <v/>
      </c>
      <c r="R61" s="590" t="str">
        <f>IF(Q61="","",IF($R$34="Calendar Year",SUMIF($D$9:$D$201,$Q61,$B$9:$B$201),SUMIFS($B$9:$B$201,$D$9:$D$201,LEFT($Q61,4),$E$9:$E$201,3)+SUMIFS($B$9:$B$201,$D$9:$D$201,LEFT($Q61,4),$E$9:$E$201,4)+SUMIFS($B$9:$B$201,$D$9:$D$201,LEFT($Q61,4)+1,$E$9:$E$201,1)+SUMIFS($B$9:$B$201,$D$9:$D$201,LEFT($Q61,4)+1,$E$9:$E$201,2)))</f>
        <v/>
      </c>
      <c r="S61" s="746" t="str">
        <f>IF(Q61="","",IF($R$34="Calendar Year",SUMIF($D$9:$D$201,$Q61,$C$9:$C$201),SUMIFS($C$9:$C$201,$D$9:$D$201,LEFT($Q61,4),$E$9:$E$201,3)+SUMIFS($C$9:$C$201,$D$9:$D$201,LEFT($Q61,4),$E$9:$E$201,4)+SUMIFS($C$9:$C$201,$D$9:$D$201,LEFT($Q61,4)+1,$E$9:$E$201,1)+SUMIFS($C$9:$C$201,$D$9:$D$201,LEFT($Q61,4)+1,$E$9:$E$201,2)))</f>
        <v/>
      </c>
    </row>
    <row r="62" spans="1:19" x14ac:dyDescent="0.25">
      <c r="A62" s="730">
        <v>41061</v>
      </c>
      <c r="B62" s="720">
        <v>119.624137316</v>
      </c>
      <c r="C62" s="721">
        <v>15043.75994937</v>
      </c>
      <c r="D62" s="29">
        <f t="shared" si="0"/>
        <v>2012</v>
      </c>
      <c r="E62" s="29" t="str">
        <f t="shared" si="1"/>
        <v>2</v>
      </c>
      <c r="Q62" s="589" t="str">
        <f>IFERROR(IF(YEAR(MAX('Commodity Prices'!$C$11:$C1516))=VALUE(RIGHT(Q61,4)),"",IF($R$34="Calendar Year",Q61+1,CONCATENATE(LEFT(Q61,4)+1,"-",RIGHT(Q61,4)+1))),"")</f>
        <v/>
      </c>
      <c r="R62" s="590" t="str">
        <f>IF(Q62="","",IF($R$34="Calendar Year",SUMIF($D$9:$D$201,$Q62,$B$9:$B$201),SUMIFS($B$9:$B$201,$D$9:$D$201,LEFT($Q62,4),$E$9:$E$201,3)+SUMIFS($B$9:$B$201,$D$9:$D$201,LEFT($Q62,4),$E$9:$E$201,4)+SUMIFS($B$9:$B$201,$D$9:$D$201,LEFT($Q62,4)+1,$E$9:$E$201,1)+SUMIFS($B$9:$B$201,$D$9:$D$201,LEFT($Q62,4)+1,$E$9:$E$201,2)))</f>
        <v/>
      </c>
      <c r="S62" s="746" t="str">
        <f>IF(Q62="","",IF($R$34="Calendar Year",SUMIF($D$9:$D$201,$Q62,$C$9:$C$201),SUMIFS($C$9:$C$201,$D$9:$D$201,LEFT($Q62,4),$E$9:$E$201,3)+SUMIFS($C$9:$C$201,$D$9:$D$201,LEFT($Q62,4),$E$9:$E$201,4)+SUMIFS($C$9:$C$201,$D$9:$D$201,LEFT($Q62,4)+1,$E$9:$E$201,1)+SUMIFS($C$9:$C$201,$D$9:$D$201,LEFT($Q62,4)+1,$E$9:$E$201,2)))</f>
        <v/>
      </c>
    </row>
    <row r="63" spans="1:19" x14ac:dyDescent="0.25">
      <c r="A63" s="730">
        <v>41153</v>
      </c>
      <c r="B63" s="462">
        <v>123.919282607</v>
      </c>
      <c r="C63" s="463">
        <v>12464.5617174</v>
      </c>
      <c r="D63" s="29">
        <f t="shared" si="0"/>
        <v>2012</v>
      </c>
      <c r="E63" s="29" t="str">
        <f t="shared" si="1"/>
        <v>3</v>
      </c>
    </row>
    <row r="64" spans="1:19" x14ac:dyDescent="0.25">
      <c r="A64" s="730">
        <v>41244</v>
      </c>
      <c r="B64" s="720">
        <v>131.503476686</v>
      </c>
      <c r="C64" s="721">
        <v>12770.52852914</v>
      </c>
      <c r="D64" s="29">
        <f t="shared" si="0"/>
        <v>2012</v>
      </c>
      <c r="E64" s="29" t="str">
        <f t="shared" si="1"/>
        <v>4</v>
      </c>
    </row>
    <row r="65" spans="1:5" x14ac:dyDescent="0.25">
      <c r="A65" s="730">
        <v>41334</v>
      </c>
      <c r="B65" s="462">
        <v>119.44340823899999</v>
      </c>
      <c r="C65" s="463">
        <v>14667.798079999999</v>
      </c>
      <c r="D65" s="29">
        <f t="shared" si="0"/>
        <v>2013</v>
      </c>
      <c r="E65" s="29" t="str">
        <f t="shared" si="1"/>
        <v>1</v>
      </c>
    </row>
    <row r="66" spans="1:5" x14ac:dyDescent="0.25">
      <c r="A66" s="730">
        <v>41426</v>
      </c>
      <c r="B66" s="720">
        <v>136.89424895300002</v>
      </c>
      <c r="C66" s="721">
        <v>16301.43455</v>
      </c>
      <c r="D66" s="29">
        <f t="shared" si="0"/>
        <v>2013</v>
      </c>
      <c r="E66" s="29" t="str">
        <f t="shared" si="1"/>
        <v>2</v>
      </c>
    </row>
    <row r="67" spans="1:5" x14ac:dyDescent="0.25">
      <c r="A67" s="730">
        <v>41518</v>
      </c>
      <c r="B67" s="462">
        <v>144.90508703099999</v>
      </c>
      <c r="C67" s="463">
        <v>20439.677551999997</v>
      </c>
      <c r="D67" s="29">
        <f t="shared" si="0"/>
        <v>2013</v>
      </c>
      <c r="E67" s="29" t="str">
        <f t="shared" si="1"/>
        <v>3</v>
      </c>
    </row>
    <row r="68" spans="1:5" x14ac:dyDescent="0.25">
      <c r="A68" s="730">
        <v>41609</v>
      </c>
      <c r="B68" s="720">
        <v>143.69508914899998</v>
      </c>
      <c r="C68" s="721">
        <v>19715.815137999998</v>
      </c>
      <c r="D68" s="29">
        <f t="shared" si="0"/>
        <v>2013</v>
      </c>
      <c r="E68" s="29" t="str">
        <f t="shared" si="1"/>
        <v>4</v>
      </c>
    </row>
    <row r="69" spans="1:5" x14ac:dyDescent="0.25">
      <c r="A69" s="730">
        <v>41699</v>
      </c>
      <c r="B69" s="462">
        <v>151.54441827299999</v>
      </c>
      <c r="C69" s="463">
        <v>18726.793033999998</v>
      </c>
      <c r="D69" s="29">
        <f t="shared" si="0"/>
        <v>2014</v>
      </c>
      <c r="E69" s="29" t="str">
        <f t="shared" si="1"/>
        <v>1</v>
      </c>
    </row>
    <row r="70" spans="1:5" x14ac:dyDescent="0.25">
      <c r="A70" s="730">
        <v>41791</v>
      </c>
      <c r="B70" s="720">
        <v>173.36272031600001</v>
      </c>
      <c r="C70" s="721">
        <v>17027.212037999998</v>
      </c>
      <c r="D70" s="29">
        <f t="shared" si="0"/>
        <v>2014</v>
      </c>
      <c r="E70" s="29" t="str">
        <f t="shared" si="1"/>
        <v>2</v>
      </c>
    </row>
    <row r="71" spans="1:5" x14ac:dyDescent="0.25">
      <c r="A71" s="730">
        <v>41883</v>
      </c>
      <c r="B71" s="462">
        <v>179.09788567999996</v>
      </c>
      <c r="C71" s="463">
        <v>15192.637316999999</v>
      </c>
      <c r="D71" s="29">
        <f t="shared" si="0"/>
        <v>2014</v>
      </c>
      <c r="E71" s="29" t="str">
        <f t="shared" si="1"/>
        <v>3</v>
      </c>
    </row>
    <row r="72" spans="1:5" x14ac:dyDescent="0.25">
      <c r="A72" s="730">
        <v>41974</v>
      </c>
      <c r="B72" s="720">
        <v>182.22812887000009</v>
      </c>
      <c r="C72" s="721">
        <v>14113.094650999999</v>
      </c>
      <c r="D72" s="29">
        <f t="shared" si="0"/>
        <v>2014</v>
      </c>
      <c r="E72" s="29" t="str">
        <f t="shared" si="1"/>
        <v>4</v>
      </c>
    </row>
    <row r="73" spans="1:5" x14ac:dyDescent="0.25">
      <c r="A73" s="730">
        <v>42064</v>
      </c>
      <c r="B73" s="462">
        <v>173.63302629199998</v>
      </c>
      <c r="C73" s="463">
        <v>12906.699777</v>
      </c>
      <c r="D73" s="29">
        <f>YEAR(A73)</f>
        <v>2015</v>
      </c>
      <c r="E73" s="29" t="str">
        <f t="shared" si="1"/>
        <v>1</v>
      </c>
    </row>
    <row r="74" spans="1:5" x14ac:dyDescent="0.25">
      <c r="A74" s="730">
        <v>42156</v>
      </c>
      <c r="B74" s="720">
        <v>183.86199558600003</v>
      </c>
      <c r="C74" s="721">
        <v>12166.051083999999</v>
      </c>
      <c r="D74" s="29">
        <f>YEAR(A74)</f>
        <v>2015</v>
      </c>
      <c r="E74" s="29" t="str">
        <f>IF(MONTH(A74)=3,"1",IF(MONTH(A74)=6,"2",IF(MONTH(A74)=9,"3","4")))</f>
        <v>2</v>
      </c>
    </row>
    <row r="75" spans="1:5" x14ac:dyDescent="0.25">
      <c r="A75" s="730">
        <v>42248</v>
      </c>
      <c r="B75" s="462">
        <v>192.81670973400003</v>
      </c>
      <c r="C75" s="463">
        <v>13113.917823</v>
      </c>
      <c r="D75" s="29">
        <f>YEAR(A75)</f>
        <v>2015</v>
      </c>
      <c r="E75" s="29" t="str">
        <f>IF(MONTH(A75)=3,"1",IF(MONTH(A75)=6,"2",IF(MONTH(A75)=9,"3","4")))</f>
        <v>3</v>
      </c>
    </row>
    <row r="76" spans="1:5" x14ac:dyDescent="0.25">
      <c r="A76" s="730">
        <v>42339</v>
      </c>
      <c r="B76" s="720">
        <v>192.09810870399997</v>
      </c>
      <c r="C76" s="721">
        <v>11444.106266999999</v>
      </c>
      <c r="D76" s="29">
        <f>YEAR(A76)</f>
        <v>2015</v>
      </c>
      <c r="E76" s="29" t="str">
        <f>IF(MONTH(A76)=3,"1",IF(MONTH(A76)=6,"2",IF(MONTH(A76)=9,"3","4")))</f>
        <v>4</v>
      </c>
    </row>
    <row r="77" spans="1:5" x14ac:dyDescent="0.25">
      <c r="A77" s="730">
        <v>42430</v>
      </c>
      <c r="B77" s="462">
        <v>181.94836509599995</v>
      </c>
      <c r="C77" s="463">
        <v>10837.407256999999</v>
      </c>
      <c r="D77" s="29">
        <f t="shared" ref="D77:D140" si="6">YEAR(A77)</f>
        <v>2016</v>
      </c>
      <c r="E77" s="29" t="str">
        <f t="shared" ref="E77:E140" si="7">IF(MONTH(A77)=3,"1",IF(MONTH(A77)=6,"2",IF(MONTH(A77)=9,"3","4")))</f>
        <v>1</v>
      </c>
    </row>
    <row r="78" spans="1:5" x14ac:dyDescent="0.25">
      <c r="A78" s="730">
        <v>42522</v>
      </c>
      <c r="B78" s="720">
        <v>207.67518763500001</v>
      </c>
      <c r="C78" s="721">
        <v>13372.315251</v>
      </c>
      <c r="D78" s="29">
        <f t="shared" si="6"/>
        <v>2016</v>
      </c>
      <c r="E78" s="29" t="str">
        <f t="shared" si="7"/>
        <v>2</v>
      </c>
    </row>
    <row r="79" spans="1:5" x14ac:dyDescent="0.25">
      <c r="A79" s="730">
        <v>42614</v>
      </c>
      <c r="B79" s="462">
        <v>197.84951740600002</v>
      </c>
      <c r="C79" s="463">
        <v>14228.356485999999</v>
      </c>
      <c r="D79" s="29">
        <f t="shared" si="6"/>
        <v>2016</v>
      </c>
      <c r="E79" s="29" t="str">
        <f t="shared" si="7"/>
        <v>3</v>
      </c>
    </row>
    <row r="80" spans="1:5" x14ac:dyDescent="0.25">
      <c r="A80" s="730">
        <v>42705</v>
      </c>
      <c r="B80" s="720">
        <v>208.24240131800002</v>
      </c>
      <c r="C80" s="721">
        <v>17171.093702999999</v>
      </c>
      <c r="D80" s="29">
        <f t="shared" si="6"/>
        <v>2016</v>
      </c>
      <c r="E80" s="29" t="str">
        <f t="shared" si="7"/>
        <v>4</v>
      </c>
    </row>
    <row r="81" spans="1:5" x14ac:dyDescent="0.25">
      <c r="A81" s="730">
        <v>42795</v>
      </c>
      <c r="B81" s="462">
        <v>185.80251732899998</v>
      </c>
      <c r="C81" s="463">
        <v>17547.901107999998</v>
      </c>
      <c r="D81" s="29">
        <f t="shared" si="6"/>
        <v>2017</v>
      </c>
      <c r="E81" s="29" t="str">
        <f t="shared" si="7"/>
        <v>1</v>
      </c>
    </row>
    <row r="82" spans="1:5" x14ac:dyDescent="0.25">
      <c r="A82" s="730">
        <v>42887</v>
      </c>
      <c r="B82" s="720">
        <v>201.09012624299996</v>
      </c>
      <c r="C82" s="721">
        <v>15371.898154999999</v>
      </c>
      <c r="D82" s="29">
        <f t="shared" si="6"/>
        <v>2017</v>
      </c>
      <c r="E82" s="29" t="str">
        <f t="shared" si="7"/>
        <v>2</v>
      </c>
    </row>
    <row r="83" spans="1:5" x14ac:dyDescent="0.25">
      <c r="A83" s="730">
        <v>42979</v>
      </c>
      <c r="B83" s="462">
        <v>216.24058999099995</v>
      </c>
      <c r="C83" s="463">
        <v>15797.299101999999</v>
      </c>
      <c r="D83" s="29">
        <f t="shared" si="6"/>
        <v>2017</v>
      </c>
      <c r="E83" s="29" t="str">
        <f t="shared" si="7"/>
        <v>3</v>
      </c>
    </row>
    <row r="84" spans="1:5" x14ac:dyDescent="0.25">
      <c r="A84" s="730">
        <v>43070</v>
      </c>
      <c r="B84" s="720">
        <v>210.98771118300002</v>
      </c>
      <c r="C84" s="721">
        <v>15113.749839999999</v>
      </c>
      <c r="D84" s="29">
        <f t="shared" si="6"/>
        <v>2017</v>
      </c>
      <c r="E84" s="29" t="str">
        <f t="shared" si="7"/>
        <v>4</v>
      </c>
    </row>
    <row r="85" spans="1:5" x14ac:dyDescent="0.25">
      <c r="A85" s="730">
        <v>43160</v>
      </c>
      <c r="B85" s="462">
        <v>196.12663006500003</v>
      </c>
      <c r="C85" s="463">
        <v>15473.545389999999</v>
      </c>
      <c r="D85" s="29">
        <f t="shared" si="6"/>
        <v>2018</v>
      </c>
      <c r="E85" s="29" t="str">
        <f t="shared" si="7"/>
        <v>1</v>
      </c>
    </row>
    <row r="86" spans="1:5" x14ac:dyDescent="0.25">
      <c r="A86" s="730">
        <v>43252</v>
      </c>
      <c r="B86" s="720">
        <v>216.07066851799999</v>
      </c>
      <c r="C86" s="721">
        <v>15691.011537999999</v>
      </c>
      <c r="D86" s="29">
        <f t="shared" si="6"/>
        <v>2018</v>
      </c>
      <c r="E86" s="29" t="str">
        <f t="shared" si="7"/>
        <v>2</v>
      </c>
    </row>
    <row r="87" spans="1:5" x14ac:dyDescent="0.25">
      <c r="A87" s="730">
        <v>43344</v>
      </c>
      <c r="B87" s="462">
        <v>200.76104882499999</v>
      </c>
      <c r="C87" s="456">
        <v>16267.339850999999</v>
      </c>
      <c r="D87" s="29">
        <f t="shared" si="6"/>
        <v>2018</v>
      </c>
      <c r="E87" s="29" t="str">
        <f t="shared" si="7"/>
        <v>3</v>
      </c>
    </row>
    <row r="88" spans="1:5" x14ac:dyDescent="0.25">
      <c r="A88" s="730">
        <v>43435</v>
      </c>
      <c r="B88" s="720">
        <v>200.619471559</v>
      </c>
      <c r="C88" s="721">
        <v>18323.666258999998</v>
      </c>
      <c r="D88" s="29">
        <f t="shared" si="6"/>
        <v>2018</v>
      </c>
      <c r="E88" s="29" t="str">
        <f t="shared" si="7"/>
        <v>4</v>
      </c>
    </row>
    <row r="89" spans="1:5" x14ac:dyDescent="0.25">
      <c r="A89" s="730">
        <v>43525</v>
      </c>
      <c r="B89" s="462">
        <v>182.084182822</v>
      </c>
      <c r="C89" s="456">
        <v>19464.395735999999</v>
      </c>
      <c r="D89" s="29">
        <f t="shared" si="6"/>
        <v>2019</v>
      </c>
      <c r="E89" s="29" t="str">
        <f t="shared" si="7"/>
        <v>1</v>
      </c>
    </row>
    <row r="90" spans="1:5" x14ac:dyDescent="0.25">
      <c r="A90" s="730">
        <v>43617</v>
      </c>
      <c r="B90" s="720">
        <v>211.18462670699995</v>
      </c>
      <c r="C90" s="721">
        <v>27798.968166999999</v>
      </c>
      <c r="D90" s="29">
        <f t="shared" si="6"/>
        <v>2019</v>
      </c>
      <c r="E90" s="29" t="str">
        <f t="shared" si="7"/>
        <v>2</v>
      </c>
    </row>
    <row r="91" spans="1:5" x14ac:dyDescent="0.25">
      <c r="A91" s="730">
        <v>43709</v>
      </c>
      <c r="B91" s="462">
        <v>206.07380828799998</v>
      </c>
      <c r="C91" s="456">
        <v>27854.058919999999</v>
      </c>
      <c r="D91" s="29">
        <f t="shared" si="6"/>
        <v>2019</v>
      </c>
      <c r="E91" s="29" t="str">
        <f t="shared" si="7"/>
        <v>3</v>
      </c>
    </row>
    <row r="92" spans="1:5" x14ac:dyDescent="0.25">
      <c r="A92" s="730">
        <v>43800</v>
      </c>
      <c r="B92" s="720">
        <v>212.44526863400003</v>
      </c>
      <c r="C92" s="721">
        <v>24611.919096999998</v>
      </c>
      <c r="D92" s="29">
        <f t="shared" si="6"/>
        <v>2019</v>
      </c>
      <c r="E92" s="29" t="str">
        <f t="shared" si="7"/>
        <v>4</v>
      </c>
    </row>
    <row r="93" spans="1:5" x14ac:dyDescent="0.25">
      <c r="A93" s="730">
        <v>43891</v>
      </c>
      <c r="B93" s="462">
        <v>192.44282760600001</v>
      </c>
      <c r="C93" s="463">
        <v>23746.642249</v>
      </c>
      <c r="D93" s="29">
        <f t="shared" si="6"/>
        <v>2020</v>
      </c>
      <c r="E93" s="29" t="str">
        <f t="shared" si="7"/>
        <v>1</v>
      </c>
    </row>
    <row r="94" spans="1:5" x14ac:dyDescent="0.25">
      <c r="A94" s="730">
        <v>43983</v>
      </c>
      <c r="B94" s="720">
        <v>226.11576968100002</v>
      </c>
      <c r="C94" s="721">
        <v>28433.974381</v>
      </c>
      <c r="D94" s="29">
        <f t="shared" si="6"/>
        <v>2020</v>
      </c>
      <c r="E94" s="29" t="str">
        <f t="shared" si="7"/>
        <v>2</v>
      </c>
    </row>
    <row r="95" spans="1:5" x14ac:dyDescent="0.25">
      <c r="A95" s="730">
        <v>44075</v>
      </c>
      <c r="B95" s="462">
        <v>212.44596690199998</v>
      </c>
      <c r="C95" s="463">
        <v>31138.335805999999</v>
      </c>
      <c r="D95" s="29">
        <f t="shared" si="6"/>
        <v>2020</v>
      </c>
      <c r="E95" s="29" t="str">
        <f t="shared" si="7"/>
        <v>3</v>
      </c>
    </row>
    <row r="96" spans="1:5" x14ac:dyDescent="0.25">
      <c r="A96" s="730">
        <v>44166</v>
      </c>
      <c r="B96" s="720">
        <v>216.12786258599999</v>
      </c>
      <c r="C96" s="747">
        <v>35118.988615000002</v>
      </c>
      <c r="D96" s="29">
        <f t="shared" si="6"/>
        <v>2020</v>
      </c>
      <c r="E96" s="29" t="str">
        <f t="shared" si="7"/>
        <v>4</v>
      </c>
    </row>
    <row r="97" spans="1:5" x14ac:dyDescent="0.25">
      <c r="A97" s="730">
        <v>44256</v>
      </c>
      <c r="B97" s="462">
        <v>196.71389246399997</v>
      </c>
      <c r="C97" s="463">
        <v>39719.268637000001</v>
      </c>
      <c r="D97" s="29">
        <f t="shared" si="6"/>
        <v>2021</v>
      </c>
      <c r="E97" s="29" t="str">
        <f t="shared" si="7"/>
        <v>1</v>
      </c>
    </row>
    <row r="98" spans="1:5" x14ac:dyDescent="0.25">
      <c r="A98" s="730">
        <v>44348</v>
      </c>
      <c r="B98" s="720">
        <v>213.79958963400003</v>
      </c>
      <c r="C98" s="747">
        <v>49660.350029000001</v>
      </c>
      <c r="D98" s="29">
        <f t="shared" si="6"/>
        <v>2021</v>
      </c>
      <c r="E98" s="29" t="str">
        <f t="shared" si="7"/>
        <v>2</v>
      </c>
    </row>
    <row r="99" spans="1:5" x14ac:dyDescent="0.25">
      <c r="A99" s="730">
        <v>44440</v>
      </c>
      <c r="B99" s="462">
        <v>210.50859602000003</v>
      </c>
      <c r="C99" s="463">
        <v>42655.838973999998</v>
      </c>
      <c r="D99" s="29">
        <f t="shared" si="6"/>
        <v>2021</v>
      </c>
      <c r="E99" s="29" t="str">
        <f t="shared" si="7"/>
        <v>3</v>
      </c>
    </row>
    <row r="100" spans="1:5" x14ac:dyDescent="0.25">
      <c r="A100" s="730">
        <v>44531</v>
      </c>
      <c r="B100" s="720">
        <v>217.26983650499994</v>
      </c>
      <c r="C100" s="747">
        <v>25789.256395</v>
      </c>
      <c r="D100" s="29">
        <f t="shared" si="6"/>
        <v>2021</v>
      </c>
      <c r="E100" s="29" t="str">
        <f t="shared" si="7"/>
        <v>4</v>
      </c>
    </row>
    <row r="101" spans="1:5" x14ac:dyDescent="0.25">
      <c r="A101" s="730">
        <v>44621</v>
      </c>
      <c r="B101" s="462">
        <v>202.35067065099997</v>
      </c>
      <c r="C101" s="463">
        <v>32812.373225999996</v>
      </c>
      <c r="D101" s="29">
        <f t="shared" si="6"/>
        <v>2022</v>
      </c>
      <c r="E101" s="29" t="str">
        <f t="shared" si="7"/>
        <v>1</v>
      </c>
    </row>
    <row r="102" spans="1:5" x14ac:dyDescent="0.25">
      <c r="A102" s="730">
        <v>44713</v>
      </c>
      <c r="B102" s="720">
        <v>214.68543732600003</v>
      </c>
      <c r="C102" s="747">
        <v>36516.054586999999</v>
      </c>
      <c r="D102" s="29">
        <f t="shared" si="6"/>
        <v>2022</v>
      </c>
      <c r="E102" s="29" t="str">
        <f t="shared" si="7"/>
        <v>2</v>
      </c>
    </row>
    <row r="103" spans="1:5" x14ac:dyDescent="0.25">
      <c r="A103" s="730">
        <v>44805</v>
      </c>
      <c r="B103" s="462">
        <v>213.82638680500003</v>
      </c>
      <c r="C103" s="463">
        <v>28973.425047999997</v>
      </c>
      <c r="D103" s="29">
        <f t="shared" si="6"/>
        <v>2022</v>
      </c>
      <c r="E103" s="29" t="str">
        <f t="shared" si="7"/>
        <v>3</v>
      </c>
    </row>
    <row r="104" spans="1:5" x14ac:dyDescent="0.25">
      <c r="A104" s="730">
        <v>44896</v>
      </c>
      <c r="B104" s="720">
        <v>224.92483457900002</v>
      </c>
      <c r="C104" s="747">
        <v>29788.625265999999</v>
      </c>
      <c r="D104" s="29">
        <f t="shared" si="6"/>
        <v>2022</v>
      </c>
      <c r="E104" s="29" t="str">
        <f t="shared" si="7"/>
        <v>4</v>
      </c>
    </row>
    <row r="105" spans="1:5" x14ac:dyDescent="0.25">
      <c r="A105" s="730">
        <v>44986</v>
      </c>
      <c r="B105" s="462">
        <v>209.27017129600003</v>
      </c>
      <c r="C105" s="463">
        <v>34386.903032000002</v>
      </c>
      <c r="D105" s="29">
        <f t="shared" si="6"/>
        <v>2023</v>
      </c>
      <c r="E105" s="29" t="str">
        <f t="shared" si="7"/>
        <v>1</v>
      </c>
    </row>
    <row r="106" spans="1:5" x14ac:dyDescent="0.25">
      <c r="A106" s="730">
        <v>45078</v>
      </c>
      <c r="B106" s="720">
        <v>213.633982358</v>
      </c>
      <c r="C106" s="747">
        <v>32140.678006999999</v>
      </c>
      <c r="D106" s="29">
        <f t="shared" si="6"/>
        <v>2023</v>
      </c>
      <c r="E106" s="29" t="str">
        <f t="shared" si="7"/>
        <v>2</v>
      </c>
    </row>
    <row r="107" spans="1:5" x14ac:dyDescent="0.25">
      <c r="A107" s="730">
        <v>45170</v>
      </c>
      <c r="B107" s="462">
        <v>216.290270217</v>
      </c>
      <c r="C107" s="463">
        <v>33725.668743000002</v>
      </c>
      <c r="D107" s="29">
        <f t="shared" si="6"/>
        <v>2023</v>
      </c>
      <c r="E107" s="29" t="str">
        <f t="shared" si="7"/>
        <v>3</v>
      </c>
    </row>
    <row r="108" spans="1:5" x14ac:dyDescent="0.25">
      <c r="A108" s="730">
        <v>45261</v>
      </c>
      <c r="B108" s="720">
        <v>221.04884128299997</v>
      </c>
      <c r="C108" s="747">
        <v>39530.294561999995</v>
      </c>
      <c r="D108" s="29">
        <f t="shared" si="6"/>
        <v>2023</v>
      </c>
      <c r="E108" s="29" t="str">
        <f t="shared" si="7"/>
        <v>4</v>
      </c>
    </row>
    <row r="109" spans="1:5" x14ac:dyDescent="0.25">
      <c r="A109" s="730">
        <v>45352</v>
      </c>
      <c r="B109" s="462">
        <v>204.996959737</v>
      </c>
      <c r="C109" s="463">
        <v>35985.011854999997</v>
      </c>
      <c r="D109" s="29">
        <f t="shared" si="6"/>
        <v>2024</v>
      </c>
      <c r="E109" s="29" t="str">
        <f t="shared" si="7"/>
        <v>1</v>
      </c>
    </row>
    <row r="110" spans="1:5" x14ac:dyDescent="0.25">
      <c r="A110" s="730">
        <v>45444</v>
      </c>
      <c r="B110" s="720">
        <v>224.07293183200002</v>
      </c>
      <c r="C110" s="747">
        <v>36614.164529000001</v>
      </c>
      <c r="D110" s="29">
        <f t="shared" si="6"/>
        <v>2024</v>
      </c>
      <c r="E110" s="29" t="str">
        <f t="shared" si="7"/>
        <v>2</v>
      </c>
    </row>
    <row r="111" spans="1:5" x14ac:dyDescent="0.25">
      <c r="A111" s="730">
        <v>45536</v>
      </c>
      <c r="B111" s="462">
        <v>216.93364215799997</v>
      </c>
      <c r="C111" s="463">
        <v>31220.927563999998</v>
      </c>
      <c r="D111" s="29">
        <f t="shared" si="6"/>
        <v>2024</v>
      </c>
      <c r="E111" s="29" t="str">
        <f t="shared" si="7"/>
        <v>3</v>
      </c>
    </row>
    <row r="112" spans="1:5" x14ac:dyDescent="0.25">
      <c r="A112" s="730">
        <v>45627</v>
      </c>
      <c r="B112" s="720">
        <v>220.56610668399995</v>
      </c>
      <c r="C112" s="747">
        <v>32283.355840999997</v>
      </c>
      <c r="D112" s="29">
        <f t="shared" si="6"/>
        <v>2024</v>
      </c>
      <c r="E112" s="29" t="str">
        <f t="shared" si="7"/>
        <v>4</v>
      </c>
    </row>
    <row r="113" spans="1:5" x14ac:dyDescent="0.25">
      <c r="A113" s="730">
        <v>45717</v>
      </c>
      <c r="B113" s="462">
        <v>198.74014446299998</v>
      </c>
      <c r="C113" s="463">
        <v>30228.619219999997</v>
      </c>
      <c r="D113" s="29">
        <f t="shared" si="6"/>
        <v>2025</v>
      </c>
      <c r="E113" s="29" t="str">
        <f t="shared" si="7"/>
        <v>1</v>
      </c>
    </row>
    <row r="114" spans="1:5" x14ac:dyDescent="0.25">
      <c r="A114" s="730">
        <v>45809</v>
      </c>
      <c r="B114" s="720">
        <v>230.11696775569996</v>
      </c>
      <c r="C114" s="747">
        <v>32081.521632</v>
      </c>
      <c r="D114" s="29">
        <f t="shared" si="6"/>
        <v>2025</v>
      </c>
      <c r="E114" s="29" t="str">
        <f t="shared" si="7"/>
        <v>2</v>
      </c>
    </row>
    <row r="115" spans="1:5" x14ac:dyDescent="0.25">
      <c r="A115" s="730">
        <v>45901</v>
      </c>
      <c r="B115" s="462">
        <v>223.375715923</v>
      </c>
      <c r="C115" s="463">
        <v>30974.441146999998</v>
      </c>
      <c r="D115" s="29">
        <f t="shared" si="6"/>
        <v>2025</v>
      </c>
      <c r="E115" s="29" t="str">
        <f t="shared" si="7"/>
        <v>3</v>
      </c>
    </row>
    <row r="116" spans="1:5" ht="15.75" thickBot="1" x14ac:dyDescent="0.3">
      <c r="A116" s="734">
        <v>45992</v>
      </c>
      <c r="B116" s="748">
        <v>237.24972713799997</v>
      </c>
      <c r="C116" s="749">
        <v>32949.703721377096</v>
      </c>
      <c r="D116" s="29">
        <f t="shared" si="6"/>
        <v>2025</v>
      </c>
      <c r="E116" s="29" t="str">
        <f t="shared" si="7"/>
        <v>4</v>
      </c>
    </row>
    <row r="117" spans="1:5" x14ac:dyDescent="0.25">
      <c r="C117" s="193"/>
      <c r="D117" s="29">
        <f t="shared" si="6"/>
        <v>1900</v>
      </c>
      <c r="E117" s="29" t="str">
        <f t="shared" si="7"/>
        <v>4</v>
      </c>
    </row>
    <row r="118" spans="1:5" x14ac:dyDescent="0.25">
      <c r="C118" s="193"/>
      <c r="D118" s="29">
        <f t="shared" si="6"/>
        <v>1900</v>
      </c>
      <c r="E118" s="29" t="str">
        <f t="shared" si="7"/>
        <v>4</v>
      </c>
    </row>
    <row r="119" spans="1:5" x14ac:dyDescent="0.25">
      <c r="C119" s="193"/>
      <c r="D119" s="29">
        <f t="shared" si="6"/>
        <v>1900</v>
      </c>
      <c r="E119" s="29" t="str">
        <f t="shared" si="7"/>
        <v>4</v>
      </c>
    </row>
    <row r="120" spans="1:5" x14ac:dyDescent="0.25">
      <c r="C120" s="193"/>
      <c r="D120" s="29">
        <f t="shared" si="6"/>
        <v>1900</v>
      </c>
      <c r="E120" s="29" t="str">
        <f t="shared" si="7"/>
        <v>4</v>
      </c>
    </row>
    <row r="121" spans="1:5" x14ac:dyDescent="0.25">
      <c r="C121" s="193"/>
      <c r="D121" s="29">
        <f t="shared" si="6"/>
        <v>1900</v>
      </c>
      <c r="E121" s="29" t="str">
        <f t="shared" si="7"/>
        <v>4</v>
      </c>
    </row>
    <row r="122" spans="1:5" x14ac:dyDescent="0.25">
      <c r="C122" s="193"/>
      <c r="D122" s="29">
        <f t="shared" si="6"/>
        <v>1900</v>
      </c>
      <c r="E122" s="29" t="str">
        <f t="shared" si="7"/>
        <v>4</v>
      </c>
    </row>
    <row r="123" spans="1:5" x14ac:dyDescent="0.25">
      <c r="C123" s="193"/>
      <c r="D123" s="29">
        <f t="shared" si="6"/>
        <v>1900</v>
      </c>
      <c r="E123" s="29" t="str">
        <f t="shared" si="7"/>
        <v>4</v>
      </c>
    </row>
    <row r="124" spans="1:5" x14ac:dyDescent="0.25">
      <c r="C124" s="193"/>
      <c r="D124" s="29">
        <f t="shared" si="6"/>
        <v>1900</v>
      </c>
      <c r="E124" s="29" t="str">
        <f t="shared" si="7"/>
        <v>4</v>
      </c>
    </row>
    <row r="125" spans="1:5" x14ac:dyDescent="0.25">
      <c r="C125" s="193"/>
      <c r="D125" s="29">
        <f t="shared" si="6"/>
        <v>1900</v>
      </c>
      <c r="E125" s="29" t="str">
        <f t="shared" si="7"/>
        <v>4</v>
      </c>
    </row>
    <row r="126" spans="1:5" x14ac:dyDescent="0.25">
      <c r="C126" s="193"/>
      <c r="D126" s="29">
        <f t="shared" si="6"/>
        <v>1900</v>
      </c>
      <c r="E126" s="29" t="str">
        <f t="shared" si="7"/>
        <v>4</v>
      </c>
    </row>
    <row r="127" spans="1:5" x14ac:dyDescent="0.25">
      <c r="C127" s="193"/>
      <c r="D127" s="29">
        <f t="shared" si="6"/>
        <v>1900</v>
      </c>
      <c r="E127" s="29" t="str">
        <f t="shared" si="7"/>
        <v>4</v>
      </c>
    </row>
    <row r="128" spans="1:5" x14ac:dyDescent="0.25">
      <c r="C128" s="193"/>
      <c r="D128" s="29">
        <f t="shared" si="6"/>
        <v>1900</v>
      </c>
      <c r="E128" s="29" t="str">
        <f t="shared" si="7"/>
        <v>4</v>
      </c>
    </row>
    <row r="129" spans="3:5" x14ac:dyDescent="0.25">
      <c r="C129" s="193"/>
      <c r="D129" s="29">
        <f t="shared" si="6"/>
        <v>1900</v>
      </c>
      <c r="E129" s="29" t="str">
        <f t="shared" si="7"/>
        <v>4</v>
      </c>
    </row>
    <row r="130" spans="3:5" x14ac:dyDescent="0.25">
      <c r="C130" s="193"/>
      <c r="D130" s="29">
        <f t="shared" si="6"/>
        <v>1900</v>
      </c>
      <c r="E130" s="29" t="str">
        <f t="shared" si="7"/>
        <v>4</v>
      </c>
    </row>
    <row r="131" spans="3:5" x14ac:dyDescent="0.25">
      <c r="C131" s="193"/>
      <c r="D131" s="29">
        <f t="shared" si="6"/>
        <v>1900</v>
      </c>
      <c r="E131" s="29" t="str">
        <f t="shared" si="7"/>
        <v>4</v>
      </c>
    </row>
    <row r="132" spans="3:5" x14ac:dyDescent="0.25">
      <c r="C132" s="193"/>
      <c r="D132" s="29">
        <f t="shared" si="6"/>
        <v>1900</v>
      </c>
      <c r="E132" s="29" t="str">
        <f t="shared" si="7"/>
        <v>4</v>
      </c>
    </row>
    <row r="133" spans="3:5" x14ac:dyDescent="0.25">
      <c r="C133" s="193"/>
      <c r="D133" s="29">
        <f t="shared" si="6"/>
        <v>1900</v>
      </c>
      <c r="E133" s="29" t="str">
        <f t="shared" si="7"/>
        <v>4</v>
      </c>
    </row>
    <row r="134" spans="3:5" x14ac:dyDescent="0.25">
      <c r="C134" s="193"/>
      <c r="D134" s="29">
        <f t="shared" si="6"/>
        <v>1900</v>
      </c>
      <c r="E134" s="29" t="str">
        <f t="shared" si="7"/>
        <v>4</v>
      </c>
    </row>
    <row r="135" spans="3:5" x14ac:dyDescent="0.25">
      <c r="C135" s="193"/>
      <c r="D135" s="29">
        <f t="shared" si="6"/>
        <v>1900</v>
      </c>
      <c r="E135" s="29" t="str">
        <f t="shared" si="7"/>
        <v>4</v>
      </c>
    </row>
    <row r="136" spans="3:5" x14ac:dyDescent="0.25">
      <c r="C136" s="193"/>
      <c r="D136" s="29">
        <f t="shared" si="6"/>
        <v>1900</v>
      </c>
      <c r="E136" s="29" t="str">
        <f t="shared" si="7"/>
        <v>4</v>
      </c>
    </row>
    <row r="137" spans="3:5" x14ac:dyDescent="0.25">
      <c r="C137" s="193"/>
      <c r="D137" s="29">
        <f t="shared" si="6"/>
        <v>1900</v>
      </c>
      <c r="E137" s="29" t="str">
        <f t="shared" si="7"/>
        <v>4</v>
      </c>
    </row>
    <row r="138" spans="3:5" x14ac:dyDescent="0.25">
      <c r="C138" s="193"/>
      <c r="D138" s="29">
        <f t="shared" si="6"/>
        <v>1900</v>
      </c>
      <c r="E138" s="29" t="str">
        <f t="shared" si="7"/>
        <v>4</v>
      </c>
    </row>
    <row r="139" spans="3:5" x14ac:dyDescent="0.25">
      <c r="C139" s="193"/>
      <c r="D139" s="29">
        <f t="shared" si="6"/>
        <v>1900</v>
      </c>
      <c r="E139" s="29" t="str">
        <f t="shared" si="7"/>
        <v>4</v>
      </c>
    </row>
    <row r="140" spans="3:5" x14ac:dyDescent="0.25">
      <c r="C140" s="193"/>
      <c r="D140" s="29">
        <f t="shared" si="6"/>
        <v>1900</v>
      </c>
      <c r="E140" s="29" t="str">
        <f t="shared" si="7"/>
        <v>4</v>
      </c>
    </row>
    <row r="141" spans="3:5" x14ac:dyDescent="0.25">
      <c r="C141" s="193"/>
      <c r="D141" s="29">
        <f t="shared" ref="D141:D204" si="8">YEAR(A141)</f>
        <v>1900</v>
      </c>
      <c r="E141" s="29" t="str">
        <f t="shared" ref="E141:E204" si="9">IF(MONTH(A141)=3,"1",IF(MONTH(A141)=6,"2",IF(MONTH(A141)=9,"3","4")))</f>
        <v>4</v>
      </c>
    </row>
    <row r="142" spans="3:5" x14ac:dyDescent="0.25">
      <c r="C142" s="193"/>
      <c r="D142" s="29">
        <f t="shared" si="8"/>
        <v>1900</v>
      </c>
      <c r="E142" s="29" t="str">
        <f t="shared" si="9"/>
        <v>4</v>
      </c>
    </row>
    <row r="143" spans="3:5" x14ac:dyDescent="0.25">
      <c r="C143" s="193"/>
      <c r="D143" s="29">
        <f t="shared" si="8"/>
        <v>1900</v>
      </c>
      <c r="E143" s="29" t="str">
        <f t="shared" si="9"/>
        <v>4</v>
      </c>
    </row>
    <row r="144" spans="3:5" x14ac:dyDescent="0.25">
      <c r="C144" s="193"/>
      <c r="D144" s="29">
        <f t="shared" si="8"/>
        <v>1900</v>
      </c>
      <c r="E144" s="29" t="str">
        <f t="shared" si="9"/>
        <v>4</v>
      </c>
    </row>
    <row r="145" spans="3:5" x14ac:dyDescent="0.25">
      <c r="C145" s="193"/>
      <c r="D145" s="29">
        <f t="shared" si="8"/>
        <v>1900</v>
      </c>
      <c r="E145" s="29" t="str">
        <f t="shared" si="9"/>
        <v>4</v>
      </c>
    </row>
    <row r="146" spans="3:5" x14ac:dyDescent="0.25">
      <c r="C146" s="193"/>
      <c r="D146" s="29">
        <f t="shared" si="8"/>
        <v>1900</v>
      </c>
      <c r="E146" s="29" t="str">
        <f t="shared" si="9"/>
        <v>4</v>
      </c>
    </row>
    <row r="147" spans="3:5" x14ac:dyDescent="0.25">
      <c r="C147" s="193"/>
      <c r="D147" s="29">
        <f t="shared" si="8"/>
        <v>1900</v>
      </c>
      <c r="E147" s="29" t="str">
        <f t="shared" si="9"/>
        <v>4</v>
      </c>
    </row>
    <row r="148" spans="3:5" x14ac:dyDescent="0.25">
      <c r="C148" s="193"/>
      <c r="D148" s="29">
        <f t="shared" si="8"/>
        <v>1900</v>
      </c>
      <c r="E148" s="29" t="str">
        <f t="shared" si="9"/>
        <v>4</v>
      </c>
    </row>
    <row r="149" spans="3:5" x14ac:dyDescent="0.25">
      <c r="C149" s="193"/>
      <c r="D149" s="29">
        <f t="shared" si="8"/>
        <v>1900</v>
      </c>
      <c r="E149" s="29" t="str">
        <f t="shared" si="9"/>
        <v>4</v>
      </c>
    </row>
    <row r="150" spans="3:5" x14ac:dyDescent="0.25">
      <c r="C150" s="193"/>
      <c r="D150" s="29">
        <f t="shared" si="8"/>
        <v>1900</v>
      </c>
      <c r="E150" s="29" t="str">
        <f t="shared" si="9"/>
        <v>4</v>
      </c>
    </row>
    <row r="151" spans="3:5" x14ac:dyDescent="0.25">
      <c r="C151" s="193"/>
      <c r="D151" s="29">
        <f t="shared" si="8"/>
        <v>1900</v>
      </c>
      <c r="E151" s="29" t="str">
        <f t="shared" si="9"/>
        <v>4</v>
      </c>
    </row>
    <row r="152" spans="3:5" x14ac:dyDescent="0.25">
      <c r="C152" s="193"/>
      <c r="D152" s="29">
        <f t="shared" si="8"/>
        <v>1900</v>
      </c>
      <c r="E152" s="29" t="str">
        <f t="shared" si="9"/>
        <v>4</v>
      </c>
    </row>
    <row r="153" spans="3:5" x14ac:dyDescent="0.25">
      <c r="C153" s="193"/>
      <c r="D153" s="29">
        <f t="shared" si="8"/>
        <v>1900</v>
      </c>
      <c r="E153" s="29" t="str">
        <f t="shared" si="9"/>
        <v>4</v>
      </c>
    </row>
    <row r="154" spans="3:5" x14ac:dyDescent="0.25">
      <c r="C154" s="193"/>
      <c r="D154" s="29">
        <f t="shared" si="8"/>
        <v>1900</v>
      </c>
      <c r="E154" s="29" t="str">
        <f t="shared" si="9"/>
        <v>4</v>
      </c>
    </row>
    <row r="155" spans="3:5" x14ac:dyDescent="0.25">
      <c r="C155" s="193"/>
      <c r="D155" s="29">
        <f t="shared" si="8"/>
        <v>1900</v>
      </c>
      <c r="E155" s="29" t="str">
        <f t="shared" si="9"/>
        <v>4</v>
      </c>
    </row>
    <row r="156" spans="3:5" x14ac:dyDescent="0.25">
      <c r="C156" s="193"/>
      <c r="D156" s="29">
        <f t="shared" si="8"/>
        <v>1900</v>
      </c>
      <c r="E156" s="29" t="str">
        <f t="shared" si="9"/>
        <v>4</v>
      </c>
    </row>
    <row r="157" spans="3:5" x14ac:dyDescent="0.25">
      <c r="C157" s="193"/>
      <c r="D157" s="29">
        <f t="shared" si="8"/>
        <v>1900</v>
      </c>
      <c r="E157" s="29" t="str">
        <f t="shared" si="9"/>
        <v>4</v>
      </c>
    </row>
    <row r="158" spans="3:5" x14ac:dyDescent="0.25">
      <c r="C158" s="193"/>
      <c r="D158" s="29">
        <f t="shared" si="8"/>
        <v>1900</v>
      </c>
      <c r="E158" s="29" t="str">
        <f t="shared" si="9"/>
        <v>4</v>
      </c>
    </row>
    <row r="159" spans="3:5" x14ac:dyDescent="0.25">
      <c r="C159" s="193"/>
      <c r="D159" s="29">
        <f t="shared" si="8"/>
        <v>1900</v>
      </c>
      <c r="E159" s="29" t="str">
        <f t="shared" si="9"/>
        <v>4</v>
      </c>
    </row>
    <row r="160" spans="3:5" x14ac:dyDescent="0.25">
      <c r="C160" s="193"/>
      <c r="D160" s="29">
        <f t="shared" si="8"/>
        <v>1900</v>
      </c>
      <c r="E160" s="29" t="str">
        <f t="shared" si="9"/>
        <v>4</v>
      </c>
    </row>
    <row r="161" spans="3:5" x14ac:dyDescent="0.25">
      <c r="C161" s="193"/>
      <c r="D161" s="29">
        <f t="shared" si="8"/>
        <v>1900</v>
      </c>
      <c r="E161" s="29" t="str">
        <f t="shared" si="9"/>
        <v>4</v>
      </c>
    </row>
    <row r="162" spans="3:5" x14ac:dyDescent="0.25">
      <c r="C162" s="193"/>
      <c r="D162" s="29">
        <f t="shared" si="8"/>
        <v>1900</v>
      </c>
      <c r="E162" s="29" t="str">
        <f t="shared" si="9"/>
        <v>4</v>
      </c>
    </row>
    <row r="163" spans="3:5" x14ac:dyDescent="0.25">
      <c r="C163" s="193"/>
      <c r="D163" s="29">
        <f t="shared" si="8"/>
        <v>1900</v>
      </c>
      <c r="E163" s="29" t="str">
        <f t="shared" si="9"/>
        <v>4</v>
      </c>
    </row>
    <row r="164" spans="3:5" x14ac:dyDescent="0.25">
      <c r="C164" s="193"/>
      <c r="D164" s="29">
        <f t="shared" si="8"/>
        <v>1900</v>
      </c>
      <c r="E164" s="29" t="str">
        <f t="shared" si="9"/>
        <v>4</v>
      </c>
    </row>
    <row r="165" spans="3:5" x14ac:dyDescent="0.25">
      <c r="C165" s="193"/>
      <c r="D165" s="29">
        <f t="shared" si="8"/>
        <v>1900</v>
      </c>
      <c r="E165" s="29" t="str">
        <f t="shared" si="9"/>
        <v>4</v>
      </c>
    </row>
    <row r="166" spans="3:5" x14ac:dyDescent="0.25">
      <c r="C166" s="193"/>
      <c r="D166" s="29">
        <f t="shared" si="8"/>
        <v>1900</v>
      </c>
      <c r="E166" s="29" t="str">
        <f t="shared" si="9"/>
        <v>4</v>
      </c>
    </row>
    <row r="167" spans="3:5" x14ac:dyDescent="0.25">
      <c r="C167" s="193"/>
      <c r="D167" s="29">
        <f t="shared" si="8"/>
        <v>1900</v>
      </c>
      <c r="E167" s="29" t="str">
        <f t="shared" si="9"/>
        <v>4</v>
      </c>
    </row>
    <row r="168" spans="3:5" x14ac:dyDescent="0.25">
      <c r="C168" s="193"/>
      <c r="D168" s="29">
        <f t="shared" si="8"/>
        <v>1900</v>
      </c>
      <c r="E168" s="29" t="str">
        <f t="shared" si="9"/>
        <v>4</v>
      </c>
    </row>
    <row r="169" spans="3:5" x14ac:dyDescent="0.25">
      <c r="C169" s="193"/>
      <c r="D169" s="29">
        <f t="shared" si="8"/>
        <v>1900</v>
      </c>
      <c r="E169" s="29" t="str">
        <f t="shared" si="9"/>
        <v>4</v>
      </c>
    </row>
    <row r="170" spans="3:5" x14ac:dyDescent="0.25">
      <c r="C170" s="193"/>
      <c r="D170" s="29">
        <f t="shared" si="8"/>
        <v>1900</v>
      </c>
      <c r="E170" s="29" t="str">
        <f t="shared" si="9"/>
        <v>4</v>
      </c>
    </row>
    <row r="171" spans="3:5" x14ac:dyDescent="0.25">
      <c r="C171" s="193"/>
      <c r="D171" s="29">
        <f t="shared" si="8"/>
        <v>1900</v>
      </c>
      <c r="E171" s="29" t="str">
        <f t="shared" si="9"/>
        <v>4</v>
      </c>
    </row>
    <row r="172" spans="3:5" x14ac:dyDescent="0.25">
      <c r="C172" s="193"/>
      <c r="D172" s="29">
        <f t="shared" si="8"/>
        <v>1900</v>
      </c>
      <c r="E172" s="29" t="str">
        <f t="shared" si="9"/>
        <v>4</v>
      </c>
    </row>
    <row r="173" spans="3:5" x14ac:dyDescent="0.25">
      <c r="C173" s="193"/>
      <c r="D173" s="29">
        <f t="shared" si="8"/>
        <v>1900</v>
      </c>
      <c r="E173" s="29" t="str">
        <f t="shared" si="9"/>
        <v>4</v>
      </c>
    </row>
    <row r="174" spans="3:5" x14ac:dyDescent="0.25">
      <c r="C174" s="193"/>
      <c r="D174" s="29">
        <f t="shared" si="8"/>
        <v>1900</v>
      </c>
      <c r="E174" s="29" t="str">
        <f t="shared" si="9"/>
        <v>4</v>
      </c>
    </row>
    <row r="175" spans="3:5" x14ac:dyDescent="0.25">
      <c r="C175" s="193"/>
      <c r="D175" s="29">
        <f t="shared" si="8"/>
        <v>1900</v>
      </c>
      <c r="E175" s="29" t="str">
        <f t="shared" si="9"/>
        <v>4</v>
      </c>
    </row>
    <row r="176" spans="3:5" x14ac:dyDescent="0.25">
      <c r="C176" s="193"/>
      <c r="D176" s="29">
        <f t="shared" si="8"/>
        <v>1900</v>
      </c>
      <c r="E176" s="29" t="str">
        <f t="shared" si="9"/>
        <v>4</v>
      </c>
    </row>
    <row r="177" spans="3:5" x14ac:dyDescent="0.25">
      <c r="C177" s="193"/>
      <c r="D177" s="29">
        <f t="shared" si="8"/>
        <v>1900</v>
      </c>
      <c r="E177" s="29" t="str">
        <f t="shared" si="9"/>
        <v>4</v>
      </c>
    </row>
    <row r="178" spans="3:5" x14ac:dyDescent="0.25">
      <c r="C178" s="193"/>
      <c r="D178" s="29">
        <f t="shared" si="8"/>
        <v>1900</v>
      </c>
      <c r="E178" s="29" t="str">
        <f t="shared" si="9"/>
        <v>4</v>
      </c>
    </row>
    <row r="179" spans="3:5" x14ac:dyDescent="0.25">
      <c r="C179" s="193"/>
      <c r="D179" s="29">
        <f t="shared" si="8"/>
        <v>1900</v>
      </c>
      <c r="E179" s="29" t="str">
        <f t="shared" si="9"/>
        <v>4</v>
      </c>
    </row>
    <row r="180" spans="3:5" x14ac:dyDescent="0.25">
      <c r="C180" s="193"/>
      <c r="D180" s="29">
        <f t="shared" si="8"/>
        <v>1900</v>
      </c>
      <c r="E180" s="29" t="str">
        <f t="shared" si="9"/>
        <v>4</v>
      </c>
    </row>
    <row r="181" spans="3:5" x14ac:dyDescent="0.25">
      <c r="C181" s="193"/>
      <c r="D181" s="29">
        <f t="shared" si="8"/>
        <v>1900</v>
      </c>
      <c r="E181" s="29" t="str">
        <f t="shared" si="9"/>
        <v>4</v>
      </c>
    </row>
    <row r="182" spans="3:5" x14ac:dyDescent="0.25">
      <c r="C182" s="193"/>
      <c r="D182" s="29">
        <f t="shared" si="8"/>
        <v>1900</v>
      </c>
      <c r="E182" s="29" t="str">
        <f t="shared" si="9"/>
        <v>4</v>
      </c>
    </row>
    <row r="183" spans="3:5" x14ac:dyDescent="0.25">
      <c r="C183" s="193"/>
      <c r="D183" s="29">
        <f t="shared" si="8"/>
        <v>1900</v>
      </c>
      <c r="E183" s="29" t="str">
        <f t="shared" si="9"/>
        <v>4</v>
      </c>
    </row>
    <row r="184" spans="3:5" x14ac:dyDescent="0.25">
      <c r="C184" s="193"/>
      <c r="D184" s="29">
        <f t="shared" si="8"/>
        <v>1900</v>
      </c>
      <c r="E184" s="29" t="str">
        <f t="shared" si="9"/>
        <v>4</v>
      </c>
    </row>
    <row r="185" spans="3:5" x14ac:dyDescent="0.25">
      <c r="C185" s="193"/>
      <c r="D185" s="29">
        <f t="shared" si="8"/>
        <v>1900</v>
      </c>
      <c r="E185" s="29" t="str">
        <f t="shared" si="9"/>
        <v>4</v>
      </c>
    </row>
    <row r="186" spans="3:5" x14ac:dyDescent="0.25">
      <c r="C186" s="193"/>
      <c r="D186" s="29">
        <f t="shared" si="8"/>
        <v>1900</v>
      </c>
      <c r="E186" s="29" t="str">
        <f t="shared" si="9"/>
        <v>4</v>
      </c>
    </row>
    <row r="187" spans="3:5" x14ac:dyDescent="0.25">
      <c r="C187" s="193"/>
      <c r="D187" s="29">
        <f t="shared" si="8"/>
        <v>1900</v>
      </c>
      <c r="E187" s="29" t="str">
        <f t="shared" si="9"/>
        <v>4</v>
      </c>
    </row>
    <row r="188" spans="3:5" x14ac:dyDescent="0.25">
      <c r="C188" s="193"/>
      <c r="D188" s="29">
        <f t="shared" si="8"/>
        <v>1900</v>
      </c>
      <c r="E188" s="29" t="str">
        <f t="shared" si="9"/>
        <v>4</v>
      </c>
    </row>
    <row r="189" spans="3:5" x14ac:dyDescent="0.25">
      <c r="C189" s="193"/>
      <c r="D189" s="29">
        <f t="shared" si="8"/>
        <v>1900</v>
      </c>
      <c r="E189" s="29" t="str">
        <f t="shared" si="9"/>
        <v>4</v>
      </c>
    </row>
    <row r="190" spans="3:5" x14ac:dyDescent="0.25">
      <c r="C190" s="193"/>
      <c r="D190" s="29">
        <f t="shared" si="8"/>
        <v>1900</v>
      </c>
      <c r="E190" s="29" t="str">
        <f t="shared" si="9"/>
        <v>4</v>
      </c>
    </row>
    <row r="191" spans="3:5" x14ac:dyDescent="0.25">
      <c r="C191" s="193"/>
      <c r="D191" s="29">
        <f t="shared" si="8"/>
        <v>1900</v>
      </c>
      <c r="E191" s="29" t="str">
        <f t="shared" si="9"/>
        <v>4</v>
      </c>
    </row>
    <row r="192" spans="3:5" x14ac:dyDescent="0.25">
      <c r="C192" s="193"/>
      <c r="D192" s="29">
        <f t="shared" si="8"/>
        <v>1900</v>
      </c>
      <c r="E192" s="29" t="str">
        <f t="shared" si="9"/>
        <v>4</v>
      </c>
    </row>
    <row r="193" spans="3:5" x14ac:dyDescent="0.25">
      <c r="C193" s="193"/>
      <c r="D193" s="29">
        <f t="shared" si="8"/>
        <v>1900</v>
      </c>
      <c r="E193" s="29" t="str">
        <f t="shared" si="9"/>
        <v>4</v>
      </c>
    </row>
    <row r="194" spans="3:5" x14ac:dyDescent="0.25">
      <c r="C194" s="193"/>
      <c r="D194" s="29">
        <f t="shared" si="8"/>
        <v>1900</v>
      </c>
      <c r="E194" s="29" t="str">
        <f t="shared" si="9"/>
        <v>4</v>
      </c>
    </row>
    <row r="195" spans="3:5" x14ac:dyDescent="0.25">
      <c r="C195" s="193"/>
      <c r="D195" s="29">
        <f t="shared" si="8"/>
        <v>1900</v>
      </c>
      <c r="E195" s="29" t="str">
        <f t="shared" si="9"/>
        <v>4</v>
      </c>
    </row>
    <row r="196" spans="3:5" x14ac:dyDescent="0.25">
      <c r="C196" s="193"/>
      <c r="D196" s="29">
        <f t="shared" si="8"/>
        <v>1900</v>
      </c>
      <c r="E196" s="29" t="str">
        <f t="shared" si="9"/>
        <v>4</v>
      </c>
    </row>
    <row r="197" spans="3:5" x14ac:dyDescent="0.25">
      <c r="C197" s="193"/>
      <c r="D197" s="29">
        <f t="shared" si="8"/>
        <v>1900</v>
      </c>
      <c r="E197" s="29" t="str">
        <f t="shared" si="9"/>
        <v>4</v>
      </c>
    </row>
    <row r="198" spans="3:5" x14ac:dyDescent="0.25">
      <c r="C198" s="193"/>
      <c r="D198" s="29">
        <f t="shared" si="8"/>
        <v>1900</v>
      </c>
      <c r="E198" s="29" t="str">
        <f t="shared" si="9"/>
        <v>4</v>
      </c>
    </row>
    <row r="199" spans="3:5" x14ac:dyDescent="0.25">
      <c r="C199" s="193"/>
      <c r="D199" s="29">
        <f t="shared" si="8"/>
        <v>1900</v>
      </c>
      <c r="E199" s="29" t="str">
        <f t="shared" si="9"/>
        <v>4</v>
      </c>
    </row>
    <row r="200" spans="3:5" x14ac:dyDescent="0.25">
      <c r="C200" s="193"/>
      <c r="D200" s="29">
        <f t="shared" si="8"/>
        <v>1900</v>
      </c>
      <c r="E200" s="29" t="str">
        <f t="shared" si="9"/>
        <v>4</v>
      </c>
    </row>
    <row r="201" spans="3:5" x14ac:dyDescent="0.25">
      <c r="C201" s="193"/>
      <c r="D201" s="29">
        <f t="shared" si="8"/>
        <v>1900</v>
      </c>
      <c r="E201" s="29" t="str">
        <f t="shared" si="9"/>
        <v>4</v>
      </c>
    </row>
    <row r="202" spans="3:5" x14ac:dyDescent="0.25">
      <c r="C202" s="193"/>
      <c r="D202" s="29">
        <f t="shared" si="8"/>
        <v>1900</v>
      </c>
      <c r="E202" s="29" t="str">
        <f t="shared" si="9"/>
        <v>4</v>
      </c>
    </row>
    <row r="203" spans="3:5" x14ac:dyDescent="0.25">
      <c r="C203" s="193"/>
      <c r="D203" s="29">
        <f t="shared" si="8"/>
        <v>1900</v>
      </c>
      <c r="E203" s="29" t="str">
        <f t="shared" si="9"/>
        <v>4</v>
      </c>
    </row>
    <row r="204" spans="3:5" x14ac:dyDescent="0.25">
      <c r="C204" s="193"/>
      <c r="D204" s="29">
        <f t="shared" si="8"/>
        <v>1900</v>
      </c>
      <c r="E204" s="29" t="str">
        <f t="shared" si="9"/>
        <v>4</v>
      </c>
    </row>
    <row r="205" spans="3:5" x14ac:dyDescent="0.25">
      <c r="C205" s="193"/>
      <c r="D205" s="29">
        <f t="shared" ref="D205:D251" si="10">YEAR(A205)</f>
        <v>1900</v>
      </c>
      <c r="E205" s="29" t="str">
        <f t="shared" ref="E205:E251" si="11">IF(MONTH(A205)=3,"1",IF(MONTH(A205)=6,"2",IF(MONTH(A205)=9,"3","4")))</f>
        <v>4</v>
      </c>
    </row>
    <row r="206" spans="3:5" x14ac:dyDescent="0.25">
      <c r="C206" s="193"/>
      <c r="D206" s="29">
        <f t="shared" si="10"/>
        <v>1900</v>
      </c>
      <c r="E206" s="29" t="str">
        <f t="shared" si="11"/>
        <v>4</v>
      </c>
    </row>
    <row r="207" spans="3:5" x14ac:dyDescent="0.25">
      <c r="C207" s="193"/>
      <c r="D207" s="29">
        <f t="shared" si="10"/>
        <v>1900</v>
      </c>
      <c r="E207" s="29" t="str">
        <f t="shared" si="11"/>
        <v>4</v>
      </c>
    </row>
    <row r="208" spans="3:5" x14ac:dyDescent="0.25">
      <c r="C208" s="193"/>
      <c r="D208" s="29">
        <f t="shared" si="10"/>
        <v>1900</v>
      </c>
      <c r="E208" s="29" t="str">
        <f t="shared" si="11"/>
        <v>4</v>
      </c>
    </row>
    <row r="209" spans="3:5" x14ac:dyDescent="0.25">
      <c r="C209" s="193"/>
      <c r="D209" s="29">
        <f t="shared" si="10"/>
        <v>1900</v>
      </c>
      <c r="E209" s="29" t="str">
        <f t="shared" si="11"/>
        <v>4</v>
      </c>
    </row>
    <row r="210" spans="3:5" x14ac:dyDescent="0.25">
      <c r="C210" s="193"/>
      <c r="D210" s="29">
        <f t="shared" si="10"/>
        <v>1900</v>
      </c>
      <c r="E210" s="29" t="str">
        <f t="shared" si="11"/>
        <v>4</v>
      </c>
    </row>
    <row r="211" spans="3:5" x14ac:dyDescent="0.25">
      <c r="C211" s="193"/>
      <c r="D211" s="29">
        <f t="shared" si="10"/>
        <v>1900</v>
      </c>
      <c r="E211" s="29" t="str">
        <f t="shared" si="11"/>
        <v>4</v>
      </c>
    </row>
    <row r="212" spans="3:5" x14ac:dyDescent="0.25">
      <c r="C212" s="193"/>
      <c r="D212" s="29">
        <f t="shared" si="10"/>
        <v>1900</v>
      </c>
      <c r="E212" s="29" t="str">
        <f t="shared" si="11"/>
        <v>4</v>
      </c>
    </row>
    <row r="213" spans="3:5" x14ac:dyDescent="0.25">
      <c r="C213" s="193"/>
      <c r="D213" s="29">
        <f t="shared" si="10"/>
        <v>1900</v>
      </c>
      <c r="E213" s="29" t="str">
        <f t="shared" si="11"/>
        <v>4</v>
      </c>
    </row>
    <row r="214" spans="3:5" x14ac:dyDescent="0.25">
      <c r="C214" s="193"/>
      <c r="D214" s="29">
        <f t="shared" si="10"/>
        <v>1900</v>
      </c>
      <c r="E214" s="29" t="str">
        <f t="shared" si="11"/>
        <v>4</v>
      </c>
    </row>
    <row r="215" spans="3:5" x14ac:dyDescent="0.25">
      <c r="C215" s="193"/>
      <c r="D215" s="29">
        <f t="shared" si="10"/>
        <v>1900</v>
      </c>
      <c r="E215" s="29" t="str">
        <f t="shared" si="11"/>
        <v>4</v>
      </c>
    </row>
    <row r="216" spans="3:5" x14ac:dyDescent="0.25">
      <c r="C216" s="193"/>
      <c r="D216" s="29">
        <f t="shared" si="10"/>
        <v>1900</v>
      </c>
      <c r="E216" s="29" t="str">
        <f t="shared" si="11"/>
        <v>4</v>
      </c>
    </row>
    <row r="217" spans="3:5" x14ac:dyDescent="0.25">
      <c r="C217" s="193"/>
      <c r="D217" s="29">
        <f t="shared" si="10"/>
        <v>1900</v>
      </c>
      <c r="E217" s="29" t="str">
        <f t="shared" si="11"/>
        <v>4</v>
      </c>
    </row>
    <row r="218" spans="3:5" x14ac:dyDescent="0.25">
      <c r="C218" s="193"/>
      <c r="D218" s="29">
        <f t="shared" si="10"/>
        <v>1900</v>
      </c>
      <c r="E218" s="29" t="str">
        <f t="shared" si="11"/>
        <v>4</v>
      </c>
    </row>
    <row r="219" spans="3:5" x14ac:dyDescent="0.25">
      <c r="C219" s="193"/>
      <c r="D219" s="29">
        <f t="shared" si="10"/>
        <v>1900</v>
      </c>
      <c r="E219" s="29" t="str">
        <f t="shared" si="11"/>
        <v>4</v>
      </c>
    </row>
    <row r="220" spans="3:5" x14ac:dyDescent="0.25">
      <c r="C220" s="193"/>
      <c r="D220" s="29">
        <f t="shared" si="10"/>
        <v>1900</v>
      </c>
      <c r="E220" s="29" t="str">
        <f t="shared" si="11"/>
        <v>4</v>
      </c>
    </row>
    <row r="221" spans="3:5" x14ac:dyDescent="0.25">
      <c r="C221" s="193"/>
      <c r="D221" s="29">
        <f t="shared" si="10"/>
        <v>1900</v>
      </c>
      <c r="E221" s="29" t="str">
        <f t="shared" si="11"/>
        <v>4</v>
      </c>
    </row>
    <row r="222" spans="3:5" x14ac:dyDescent="0.25">
      <c r="C222" s="193"/>
      <c r="D222" s="29">
        <f t="shared" si="10"/>
        <v>1900</v>
      </c>
      <c r="E222" s="29" t="str">
        <f t="shared" si="11"/>
        <v>4</v>
      </c>
    </row>
    <row r="223" spans="3:5" x14ac:dyDescent="0.25">
      <c r="C223" s="193"/>
      <c r="D223" s="29">
        <f t="shared" si="10"/>
        <v>1900</v>
      </c>
      <c r="E223" s="29" t="str">
        <f t="shared" si="11"/>
        <v>4</v>
      </c>
    </row>
    <row r="224" spans="3:5" x14ac:dyDescent="0.25">
      <c r="C224" s="193"/>
      <c r="D224" s="29">
        <f t="shared" si="10"/>
        <v>1900</v>
      </c>
      <c r="E224" s="29" t="str">
        <f t="shared" si="11"/>
        <v>4</v>
      </c>
    </row>
    <row r="225" spans="3:5" x14ac:dyDescent="0.25">
      <c r="C225" s="193"/>
      <c r="D225" s="29">
        <f t="shared" si="10"/>
        <v>1900</v>
      </c>
      <c r="E225" s="29" t="str">
        <f t="shared" si="11"/>
        <v>4</v>
      </c>
    </row>
    <row r="226" spans="3:5" x14ac:dyDescent="0.25">
      <c r="C226" s="193"/>
      <c r="D226" s="29">
        <f t="shared" si="10"/>
        <v>1900</v>
      </c>
      <c r="E226" s="29" t="str">
        <f t="shared" si="11"/>
        <v>4</v>
      </c>
    </row>
    <row r="227" spans="3:5" x14ac:dyDescent="0.25">
      <c r="C227" s="193"/>
      <c r="D227" s="29">
        <f t="shared" si="10"/>
        <v>1900</v>
      </c>
      <c r="E227" s="29" t="str">
        <f t="shared" si="11"/>
        <v>4</v>
      </c>
    </row>
    <row r="228" spans="3:5" x14ac:dyDescent="0.25">
      <c r="C228" s="193"/>
      <c r="D228" s="29">
        <f t="shared" si="10"/>
        <v>1900</v>
      </c>
      <c r="E228" s="29" t="str">
        <f t="shared" si="11"/>
        <v>4</v>
      </c>
    </row>
    <row r="229" spans="3:5" x14ac:dyDescent="0.25">
      <c r="C229" s="193"/>
      <c r="D229" s="29">
        <f t="shared" si="10"/>
        <v>1900</v>
      </c>
      <c r="E229" s="29" t="str">
        <f t="shared" si="11"/>
        <v>4</v>
      </c>
    </row>
    <row r="230" spans="3:5" x14ac:dyDescent="0.25">
      <c r="C230" s="193"/>
      <c r="D230" s="29">
        <f t="shared" si="10"/>
        <v>1900</v>
      </c>
      <c r="E230" s="29" t="str">
        <f t="shared" si="11"/>
        <v>4</v>
      </c>
    </row>
    <row r="231" spans="3:5" x14ac:dyDescent="0.25">
      <c r="C231" s="193"/>
      <c r="D231" s="29">
        <f t="shared" si="10"/>
        <v>1900</v>
      </c>
      <c r="E231" s="29" t="str">
        <f t="shared" si="11"/>
        <v>4</v>
      </c>
    </row>
    <row r="232" spans="3:5" x14ac:dyDescent="0.25">
      <c r="C232" s="193"/>
      <c r="D232" s="29">
        <f t="shared" si="10"/>
        <v>1900</v>
      </c>
      <c r="E232" s="29" t="str">
        <f t="shared" si="11"/>
        <v>4</v>
      </c>
    </row>
    <row r="233" spans="3:5" x14ac:dyDescent="0.25">
      <c r="C233" s="193"/>
      <c r="D233" s="29">
        <f t="shared" si="10"/>
        <v>1900</v>
      </c>
      <c r="E233" s="29" t="str">
        <f t="shared" si="11"/>
        <v>4</v>
      </c>
    </row>
    <row r="234" spans="3:5" x14ac:dyDescent="0.25">
      <c r="C234" s="193"/>
      <c r="D234" s="29">
        <f t="shared" si="10"/>
        <v>1900</v>
      </c>
      <c r="E234" s="29" t="str">
        <f t="shared" si="11"/>
        <v>4</v>
      </c>
    </row>
    <row r="235" spans="3:5" x14ac:dyDescent="0.25">
      <c r="C235" s="193"/>
      <c r="D235" s="29">
        <f t="shared" si="10"/>
        <v>1900</v>
      </c>
      <c r="E235" s="29" t="str">
        <f t="shared" si="11"/>
        <v>4</v>
      </c>
    </row>
    <row r="236" spans="3:5" x14ac:dyDescent="0.25">
      <c r="C236" s="193"/>
      <c r="D236" s="29">
        <f t="shared" si="10"/>
        <v>1900</v>
      </c>
      <c r="E236" s="29" t="str">
        <f t="shared" si="11"/>
        <v>4</v>
      </c>
    </row>
    <row r="237" spans="3:5" x14ac:dyDescent="0.25">
      <c r="C237" s="193"/>
      <c r="D237" s="29">
        <f t="shared" si="10"/>
        <v>1900</v>
      </c>
      <c r="E237" s="29" t="str">
        <f t="shared" si="11"/>
        <v>4</v>
      </c>
    </row>
    <row r="238" spans="3:5" x14ac:dyDescent="0.25">
      <c r="C238" s="193"/>
      <c r="D238" s="29">
        <f t="shared" si="10"/>
        <v>1900</v>
      </c>
      <c r="E238" s="29" t="str">
        <f t="shared" si="11"/>
        <v>4</v>
      </c>
    </row>
    <row r="239" spans="3:5" x14ac:dyDescent="0.25">
      <c r="C239" s="193"/>
      <c r="D239" s="29">
        <f t="shared" si="10"/>
        <v>1900</v>
      </c>
      <c r="E239" s="29" t="str">
        <f t="shared" si="11"/>
        <v>4</v>
      </c>
    </row>
    <row r="240" spans="3:5" x14ac:dyDescent="0.25">
      <c r="C240" s="193"/>
      <c r="D240" s="29">
        <f t="shared" si="10"/>
        <v>1900</v>
      </c>
      <c r="E240" s="29" t="str">
        <f t="shared" si="11"/>
        <v>4</v>
      </c>
    </row>
    <row r="241" spans="3:5" x14ac:dyDescent="0.25">
      <c r="C241" s="193"/>
      <c r="D241" s="29">
        <f t="shared" si="10"/>
        <v>1900</v>
      </c>
      <c r="E241" s="29" t="str">
        <f t="shared" si="11"/>
        <v>4</v>
      </c>
    </row>
    <row r="242" spans="3:5" x14ac:dyDescent="0.25">
      <c r="C242" s="193"/>
      <c r="D242" s="29">
        <f t="shared" si="10"/>
        <v>1900</v>
      </c>
      <c r="E242" s="29" t="str">
        <f t="shared" si="11"/>
        <v>4</v>
      </c>
    </row>
    <row r="243" spans="3:5" x14ac:dyDescent="0.25">
      <c r="C243" s="193"/>
      <c r="D243" s="29">
        <f t="shared" si="10"/>
        <v>1900</v>
      </c>
      <c r="E243" s="29" t="str">
        <f t="shared" si="11"/>
        <v>4</v>
      </c>
    </row>
    <row r="244" spans="3:5" x14ac:dyDescent="0.25">
      <c r="C244" s="193"/>
      <c r="D244" s="29">
        <f t="shared" si="10"/>
        <v>1900</v>
      </c>
      <c r="E244" s="29" t="str">
        <f t="shared" si="11"/>
        <v>4</v>
      </c>
    </row>
    <row r="245" spans="3:5" x14ac:dyDescent="0.25">
      <c r="C245" s="193"/>
      <c r="D245" s="29">
        <f t="shared" si="10"/>
        <v>1900</v>
      </c>
      <c r="E245" s="29" t="str">
        <f t="shared" si="11"/>
        <v>4</v>
      </c>
    </row>
    <row r="246" spans="3:5" x14ac:dyDescent="0.25">
      <c r="C246" s="193"/>
      <c r="D246" s="29">
        <f t="shared" si="10"/>
        <v>1900</v>
      </c>
      <c r="E246" s="29" t="str">
        <f t="shared" si="11"/>
        <v>4</v>
      </c>
    </row>
    <row r="247" spans="3:5" x14ac:dyDescent="0.25">
      <c r="C247" s="193"/>
      <c r="D247" s="29">
        <f t="shared" si="10"/>
        <v>1900</v>
      </c>
      <c r="E247" s="29" t="str">
        <f t="shared" si="11"/>
        <v>4</v>
      </c>
    </row>
    <row r="248" spans="3:5" x14ac:dyDescent="0.25">
      <c r="C248" s="193"/>
      <c r="D248" s="29">
        <f t="shared" si="10"/>
        <v>1900</v>
      </c>
      <c r="E248" s="29" t="str">
        <f t="shared" si="11"/>
        <v>4</v>
      </c>
    </row>
    <row r="249" spans="3:5" x14ac:dyDescent="0.25">
      <c r="C249" s="193"/>
      <c r="D249" s="29">
        <f t="shared" si="10"/>
        <v>1900</v>
      </c>
      <c r="E249" s="29" t="str">
        <f t="shared" si="11"/>
        <v>4</v>
      </c>
    </row>
    <row r="250" spans="3:5" x14ac:dyDescent="0.25">
      <c r="C250" s="193"/>
      <c r="D250" s="29">
        <f t="shared" si="10"/>
        <v>1900</v>
      </c>
      <c r="E250" s="29" t="str">
        <f t="shared" si="11"/>
        <v>4</v>
      </c>
    </row>
    <row r="251" spans="3:5" x14ac:dyDescent="0.25">
      <c r="C251" s="193"/>
      <c r="D251" s="29">
        <f t="shared" si="10"/>
        <v>1900</v>
      </c>
      <c r="E251" s="29" t="str">
        <f t="shared" si="11"/>
        <v>4</v>
      </c>
    </row>
  </sheetData>
  <mergeCells count="6">
    <mergeCell ref="Q35:S35"/>
    <mergeCell ref="A5:C5"/>
    <mergeCell ref="A7:C7"/>
    <mergeCell ref="Q9:S9"/>
    <mergeCell ref="Q10:S10"/>
    <mergeCell ref="R34:S34"/>
  </mergeCells>
  <dataValidations count="1">
    <dataValidation type="list" allowBlank="1" showInputMessage="1" showErrorMessage="1" promptTitle="Select a Period:" prompt="Select Financial or Calendar years." sqref="R34:S34" xr:uid="{828F0676-6F35-4611-8023-1234FD9EC900}">
      <formula1>A1:A2</formula1>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26D09-E1CB-430A-8D7A-546710B57EAF}">
  <sheetPr>
    <tabColor theme="5" tint="0.39997558519241921"/>
  </sheetPr>
  <dimension ref="A1:AA27"/>
  <sheetViews>
    <sheetView showGridLines="0" zoomScale="85" zoomScaleNormal="85" workbookViewId="0"/>
  </sheetViews>
  <sheetFormatPr defaultColWidth="9.140625" defaultRowHeight="15.75" x14ac:dyDescent="0.25"/>
  <cols>
    <col min="1" max="1" width="31.5703125" bestFit="1" customWidth="1"/>
    <col min="2" max="2" width="5.28515625" bestFit="1" customWidth="1"/>
    <col min="3" max="3" width="21.5703125" bestFit="1" customWidth="1"/>
    <col min="4" max="4" width="15.140625" bestFit="1" customWidth="1"/>
    <col min="5" max="6" width="15.42578125" style="750" customWidth="1"/>
    <col min="7" max="12" width="15.42578125" customWidth="1"/>
    <col min="13" max="13" width="19.140625" customWidth="1"/>
    <col min="14" max="14" width="15.42578125" customWidth="1"/>
    <col min="15" max="16" width="9.140625" style="133"/>
    <col min="17" max="18" width="12" style="133" bestFit="1" customWidth="1"/>
    <col min="19" max="19" width="14.85546875" style="133" bestFit="1" customWidth="1"/>
    <col min="20" max="20" width="12" style="133" bestFit="1" customWidth="1"/>
    <col min="21" max="21" width="17.28515625" style="134" bestFit="1" customWidth="1"/>
    <col min="22" max="22" width="9.140625" style="134"/>
    <col min="23" max="23" width="17.85546875" style="134" customWidth="1"/>
    <col min="24" max="27" width="9.140625" style="134"/>
  </cols>
  <sheetData>
    <row r="1" spans="1:26" ht="15" customHeight="1" x14ac:dyDescent="0.25">
      <c r="V1" s="134" t="s">
        <v>40</v>
      </c>
      <c r="W1" s="134" t="str">
        <f>"Iron Ore Exports "&amp;B8&amp;CHAR(10)&amp;"Total Value: $"&amp;TEXT(C18,"#,###")</f>
        <v>Iron Ore Exports 2025
Total Value: $119,657,689,000</v>
      </c>
      <c r="X1" s="134" t="s">
        <v>178</v>
      </c>
      <c r="Y1" s="134" cm="1">
        <f t="array" ref="Y1:Y19">IF($B$7="Calendar Year",
_xlfn._xlws.SORT(_xlfn.UNIQUE(_xlfn._xlws.FILTER('Commodity Prices'!$BB:$BB, 'Commodity Prices'!$BA:$BA=$V$1))),
_xlfn._xlws.SORT(_xlfn.UNIQUE(_xlfn._xlws.FILTER('Commodity Prices'!$BI:$BI, 'Commodity Prices'!$BH:$BH=$V$1)))
)</f>
        <v>2007</v>
      </c>
      <c r="Z1" s="134">
        <f t="array" ref="Z1">MIN(IF('Commodity Prices'!$BA$11:$BA$1516=V1,'Commodity Prices'!$BB$11:$BB$1516))</f>
        <v>2007</v>
      </c>
    </row>
    <row r="2" spans="1:26" ht="15" customHeight="1" x14ac:dyDescent="0.25">
      <c r="W2" s="134" t="str">
        <f>IF($B$7=X1,IF(RIGHT(LEFT(B8,5),1)="-","Mismatch Error",""),IF(LEN(B8)=4,"Mismatch Error",""))</f>
        <v/>
      </c>
      <c r="X2" s="134" t="s">
        <v>179</v>
      </c>
      <c r="Y2" s="134">
        <v>2008</v>
      </c>
    </row>
    <row r="3" spans="1:26" ht="15" customHeight="1" x14ac:dyDescent="0.25">
      <c r="Y3" s="134">
        <v>2009</v>
      </c>
    </row>
    <row r="4" spans="1:26" ht="15" customHeight="1" x14ac:dyDescent="0.25">
      <c r="Y4" s="134">
        <v>2010</v>
      </c>
    </row>
    <row r="5" spans="1:26" ht="15" customHeight="1" x14ac:dyDescent="0.25">
      <c r="Y5" s="134">
        <v>2011</v>
      </c>
    </row>
    <row r="6" spans="1:26" ht="15" customHeight="1" thickBot="1" x14ac:dyDescent="0.3">
      <c r="Y6" s="134">
        <v>2012</v>
      </c>
    </row>
    <row r="7" spans="1:26" ht="15" customHeight="1" x14ac:dyDescent="0.25">
      <c r="A7" s="751" t="s">
        <v>158</v>
      </c>
      <c r="B7" s="1454" t="s">
        <v>178</v>
      </c>
      <c r="C7" s="1454"/>
      <c r="D7" s="1455"/>
      <c r="E7" s="752"/>
      <c r="Y7" s="134">
        <v>2013</v>
      </c>
    </row>
    <row r="8" spans="1:26" ht="16.5" thickBot="1" x14ac:dyDescent="0.3">
      <c r="A8" s="753" t="s">
        <v>158</v>
      </c>
      <c r="B8" s="1456">
        <v>2025</v>
      </c>
      <c r="C8" s="1456"/>
      <c r="D8" s="1457"/>
      <c r="E8" s="752"/>
      <c r="Y8" s="134">
        <v>2014</v>
      </c>
    </row>
    <row r="9" spans="1:26" x14ac:dyDescent="0.25">
      <c r="Y9" s="134">
        <v>2015</v>
      </c>
    </row>
    <row r="10" spans="1:26" ht="16.5" thickBot="1" x14ac:dyDescent="0.3">
      <c r="A10" s="1393" t="str">
        <f>IF($B$8="Click here to select an option","Select a year above for display.",CONCATENATE("Exports ",B8))</f>
        <v>Exports 2025</v>
      </c>
      <c r="B10" s="1393"/>
      <c r="C10" s="1393"/>
      <c r="D10" s="1393"/>
      <c r="Y10" s="134">
        <v>2016</v>
      </c>
    </row>
    <row r="11" spans="1:26" x14ac:dyDescent="0.25">
      <c r="A11" s="751" t="s">
        <v>562</v>
      </c>
      <c r="B11" s="754" t="s">
        <v>274</v>
      </c>
      <c r="C11" s="755" t="s">
        <v>563</v>
      </c>
      <c r="D11" s="756" t="s">
        <v>276</v>
      </c>
      <c r="Y11" s="134">
        <v>2017</v>
      </c>
    </row>
    <row r="12" spans="1:26" x14ac:dyDescent="0.25">
      <c r="A12" s="757" t="str" cm="1">
        <f t="array" ref="A12">IF($W$2="Mismatch Error","Mismatch Error",
IF($B$7="Calendar Year",
INDEX('Commodity Prices'!$BA:$BF,MATCH(1,(('Commodity Prices'!$BA:$BA)=$V$1)*(('Commodity Prices'!$BB:$BB)=$B$8)*(('Commodity Prices'!$BD:$BD)=$B12),0),3),
INDEX('Commodity Prices'!$BH:$BM,MATCH(1,(('Commodity Prices'!$BH:$BH)=$V$1)*(('Commodity Prices'!$BI:$BI)=$B$8)*(('Commodity Prices'!$BK:$BK)=$B12),0),3)
)
)</f>
        <v>China (excludes SARs and Taiwan)</v>
      </c>
      <c r="B12" s="758">
        <v>1</v>
      </c>
      <c r="C12" s="759" cm="1">
        <f t="array" ref="C12">IF($W$2="Mismatch Error","Mismatch Error",
IF($B$7="Calendar Year",
INDEX('Commodity Prices'!$BA:$BF, MATCH(1,(('Commodity Prices'!$BA:$BA)=$V$1)*(('Commodity Prices'!$BB:$BB)=$B$8)*(('Commodity Prices'!$BD:$BD)=$B12),0), 5),
INDEX('Commodity Prices'!$BH:$BM, MATCH(1,(('Commodity Prices'!$BH:$BH)=$V$1)*(('Commodity Prices'!$BI:$BI)=$B$8)*(('Commodity Prices'!$BK:$BK)=$B12),0), 5)
)
)</f>
        <v>102663988000</v>
      </c>
      <c r="D12" s="760" cm="1">
        <f t="array" ref="D12">IF($W$2="Mismatch Error","Mismatch Error",
IF($B$7="Calendar Year",
INDEX('Commodity Prices'!$BA:$BF, MATCH(1,(('Commodity Prices'!$BA:$BA)=$V$1)*(('Commodity Prices'!$BB:$BB)=$B$8)*(('Commodity Prices'!$BD:$BD)=$B12),0), 6),
INDEX('Commodity Prices'!$BH:$BM, MATCH(1,(('Commodity Prices'!$BH:$BH)=$V$1)*(('Commodity Prices'!$BI:$BI)=$B$8)*(('Commodity Prices'!$BK:$BK)=$B12),0), 6)
)
)</f>
        <v>0.85798070193383058</v>
      </c>
      <c r="Y12" s="134">
        <v>2018</v>
      </c>
    </row>
    <row r="13" spans="1:26" x14ac:dyDescent="0.25">
      <c r="A13" s="512" t="str" cm="1">
        <f t="array" ref="A13">IF($W$2="Mismatch Error","Mismatch Error",
IF($B$7="Calendar Year",
INDEX('Commodity Prices'!$BA:$BF,MATCH(1,(('Commodity Prices'!$BA:$BA)=$V$1)*(('Commodity Prices'!$BB:$BB)=$B$8)*(('Commodity Prices'!$BD:$BD)=B13),0),3),
INDEX('Commodity Prices'!$BH:$BM,MATCH(1,(('Commodity Prices'!$BH:$BH)=$V$1)*(('Commodity Prices'!$BI:$BI)=$B$8)*(('Commodity Prices'!$BK:$BK)=B13),0),3)
)
)</f>
        <v>Japan</v>
      </c>
      <c r="B13" s="761">
        <v>2</v>
      </c>
      <c r="C13" s="506" cm="1">
        <f t="array" ref="C13">IF($W$2="Mismatch Error","Mismatch Error",
IF($B$7="Calendar Year",
INDEX('Commodity Prices'!$BA:$BF, MATCH(1,(('Commodity Prices'!$BA:$BA)=$V$1)*(('Commodity Prices'!$BB:$BB)=$B$8)*(('Commodity Prices'!$BD:$BD)=$B13),0), 5),
INDEX('Commodity Prices'!$BH:$BM, MATCH(1,(('Commodity Prices'!$BH:$BH)=$V$1)*(('Commodity Prices'!$BI:$BI)=$B$8)*(('Commodity Prices'!$BK:$BK)=$B13),0), 5)
)
)</f>
        <v>6485662000</v>
      </c>
      <c r="D13" s="762" cm="1">
        <f t="array" ref="D13">IF($W$2="Mismatch Error","Mismatch Error",
IF($B$7="Calendar Year",
INDEX('Commodity Prices'!$BA:$BF, MATCH(1,(('Commodity Prices'!$BA:$BA)=$V$1)*(('Commodity Prices'!$BB:$BB)=$B$8)*(('Commodity Prices'!$BD:$BD)=$B13),0), 6),
INDEX('Commodity Prices'!$BH:$BM, MATCH(1,(('Commodity Prices'!$BH:$BH)=$V$1)*(('Commodity Prices'!$BI:$BI)=$B$8)*(('Commodity Prices'!$BK:$BK)=$B13),0), 6)
)
)</f>
        <v>5.4201798933288775E-2</v>
      </c>
      <c r="Y13" s="134">
        <v>2019</v>
      </c>
    </row>
    <row r="14" spans="1:26" x14ac:dyDescent="0.25">
      <c r="A14" s="757" t="str" cm="1">
        <f t="array" ref="A14">IF($W$2="Mismatch Error","Mismatch Error",
IF($B$7="Calendar Year",
INDEX('Commodity Prices'!$BA:$BF,MATCH(1,(('Commodity Prices'!$BA:$BA)=$V$1)*(('Commodity Prices'!$BB:$BB)=$B$8)*(('Commodity Prices'!$BD:$BD)=B14),0),3),
INDEX('Commodity Prices'!$BH:$BM,MATCH(1,(('Commodity Prices'!$BH:$BH)=$V$1)*(('Commodity Prices'!$BI:$BI)=$B$8)*(('Commodity Prices'!$BK:$BK)=B14),0),3)
)
)</f>
        <v>Korea, Republic of (South)</v>
      </c>
      <c r="B14" s="758">
        <v>3</v>
      </c>
      <c r="C14" s="759" cm="1">
        <f t="array" ref="C14">IF($W$2="Mismatch Error","Mismatch Error",
IF($B$7="Calendar Year",
INDEX('Commodity Prices'!$BA:$BF, MATCH(1,(('Commodity Prices'!$BA:$BA)=$V$1)*(('Commodity Prices'!$BB:$BB)=$B$8)*(('Commodity Prices'!$BD:$BD)=$B14),0), 5),
INDEX('Commodity Prices'!$BH:$BM, MATCH(1,(('Commodity Prices'!$BH:$BH)=$V$1)*(('Commodity Prices'!$BI:$BI)=$B$8)*(('Commodity Prices'!$BK:$BK)=$B14),0), 5)
)
)</f>
        <v>6190683000</v>
      </c>
      <c r="D14" s="760" cm="1">
        <f t="array" ref="D14">IF($W$2="Mismatch Error","Mismatch Error",
IF($B$7="Calendar Year",
INDEX('Commodity Prices'!$BA:$BF, MATCH(1,(('Commodity Prices'!$BA:$BA)=$V$1)*(('Commodity Prices'!$BB:$BB)=$B$8)*(('Commodity Prices'!$BD:$BD)=$B14),0), 6),
INDEX('Commodity Prices'!$BH:$BM, MATCH(1,(('Commodity Prices'!$BH:$BH)=$V$1)*(('Commodity Prices'!$BI:$BI)=$B$8)*(('Commodity Prices'!$BK:$BK)=$B14),0), 6)
)
)</f>
        <v>5.1736608418034881E-2</v>
      </c>
      <c r="Y14" s="134">
        <v>2020</v>
      </c>
    </row>
    <row r="15" spans="1:26" x14ac:dyDescent="0.25">
      <c r="A15" s="512" t="str" cm="1">
        <f t="array" ref="A15">IF($W$2="Mismatch Error","Mismatch Error",
IF($B$7="Calendar Year",
INDEX('Commodity Prices'!$BA:$BF,MATCH(1,(('Commodity Prices'!$BA:$BA)=$V$1)*(('Commodity Prices'!$BB:$BB)=$B$8)*(('Commodity Prices'!$BD:$BD)=B15),0),3),
INDEX('Commodity Prices'!$BH:$BM,MATCH(1,(('Commodity Prices'!$BH:$BH)=$V$1)*(('Commodity Prices'!$BI:$BI)=$B$8)*(('Commodity Prices'!$BK:$BK)=B15),0),3)
)
)</f>
        <v>Taiwan</v>
      </c>
      <c r="B15" s="761">
        <v>4</v>
      </c>
      <c r="C15" s="506" cm="1">
        <f t="array" ref="C15">IF($W$2="Mismatch Error","Mismatch Error",
IF($B$7="Calendar Year",
INDEX('Commodity Prices'!$BA:$BF, MATCH(1,(('Commodity Prices'!$BA:$BA)=$V$1)*(('Commodity Prices'!$BB:$BB)=$B$8)*(('Commodity Prices'!$BD:$BD)=$B15),0), 5),
INDEX('Commodity Prices'!$BH:$BM, MATCH(1,(('Commodity Prices'!$BH:$BH)=$V$1)*(('Commodity Prices'!$BI:$BI)=$B$8)*(('Commodity Prices'!$BK:$BK)=$B15),0), 5)
)
)</f>
        <v>1672002000</v>
      </c>
      <c r="D15" s="762" cm="1">
        <f t="array" ref="D15">IF($W$2="Mismatch Error","Mismatch Error",
IF($B$7="Calendar Year",
INDEX('Commodity Prices'!$BA:$BF, MATCH(1,(('Commodity Prices'!$BA:$BA)=$V$1)*(('Commodity Prices'!$BB:$BB)=$B$8)*(('Commodity Prices'!$BD:$BD)=$B15),0), 6),
INDEX('Commodity Prices'!$BH:$BM, MATCH(1,(('Commodity Prices'!$BH:$BH)=$V$1)*(('Commodity Prices'!$BI:$BI)=$B$8)*(('Commodity Prices'!$BK:$BK)=$B15),0), 6)
)
)</f>
        <v>1.3973209862008951E-2</v>
      </c>
      <c r="Y15" s="134">
        <v>2021</v>
      </c>
    </row>
    <row r="16" spans="1:26" x14ac:dyDescent="0.25">
      <c r="A16" s="757" t="str" cm="1">
        <f t="array" ref="A16">IF($W$2="Mismatch Error","Mismatch Error",
IF($B$7="Calendar Year",
INDEX('Commodity Prices'!$BA:$BF,MATCH(1,(('Commodity Prices'!$BA:$BA)=$V$1)*(('Commodity Prices'!$BB:$BB)=$B$8)*(('Commodity Prices'!$BD:$BD)=B16),0),3),
INDEX('Commodity Prices'!$BH:$BM,MATCH(1,(('Commodity Prices'!$BH:$BH)=$V$1)*(('Commodity Prices'!$BI:$BI)=$B$8)*(('Commodity Prices'!$BK:$BK)=B16),0),3)
)
)</f>
        <v>Vietnam</v>
      </c>
      <c r="B16" s="758">
        <v>5</v>
      </c>
      <c r="C16" s="759" cm="1">
        <f t="array" ref="C16">IF($W$2="Mismatch Error","Mismatch Error",
IF($B$7="Calendar Year",
INDEX('Commodity Prices'!$BA:$BF, MATCH(1,(('Commodity Prices'!$BA:$BA)=$V$1)*(('Commodity Prices'!$BB:$BB)=$B$8)*(('Commodity Prices'!$BD:$BD)=$B16),0), 5),
INDEX('Commodity Prices'!$BH:$BM, MATCH(1,(('Commodity Prices'!$BH:$BH)=$V$1)*(('Commodity Prices'!$BI:$BI)=$B$8)*(('Commodity Prices'!$BK:$BK)=$B16),0), 5)
)
)</f>
        <v>1389331000</v>
      </c>
      <c r="D16" s="760" cm="1">
        <f t="array" ref="D16">IF($W$2="Mismatch Error","Mismatch Error",
IF($B$7="Calendar Year",
INDEX('Commodity Prices'!$BA:$BF, MATCH(1,(('Commodity Prices'!$BA:$BA)=$V$1)*(('Commodity Prices'!$BB:$BB)=$B$8)*(('Commodity Prices'!$BD:$BD)=$B16),0), 6),
INDEX('Commodity Prices'!$BH:$BM, MATCH(1,(('Commodity Prices'!$BH:$BH)=$V$1)*(('Commodity Prices'!$BI:$BI)=$B$8)*(('Commodity Prices'!$BK:$BK)=$B16),0), 6)
)
)</f>
        <v>1.1610879431241564E-2</v>
      </c>
      <c r="S16" s="199"/>
      <c r="T16" s="763"/>
      <c r="U16" s="764"/>
      <c r="Y16" s="134">
        <v>2022</v>
      </c>
    </row>
    <row r="17" spans="1:25" x14ac:dyDescent="0.25">
      <c r="A17" s="512" t="str">
        <f>IF($W$2="Mismatch Error","","Other")</f>
        <v>Other</v>
      </c>
      <c r="B17" s="761"/>
      <c r="C17" s="506" cm="1">
        <f t="array" ref="C17">IF($W$2="Mismatch Error","Mismatch Error",
IF($B$7="Calendar Year",
INDEX('Commodity Prices'!$BA:$BF, MATCH(1,(('Commodity Prices'!$BA:$BA)=$V$1)*(('Commodity Prices'!$BB:$BB)=$B$8)*(('Commodity Prices'!$BD:$BD)=$B17),0), 5),
INDEX('Commodity Prices'!$BH:$BM, MATCH(1,(('Commodity Prices'!$BH:$BH)=$V$1)*(('Commodity Prices'!$BI:$BI)=$B$8)*(('Commodity Prices'!$BK:$BK)=$B17),0), 5)
)
)</f>
        <v>1256023000</v>
      </c>
      <c r="D17" s="762" cm="1">
        <f t="array" ref="D17">IF($W$2="Mismatch Error","Mismatch Error",
IF($B$7="Calendar Year",
INDEX('Commodity Prices'!$BA:$BF, MATCH(1,(('Commodity Prices'!$BA:$BA)=$V$1)*(('Commodity Prices'!$BB:$BB)=$B$8)*(('Commodity Prices'!$BD:$BD)=$B17),0), 6),
INDEX('Commodity Prices'!$BH:$BM, MATCH(1,(('Commodity Prices'!$BH:$BH)=$V$1)*(('Commodity Prices'!$BI:$BI)=$B$8)*(('Commodity Prices'!$BK:$BK)=$B17),0), 6)
)
)</f>
        <v>1.0496801421595231E-2</v>
      </c>
      <c r="S17" s="199"/>
      <c r="T17" s="763"/>
      <c r="U17" s="764"/>
      <c r="Y17" s="134">
        <v>2023</v>
      </c>
    </row>
    <row r="18" spans="1:25" ht="16.5" thickBot="1" x14ac:dyDescent="0.3">
      <c r="A18" s="513" t="str">
        <f>IF($W$2="Mismatch Error","","Grand Total")</f>
        <v>Grand Total</v>
      </c>
      <c r="B18" s="514"/>
      <c r="C18" s="515">
        <f>SUM(C7:C17)</f>
        <v>119657689000</v>
      </c>
      <c r="D18" s="516"/>
      <c r="S18" s="199"/>
      <c r="T18" s="763"/>
      <c r="U18" s="764"/>
      <c r="Y18" s="134">
        <v>2024</v>
      </c>
    </row>
    <row r="19" spans="1:25" x14ac:dyDescent="0.25">
      <c r="S19" s="199"/>
      <c r="T19" s="763"/>
      <c r="U19" s="764"/>
      <c r="Y19" s="134">
        <v>2025</v>
      </c>
    </row>
    <row r="20" spans="1:25" x14ac:dyDescent="0.25">
      <c r="A20" s="517" t="str">
        <f>IF(A12="Mismatch Error","You have selected an incompatible year or year type. Change one or the other to display data.","")</f>
        <v/>
      </c>
      <c r="B20" s="517"/>
      <c r="C20" s="517"/>
      <c r="D20" s="517"/>
      <c r="S20" s="199"/>
      <c r="T20" s="763"/>
      <c r="U20" s="764"/>
    </row>
    <row r="21" spans="1:25" x14ac:dyDescent="0.25">
      <c r="A21" s="517"/>
      <c r="B21" s="517"/>
      <c r="C21" s="517"/>
      <c r="D21" s="517"/>
      <c r="S21" s="199"/>
      <c r="T21" s="763"/>
      <c r="U21" s="764"/>
    </row>
    <row r="22" spans="1:25" x14ac:dyDescent="0.25">
      <c r="A22" s="517" t="str">
        <f>IF(OR(ISNA(A12),ISNA(A13),ISNA(A14),ISNA(A15),ISNA(A16),ISNA(#REF!),ISNA(#REF!),ISNA(#REF!),ISNA(#REF!),ISNA(#REF!),ISNA(C12),ISNA(C13),ISNA(C14),ISNA(C15),ISNA(C16),ISNA(#REF!),ISNA(#REF!),ISNA(#REF!),ISNA(#REF!),ISNA(#REF!)),"You have ecountered an NA Error. This is most likely caused by the accidental loss of an array formula in the table above. Click on the cell showing #N/A above, then click the formula bar and press Ctrl, Shift and Enter.","")</f>
        <v/>
      </c>
      <c r="B22" s="517"/>
      <c r="C22" s="517"/>
      <c r="D22" s="517"/>
      <c r="S22" s="199"/>
      <c r="T22" s="763"/>
      <c r="U22" s="764"/>
    </row>
    <row r="23" spans="1:25" x14ac:dyDescent="0.25">
      <c r="A23" s="517"/>
      <c r="B23" s="517"/>
      <c r="C23" s="517"/>
      <c r="D23" s="517"/>
      <c r="S23" s="199"/>
      <c r="T23" s="763"/>
      <c r="U23" s="764"/>
    </row>
    <row r="24" spans="1:25" x14ac:dyDescent="0.25">
      <c r="A24" s="517"/>
      <c r="B24" s="517"/>
      <c r="C24" s="517"/>
      <c r="D24" s="517"/>
      <c r="S24" s="199"/>
      <c r="T24" s="763"/>
      <c r="U24" s="764"/>
    </row>
    <row r="25" spans="1:25" x14ac:dyDescent="0.25">
      <c r="A25" s="517"/>
      <c r="B25" s="517"/>
      <c r="C25" s="517"/>
      <c r="D25" s="517"/>
      <c r="S25" s="199"/>
      <c r="T25" s="763"/>
      <c r="U25" s="764"/>
    </row>
    <row r="27" spans="1:25" ht="15" customHeight="1" x14ac:dyDescent="0.25"/>
  </sheetData>
  <mergeCells count="3">
    <mergeCell ref="B7:D7"/>
    <mergeCell ref="B8:D8"/>
    <mergeCell ref="A10:D10"/>
  </mergeCells>
  <dataValidations count="3">
    <dataValidation allowBlank="1" promptTitle="Select a Display Factor:" prompt="Clicking here will bring up a message describing the selections you can make." sqref="E7:E8" xr:uid="{7D849C2D-72D4-459E-9104-6A080B09F145}"/>
    <dataValidation type="list" allowBlank="1" showInputMessage="1" showErrorMessage="1" promptTitle="Select a Display Factor:" prompt="Clicking here will bring up a message describing the selections you can make." sqref="B7:D7" xr:uid="{C2A664C7-5C7B-4B96-A92A-0EF31FB29CD0}">
      <formula1>$X$1:$X$2</formula1>
    </dataValidation>
    <dataValidation type="list" allowBlank="1" showInputMessage="1" showErrorMessage="1" promptTitle="Select a Display Factor:" prompt="Clicking here will bring up a message describing the selections you can make." sqref="B8:D8" xr:uid="{91AC2999-50A2-46C2-AB52-4CC0EA96F7DE}">
      <formula1>$Y$1:$Y$27</formula1>
    </dataValidation>
  </dataValidation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85441-C2BB-4706-8100-0E179F2C8EFE}">
  <sheetPr>
    <tabColor theme="5" tint="0.39997558519241921"/>
  </sheetPr>
  <dimension ref="A7:S83"/>
  <sheetViews>
    <sheetView showGridLines="0" zoomScale="85" zoomScaleNormal="85" workbookViewId="0">
      <pane ySplit="8" topLeftCell="A9" activePane="bottomLeft" state="frozen"/>
      <selection pane="bottomLeft"/>
    </sheetView>
  </sheetViews>
  <sheetFormatPr defaultColWidth="9.140625" defaultRowHeight="15" x14ac:dyDescent="0.25"/>
  <cols>
    <col min="1" max="1" width="12.7109375" customWidth="1"/>
    <col min="2" max="3" width="20.7109375" customWidth="1"/>
    <col min="6" max="6" width="21.85546875" bestFit="1" customWidth="1"/>
    <col min="7" max="7" width="20.140625" bestFit="1" customWidth="1"/>
    <col min="17" max="17" width="12.7109375" customWidth="1"/>
    <col min="18" max="19" width="20.7109375" customWidth="1"/>
    <col min="20" max="22" width="19.140625" customWidth="1"/>
  </cols>
  <sheetData>
    <row r="7" spans="1:19" ht="15.75" thickBot="1" x14ac:dyDescent="0.3">
      <c r="A7" s="1407" t="s">
        <v>564</v>
      </c>
      <c r="B7" s="1407"/>
      <c r="C7" s="1407"/>
    </row>
    <row r="8" spans="1:19" x14ac:dyDescent="0.25">
      <c r="A8" s="1185" t="s">
        <v>272</v>
      </c>
      <c r="B8" s="755" t="s">
        <v>565</v>
      </c>
      <c r="C8" s="756" t="s">
        <v>566</v>
      </c>
    </row>
    <row r="9" spans="1:19" x14ac:dyDescent="0.25">
      <c r="A9" s="765">
        <v>1950</v>
      </c>
      <c r="B9" s="462">
        <v>1.513401E-2</v>
      </c>
      <c r="C9" s="463">
        <v>2.403181</v>
      </c>
      <c r="Q9" s="1393" t="s">
        <v>564</v>
      </c>
      <c r="R9" s="1393"/>
      <c r="S9" s="1393"/>
    </row>
    <row r="10" spans="1:19" ht="15.75" thickBot="1" x14ac:dyDescent="0.3">
      <c r="A10" s="765">
        <v>1951</v>
      </c>
      <c r="B10" s="720">
        <v>3.6224089999999994E-2</v>
      </c>
      <c r="C10" s="721">
        <v>2.4560900000000001</v>
      </c>
      <c r="Q10" s="1393" t="s">
        <v>567</v>
      </c>
      <c r="R10" s="1393"/>
      <c r="S10" s="1393"/>
    </row>
    <row r="11" spans="1:19" x14ac:dyDescent="0.25">
      <c r="A11" s="765">
        <v>1952</v>
      </c>
      <c r="B11" s="462">
        <v>0.227379</v>
      </c>
      <c r="C11" s="463">
        <v>2.7460460000000002</v>
      </c>
      <c r="Q11" s="766" t="s">
        <v>272</v>
      </c>
      <c r="R11" s="767" t="str">
        <f>B8</f>
        <v>Western Australia (Mt)</v>
      </c>
      <c r="S11" s="768" t="str">
        <f>C8</f>
        <v>Rest of Australia (Mt)</v>
      </c>
    </row>
    <row r="12" spans="1:19" x14ac:dyDescent="0.25">
      <c r="A12" s="765">
        <v>1953</v>
      </c>
      <c r="B12" s="720">
        <v>0.71873390000000004</v>
      </c>
      <c r="C12" s="721">
        <v>2.644549</v>
      </c>
      <c r="Q12" s="739">
        <f>LARGE(A$19:A$103,10)</f>
        <v>2015</v>
      </c>
      <c r="R12" s="520">
        <f t="shared" ref="R12:R21" si="0">SUMIF($A$19:$A$108,$Q12,B$19:B$108)</f>
        <v>742.40984031599999</v>
      </c>
      <c r="S12" s="521">
        <f t="shared" ref="S12:S21" si="1">SUMIF($A$19:$A$108,$Q12,C$19:C$108)</f>
        <v>12.045</v>
      </c>
    </row>
    <row r="13" spans="1:19" x14ac:dyDescent="0.25">
      <c r="A13" s="765">
        <v>1954</v>
      </c>
      <c r="B13" s="462">
        <v>0.66220210000000002</v>
      </c>
      <c r="C13" s="463">
        <v>2.9250180000000001</v>
      </c>
      <c r="Q13" s="739">
        <f>LARGE(A$19:A$103,9)</f>
        <v>2016</v>
      </c>
      <c r="R13" s="769">
        <f t="shared" si="0"/>
        <v>795.71547145499994</v>
      </c>
      <c r="S13" s="770">
        <f t="shared" si="1"/>
        <v>11.536</v>
      </c>
    </row>
    <row r="14" spans="1:19" x14ac:dyDescent="0.25">
      <c r="A14" s="765">
        <v>1955</v>
      </c>
      <c r="B14" s="720">
        <v>0.53711259999999994</v>
      </c>
      <c r="C14" s="721">
        <v>3.1059420000000002</v>
      </c>
      <c r="Q14" s="739">
        <f>LARGE(A$19:A$103,8)</f>
        <v>2017</v>
      </c>
      <c r="R14" s="520">
        <f t="shared" si="0"/>
        <v>814.12094474599985</v>
      </c>
      <c r="S14" s="521">
        <f t="shared" si="1"/>
        <v>8.06</v>
      </c>
    </row>
    <row r="15" spans="1:19" x14ac:dyDescent="0.25">
      <c r="A15" s="765">
        <v>1956</v>
      </c>
      <c r="B15" s="462">
        <v>0.34229590000000004</v>
      </c>
      <c r="C15" s="463">
        <v>3.6605099999999999</v>
      </c>
      <c r="Q15" s="739">
        <f>LARGE(A$19:A$103,7)</f>
        <v>2018</v>
      </c>
      <c r="R15" s="769">
        <f t="shared" si="0"/>
        <v>813.57781896699998</v>
      </c>
      <c r="S15" s="770">
        <f t="shared" si="1"/>
        <v>7.3959999999999999</v>
      </c>
    </row>
    <row r="16" spans="1:19" x14ac:dyDescent="0.25">
      <c r="A16" s="765">
        <v>1957</v>
      </c>
      <c r="B16" s="720">
        <v>0.42291509999999999</v>
      </c>
      <c r="C16" s="721">
        <v>3.458961</v>
      </c>
      <c r="Q16" s="739">
        <f>LARGE(A$19:A$103,6)</f>
        <v>2019</v>
      </c>
      <c r="R16" s="520">
        <f t="shared" si="0"/>
        <v>811.78788645099996</v>
      </c>
      <c r="S16" s="521">
        <f t="shared" si="1"/>
        <v>8.0011721213439166</v>
      </c>
    </row>
    <row r="17" spans="1:19" x14ac:dyDescent="0.25">
      <c r="A17" s="765">
        <v>1958</v>
      </c>
      <c r="B17" s="462">
        <v>0.58212140000000001</v>
      </c>
      <c r="C17" s="463">
        <v>3.4155190000000002</v>
      </c>
      <c r="Q17" s="739">
        <f>LARGE(A$19:A$103,5)</f>
        <v>2020</v>
      </c>
      <c r="R17" s="769">
        <f t="shared" si="0"/>
        <v>847.132426775</v>
      </c>
      <c r="S17" s="770">
        <f t="shared" si="1"/>
        <v>8.3033040000000007</v>
      </c>
    </row>
    <row r="18" spans="1:19" x14ac:dyDescent="0.25">
      <c r="A18" s="765">
        <v>1959</v>
      </c>
      <c r="B18" s="720">
        <v>0.73875109999999999</v>
      </c>
      <c r="C18" s="721">
        <v>3.492232</v>
      </c>
      <c r="Q18" s="739">
        <f>LARGE(A$19:A$103,4)</f>
        <v>2021</v>
      </c>
      <c r="R18" s="520">
        <f t="shared" si="0"/>
        <v>838.29191462300003</v>
      </c>
      <c r="S18" s="521">
        <f t="shared" si="1"/>
        <v>11.074134000000001</v>
      </c>
    </row>
    <row r="19" spans="1:19" x14ac:dyDescent="0.25">
      <c r="A19" s="765">
        <v>1960</v>
      </c>
      <c r="B19" s="462">
        <v>0.94336149999999996</v>
      </c>
      <c r="C19" s="463">
        <v>3.5111849999999998</v>
      </c>
      <c r="Q19" s="739">
        <f>LARGE(A$19:A$103,3)</f>
        <v>2022</v>
      </c>
      <c r="R19" s="769">
        <f t="shared" si="0"/>
        <v>855.78732936100016</v>
      </c>
      <c r="S19" s="770">
        <f t="shared" si="1"/>
        <v>10.642755246276</v>
      </c>
    </row>
    <row r="20" spans="1:19" x14ac:dyDescent="0.25">
      <c r="A20" s="765">
        <v>1961</v>
      </c>
      <c r="B20" s="720">
        <v>1.381364</v>
      </c>
      <c r="C20" s="721">
        <v>4.0803659999999997</v>
      </c>
      <c r="Q20" s="739">
        <f>LARGE(A$19:A$103,2)</f>
        <v>2023</v>
      </c>
      <c r="R20" s="520">
        <f t="shared" si="0"/>
        <v>860.24326515400003</v>
      </c>
      <c r="S20" s="521">
        <f t="shared" si="1"/>
        <v>10.490027182776993</v>
      </c>
    </row>
    <row r="21" spans="1:19" ht="15.75" thickBot="1" x14ac:dyDescent="0.3">
      <c r="A21" s="765">
        <v>1962</v>
      </c>
      <c r="B21" s="462">
        <v>1.4537100000000001</v>
      </c>
      <c r="C21" s="463">
        <v>3.593019</v>
      </c>
      <c r="Q21" s="743">
        <f>LARGE(A$19:A$103,1)</f>
        <v>2024</v>
      </c>
      <c r="R21" s="771">
        <f t="shared" si="0"/>
        <v>866.56964041099991</v>
      </c>
      <c r="S21" s="772">
        <f t="shared" si="1"/>
        <v>10.589921713602264</v>
      </c>
    </row>
    <row r="22" spans="1:19" x14ac:dyDescent="0.25">
      <c r="A22" s="765">
        <v>1963</v>
      </c>
      <c r="B22" s="720">
        <v>1.35453</v>
      </c>
      <c r="C22" s="721">
        <v>4.3329839999999997</v>
      </c>
    </row>
    <row r="23" spans="1:19" x14ac:dyDescent="0.25">
      <c r="A23" s="765">
        <v>1964</v>
      </c>
      <c r="B23" s="462">
        <v>1.3795010000000001</v>
      </c>
      <c r="C23" s="463">
        <v>4.4646119999999998</v>
      </c>
    </row>
    <row r="24" spans="1:19" x14ac:dyDescent="0.25">
      <c r="A24" s="765">
        <v>1965</v>
      </c>
      <c r="B24" s="720">
        <v>2.2768980000000001</v>
      </c>
      <c r="C24" s="721">
        <v>4.5258060000000002</v>
      </c>
    </row>
    <row r="25" spans="1:19" x14ac:dyDescent="0.25">
      <c r="A25" s="765">
        <v>1966</v>
      </c>
      <c r="B25" s="462">
        <v>4.2331849999999998</v>
      </c>
      <c r="C25" s="463">
        <v>6.8346090000000004</v>
      </c>
    </row>
    <row r="26" spans="1:19" x14ac:dyDescent="0.25">
      <c r="A26" s="765">
        <v>1967</v>
      </c>
      <c r="B26" s="720">
        <v>10.13655</v>
      </c>
      <c r="C26" s="721">
        <v>7.0214290000000004</v>
      </c>
    </row>
    <row r="27" spans="1:19" x14ac:dyDescent="0.25">
      <c r="A27" s="765">
        <v>1968</v>
      </c>
      <c r="B27" s="462">
        <v>23.25123</v>
      </c>
      <c r="C27" s="463">
        <v>3.3736510000000002</v>
      </c>
    </row>
    <row r="28" spans="1:19" x14ac:dyDescent="0.25">
      <c r="A28" s="765">
        <v>1969</v>
      </c>
      <c r="B28" s="720">
        <v>25.077760000000001</v>
      </c>
      <c r="C28" s="721">
        <v>13.497769999999999</v>
      </c>
    </row>
    <row r="29" spans="1:19" x14ac:dyDescent="0.25">
      <c r="A29" s="765">
        <v>1970</v>
      </c>
      <c r="B29" s="462">
        <v>43.188070000000003</v>
      </c>
      <c r="C29" s="463">
        <v>8.0000599999999995</v>
      </c>
    </row>
    <row r="30" spans="1:19" x14ac:dyDescent="0.25">
      <c r="A30" s="765">
        <v>1971</v>
      </c>
      <c r="B30" s="720">
        <v>52.025660000000002</v>
      </c>
      <c r="C30" s="721">
        <v>10.037330000000001</v>
      </c>
    </row>
    <row r="31" spans="1:19" x14ac:dyDescent="0.25">
      <c r="A31" s="765">
        <v>1972</v>
      </c>
      <c r="B31" s="462">
        <v>56.121499999999997</v>
      </c>
      <c r="C31" s="463">
        <v>8.2794930000000004</v>
      </c>
    </row>
    <row r="32" spans="1:19" x14ac:dyDescent="0.25">
      <c r="A32" s="765">
        <v>1973</v>
      </c>
      <c r="B32" s="720">
        <v>75.896479999999997</v>
      </c>
      <c r="C32" s="721">
        <v>8.9315189999999998</v>
      </c>
    </row>
    <row r="33" spans="1:3" x14ac:dyDescent="0.25">
      <c r="A33" s="765">
        <v>1974</v>
      </c>
      <c r="B33" s="462">
        <v>87.000810000000001</v>
      </c>
      <c r="C33" s="463">
        <v>9.9491879999999995</v>
      </c>
    </row>
    <row r="34" spans="1:3" x14ac:dyDescent="0.25">
      <c r="A34" s="765">
        <v>1975</v>
      </c>
      <c r="B34" s="720">
        <v>85.190029999999993</v>
      </c>
      <c r="C34" s="721">
        <v>12.46097</v>
      </c>
    </row>
    <row r="35" spans="1:3" x14ac:dyDescent="0.25">
      <c r="A35" s="765">
        <v>1976</v>
      </c>
      <c r="B35" s="462">
        <v>85.572789999999998</v>
      </c>
      <c r="C35" s="463">
        <v>7.682334</v>
      </c>
    </row>
    <row r="36" spans="1:3" x14ac:dyDescent="0.25">
      <c r="A36" s="765">
        <v>1977</v>
      </c>
      <c r="B36" s="720">
        <v>83.517189999999999</v>
      </c>
      <c r="C36" s="721">
        <v>12.406219999999999</v>
      </c>
    </row>
    <row r="37" spans="1:3" x14ac:dyDescent="0.25">
      <c r="A37" s="765">
        <v>1978</v>
      </c>
      <c r="B37" s="462">
        <v>82.498580000000004</v>
      </c>
      <c r="C37" s="463">
        <v>10.635450000000001</v>
      </c>
    </row>
    <row r="38" spans="1:3" x14ac:dyDescent="0.25">
      <c r="A38" s="765">
        <v>1979</v>
      </c>
      <c r="B38" s="720">
        <v>85.171980000000005</v>
      </c>
      <c r="C38" s="721">
        <v>6.5450290000000004</v>
      </c>
    </row>
    <row r="39" spans="1:3" x14ac:dyDescent="0.25">
      <c r="A39" s="765">
        <v>1980</v>
      </c>
      <c r="B39" s="462">
        <v>84.971620000000001</v>
      </c>
      <c r="C39" s="463">
        <v>10.562340000000001</v>
      </c>
    </row>
    <row r="40" spans="1:3" x14ac:dyDescent="0.25">
      <c r="A40" s="765">
        <v>1981</v>
      </c>
      <c r="B40" s="720">
        <v>75.302639999999997</v>
      </c>
      <c r="C40" s="721">
        <v>9.358727</v>
      </c>
    </row>
    <row r="41" spans="1:3" x14ac:dyDescent="0.25">
      <c r="A41" s="765">
        <v>1982</v>
      </c>
      <c r="B41" s="462">
        <v>78.182389999999998</v>
      </c>
      <c r="C41" s="463">
        <v>9.5113850000000006</v>
      </c>
    </row>
    <row r="42" spans="1:3" x14ac:dyDescent="0.25">
      <c r="A42" s="765">
        <v>1983</v>
      </c>
      <c r="B42" s="720">
        <v>74.983540000000005</v>
      </c>
      <c r="C42" s="721">
        <v>6.0537559999999999</v>
      </c>
    </row>
    <row r="43" spans="1:3" x14ac:dyDescent="0.25">
      <c r="A43" s="765">
        <v>1984</v>
      </c>
      <c r="B43" s="462">
        <v>90.907129999999995</v>
      </c>
      <c r="C43" s="463">
        <v>4.13896</v>
      </c>
    </row>
    <row r="44" spans="1:3" x14ac:dyDescent="0.25">
      <c r="A44" s="765">
        <v>1985</v>
      </c>
      <c r="B44" s="720">
        <v>88.768079999999998</v>
      </c>
      <c r="C44" s="721">
        <v>8.7090270000000007</v>
      </c>
    </row>
    <row r="45" spans="1:3" x14ac:dyDescent="0.25">
      <c r="A45" s="765">
        <v>1986</v>
      </c>
      <c r="B45" s="462">
        <v>81.290940000000006</v>
      </c>
      <c r="C45" s="463">
        <v>1.2723880000000001</v>
      </c>
    </row>
    <row r="46" spans="1:3" x14ac:dyDescent="0.25">
      <c r="A46" s="765">
        <v>1987</v>
      </c>
      <c r="B46" s="720">
        <v>89.122739999999993</v>
      </c>
      <c r="C46" s="721">
        <v>1.25919</v>
      </c>
    </row>
    <row r="47" spans="1:3" x14ac:dyDescent="0.25">
      <c r="A47" s="765">
        <v>1988</v>
      </c>
      <c r="B47" s="462">
        <v>98.319090000000003</v>
      </c>
      <c r="C47" s="463">
        <v>1.6129899999999999</v>
      </c>
    </row>
    <row r="48" spans="1:3" x14ac:dyDescent="0.25">
      <c r="A48" s="765">
        <v>1989</v>
      </c>
      <c r="B48" s="720">
        <v>106</v>
      </c>
      <c r="C48" s="721">
        <v>4.5</v>
      </c>
    </row>
    <row r="49" spans="1:11" x14ac:dyDescent="0.25">
      <c r="A49" s="765">
        <v>1990</v>
      </c>
      <c r="B49" s="462">
        <v>105</v>
      </c>
      <c r="C49" s="463">
        <v>6.3490000000000002</v>
      </c>
    </row>
    <row r="50" spans="1:11" x14ac:dyDescent="0.25">
      <c r="A50" s="765">
        <v>1991</v>
      </c>
      <c r="B50" s="720">
        <v>113.687</v>
      </c>
      <c r="C50" s="721">
        <v>3.4470000000000001</v>
      </c>
    </row>
    <row r="51" spans="1:11" x14ac:dyDescent="0.25">
      <c r="A51" s="765">
        <v>1992</v>
      </c>
      <c r="B51" s="462">
        <v>108</v>
      </c>
      <c r="C51" s="463">
        <v>3.9369999999999998</v>
      </c>
    </row>
    <row r="52" spans="1:11" x14ac:dyDescent="0.25">
      <c r="A52" s="765">
        <v>1993</v>
      </c>
      <c r="B52" s="720">
        <v>116</v>
      </c>
      <c r="C52" s="721">
        <v>4.1459999999999999</v>
      </c>
    </row>
    <row r="53" spans="1:11" x14ac:dyDescent="0.25">
      <c r="A53" s="765">
        <v>1994</v>
      </c>
      <c r="B53" s="462">
        <v>124.172</v>
      </c>
      <c r="C53" s="463">
        <v>4.2309999999999999</v>
      </c>
    </row>
    <row r="54" spans="1:11" x14ac:dyDescent="0.25">
      <c r="A54" s="765">
        <v>1995</v>
      </c>
      <c r="B54" s="720">
        <v>135.9659</v>
      </c>
      <c r="C54" s="721">
        <v>6.9700949999999997</v>
      </c>
    </row>
    <row r="55" spans="1:11" x14ac:dyDescent="0.25">
      <c r="A55" s="765">
        <v>1996</v>
      </c>
      <c r="B55" s="462">
        <v>133.651298</v>
      </c>
      <c r="C55" s="463">
        <v>4.2309999999999901</v>
      </c>
    </row>
    <row r="56" spans="1:11" x14ac:dyDescent="0.25">
      <c r="A56" s="765">
        <v>1997</v>
      </c>
      <c r="B56" s="720">
        <v>151.718593</v>
      </c>
      <c r="C56" s="721">
        <v>6.05</v>
      </c>
      <c r="I56" s="64"/>
      <c r="J56" s="64"/>
      <c r="K56" s="64"/>
    </row>
    <row r="57" spans="1:11" x14ac:dyDescent="0.25">
      <c r="A57" s="765">
        <v>1998</v>
      </c>
      <c r="B57" s="462">
        <v>143.75200000000001</v>
      </c>
      <c r="C57" s="463">
        <v>9.49</v>
      </c>
      <c r="I57" s="64"/>
      <c r="J57" s="64"/>
      <c r="K57" s="64"/>
    </row>
    <row r="58" spans="1:11" x14ac:dyDescent="0.25">
      <c r="A58" s="765">
        <v>1999</v>
      </c>
      <c r="B58" s="720">
        <f>SUMIF('Iron Ore - Q&amp;V'!D$9:D$509, A58,'Iron Ore - Q&amp;V'!B$9:B$509)</f>
        <v>143.006</v>
      </c>
      <c r="C58" s="721">
        <v>8.5527019999999823</v>
      </c>
      <c r="I58" s="64"/>
      <c r="J58" s="64"/>
      <c r="K58" s="64"/>
    </row>
    <row r="59" spans="1:11" x14ac:dyDescent="0.25">
      <c r="A59" s="765">
        <v>2000</v>
      </c>
      <c r="B59" s="462">
        <f>SUMIF('Iron Ore - Q&amp;V'!D$9:D$509, A59,'Iron Ore - Q&amp;V'!B$9:B$509)</f>
        <v>158.86599999999999</v>
      </c>
      <c r="C59" s="463">
        <v>4.9779999999999998</v>
      </c>
      <c r="I59" s="773">
        <f>SUM(R21+S21)</f>
        <v>877.15956212460219</v>
      </c>
      <c r="J59" s="64"/>
      <c r="K59" s="113">
        <f>SUM(R21/I59)</f>
        <v>0.98792702927623333</v>
      </c>
    </row>
    <row r="60" spans="1:11" x14ac:dyDescent="0.25">
      <c r="A60" s="765">
        <v>2001</v>
      </c>
      <c r="B60" s="720">
        <f>SUMIF('Iron Ore - Q&amp;V'!D$9:D$509, A60,'Iron Ore - Q&amp;V'!B$9:B$509)</f>
        <v>166.01499999999999</v>
      </c>
      <c r="C60" s="721">
        <v>5.202</v>
      </c>
      <c r="E60" s="151"/>
      <c r="F60" s="774"/>
      <c r="G60" s="774"/>
      <c r="I60" s="64"/>
      <c r="J60" s="64"/>
      <c r="K60" s="64"/>
    </row>
    <row r="61" spans="1:11" x14ac:dyDescent="0.25">
      <c r="A61" s="765">
        <v>2002</v>
      </c>
      <c r="B61" s="462">
        <f>SUMIF('Iron Ore - Q&amp;V'!D$9:D$509, A61,'Iron Ore - Q&amp;V'!B$9:B$509)</f>
        <v>171.767</v>
      </c>
      <c r="C61" s="463">
        <v>5.202</v>
      </c>
      <c r="I61" s="64"/>
      <c r="J61" s="64"/>
      <c r="K61" s="64"/>
    </row>
    <row r="62" spans="1:11" x14ac:dyDescent="0.25">
      <c r="A62" s="765">
        <v>2003</v>
      </c>
      <c r="B62" s="720">
        <f>SUMIF('Iron Ore - Q&amp;V'!D$9:D$509, A62,'Iron Ore - Q&amp;V'!B$9:B$509)</f>
        <v>194.59400316</v>
      </c>
      <c r="C62" s="721">
        <v>5.7729999999999997</v>
      </c>
    </row>
    <row r="63" spans="1:11" x14ac:dyDescent="0.25">
      <c r="A63" s="765">
        <v>2004</v>
      </c>
      <c r="B63" s="462">
        <f>SUMIF('Iron Ore - Q&amp;V'!D$9:D$509, A63,'Iron Ore - Q&amp;V'!B$9:B$509)</f>
        <v>213.53162907000001</v>
      </c>
      <c r="C63" s="463">
        <v>5.6210000000000004</v>
      </c>
    </row>
    <row r="64" spans="1:11" x14ac:dyDescent="0.25">
      <c r="A64" s="765">
        <v>2005</v>
      </c>
      <c r="B64" s="720">
        <f>SUMIF('Iron Ore - Q&amp;V'!D$9:D$509, A64,'Iron Ore - Q&amp;V'!B$9:B$509)</f>
        <v>240.50167369000002</v>
      </c>
      <c r="C64" s="721">
        <v>5.508</v>
      </c>
    </row>
    <row r="65" spans="1:3" x14ac:dyDescent="0.25">
      <c r="A65" s="765">
        <v>2006</v>
      </c>
      <c r="B65" s="462">
        <f>SUMIF('Iron Ore - Q&amp;V'!D$9:D$509, A65,'Iron Ore - Q&amp;V'!B$9:B$509)</f>
        <v>250.325766362</v>
      </c>
      <c r="C65" s="463">
        <v>5.5949999999999998</v>
      </c>
    </row>
    <row r="66" spans="1:3" x14ac:dyDescent="0.25">
      <c r="A66" s="765">
        <v>2007</v>
      </c>
      <c r="B66" s="720">
        <f>SUMIF('Iron Ore - Q&amp;V'!D$9:D$509, A66,'Iron Ore - Q&amp;V'!B$9:B$509)</f>
        <v>264.44915205099994</v>
      </c>
      <c r="C66" s="721">
        <v>9.2279999999999998</v>
      </c>
    </row>
    <row r="67" spans="1:3" x14ac:dyDescent="0.25">
      <c r="A67" s="765">
        <v>2008</v>
      </c>
      <c r="B67" s="462">
        <f>SUMIF('Iron Ore - Q&amp;V'!D$9:D$509, A67,'Iron Ore - Q&amp;V'!B$9:B$509)</f>
        <v>305.88447268200002</v>
      </c>
      <c r="C67" s="463">
        <v>11.244000000000002</v>
      </c>
    </row>
    <row r="68" spans="1:3" x14ac:dyDescent="0.25">
      <c r="A68" s="765">
        <v>2009</v>
      </c>
      <c r="B68" s="720">
        <f>SUMIF('Iron Ore - Q&amp;V'!D$9:D$509, A68,'Iron Ore - Q&amp;V'!B$9:B$509)</f>
        <v>356.06964630899995</v>
      </c>
      <c r="C68" s="721">
        <v>12.558</v>
      </c>
    </row>
    <row r="69" spans="1:3" x14ac:dyDescent="0.25">
      <c r="A69" s="765">
        <v>2010</v>
      </c>
      <c r="B69" s="462">
        <f>SUMIF('Iron Ore - Q&amp;V'!D$9:D$509, A69,'Iron Ore - Q&amp;V'!B$9:B$509)</f>
        <v>393.85115706600004</v>
      </c>
      <c r="C69" s="463">
        <v>13.754</v>
      </c>
    </row>
    <row r="70" spans="1:3" x14ac:dyDescent="0.25">
      <c r="A70" s="765">
        <v>2011</v>
      </c>
      <c r="B70" s="720">
        <f>SUMIF('Iron Ore - Q&amp;V'!D$9:D$509, A70,'Iron Ore - Q&amp;V'!B$9:B$509)</f>
        <v>426.67287969500001</v>
      </c>
      <c r="C70" s="721">
        <v>14.381</v>
      </c>
    </row>
    <row r="71" spans="1:3" x14ac:dyDescent="0.25">
      <c r="A71" s="765">
        <v>2012</v>
      </c>
      <c r="B71" s="462">
        <f>SUMIF('Iron Ore - Q&amp;V'!D$9:D$509, A71,'Iron Ore - Q&amp;V'!B$9:B$509)</f>
        <v>478.32621689000001</v>
      </c>
      <c r="C71" s="463">
        <v>14.849</v>
      </c>
    </row>
    <row r="72" spans="1:3" x14ac:dyDescent="0.25">
      <c r="A72" s="765">
        <v>2013</v>
      </c>
      <c r="B72" s="720">
        <f>SUMIF('Iron Ore - Q&amp;V'!D$9:D$509, A72,'Iron Ore - Q&amp;V'!B$9:B$509)</f>
        <v>544.937833372</v>
      </c>
      <c r="C72" s="721">
        <v>16.393000000000001</v>
      </c>
    </row>
    <row r="73" spans="1:3" x14ac:dyDescent="0.25">
      <c r="A73" s="765">
        <v>2014</v>
      </c>
      <c r="B73" s="462">
        <f>SUMIF('Iron Ore - Q&amp;V'!D$9:D$509, A73,'Iron Ore - Q&amp;V'!B$9:B$509)</f>
        <v>686.23315313900002</v>
      </c>
      <c r="C73" s="463">
        <v>15.496</v>
      </c>
    </row>
    <row r="74" spans="1:3" x14ac:dyDescent="0.25">
      <c r="A74" s="765">
        <v>2015</v>
      </c>
      <c r="B74" s="720">
        <f>SUMIF('Iron Ore - Q&amp;V'!D$9:D$509, A74,'Iron Ore - Q&amp;V'!B$9:B$509)</f>
        <v>742.40984031599999</v>
      </c>
      <c r="C74" s="721">
        <v>12.045</v>
      </c>
    </row>
    <row r="75" spans="1:3" x14ac:dyDescent="0.25">
      <c r="A75" s="765">
        <v>2016</v>
      </c>
      <c r="B75" s="635">
        <f>SUMIF('Iron Ore - Q&amp;V'!D$9:D$509, A75,'Iron Ore - Q&amp;V'!B$9:B$509)</f>
        <v>795.71547145499994</v>
      </c>
      <c r="C75" s="638">
        <v>11.536</v>
      </c>
    </row>
    <row r="76" spans="1:3" x14ac:dyDescent="0.25">
      <c r="A76" s="765">
        <v>2017</v>
      </c>
      <c r="B76" s="720">
        <f>SUMIF('Iron Ore - Q&amp;V'!D$9:D$509, A76,'Iron Ore - Q&amp;V'!B$9:B$509)</f>
        <v>814.12094474599985</v>
      </c>
      <c r="C76" s="721">
        <v>8.06</v>
      </c>
    </row>
    <row r="77" spans="1:3" x14ac:dyDescent="0.25">
      <c r="A77" s="765">
        <v>2018</v>
      </c>
      <c r="B77" s="635">
        <f>SUMIF('Iron Ore - Q&amp;V'!D$9:D$509, A77,'Iron Ore - Q&amp;V'!B$9:B$509)</f>
        <v>813.57781896699998</v>
      </c>
      <c r="C77" s="638">
        <v>7.3959999999999999</v>
      </c>
    </row>
    <row r="78" spans="1:3" x14ac:dyDescent="0.25">
      <c r="A78" s="765">
        <v>2019</v>
      </c>
      <c r="B78" s="720">
        <f>SUMIF('Iron Ore - Q&amp;V'!D$9:D$509, A78,'Iron Ore - Q&amp;V'!B$9:B$509)</f>
        <v>811.78788645099996</v>
      </c>
      <c r="C78" s="747">
        <v>8.0011721213439166</v>
      </c>
    </row>
    <row r="79" spans="1:3" x14ac:dyDescent="0.25">
      <c r="A79" s="765">
        <v>2020</v>
      </c>
      <c r="B79" s="462">
        <f>SUMIF('Iron Ore - Q&amp;V'!D$9:D$509, A79,'Iron Ore - Q&amp;V'!B$9:B$509)</f>
        <v>847.132426775</v>
      </c>
      <c r="C79" s="456">
        <v>8.3033040000000007</v>
      </c>
    </row>
    <row r="80" spans="1:3" x14ac:dyDescent="0.25">
      <c r="A80" s="765">
        <v>2021</v>
      </c>
      <c r="B80" s="720">
        <f>SUMIF('Iron Ore - Q&amp;V'!D$9:D$509, A80,'Iron Ore - Q&amp;V'!B$9:B$509)</f>
        <v>838.29191462300003</v>
      </c>
      <c r="C80" s="747">
        <v>11.074134000000001</v>
      </c>
    </row>
    <row r="81" spans="1:3" x14ac:dyDescent="0.25">
      <c r="A81" s="765">
        <v>2022</v>
      </c>
      <c r="B81" s="462">
        <f>SUMIF('Iron Ore - Q&amp;V'!D$9:D$509, A81,'Iron Ore - Q&amp;V'!B$9:B$509)</f>
        <v>855.78732936100016</v>
      </c>
      <c r="C81" s="456">
        <v>10.642755246276</v>
      </c>
    </row>
    <row r="82" spans="1:3" x14ac:dyDescent="0.25">
      <c r="A82" s="765">
        <v>2023</v>
      </c>
      <c r="B82" s="720">
        <f>SUMIF('Iron Ore - Q&amp;V'!D$9:D$509, A82,'Iron Ore - Q&amp;V'!B$9:B$509)</f>
        <v>860.24326515400003</v>
      </c>
      <c r="C82" s="747">
        <v>10.490027182776993</v>
      </c>
    </row>
    <row r="83" spans="1:3" ht="15.75" thickBot="1" x14ac:dyDescent="0.3">
      <c r="A83" s="775">
        <v>2024</v>
      </c>
      <c r="B83" s="467">
        <f>SUMIF('Iron Ore - Q&amp;V'!D$9:D$509, A83,'Iron Ore - Q&amp;V'!B$9:B$509)</f>
        <v>866.56964041099991</v>
      </c>
      <c r="C83" s="931">
        <v>10.589921713602264</v>
      </c>
    </row>
  </sheetData>
  <mergeCells count="3">
    <mergeCell ref="A7:C7"/>
    <mergeCell ref="Q9:S9"/>
    <mergeCell ref="Q10:S10"/>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8ECE3-955F-4866-8144-C6ED5FA57CC7}">
  <sheetPr>
    <tabColor rgb="FFFFB871"/>
  </sheetPr>
  <dimension ref="A1:W71"/>
  <sheetViews>
    <sheetView showGridLines="0" zoomScale="85" zoomScaleNormal="85" workbookViewId="0">
      <pane xSplit="1" ySplit="10" topLeftCell="B11" activePane="bottomRight" state="frozen"/>
      <selection pane="topRight" activeCell="B1" sqref="B1"/>
      <selection pane="bottomLeft" activeCell="A11" sqref="A11"/>
      <selection pane="bottomRight" activeCell="A2" sqref="A2"/>
    </sheetView>
  </sheetViews>
  <sheetFormatPr defaultColWidth="9.140625" defaultRowHeight="23.25" x14ac:dyDescent="0.35"/>
  <cols>
    <col min="1" max="1" width="12.7109375" customWidth="1"/>
    <col min="2" max="3" width="20.7109375" customWidth="1"/>
    <col min="4" max="4" width="8.7109375" customWidth="1"/>
    <col min="5" max="5" width="12.7109375" customWidth="1"/>
    <col min="6" max="7" width="20.7109375" customWidth="1"/>
    <col min="8" max="8" width="8.7109375" style="2" customWidth="1"/>
    <col min="9" max="10" width="9.140625" customWidth="1"/>
    <col min="20" max="22" width="9.140625" style="142"/>
  </cols>
  <sheetData>
    <row r="1" spans="1:23" ht="15" customHeight="1" x14ac:dyDescent="0.35">
      <c r="E1" s="776"/>
      <c r="F1" s="776"/>
      <c r="G1" s="776"/>
      <c r="W1" s="58" t="s">
        <v>551</v>
      </c>
    </row>
    <row r="2" spans="1:23" ht="15" customHeight="1" x14ac:dyDescent="0.35">
      <c r="E2" s="776"/>
      <c r="F2" s="776"/>
      <c r="G2" s="776"/>
      <c r="W2" s="58" t="s">
        <v>552</v>
      </c>
    </row>
    <row r="3" spans="1:23" ht="15" customHeight="1" x14ac:dyDescent="0.35">
      <c r="E3" s="776"/>
      <c r="F3" s="776"/>
      <c r="G3" s="776"/>
      <c r="W3" s="58"/>
    </row>
    <row r="4" spans="1:23" ht="15" customHeight="1" x14ac:dyDescent="0.35">
      <c r="E4" s="776"/>
      <c r="F4" s="776"/>
      <c r="G4" s="776"/>
    </row>
    <row r="5" spans="1:23" ht="15" customHeight="1" x14ac:dyDescent="0.35">
      <c r="E5" s="776"/>
      <c r="F5" s="776"/>
      <c r="G5" s="776"/>
    </row>
    <row r="6" spans="1:23" ht="15" customHeight="1" x14ac:dyDescent="0.35">
      <c r="E6" s="776"/>
      <c r="F6" s="776"/>
      <c r="G6" s="776"/>
    </row>
    <row r="7" spans="1:23" ht="15" customHeight="1" x14ac:dyDescent="0.35">
      <c r="A7" s="1393" t="s">
        <v>568</v>
      </c>
      <c r="B7" s="1393"/>
      <c r="C7" s="1393"/>
      <c r="D7" s="137"/>
      <c r="E7" s="1407" t="s">
        <v>553</v>
      </c>
      <c r="F7" s="1407"/>
      <c r="G7" s="1407"/>
      <c r="H7" s="422"/>
    </row>
    <row r="8" spans="1:23" ht="15" customHeight="1" thickBot="1" x14ac:dyDescent="0.4">
      <c r="A8" s="1395" t="s">
        <v>569</v>
      </c>
      <c r="B8" s="1395"/>
      <c r="C8" s="1395"/>
      <c r="D8" s="137"/>
      <c r="E8" s="1407" t="str">
        <f>E23</f>
        <v>Historic Calendar Year</v>
      </c>
      <c r="F8" s="1407"/>
      <c r="G8" s="1407"/>
      <c r="H8" s="422"/>
    </row>
    <row r="9" spans="1:23" ht="15" customHeight="1" x14ac:dyDescent="0.35">
      <c r="A9" s="777"/>
      <c r="B9" s="778" t="s">
        <v>221</v>
      </c>
      <c r="C9" s="779" t="s">
        <v>175</v>
      </c>
      <c r="D9" s="487"/>
      <c r="E9" s="780"/>
      <c r="F9" s="778" t="s">
        <v>221</v>
      </c>
      <c r="G9" s="781" t="s">
        <v>175</v>
      </c>
    </row>
    <row r="10" spans="1:23" ht="15" customHeight="1" x14ac:dyDescent="0.35">
      <c r="A10" s="782" t="s">
        <v>583</v>
      </c>
      <c r="B10" s="783" t="s">
        <v>258</v>
      </c>
      <c r="C10" s="784" t="s">
        <v>259</v>
      </c>
      <c r="D10" s="487"/>
      <c r="E10" s="782" t="s">
        <v>272</v>
      </c>
      <c r="F10" s="783" t="s">
        <v>258</v>
      </c>
      <c r="G10" s="784" t="s">
        <v>259</v>
      </c>
    </row>
    <row r="11" spans="1:23" ht="15" customHeight="1" x14ac:dyDescent="0.35">
      <c r="A11" s="785">
        <f>LARGE('Commodity Prices'!C$161:C$904,61)</f>
        <v>44166</v>
      </c>
      <c r="B11" s="786">
        <f>SUMIF('Commodity Prices'!$C$161:$C$904,$A11,'Commodity Prices'!Y$161:Y$904)</f>
        <v>7073.6607804063178</v>
      </c>
      <c r="C11" s="787">
        <f>SUMIF('Commodity Prices'!$C$161:$C$904,$A11,'Commodity Prices'!AB$161:AB$904)</f>
        <v>527.54638130817455</v>
      </c>
      <c r="D11" s="193"/>
      <c r="E11" s="788">
        <f>IF(E8="Historic Calendar Year", 2016, "2016-17")</f>
        <v>2016</v>
      </c>
      <c r="F11" s="1219">
        <f>IF($E$8="Historic Calendar Year",
 IF(COUNTIFS('Commodity Prices'!$Y:$Y, "&gt;0", 'Commodity Prices'!$A:$A, $E11)=12, AVERAGEIFS('Commodity Prices'!$Y:$Y, 'Commodity Prices'!$A:$A, $E11), NA()),
 IF(COUNTIFS('Commodity Prices'!$Y:$Y, "&gt;0", 'Commodity Prices'!$B:$B, $E11)=12, AVERAGEIFS('Commodity Prices'!$Y:$Y, 'Commodity Prices'!$B:$B, $E11), NA())
)</f>
        <v>24756.642675188337</v>
      </c>
      <c r="G11" s="1220"/>
    </row>
    <row r="12" spans="1:23" ht="15" customHeight="1" x14ac:dyDescent="0.35">
      <c r="A12" s="785">
        <f>LARGE('Commodity Prices'!C$161:C$904,60)</f>
        <v>44197</v>
      </c>
      <c r="B12" s="789">
        <f>SUMIF('Commodity Prices'!$C$161:$C$904,$A12,'Commodity Prices'!Y$161:Y$904)</f>
        <v>7983.8371568955763</v>
      </c>
      <c r="C12" s="790">
        <f>SUMIF('Commodity Prices'!$C$161:$C$904,$A12,'Commodity Prices'!AB$161:AB$904)</f>
        <v>540.71775517572598</v>
      </c>
      <c r="D12" s="193"/>
      <c r="E12" s="788">
        <f>IF($E$8="Historic Calendar Year", E11+1, LEFT(E11, 4)+1 &amp; "-" &amp; RIGHT( LEFT(E11, 4)+2, 2))</f>
        <v>2017</v>
      </c>
      <c r="F12" s="789">
        <f>IF($E$8="Historic Calendar Year",
 IF(COUNTIFS('Commodity Prices'!$Y:$Y, "&gt;0", 'Commodity Prices'!$A:$A, $E12)=12, AVERAGEIFS('Commodity Prices'!$Y:$Y, 'Commodity Prices'!$A:$A, $E12), NA()),
 IF(COUNTIFS('Commodity Prices'!$Y:$Y, "&gt;0", 'Commodity Prices'!$B:$B, $E12)=12, AVERAGEIFS('Commodity Prices'!$Y:$Y, 'Commodity Prices'!$B:$B, $E12), NA())
)</f>
        <v>22008.191697714054</v>
      </c>
      <c r="G12" s="790"/>
    </row>
    <row r="13" spans="1:23" ht="15" customHeight="1" x14ac:dyDescent="0.35">
      <c r="A13" s="785">
        <f>LARGE('Commodity Prices'!C$161:C$904,59)</f>
        <v>44228</v>
      </c>
      <c r="B13" s="786">
        <f>SUMIF('Commodity Prices'!$C$161:$C$904,$A13,'Commodity Prices'!Y$161:Y$904)</f>
        <v>9250.6835674283484</v>
      </c>
      <c r="C13" s="787">
        <f>SUMIF('Commodity Prices'!$C$161:$C$904,$A13,'Commodity Prices'!AB$161:AB$904)</f>
        <v>559.67141871546391</v>
      </c>
      <c r="D13" s="193"/>
      <c r="E13" s="788">
        <f t="shared" ref="E13:E20" si="0">IF($E$8="Historic Calendar Year", E12+1, LEFT(E12, 4)+1 &amp; "-" &amp; RIGHT( LEFT(E12, 4)+2, 2))</f>
        <v>2018</v>
      </c>
      <c r="F13" s="1219">
        <f>IF($E$8="Historic Calendar Year",
 IF(COUNTIFS('Commodity Prices'!$Y:$Y, "&gt;0", 'Commodity Prices'!$A:$A, $E13)=12, AVERAGEIFS('Commodity Prices'!$Y:$Y, 'Commodity Prices'!$A:$A, $E13), NA()),
 IF(COUNTIFS('Commodity Prices'!$Y:$Y, "&gt;0", 'Commodity Prices'!$B:$B, $E13)=12, AVERAGEIFS('Commodity Prices'!$Y:$Y, 'Commodity Prices'!$B:$B, $E13), NA())
)</f>
        <v>20805.067393201785</v>
      </c>
      <c r="G13" s="1220">
        <f>IF($E$8="Historic Calendar Year",
 IF(COUNTIFS('Commodity Prices'!$AB:$AB, "&gt;0", 'Commodity Prices'!$A:$A, $E13)=12, AVERAGEIFS('Commodity Prices'!$AB:$AB, 'Commodity Prices'!$A:$A, $E13), NA()),
 IF(COUNTIFS('Commodity Prices'!$AB:$AB, "&gt;0", 'Commodity Prices'!$B:$B, $E13)=12, AVERAGEIFS('Commodity Prices'!$AB:$AB, 'Commodity Prices'!$B:$B, $E13), NA())
)</f>
        <v>1161.2748501841718</v>
      </c>
    </row>
    <row r="14" spans="1:23" ht="15" customHeight="1" x14ac:dyDescent="0.35">
      <c r="A14" s="785">
        <f>LARGE('Commodity Prices'!C$161:C$904,58)</f>
        <v>44256</v>
      </c>
      <c r="B14" s="789">
        <f>SUMIF('Commodity Prices'!$C$161:$C$904,$A14,'Commodity Prices'!Y$161:Y$904)</f>
        <v>10499.060123891291</v>
      </c>
      <c r="C14" s="790">
        <f>SUMIF('Commodity Prices'!$C$161:$C$904,$A14,'Commodity Prices'!AB$161:AB$904)</f>
        <v>626.2234351476468</v>
      </c>
      <c r="D14" s="193"/>
      <c r="E14" s="788">
        <f t="shared" si="0"/>
        <v>2019</v>
      </c>
      <c r="F14" s="789">
        <f>IF($E$8="Historic Calendar Year",
 IF(COUNTIFS('Commodity Prices'!$Y:$Y, "&gt;0", 'Commodity Prices'!$A:$A, $E14)=12, AVERAGEIFS('Commodity Prices'!$Y:$Y, 'Commodity Prices'!$A:$A, $E14), NA()),
 IF(COUNTIFS('Commodity Prices'!$Y:$Y, "&gt;0", 'Commodity Prices'!$B:$B, $E14)=12, AVERAGEIFS('Commodity Prices'!$Y:$Y, 'Commodity Prices'!$B:$B, $E14), NA())
)</f>
        <v>11807.37466021342</v>
      </c>
      <c r="G14" s="790">
        <f>IF($E$8="Historic Calendar Year",
 IF(COUNTIFS('Commodity Prices'!$AB:$AB, "&gt;0", 'Commodity Prices'!$A:$A, $E14)=12, AVERAGEIFS('Commodity Prices'!$AB:$AB, 'Commodity Prices'!$A:$A, $E14), NA()),
 IF(COUNTIFS('Commodity Prices'!$AB:$AB, "&gt;0", 'Commodity Prices'!$B:$B, $E14)=12, AVERAGEIFS('Commodity Prices'!$AB:$AB, 'Commodity Prices'!$B:$B, $E14), NA())
)</f>
        <v>882.85059201799538</v>
      </c>
    </row>
    <row r="15" spans="1:23" ht="15" customHeight="1" x14ac:dyDescent="0.35">
      <c r="A15" s="785">
        <f>LARGE('Commodity Prices'!C$161:C$904,57)</f>
        <v>44287</v>
      </c>
      <c r="B15" s="786">
        <f>SUMIF('Commodity Prices'!$C$161:$C$904,$A15,'Commodity Prices'!Y$161:Y$904)</f>
        <v>11785.33560363267</v>
      </c>
      <c r="C15" s="787">
        <f>SUMIF('Commodity Prices'!$C$161:$C$904,$A15,'Commodity Prices'!AB$161:AB$904)</f>
        <v>990.41969026261472</v>
      </c>
      <c r="D15" s="193"/>
      <c r="E15" s="788">
        <f t="shared" si="0"/>
        <v>2020</v>
      </c>
      <c r="F15" s="1219">
        <f>IF($E$8="Historic Calendar Year",
 IF(COUNTIFS('Commodity Prices'!$Y:$Y, "&gt;0", 'Commodity Prices'!$A:$A, $E15)=12, AVERAGEIFS('Commodity Prices'!$Y:$Y, 'Commodity Prices'!$A:$A, $E15), NA()),
 IF(COUNTIFS('Commodity Prices'!$Y:$Y, "&gt;0", 'Commodity Prices'!$B:$B, $E15)=12, AVERAGEIFS('Commodity Prices'!$Y:$Y, 'Commodity Prices'!$B:$B, $E15), NA())
)</f>
        <v>7298.5137713475133</v>
      </c>
      <c r="G15" s="1220">
        <f>IF($E$8="Historic Calendar Year",
 IF(COUNTIFS('Commodity Prices'!$AB:$AB, "&gt;0", 'Commodity Prices'!$A:$A, $E15)=12, AVERAGEIFS('Commodity Prices'!$AB:$AB, 'Commodity Prices'!$A:$A, $E15), NA()),
 IF(COUNTIFS('Commodity Prices'!$AB:$AB, "&gt;0", 'Commodity Prices'!$B:$B, $E15)=12, AVERAGEIFS('Commodity Prices'!$AB:$AB, 'Commodity Prices'!$B:$B, $E15), NA())
)</f>
        <v>626.47649672021919</v>
      </c>
    </row>
    <row r="16" spans="1:23" ht="15" customHeight="1" x14ac:dyDescent="0.35">
      <c r="A16" s="785">
        <f>LARGE('Commodity Prices'!C$161:C$904,56)</f>
        <v>44317</v>
      </c>
      <c r="B16" s="789">
        <f>SUMIF('Commodity Prices'!$C$161:$C$904,$A16,'Commodity Prices'!Y$161:Y$904)</f>
        <v>13249.57583026559</v>
      </c>
      <c r="C16" s="790">
        <f>SUMIF('Commodity Prices'!$C$161:$C$904,$A16,'Commodity Prices'!AB$161:AB$904)</f>
        <v>818.02415494513571</v>
      </c>
      <c r="D16" s="193"/>
      <c r="E16" s="788">
        <f t="shared" si="0"/>
        <v>2021</v>
      </c>
      <c r="F16" s="789">
        <f>IF($E$8="Historic Calendar Year",
 IF(COUNTIFS('Commodity Prices'!$Y:$Y, "&gt;0", 'Commodity Prices'!$A:$A, $E16)=12, AVERAGEIFS('Commodity Prices'!$Y:$Y, 'Commodity Prices'!$A:$A, $E16), NA()),
 IF(COUNTIFS('Commodity Prices'!$Y:$Y, "&gt;0", 'Commodity Prices'!$B:$B, $E16)=12, AVERAGEIFS('Commodity Prices'!$Y:$Y, 'Commodity Prices'!$B:$B, $E16), NA())
)</f>
        <v>17344.021522889703</v>
      </c>
      <c r="G16" s="790">
        <f>IF($E$8="Historic Calendar Year",
 IF(COUNTIFS('Commodity Prices'!$AB:$AB, "&gt;0", 'Commodity Prices'!$A:$A, $E16)=12, AVERAGEIFS('Commodity Prices'!$AB:$AB, 'Commodity Prices'!$A:$A, $E16), NA()),
 IF(COUNTIFS('Commodity Prices'!$AB:$AB, "&gt;0", 'Commodity Prices'!$B:$B, $E16)=12, AVERAGEIFS('Commodity Prices'!$AB:$AB, 'Commodity Prices'!$B:$B, $E16), NA())
)</f>
        <v>1294.9263687976193</v>
      </c>
    </row>
    <row r="17" spans="1:21" ht="15" customHeight="1" x14ac:dyDescent="0.35">
      <c r="A17" s="785">
        <f>LARGE('Commodity Prices'!C$161:C$904,56)</f>
        <v>44317</v>
      </c>
      <c r="B17" s="786">
        <f>SUMIF('Commodity Prices'!$C$161:$C$904,$A17,'Commodity Prices'!Y$161:Y$904)</f>
        <v>13249.57583026559</v>
      </c>
      <c r="C17" s="787">
        <f>SUMIF('Commodity Prices'!$C$161:$C$904,$A17,'Commodity Prices'!AB$161:AB$904)</f>
        <v>818.02415494513571</v>
      </c>
      <c r="D17" s="193"/>
      <c r="E17" s="788">
        <f t="shared" si="0"/>
        <v>2022</v>
      </c>
      <c r="F17" s="1219">
        <f>IF($E$8="Historic Calendar Year",
 IF(COUNTIFS('Commodity Prices'!$Y:$Y, "&gt;0", 'Commodity Prices'!$A:$A, $E17)=12, AVERAGEIFS('Commodity Prices'!$Y:$Y, 'Commodity Prices'!$A:$A, $E17), NA()),
 IF(COUNTIFS('Commodity Prices'!$Y:$Y, "&gt;0", 'Commodity Prices'!$B:$B, $E17)=12, AVERAGEIFS('Commodity Prices'!$Y:$Y, 'Commodity Prices'!$B:$B, $E17), NA())
)</f>
        <v>69010.922039641751</v>
      </c>
      <c r="G17" s="1220">
        <f>IF($E$8="Historic Calendar Year",
 IF(COUNTIFS('Commodity Prices'!$AB:$AB, "&gt;0", 'Commodity Prices'!$A:$A, $E17)=12, AVERAGEIFS('Commodity Prices'!$AB:$AB, 'Commodity Prices'!$A:$A, $E17), NA()),
 IF(COUNTIFS('Commodity Prices'!$AB:$AB, "&gt;0", 'Commodity Prices'!$B:$B, $E17)=12, AVERAGEIFS('Commodity Prices'!$AB:$AB, 'Commodity Prices'!$B:$B, $E17), NA())
)</f>
        <v>6361.5047295008289</v>
      </c>
    </row>
    <row r="18" spans="1:21" ht="15" customHeight="1" x14ac:dyDescent="0.35">
      <c r="A18" s="785">
        <f>LARGE('Commodity Prices'!C$161:C$904,54)</f>
        <v>44378</v>
      </c>
      <c r="B18" s="789">
        <f>SUMIF('Commodity Prices'!$C$161:$C$904,$A18,'Commodity Prices'!Y$161:Y$904)</f>
        <v>14508.818445033876</v>
      </c>
      <c r="C18" s="790">
        <f>SUMIF('Commodity Prices'!$C$161:$C$904,$A18,'Commodity Prices'!AB$161:AB$904)</f>
        <v>949.52401359086593</v>
      </c>
      <c r="D18" s="193"/>
      <c r="E18" s="788">
        <f t="shared" si="0"/>
        <v>2023</v>
      </c>
      <c r="F18" s="789">
        <f>IF($E$8="Historic Calendar Year",
 IF(COUNTIFS('Commodity Prices'!$Y:$Y, "&gt;0", 'Commodity Prices'!$A:$A, $E18)=12, AVERAGEIFS('Commodity Prices'!$Y:$Y, 'Commodity Prices'!$A:$A, $E18), NA()),
 IF(COUNTIFS('Commodity Prices'!$Y:$Y, "&gt;0", 'Commodity Prices'!$B:$B, $E18)=12, AVERAGEIFS('Commodity Prices'!$Y:$Y, 'Commodity Prices'!$B:$B, $E18), NA())
)</f>
        <v>39079.229066439708</v>
      </c>
      <c r="G18" s="790">
        <f>IF($E$8="Historic Calendar Year",
 IF(COUNTIFS('Commodity Prices'!$AB:$AB, "&gt;0", 'Commodity Prices'!$A:$A, $E18)=12, AVERAGEIFS('Commodity Prices'!$AB:$AB, 'Commodity Prices'!$A:$A, $E18), NA()),
 IF(COUNTIFS('Commodity Prices'!$AB:$AB, "&gt;0", 'Commodity Prices'!$B:$B, $E18)=12, AVERAGEIFS('Commodity Prices'!$AB:$AB, 'Commodity Prices'!$B:$B, $E18), NA())
)</f>
        <v>5568.7256793504785</v>
      </c>
    </row>
    <row r="19" spans="1:21" ht="15" customHeight="1" x14ac:dyDescent="0.35">
      <c r="A19" s="785">
        <f>LARGE('Commodity Prices'!C$161:C$904,53)</f>
        <v>44409</v>
      </c>
      <c r="B19" s="786">
        <f>SUMIF('Commodity Prices'!$C$161:$C$904,$A19,'Commodity Prices'!Y$161:Y$904)</f>
        <v>16785.068307583409</v>
      </c>
      <c r="C19" s="787">
        <f>SUMIF('Commodity Prices'!$C$161:$C$904,$A19,'Commodity Prices'!AB$161:AB$904)</f>
        <v>1184.1683026891644</v>
      </c>
      <c r="D19" s="193"/>
      <c r="E19" s="788">
        <f t="shared" si="0"/>
        <v>2024</v>
      </c>
      <c r="F19" s="1217">
        <f>IF($E$8="Historic Calendar Year",
 IF(COUNTIFS('Commodity Prices'!$Y:$Y, "&gt;0", 'Commodity Prices'!$A:$A, $E19)=12, AVERAGEIFS('Commodity Prices'!$Y:$Y, 'Commodity Prices'!$A:$A, $E19), NA()),
 IF(COUNTIFS('Commodity Prices'!$Y:$Y, "&gt;0", 'Commodity Prices'!$B:$B, $E19)=12, AVERAGEIFS('Commodity Prices'!$Y:$Y, 'Commodity Prices'!$B:$B, $E19), NA())
)</f>
        <v>11500.242235636879</v>
      </c>
      <c r="G19" s="1218">
        <f>IF($E$8="Historic Calendar Year",
 IF(COUNTIFS('Commodity Prices'!$AB:$AB, "&gt;0", 'Commodity Prices'!$A:$A, $E19)=12, AVERAGEIFS('Commodity Prices'!$AB:$AB, 'Commodity Prices'!$A:$A, $E19), NA()),
 IF(COUNTIFS('Commodity Prices'!$AB:$AB, "&gt;0", 'Commodity Prices'!$B:$B, $E19)=12, AVERAGEIFS('Commodity Prices'!$AB:$AB, 'Commodity Prices'!$B:$B, $E19), NA())
)</f>
        <v>1469.8541969541045</v>
      </c>
    </row>
    <row r="20" spans="1:21" ht="15" customHeight="1" thickBot="1" x14ac:dyDescent="0.4">
      <c r="A20" s="785">
        <f>LARGE('Commodity Prices'!C$161:C$904,52)</f>
        <v>44440</v>
      </c>
      <c r="B20" s="789">
        <f>SUMIF('Commodity Prices'!$C$161:$C$904,$A20,'Commodity Prices'!Y$161:Y$904)</f>
        <v>22963.317489067074</v>
      </c>
      <c r="C20" s="790">
        <f>SUMIF('Commodity Prices'!$C$161:$C$904,$A20,'Commodity Prices'!AB$161:AB$904)</f>
        <v>1356.6291088555733</v>
      </c>
      <c r="D20" s="193"/>
      <c r="E20" s="791">
        <f t="shared" si="0"/>
        <v>2025</v>
      </c>
      <c r="F20" s="1215">
        <f>IF($E$8="Historic Calendar Year",
 IF(COUNTIFS('Commodity Prices'!$Y:$Y, "&gt;0", 'Commodity Prices'!$A:$A, $E20)=12, AVERAGEIFS('Commodity Prices'!$Y:$Y, 'Commodity Prices'!$A:$A, $E20), NA()),
 IF(COUNTIFS('Commodity Prices'!$Y:$Y, "&gt;0", 'Commodity Prices'!$B:$B, $E20)=12, AVERAGEIFS('Commodity Prices'!$Y:$Y, 'Commodity Prices'!$B:$B, $E20), NA())
)</f>
        <v>9890.620358778051</v>
      </c>
      <c r="G20" s="1216">
        <f>IF($E$8="Historic Calendar Year",
 IF(COUNTIFS('Commodity Prices'!$AB:$AB, "&gt;0", 'Commodity Prices'!$A:$A, $E20)=12, AVERAGEIFS('Commodity Prices'!$AB:$AB, 'Commodity Prices'!$A:$A, $E20), NA()),
 IF(COUNTIFS('Commodity Prices'!$AB:$AB, "&gt;0", 'Commodity Prices'!$B:$B, $E20)=12, AVERAGEIFS('Commodity Prices'!$AB:$AB, 'Commodity Prices'!$B:$B, $E20), NA())
)</f>
        <v>1299.6268314828635</v>
      </c>
      <c r="L20" t="str">
        <f>E7&amp;CHAR(10)&amp;E8</f>
        <v>Annual Prices
Historic Calendar Year</v>
      </c>
    </row>
    <row r="21" spans="1:21" ht="15" customHeight="1" thickBot="1" x14ac:dyDescent="0.4">
      <c r="A21" s="785">
        <f>LARGE('Commodity Prices'!C$161:C$904,51)</f>
        <v>44470</v>
      </c>
      <c r="B21" s="786">
        <f>SUMIF('Commodity Prices'!$C$161:$C$904,$A21,'Commodity Prices'!Y$161:Y$904)</f>
        <v>28113.956908549804</v>
      </c>
      <c r="C21" s="787">
        <f>SUMIF('Commodity Prices'!$C$161:$C$904,$A21,'Commodity Prices'!AB$161:AB$904)</f>
        <v>1688.5160645418382</v>
      </c>
      <c r="D21" s="193"/>
    </row>
    <row r="22" spans="1:21" ht="15" customHeight="1" thickBot="1" x14ac:dyDescent="0.4">
      <c r="A22" s="785">
        <f>LARGE('Commodity Prices'!C$161:C$904,50)</f>
        <v>44501</v>
      </c>
      <c r="B22" s="789">
        <f>SUMIF('Commodity Prices'!$C$161:$C$904,$A22,'Commodity Prices'!Y$161:Y$904)</f>
        <v>28558.364254416887</v>
      </c>
      <c r="C22" s="790">
        <f>SUMIF('Commodity Prices'!$C$161:$C$904,$A22,'Commodity Prices'!AB$161:AB$904)</f>
        <v>2629.1292187208655</v>
      </c>
      <c r="D22" s="193"/>
      <c r="E22" s="1458" t="s">
        <v>156</v>
      </c>
      <c r="F22" s="1459"/>
      <c r="G22" s="1460"/>
    </row>
    <row r="23" spans="1:21" ht="15" customHeight="1" thickBot="1" x14ac:dyDescent="0.4">
      <c r="A23" s="785">
        <f>LARGE('Commodity Prices'!C$161:C$904,49)</f>
        <v>44531</v>
      </c>
      <c r="B23" s="786">
        <f>SUMIF('Commodity Prices'!$C$161:$C$904,$A23,'Commodity Prices'!Y$161:Y$904)</f>
        <v>30272.472691251791</v>
      </c>
      <c r="C23" s="787">
        <f>SUMIF('Commodity Prices'!$C$161:$C$904,$A23,'Commodity Prices'!AB$161:AB$904)</f>
        <v>3327.1886362728255</v>
      </c>
      <c r="D23" s="193"/>
      <c r="E23" s="1461" t="s">
        <v>551</v>
      </c>
      <c r="F23" s="1462"/>
      <c r="G23" s="1463"/>
    </row>
    <row r="24" spans="1:21" ht="15" customHeight="1" x14ac:dyDescent="0.35">
      <c r="A24" s="785">
        <f>LARGE('Commodity Prices'!C$161:C$904,48)</f>
        <v>44562</v>
      </c>
      <c r="B24" s="789">
        <f>SUMIF('Commodity Prices'!$C$161:$C$904,$A24,'Commodity Prices'!Y$161:Y$904)</f>
        <v>40713.478177145567</v>
      </c>
      <c r="C24" s="790">
        <f>SUMIF('Commodity Prices'!$C$161:$C$904,$A24,'Commodity Prices'!AB$161:AB$904)</f>
        <v>3709.4899821856643</v>
      </c>
      <c r="D24" s="193"/>
      <c r="E24" s="1394" t="s">
        <v>554</v>
      </c>
      <c r="F24" s="1394"/>
      <c r="G24" s="1394"/>
    </row>
    <row r="25" spans="1:21" ht="15" customHeight="1" x14ac:dyDescent="0.35">
      <c r="A25" s="785">
        <f>LARGE('Commodity Prices'!C$161:C$904,47)</f>
        <v>44593</v>
      </c>
      <c r="B25" s="786">
        <f>SUMIF('Commodity Prices'!$C$161:$C$904,$A25,'Commodity Prices'!Y$161:Y$904)</f>
        <v>56978.311792570181</v>
      </c>
      <c r="C25" s="787">
        <f>SUMIF('Commodity Prices'!$C$161:$C$904,$A25,'Commodity Prices'!AB$161:AB$904)</f>
        <v>3787.0390421437205</v>
      </c>
      <c r="D25" s="193"/>
      <c r="U25"/>
    </row>
    <row r="26" spans="1:21" ht="15" customHeight="1" x14ac:dyDescent="0.35">
      <c r="A26" s="785">
        <f>LARGE('Commodity Prices'!C$161:C$904,46)</f>
        <v>44621</v>
      </c>
      <c r="B26" s="789">
        <f>SUMIF('Commodity Prices'!$C$161:$C$904,$A26,'Commodity Prices'!Y$161:Y$904)</f>
        <v>72551.840092643746</v>
      </c>
      <c r="C26" s="790">
        <f>SUMIF('Commodity Prices'!$C$161:$C$904,$A26,'Commodity Prices'!AB$161:AB$904)</f>
        <v>3749.6681004726247</v>
      </c>
      <c r="D26" s="193"/>
    </row>
    <row r="27" spans="1:21" ht="15" customHeight="1" x14ac:dyDescent="0.35">
      <c r="A27" s="785">
        <f>LARGE('Commodity Prices'!C$161:C$904,45)</f>
        <v>44652</v>
      </c>
      <c r="B27" s="786">
        <f>SUMIF('Commodity Prices'!$C$161:$C$904,$A27,'Commodity Prices'!Y$161:Y$904)</f>
        <v>74847.210889658047</v>
      </c>
      <c r="C27" s="787">
        <f>SUMIF('Commodity Prices'!$C$161:$C$904,$A27,'Commodity Prices'!AB$161:AB$904)</f>
        <v>4200.2568435282192</v>
      </c>
      <c r="D27" s="193"/>
    </row>
    <row r="28" spans="1:21" ht="15" customHeight="1" x14ac:dyDescent="0.35">
      <c r="A28" s="785">
        <f>LARGE('Commodity Prices'!C$161:C$904,44)</f>
        <v>44682</v>
      </c>
      <c r="B28" s="789">
        <f>SUMIF('Commodity Prices'!$C$161:$C$904,$A28,'Commodity Prices'!Y$161:Y$904)</f>
        <v>69192.00478027387</v>
      </c>
      <c r="C28" s="790">
        <f>SUMIF('Commodity Prices'!$C$161:$C$904,$A28,'Commodity Prices'!AB$161:AB$904)</f>
        <v>5715.3998865570047</v>
      </c>
      <c r="D28" s="193"/>
    </row>
    <row r="29" spans="1:21" ht="15" customHeight="1" x14ac:dyDescent="0.35">
      <c r="A29" s="785">
        <f>LARGE('Commodity Prices'!C$161:C$904,43)</f>
        <v>44713</v>
      </c>
      <c r="B29" s="786">
        <f>SUMIF('Commodity Prices'!$C$161:$C$904,$A29,'Commodity Prices'!Y$161:Y$904)</f>
        <v>71256.455086269038</v>
      </c>
      <c r="C29" s="787">
        <f>SUMIF('Commodity Prices'!$C$161:$C$904,$A29,'Commodity Prices'!AB$161:AB$904)</f>
        <v>6400.8344791617283</v>
      </c>
      <c r="D29" s="193"/>
    </row>
    <row r="30" spans="1:21" ht="15" customHeight="1" x14ac:dyDescent="0.35">
      <c r="A30" s="785">
        <f>LARGE('Commodity Prices'!C$161:C$904,42)</f>
        <v>44743</v>
      </c>
      <c r="B30" s="789">
        <f>SUMIF('Commodity Prices'!$C$161:$C$904,$A30,'Commodity Prices'!Y$161:Y$904)</f>
        <v>70918.02192836297</v>
      </c>
      <c r="C30" s="790">
        <f>SUMIF('Commodity Prices'!$C$161:$C$904,$A30,'Commodity Prices'!AB$161:AB$904)</f>
        <v>6788.369039679892</v>
      </c>
      <c r="D30" s="193"/>
    </row>
    <row r="31" spans="1:21" ht="15" customHeight="1" x14ac:dyDescent="0.35">
      <c r="A31" s="785">
        <f>LARGE('Commodity Prices'!C$161:C$904,41)</f>
        <v>44774</v>
      </c>
      <c r="B31" s="786">
        <f>SUMIF('Commodity Prices'!$C$161:$C$904,$A31,'Commodity Prices'!Y$161:Y$904)</f>
        <v>70328.345507790116</v>
      </c>
      <c r="C31" s="787">
        <f>SUMIF('Commodity Prices'!$C$161:$C$904,$A31,'Commodity Prices'!AB$161:AB$904)</f>
        <v>6854.6535093161601</v>
      </c>
      <c r="D31" s="193"/>
    </row>
    <row r="32" spans="1:21" ht="15" customHeight="1" x14ac:dyDescent="0.35">
      <c r="A32" s="785">
        <f>LARGE('Commodity Prices'!C$161:C$904,40)</f>
        <v>44805</v>
      </c>
      <c r="B32" s="789">
        <f>SUMIF('Commodity Prices'!$C$161:$C$904,$A32,'Commodity Prices'!Y$161:Y$904)</f>
        <v>69325.522267157154</v>
      </c>
      <c r="C32" s="790">
        <f>SUMIF('Commodity Prices'!$C$161:$C$904,$A32,'Commodity Prices'!AB$161:AB$904)</f>
        <v>7863.2055654848782</v>
      </c>
      <c r="D32" s="193"/>
    </row>
    <row r="33" spans="1:4" ht="15" customHeight="1" x14ac:dyDescent="0.35">
      <c r="A33" s="785">
        <f>LARGE('Commodity Prices'!C$161:C$904,39)</f>
        <v>44835</v>
      </c>
      <c r="B33" s="786">
        <f>SUMIF('Commodity Prices'!$C$161:$C$904,$A33,'Commodity Prices'!Y$161:Y$904)</f>
        <v>73594.508578656227</v>
      </c>
      <c r="C33" s="787">
        <f>SUMIF('Commodity Prices'!$C$161:$C$904,$A33,'Commodity Prices'!AB$161:AB$904)</f>
        <v>9021.9151377949674</v>
      </c>
      <c r="D33" s="193"/>
    </row>
    <row r="34" spans="1:4" ht="15" customHeight="1" x14ac:dyDescent="0.35">
      <c r="A34" s="785">
        <f>LARGE('Commodity Prices'!C$161:C$904,38)</f>
        <v>44866</v>
      </c>
      <c r="B34" s="789">
        <f>SUMIF('Commodity Prices'!$C$161:$C$904,$A34,'Commodity Prices'!Y$161:Y$904)</f>
        <v>78847.972986360241</v>
      </c>
      <c r="C34" s="790">
        <f>SUMIF('Commodity Prices'!$C$161:$C$904,$A34,'Commodity Prices'!AB$161:AB$904)</f>
        <v>9262.6207200810641</v>
      </c>
    </row>
    <row r="35" spans="1:4" ht="15" customHeight="1" x14ac:dyDescent="0.35">
      <c r="A35" s="785">
        <f>LARGE('Commodity Prices'!C$161:C$904,37)</f>
        <v>44896</v>
      </c>
      <c r="B35" s="786">
        <f>SUMIF('Commodity Prices'!$C$161:$C$904,$A35,'Commodity Prices'!Y$161:Y$904)</f>
        <v>79577.392388813882</v>
      </c>
      <c r="C35" s="787">
        <f>SUMIF('Commodity Prices'!$C$161:$C$904,$A35,'Commodity Prices'!AB$161:AB$904)</f>
        <v>8984.6044476040261</v>
      </c>
    </row>
    <row r="36" spans="1:4" ht="15" customHeight="1" x14ac:dyDescent="0.35">
      <c r="A36" s="785">
        <f>LARGE('Commodity Prices'!C$161:C$904,36)</f>
        <v>44927</v>
      </c>
      <c r="B36" s="789">
        <f>SUMIF('Commodity Prices'!$C$161:$C$904,$A36,'Commodity Prices'!Y$161:Y$904)</f>
        <v>74141.049646210566</v>
      </c>
      <c r="C36" s="790">
        <f>SUMIF('Commodity Prices'!$C$161:$C$904,$A36,'Commodity Prices'!AB$161:AB$904)</f>
        <v>8603.8683494754405</v>
      </c>
    </row>
    <row r="37" spans="1:4" ht="15" customHeight="1" x14ac:dyDescent="0.35">
      <c r="A37" s="785">
        <f>LARGE('Commodity Prices'!C$161:C$904,35)</f>
        <v>44958</v>
      </c>
      <c r="B37" s="786">
        <f>SUMIF('Commodity Prices'!$C$161:$C$904,$A37,'Commodity Prices'!Y$161:Y$904)</f>
        <v>65667.023151782691</v>
      </c>
      <c r="C37" s="787">
        <f>SUMIF('Commodity Prices'!$C$161:$C$904,$A37,'Commodity Prices'!AB$161:AB$904)</f>
        <v>8560.8712000694177</v>
      </c>
    </row>
    <row r="38" spans="1:4" ht="15" customHeight="1" x14ac:dyDescent="0.35">
      <c r="A38" s="785">
        <f>LARGE('Commodity Prices'!C$161:C$904,34)</f>
        <v>44986</v>
      </c>
      <c r="B38" s="789">
        <f>SUMIF('Commodity Prices'!$C$161:$C$904,$A38,'Commodity Prices'!Y$161:Y$904)</f>
        <v>53163.830238952949</v>
      </c>
      <c r="C38" s="790">
        <f>SUMIF('Commodity Prices'!$C$161:$C$904,$A38,'Commodity Prices'!AB$161:AB$904)</f>
        <v>7614.8806272918782</v>
      </c>
    </row>
    <row r="39" spans="1:4" ht="15" customHeight="1" x14ac:dyDescent="0.35">
      <c r="A39" s="785">
        <f>LARGE('Commodity Prices'!C$161:C$904,33)</f>
        <v>45017</v>
      </c>
      <c r="B39" s="786">
        <f>SUMIF('Commodity Prices'!$C$161:$C$904,$A39,'Commodity Prices'!Y$161:Y$904)</f>
        <v>42118.560798413782</v>
      </c>
      <c r="C39" s="787">
        <f>SUMIF('Commodity Prices'!$C$161:$C$904,$A39,'Commodity Prices'!AB$161:AB$904)</f>
        <v>6593.2694842280998</v>
      </c>
    </row>
    <row r="40" spans="1:4" ht="15" customHeight="1" x14ac:dyDescent="0.35">
      <c r="A40" s="785">
        <f>LARGE('Commodity Prices'!C$161:C$904,32)</f>
        <v>45047</v>
      </c>
      <c r="B40" s="789">
        <f>SUMIF('Commodity Prices'!$C$161:$C$904,$A40,'Commodity Prices'!Y$161:Y$904)</f>
        <v>41677.254484793026</v>
      </c>
      <c r="C40" s="790">
        <f>SUMIF('Commodity Prices'!$C$161:$C$904,$A40,'Commodity Prices'!AB$161:AB$904)</f>
        <v>6027.7795936511257</v>
      </c>
    </row>
    <row r="41" spans="1:4" ht="15" customHeight="1" x14ac:dyDescent="0.35">
      <c r="A41" s="785">
        <f>LARGE('Commodity Prices'!C$161:C$904,31)</f>
        <v>45078</v>
      </c>
      <c r="B41" s="786">
        <f>SUMIF('Commodity Prices'!$C$161:$C$904,$A41,'Commodity Prices'!Y$161:Y$904)</f>
        <v>43361.820769964157</v>
      </c>
      <c r="C41" s="787">
        <f>SUMIF('Commodity Prices'!$C$161:$C$904,$A41,'Commodity Prices'!AB$161:AB$904)</f>
        <v>6077.9399446297994</v>
      </c>
    </row>
    <row r="42" spans="1:4" ht="15" customHeight="1" x14ac:dyDescent="0.35">
      <c r="A42" s="785">
        <f>LARGE('Commodity Prices'!C$161:C$904,30)</f>
        <v>45108</v>
      </c>
      <c r="B42" s="789">
        <f>SUMIF('Commodity Prices'!$C$161:$C$904,$A42,'Commodity Prices'!Y$161:Y$904)</f>
        <v>39612.200514729964</v>
      </c>
      <c r="C42" s="790">
        <f>SUMIF('Commodity Prices'!$C$161:$C$904,$A42,'Commodity Prices'!AB$161:AB$904)</f>
        <v>6023.7877149460382</v>
      </c>
    </row>
    <row r="43" spans="1:4" ht="15" customHeight="1" x14ac:dyDescent="0.35">
      <c r="A43" s="785">
        <f>LARGE('Commodity Prices'!C$161:C$904,29)</f>
        <v>45139</v>
      </c>
      <c r="B43" s="786">
        <f>SUMIF('Commodity Prices'!$C$161:$C$904,$A43,'Commodity Prices'!Y$161:Y$904)</f>
        <v>31038.28596767745</v>
      </c>
      <c r="C43" s="787">
        <f>SUMIF('Commodity Prices'!$C$161:$C$904,$A43,'Commodity Prices'!AB$161:AB$904)</f>
        <v>5205.4490682359519</v>
      </c>
    </row>
    <row r="44" spans="1:4" ht="15" customHeight="1" x14ac:dyDescent="0.35">
      <c r="A44" s="785">
        <f>LARGE('Commodity Prices'!C$161:C$904,28)</f>
        <v>45170</v>
      </c>
      <c r="B44" s="789">
        <f>SUMIF('Commodity Prices'!$C$161:$C$904,$A44,'Commodity Prices'!Y$161:Y$904)</f>
        <v>23220.109400402143</v>
      </c>
      <c r="C44" s="790">
        <f>SUMIF('Commodity Prices'!$C$161:$C$904,$A44,'Commodity Prices'!AB$161:AB$904)</f>
        <v>4065.7819251836313</v>
      </c>
    </row>
    <row r="45" spans="1:4" ht="15" customHeight="1" x14ac:dyDescent="0.35">
      <c r="A45" s="785">
        <f>LARGE('Commodity Prices'!C$161:C$904,27)</f>
        <v>45200</v>
      </c>
      <c r="B45" s="786">
        <f>SUMIF('Commodity Prices'!$C$161:$C$904,$A45,'Commodity Prices'!Y$161:Y$904)</f>
        <v>21571.801175382097</v>
      </c>
      <c r="C45" s="787">
        <f>SUMIF('Commodity Prices'!$C$161:$C$904,$A45,'Commodity Prices'!AB$161:AB$904)</f>
        <v>3356.1134732626933</v>
      </c>
    </row>
    <row r="46" spans="1:4" ht="15" customHeight="1" x14ac:dyDescent="0.35">
      <c r="A46" s="785">
        <f>LARGE('Commodity Prices'!C$161:C$904,26)</f>
        <v>45231</v>
      </c>
      <c r="B46" s="789">
        <f>SUMIF('Commodity Prices'!$C$161:$C$904,$A46,'Commodity Prices'!Y$161:Y$904)</f>
        <v>19098.286519385307</v>
      </c>
      <c r="C46" s="790">
        <f>SUMIF('Commodity Prices'!$C$161:$C$904,$A46,'Commodity Prices'!AB$161:AB$904)</f>
        <v>2666.2759678198586</v>
      </c>
    </row>
    <row r="47" spans="1:4" ht="15" customHeight="1" x14ac:dyDescent="0.35">
      <c r="A47" s="785">
        <f>LARGE('Commodity Prices'!C$161:C$904,25)</f>
        <v>45261</v>
      </c>
      <c r="B47" s="786">
        <f>SUMIF('Commodity Prices'!$C$161:$C$904,$A47,'Commodity Prices'!Y$161:Y$904)</f>
        <v>14280.526129582391</v>
      </c>
      <c r="C47" s="787">
        <f>SUMIF('Commodity Prices'!$C$161:$C$904,$A47,'Commodity Prices'!AB$161:AB$904)</f>
        <v>2028.6908034118026</v>
      </c>
    </row>
    <row r="48" spans="1:4" ht="15" customHeight="1" x14ac:dyDescent="0.35">
      <c r="A48" s="785">
        <f>LARGE('Commodity Prices'!C$161:C$904,24)</f>
        <v>45292</v>
      </c>
      <c r="B48" s="789">
        <f>SUMIF('Commodity Prices'!$C$161:$C$904,$A48,'Commodity Prices'!Y$161:Y$904)</f>
        <v>11593.117592150982</v>
      </c>
      <c r="C48" s="790">
        <f>SUMIF('Commodity Prices'!$C$161:$C$904,$A48,'Commodity Prices'!AB$161:AB$904)</f>
        <v>1540.1362930300145</v>
      </c>
    </row>
    <row r="49" spans="1:3" ht="15" customHeight="1" x14ac:dyDescent="0.35">
      <c r="A49" s="785">
        <f>LARGE('Commodity Prices'!C$161:C$904,23)</f>
        <v>45323</v>
      </c>
      <c r="B49" s="786">
        <f>SUMIF('Commodity Prices'!$C$161:$C$904,$A49,'Commodity Prices'!Y$161:Y$904)</f>
        <v>11459.115131031811</v>
      </c>
      <c r="C49" s="787">
        <f>SUMIF('Commodity Prices'!$C$161:$C$904,$A49,'Commodity Prices'!AB$161:AB$904)</f>
        <v>1533.4191393630906</v>
      </c>
    </row>
    <row r="50" spans="1:3" ht="15" customHeight="1" x14ac:dyDescent="0.35">
      <c r="A50" s="785">
        <f>LARGE('Commodity Prices'!C$161:C$904,22)</f>
        <v>45352</v>
      </c>
      <c r="B50" s="789">
        <f>SUMIF('Commodity Prices'!$C$161:$C$904,$A50,'Commodity Prices'!Y$161:Y$904)</f>
        <v>14134.837310261082</v>
      </c>
      <c r="C50" s="790">
        <f>SUMIF('Commodity Prices'!$C$161:$C$904,$A50,'Commodity Prices'!AB$161:AB$904)</f>
        <v>1740.2633043398719</v>
      </c>
    </row>
    <row r="51" spans="1:3" ht="15" customHeight="1" x14ac:dyDescent="0.35">
      <c r="A51" s="785">
        <f>LARGE('Commodity Prices'!C$161:C$904,21)</f>
        <v>45383</v>
      </c>
      <c r="B51" s="786">
        <f>SUMIF('Commodity Prices'!$C$161:$C$904,$A51,'Commodity Prices'!Y$161:Y$904)</f>
        <v>14286.007083951245</v>
      </c>
      <c r="C51" s="787">
        <f>SUMIF('Commodity Prices'!$C$161:$C$904,$A51,'Commodity Prices'!AB$161:AB$904)</f>
        <v>1893.1146483610146</v>
      </c>
    </row>
    <row r="52" spans="1:3" ht="15" customHeight="1" x14ac:dyDescent="0.35">
      <c r="A52" s="785">
        <f>LARGE('Commodity Prices'!C$161:C$904,20)</f>
        <v>45413</v>
      </c>
      <c r="B52" s="789">
        <f>SUMIF('Commodity Prices'!$C$161:$C$904,$A52,'Commodity Prices'!Y$161:Y$904)</f>
        <v>13608.955741623675</v>
      </c>
      <c r="C52" s="790">
        <f>SUMIF('Commodity Prices'!$C$161:$C$904,$A52,'Commodity Prices'!AB$161:AB$904)</f>
        <v>1842.7924761347876</v>
      </c>
    </row>
    <row r="53" spans="1:3" ht="15" customHeight="1" x14ac:dyDescent="0.35">
      <c r="A53" s="785">
        <f>LARGE('Commodity Prices'!C$161:C$904,19)</f>
        <v>45444</v>
      </c>
      <c r="B53" s="786">
        <f>SUMIF('Commodity Prices'!$C$161:$C$904,$A53,'Commodity Prices'!Y$161:Y$904)</f>
        <v>12233.785941228462</v>
      </c>
      <c r="C53" s="787">
        <f>SUMIF('Commodity Prices'!$C$161:$C$904,$A53,'Commodity Prices'!AB$161:AB$904)</f>
        <v>1679.2481810192626</v>
      </c>
    </row>
    <row r="54" spans="1:3" ht="15" customHeight="1" x14ac:dyDescent="0.35">
      <c r="A54" s="785">
        <f>LARGE('Commodity Prices'!C$161:C$904,18)</f>
        <v>45474</v>
      </c>
      <c r="B54" s="789">
        <f>SUMIF('Commodity Prices'!$C$161:$C$904,$A54,'Commodity Prices'!Y$161:Y$904)</f>
        <v>11257.947841173776</v>
      </c>
      <c r="C54" s="790">
        <f>SUMIF('Commodity Prices'!$C$161:$C$904,$A54,'Commodity Prices'!AB$161:AB$904)</f>
        <v>1482.9075532795164</v>
      </c>
    </row>
    <row r="55" spans="1:3" ht="15" customHeight="1" x14ac:dyDescent="0.35">
      <c r="A55" s="785">
        <f>LARGE('Commodity Prices'!C$161:C$904,17)</f>
        <v>45505</v>
      </c>
      <c r="B55" s="786">
        <f>SUMIF('Commodity Prices'!$C$161:$C$904,$A55,'Commodity Prices'!Y$161:Y$904)</f>
        <v>10401.583366920573</v>
      </c>
      <c r="C55" s="787">
        <f>SUMIF('Commodity Prices'!$C$161:$C$904,$A55,'Commodity Prices'!AB$161:AB$904)</f>
        <v>1274.0065053436749</v>
      </c>
    </row>
    <row r="56" spans="1:3" ht="15" customHeight="1" x14ac:dyDescent="0.35">
      <c r="A56" s="785">
        <f>LARGE('Commodity Prices'!C$161:C$904,16)</f>
        <v>45536</v>
      </c>
      <c r="B56" s="789">
        <f>SUMIF('Commodity Prices'!$C$161:$C$904,$A56,'Commodity Prices'!Y$161:Y$904)</f>
        <v>10072.932052419847</v>
      </c>
      <c r="C56" s="790">
        <f>SUMIF('Commodity Prices'!$C$161:$C$904,$A56,'Commodity Prices'!AB$161:AB$904)</f>
        <v>1101.0362803655476</v>
      </c>
    </row>
    <row r="57" spans="1:3" ht="15" customHeight="1" x14ac:dyDescent="0.35">
      <c r="A57" s="785">
        <f>LARGE('Commodity Prices'!C$161:C$904,15)</f>
        <v>45566</v>
      </c>
      <c r="B57" s="786">
        <f>SUMIF('Commodity Prices'!$C$161:$C$904,$A57,'Commodity Prices'!Y$161:Y$904)</f>
        <v>9868.2407633167713</v>
      </c>
      <c r="C57" s="787">
        <f>SUMIF('Commodity Prices'!$C$161:$C$904,$A57,'Commodity Prices'!AB$161:AB$904)</f>
        <v>1115.3195870702036</v>
      </c>
    </row>
    <row r="58" spans="1:3" ht="15" customHeight="1" x14ac:dyDescent="0.35">
      <c r="A58" s="785">
        <f>LARGE('Commodity Prices'!C$161:C$904,14)</f>
        <v>45597</v>
      </c>
      <c r="B58" s="789">
        <f>SUMIF('Commodity Prices'!$C$161:$C$904,$A58,'Commodity Prices'!Y$161:Y$904)</f>
        <v>9531.2262251369066</v>
      </c>
      <c r="C58" s="790">
        <f>SUMIF('Commodity Prices'!$C$161:$C$904,$A58,'Commodity Prices'!AB$161:AB$904)</f>
        <v>1190.5094970601738</v>
      </c>
    </row>
    <row r="59" spans="1:3" ht="15" customHeight="1" x14ac:dyDescent="0.35">
      <c r="A59" s="785">
        <f>LARGE('Commodity Prices'!C$161:C$904,13)</f>
        <v>45627</v>
      </c>
      <c r="B59" s="786">
        <f>SUMIF('Commodity Prices'!$C$161:$C$904,$A59,'Commodity Prices'!Y$161:Y$904)</f>
        <v>9555.1577784274032</v>
      </c>
      <c r="C59" s="787">
        <f>SUMIF('Commodity Prices'!$C$161:$C$904,$A59,'Commodity Prices'!AB$161:AB$904)</f>
        <v>1245.4968980820922</v>
      </c>
    </row>
    <row r="60" spans="1:3" ht="15" customHeight="1" x14ac:dyDescent="0.35">
      <c r="A60" s="785">
        <f>LARGE('Commodity Prices'!C$161:C$904,12)</f>
        <v>45658</v>
      </c>
      <c r="B60" s="789">
        <f>SUMIF('Commodity Prices'!$C$161:$C$904,$A60,'Commodity Prices'!Y$161:Y$904)</f>
        <v>9659.3765263491096</v>
      </c>
      <c r="C60" s="790">
        <f>SUMIF('Commodity Prices'!$C$161:$C$904,$A60,'Commodity Prices'!AB$161:AB$904)</f>
        <v>1281.4144736842104</v>
      </c>
    </row>
    <row r="61" spans="1:3" ht="15" customHeight="1" x14ac:dyDescent="0.35">
      <c r="A61" s="785">
        <f>LARGE('Commodity Prices'!C$161:C$904,11)</f>
        <v>45689</v>
      </c>
      <c r="B61" s="786">
        <f>SUMIF('Commodity Prices'!$C$161:$C$904,$A61,'Commodity Prices'!Y$161:Y$904)</f>
        <v>9693.8644741625012</v>
      </c>
      <c r="C61" s="787">
        <f>SUMIF('Commodity Prices'!$C$161:$C$904,$A61,'Commodity Prices'!AB$161:AB$904)</f>
        <v>1294.0205137975934</v>
      </c>
    </row>
    <row r="62" spans="1:3" ht="15" customHeight="1" x14ac:dyDescent="0.35">
      <c r="A62" s="785">
        <f>LARGE('Commodity Prices'!C$161:C$904,10)</f>
        <v>45717</v>
      </c>
      <c r="B62" s="789">
        <f>SUMIF('Commodity Prices'!$C$161:$C$904,$A62,'Commodity Prices'!Y$161:Y$904)</f>
        <v>9570.4523816277087</v>
      </c>
      <c r="C62" s="790">
        <f>SUMIF('Commodity Prices'!$C$161:$C$904,$A62,'Commodity Prices'!AB$161:AB$904)</f>
        <v>1286.7274170983478</v>
      </c>
    </row>
    <row r="63" spans="1:3" ht="15" customHeight="1" x14ac:dyDescent="0.35">
      <c r="A63" s="785">
        <f>LARGE('Commodity Prices'!C$161:C$904,9)</f>
        <v>45748</v>
      </c>
      <c r="B63" s="786">
        <f>SUMIF('Commodity Prices'!$C$161:$C$904,$A63,'Commodity Prices'!Y$161:Y$904)</f>
        <v>9255.4543819176106</v>
      </c>
      <c r="C63" s="787">
        <f>SUMIF('Commodity Prices'!$C$161:$C$904,$A63,'Commodity Prices'!AB$161:AB$904)</f>
        <v>1275.6658199834017</v>
      </c>
    </row>
    <row r="64" spans="1:3" ht="15" customHeight="1" x14ac:dyDescent="0.35">
      <c r="A64" s="785">
        <f>LARGE('Commodity Prices'!C$161:C$904,8)</f>
        <v>45778</v>
      </c>
      <c r="B64" s="789">
        <f>SUMIF('Commodity Prices'!$C$161:$C$904,$A64,'Commodity Prices'!Y$161:Y$904)</f>
        <v>9013.6752340812855</v>
      </c>
      <c r="C64" s="790">
        <f>SUMIF('Commodity Prices'!$C$161:$C$904,$A64,'Commodity Prices'!AB$161:AB$904)</f>
        <v>1046.2772826386099</v>
      </c>
    </row>
    <row r="65" spans="1:3" ht="15" customHeight="1" x14ac:dyDescent="0.35">
      <c r="A65" s="785">
        <f>LARGE('Commodity Prices'!C$161:C$904,7)</f>
        <v>45809</v>
      </c>
      <c r="B65" s="786">
        <f>SUMIF('Commodity Prices'!$C$161:$C$904,$A65,'Commodity Prices'!Y$161:Y$904)</f>
        <v>8382.1837281595017</v>
      </c>
      <c r="C65" s="787">
        <f>SUMIF('Commodity Prices'!$C$161:$C$904,$A65,'Commodity Prices'!AB$161:AB$904)</f>
        <v>940.36767875839121</v>
      </c>
    </row>
    <row r="66" spans="1:3" ht="15" customHeight="1" x14ac:dyDescent="0.35">
      <c r="A66" s="785">
        <f>LARGE('Commodity Prices'!C$161:C$904,6)</f>
        <v>45839</v>
      </c>
      <c r="B66" s="789">
        <f>SUMIF('Commodity Prices'!$C$161:$C$904,$A66,'Commodity Prices'!Y$161:Y$904)</f>
        <v>8396.2940259298721</v>
      </c>
      <c r="C66" s="790">
        <f>SUMIF('Commodity Prices'!$C$161:$C$904,$A66,'Commodity Prices'!AB$161:AB$904)</f>
        <v>1106.8991635162877</v>
      </c>
    </row>
    <row r="67" spans="1:3" ht="15" customHeight="1" x14ac:dyDescent="0.35">
      <c r="A67" s="785">
        <f>LARGE('Commodity Prices'!C$161:C$904,5)</f>
        <v>45870</v>
      </c>
      <c r="B67" s="786">
        <f>SUMIF('Commodity Prices'!$C$161:$C$904,$A67,'Commodity Prices'!Y$161:Y$904)</f>
        <v>10248.819217317938</v>
      </c>
      <c r="C67" s="787">
        <f>SUMIF('Commodity Prices'!$C$161:$C$904,$A67,'Commodity Prices'!AB$161:AB$904)</f>
        <v>1376.5231456520069</v>
      </c>
    </row>
    <row r="68" spans="1:3" ht="15" customHeight="1" x14ac:dyDescent="0.35">
      <c r="A68" s="785">
        <f>LARGE('Commodity Prices'!C$161:C$904,4)</f>
        <v>45901</v>
      </c>
      <c r="B68" s="789">
        <f>SUMIF('Commodity Prices'!$C$161:$C$904,$A68,'Commodity Prices'!Y$161:Y$904)</f>
        <v>10418.844116863798</v>
      </c>
      <c r="C68" s="790">
        <f>SUMIF('Commodity Prices'!$C$161:$C$904,$A68,'Commodity Prices'!AB$161:AB$904)</f>
        <v>1271.9719271152906</v>
      </c>
    </row>
    <row r="69" spans="1:3" ht="15" customHeight="1" x14ac:dyDescent="0.35">
      <c r="A69" s="785">
        <f>LARGE('Commodity Prices'!C$161:C$904,3)</f>
        <v>45931</v>
      </c>
      <c r="B69" s="786">
        <f>SUMIF('Commodity Prices'!$C$161:$C$904,$A69,'Commodity Prices'!Y$161:Y$904)</f>
        <v>10525.865478253998</v>
      </c>
      <c r="C69" s="787">
        <f>SUMIF('Commodity Prices'!$C$161:$C$904,$A69,'Commodity Prices'!AB$161:AB$904)</f>
        <v>1323.3614612633262</v>
      </c>
    </row>
    <row r="70" spans="1:3" ht="15" customHeight="1" x14ac:dyDescent="0.35">
      <c r="A70" s="785">
        <f>LARGE('Commodity Prices'!C$161:C$904,2)</f>
        <v>45962</v>
      </c>
      <c r="B70" s="789">
        <f>SUMIF('Commodity Prices'!$C$161:$C$904,$A70,'Commodity Prices'!Y$161:Y$904)</f>
        <v>11131.001270167286</v>
      </c>
      <c r="C70" s="790">
        <f>SUMIF('Commodity Prices'!$C$161:$C$904,$A70,'Commodity Prices'!AB$161:AB$904)</f>
        <v>1585.6488596545148</v>
      </c>
    </row>
    <row r="71" spans="1:3" ht="15" customHeight="1" thickBot="1" x14ac:dyDescent="0.4">
      <c r="A71" s="792">
        <f>LARGE('Commodity Prices'!C$161:C$904,1)</f>
        <v>45992</v>
      </c>
      <c r="B71" s="793">
        <f>SUMIF('Commodity Prices'!$C$161:$C$904,$A71,'Commodity Prices'!Y$161:Y$904)</f>
        <v>12391.613470506012</v>
      </c>
      <c r="C71" s="794">
        <f>SUMIF('Commodity Prices'!$C$161:$C$904,$A71,'Commodity Prices'!AB$161:AB$904)</f>
        <v>1806.6442346323824</v>
      </c>
    </row>
  </sheetData>
  <mergeCells count="7">
    <mergeCell ref="E24:G24"/>
    <mergeCell ref="A7:C7"/>
    <mergeCell ref="E7:G7"/>
    <mergeCell ref="A8:C8"/>
    <mergeCell ref="E8:G8"/>
    <mergeCell ref="E22:G22"/>
    <mergeCell ref="E23:G23"/>
  </mergeCells>
  <dataValidations count="1">
    <dataValidation type="list" allowBlank="1" showInputMessage="1" showErrorMessage="1" promptTitle="Select a Period:" prompt="Select Financial or Calendar years." sqref="E23" xr:uid="{F014F9C6-F0C3-4759-B9A7-F60969696D43}">
      <formula1>$W$1:$W$2</formula1>
    </dataValidation>
  </dataValidation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991A9-D35B-49C2-A610-2B406D9FB777}">
  <sheetPr>
    <tabColor rgb="FFFFB871"/>
  </sheetPr>
  <dimension ref="A1:R254"/>
  <sheetViews>
    <sheetView showGridLines="0" zoomScale="85" zoomScaleNormal="85" workbookViewId="0">
      <pane ySplit="9" topLeftCell="A10" activePane="bottomLeft" state="frozen"/>
      <selection pane="bottomLeft"/>
    </sheetView>
  </sheetViews>
  <sheetFormatPr defaultRowHeight="15" x14ac:dyDescent="0.25"/>
  <cols>
    <col min="1" max="1" width="12.7109375" customWidth="1"/>
    <col min="2" max="3" width="15.7109375" customWidth="1"/>
    <col min="4" max="4" width="4.85546875" style="795" hidden="1" customWidth="1"/>
    <col min="5" max="5" width="1.85546875" style="795" hidden="1" customWidth="1"/>
    <col min="6" max="6" width="8.7109375" customWidth="1"/>
    <col min="7" max="7" width="16" bestFit="1" customWidth="1"/>
    <col min="8" max="9" width="18.42578125" customWidth="1"/>
    <col min="15" max="15" width="8.7109375" customWidth="1"/>
    <col min="16" max="16" width="12.7109375" customWidth="1"/>
    <col min="17" max="18" width="15.7109375" customWidth="1"/>
  </cols>
  <sheetData>
    <row r="1" spans="1:18" x14ac:dyDescent="0.25">
      <c r="A1" s="64" t="s">
        <v>178</v>
      </c>
      <c r="B1" s="64"/>
      <c r="C1" s="64"/>
      <c r="Q1" s="726"/>
    </row>
    <row r="2" spans="1:18" x14ac:dyDescent="0.25">
      <c r="A2" s="64" t="s">
        <v>179</v>
      </c>
      <c r="B2" s="64"/>
      <c r="C2" s="64"/>
      <c r="Q2" s="726"/>
    </row>
    <row r="7" spans="1:18" x14ac:dyDescent="0.25">
      <c r="A7" s="1407" t="s">
        <v>175</v>
      </c>
      <c r="B7" s="1407"/>
      <c r="C7" s="1407"/>
      <c r="D7" s="1407"/>
      <c r="E7" s="1407"/>
      <c r="N7" t="s">
        <v>238</v>
      </c>
    </row>
    <row r="8" spans="1:18" ht="15.75" thickBot="1" x14ac:dyDescent="0.3">
      <c r="A8" s="1408" t="s">
        <v>555</v>
      </c>
      <c r="B8" s="1408"/>
      <c r="C8" s="1408"/>
      <c r="D8" s="796"/>
      <c r="E8" s="796"/>
    </row>
    <row r="9" spans="1:18" x14ac:dyDescent="0.25">
      <c r="A9" s="797" t="s">
        <v>557</v>
      </c>
      <c r="B9" s="798" t="s">
        <v>571</v>
      </c>
      <c r="C9" s="799" t="s">
        <v>559</v>
      </c>
      <c r="D9" s="800"/>
    </row>
    <row r="10" spans="1:18" x14ac:dyDescent="0.25">
      <c r="A10" s="801">
        <v>37865</v>
      </c>
      <c r="B10" s="462">
        <v>31.434999999999999</v>
      </c>
      <c r="C10" s="463">
        <v>5.4547929999999996</v>
      </c>
      <c r="D10" s="802">
        <f>YEAR(A10)</f>
        <v>2003</v>
      </c>
      <c r="E10" s="802" t="str">
        <f>IF(MONTH(A10)=3,"1",IF(MONTH(A10)=6,"2",IF(MONTH(A10)=9,"3","4")))</f>
        <v>3</v>
      </c>
      <c r="G10" s="193"/>
      <c r="P10" s="1464" t="str">
        <f>CONCATENATE(A7," Quantity And Value")</f>
        <v>Spodumene Concentrate Quantity And Value</v>
      </c>
      <c r="Q10" s="1464"/>
      <c r="R10" s="1464"/>
    </row>
    <row r="11" spans="1:18" ht="15.75" thickBot="1" x14ac:dyDescent="0.3">
      <c r="A11" s="801">
        <v>37956</v>
      </c>
      <c r="B11" s="803">
        <v>24.138999999999999</v>
      </c>
      <c r="C11" s="804">
        <v>4.6638279999999996</v>
      </c>
      <c r="D11" s="802">
        <f t="shared" ref="D11:D76" si="0">YEAR(A11)</f>
        <v>2003</v>
      </c>
      <c r="E11" s="802" t="str">
        <f t="shared" ref="E11:E76" si="1">IF(MONTH(A11)=3,"1",IF(MONTH(A11)=6,"2",IF(MONTH(A11)=9,"3","4")))</f>
        <v>4</v>
      </c>
      <c r="G11" s="193"/>
      <c r="P11" s="1393" t="s">
        <v>561</v>
      </c>
      <c r="Q11" s="1393"/>
      <c r="R11" s="1393"/>
    </row>
    <row r="12" spans="1:18" x14ac:dyDescent="0.25">
      <c r="A12" s="801">
        <v>38047</v>
      </c>
      <c r="B12" s="462">
        <v>32.378</v>
      </c>
      <c r="C12" s="463">
        <v>6.9491319999999996</v>
      </c>
      <c r="D12" s="802">
        <f t="shared" si="0"/>
        <v>2004</v>
      </c>
      <c r="E12" s="802" t="str">
        <f t="shared" si="1"/>
        <v>1</v>
      </c>
      <c r="G12" s="193"/>
      <c r="P12" s="797" t="s">
        <v>557</v>
      </c>
      <c r="Q12" s="798" t="str">
        <f>B9</f>
        <v>Quantity (Kt)</v>
      </c>
      <c r="R12" s="799" t="str">
        <f>C9</f>
        <v>Value ($ Million)</v>
      </c>
    </row>
    <row r="13" spans="1:18" x14ac:dyDescent="0.25">
      <c r="A13" s="801">
        <v>38139</v>
      </c>
      <c r="B13" s="803">
        <v>18.420999999999999</v>
      </c>
      <c r="C13" s="804">
        <v>4.3138500000000004</v>
      </c>
      <c r="D13" s="802">
        <f t="shared" si="0"/>
        <v>2004</v>
      </c>
      <c r="E13" s="802" t="str">
        <f t="shared" si="1"/>
        <v>2</v>
      </c>
      <c r="G13" s="193"/>
      <c r="P13" s="801">
        <f>LARGE($A:$A, 9)</f>
        <v>45261</v>
      </c>
      <c r="Q13" s="462">
        <f t="shared" ref="Q13:Q21" si="2">SUMIF($A$10:$A$742,$P13,$B$10:$B$742)</f>
        <v>803.90046600000005</v>
      </c>
      <c r="R13" s="463">
        <f t="shared" ref="R13:R21" si="3">SUMIF($A$10:$A$742,$P13,$C$10:$C$742)</f>
        <v>1761.2463869999999</v>
      </c>
    </row>
    <row r="14" spans="1:18" x14ac:dyDescent="0.25">
      <c r="A14" s="801">
        <v>38231</v>
      </c>
      <c r="B14" s="462">
        <v>9.7319999999999993</v>
      </c>
      <c r="C14" s="463">
        <v>2.6784500000000002</v>
      </c>
      <c r="D14" s="802">
        <f t="shared" si="0"/>
        <v>2004</v>
      </c>
      <c r="E14" s="802" t="str">
        <f t="shared" si="1"/>
        <v>3</v>
      </c>
      <c r="G14" s="193"/>
      <c r="P14" s="801">
        <f>LARGE($A:$A, 8)</f>
        <v>45352</v>
      </c>
      <c r="Q14" s="803">
        <f t="shared" si="2"/>
        <v>649.45715599999994</v>
      </c>
      <c r="R14" s="804">
        <f t="shared" si="3"/>
        <v>964.39536799999996</v>
      </c>
    </row>
    <row r="15" spans="1:18" x14ac:dyDescent="0.25">
      <c r="A15" s="801">
        <v>38322</v>
      </c>
      <c r="B15" s="803">
        <v>49.725000000000001</v>
      </c>
      <c r="C15" s="804">
        <v>10.257918999999999</v>
      </c>
      <c r="D15" s="802">
        <f t="shared" si="0"/>
        <v>2004</v>
      </c>
      <c r="E15" s="802" t="str">
        <f t="shared" si="1"/>
        <v>4</v>
      </c>
      <c r="G15" s="193"/>
      <c r="P15" s="801">
        <f>LARGE($A:$A, 7)</f>
        <v>45444</v>
      </c>
      <c r="Q15" s="462">
        <f t="shared" si="2"/>
        <v>1223.6669209999998</v>
      </c>
      <c r="R15" s="463">
        <f t="shared" si="3"/>
        <v>1926.3639169999999</v>
      </c>
    </row>
    <row r="16" spans="1:18" x14ac:dyDescent="0.25">
      <c r="A16" s="801">
        <v>38412</v>
      </c>
      <c r="B16" s="462">
        <v>18.204000000000001</v>
      </c>
      <c r="C16" s="463">
        <v>4.2521890000000004</v>
      </c>
      <c r="D16" s="802">
        <f t="shared" si="0"/>
        <v>2005</v>
      </c>
      <c r="E16" s="802" t="str">
        <f t="shared" si="1"/>
        <v>1</v>
      </c>
      <c r="G16" s="193"/>
      <c r="P16" s="801">
        <f>LARGE($A:$A, 6)</f>
        <v>45536</v>
      </c>
      <c r="Q16" s="803">
        <f t="shared" si="2"/>
        <v>977.56040000000007</v>
      </c>
      <c r="R16" s="804">
        <f t="shared" si="3"/>
        <v>1097.104973</v>
      </c>
    </row>
    <row r="17" spans="1:18" x14ac:dyDescent="0.25">
      <c r="A17" s="801">
        <v>38504</v>
      </c>
      <c r="B17" s="803">
        <v>31.143000000000001</v>
      </c>
      <c r="C17" s="804">
        <v>6.2776129999999997</v>
      </c>
      <c r="D17" s="802">
        <f t="shared" si="0"/>
        <v>2005</v>
      </c>
      <c r="E17" s="802" t="str">
        <f t="shared" si="1"/>
        <v>2</v>
      </c>
      <c r="G17" t="str">
        <f>B7&amp;CHAR(10)&amp;"Quantity and Value by Quarter"</f>
        <v xml:space="preserve">
Quantity and Value by Quarter</v>
      </c>
      <c r="H17" s="193"/>
      <c r="P17" s="801">
        <f>LARGE($A:$A, 5)</f>
        <v>45627</v>
      </c>
      <c r="Q17" s="462">
        <f t="shared" si="2"/>
        <v>945.41480999999999</v>
      </c>
      <c r="R17" s="463">
        <f t="shared" si="3"/>
        <v>1044.833398</v>
      </c>
    </row>
    <row r="18" spans="1:18" x14ac:dyDescent="0.25">
      <c r="A18" s="801">
        <v>38596</v>
      </c>
      <c r="B18" s="462">
        <v>45.238</v>
      </c>
      <c r="C18" s="463">
        <v>8.3987689999999997</v>
      </c>
      <c r="D18" s="802">
        <f t="shared" si="0"/>
        <v>2005</v>
      </c>
      <c r="E18" s="802" t="str">
        <f t="shared" si="1"/>
        <v>3</v>
      </c>
      <c r="G18" s="193"/>
      <c r="P18" s="801">
        <f>LARGE($A:$A, 4)</f>
        <v>45717</v>
      </c>
      <c r="Q18" s="803">
        <f>SUMIF($A$10:$A$742,$P18,$B$10:$B$742)</f>
        <v>894.98106099999984</v>
      </c>
      <c r="R18" s="804">
        <f>SUMIF($A$10:$A$742,$P18,$C$10:$C$742)</f>
        <v>1058.288319</v>
      </c>
    </row>
    <row r="19" spans="1:18" x14ac:dyDescent="0.25">
      <c r="A19" s="801">
        <v>38687</v>
      </c>
      <c r="B19" s="803">
        <v>79.05</v>
      </c>
      <c r="C19" s="804">
        <v>11.389708000000001</v>
      </c>
      <c r="D19" s="802">
        <f t="shared" si="0"/>
        <v>2005</v>
      </c>
      <c r="E19" s="802" t="str">
        <f t="shared" si="1"/>
        <v>4</v>
      </c>
      <c r="G19" s="193"/>
      <c r="P19" s="801">
        <f>LARGE($A:$A, 3)</f>
        <v>45809</v>
      </c>
      <c r="Q19" s="462">
        <f t="shared" si="2"/>
        <v>1036.4338049999999</v>
      </c>
      <c r="R19" s="463">
        <f t="shared" si="3"/>
        <v>1043.351087</v>
      </c>
    </row>
    <row r="20" spans="1:18" x14ac:dyDescent="0.25">
      <c r="A20" s="801">
        <v>38777</v>
      </c>
      <c r="B20" s="462">
        <v>45.436</v>
      </c>
      <c r="C20" s="463">
        <v>10.884611</v>
      </c>
      <c r="D20" s="802">
        <f t="shared" si="0"/>
        <v>2006</v>
      </c>
      <c r="E20" s="802" t="str">
        <f t="shared" si="1"/>
        <v>1</v>
      </c>
      <c r="G20" s="193"/>
      <c r="P20" s="801">
        <f>LARGE($A:$A, 2)</f>
        <v>45901</v>
      </c>
      <c r="Q20" s="803">
        <f t="shared" si="2"/>
        <v>944.586814</v>
      </c>
      <c r="R20" s="804">
        <f t="shared" si="3"/>
        <v>1042.1175929999999</v>
      </c>
    </row>
    <row r="21" spans="1:18" ht="15.75" thickBot="1" x14ac:dyDescent="0.3">
      <c r="A21" s="801">
        <v>38869</v>
      </c>
      <c r="B21" s="803">
        <v>23.504999999999999</v>
      </c>
      <c r="C21" s="804">
        <v>5.963374</v>
      </c>
      <c r="D21" s="802">
        <f t="shared" si="0"/>
        <v>2006</v>
      </c>
      <c r="E21" s="802" t="str">
        <f t="shared" si="1"/>
        <v>2</v>
      </c>
      <c r="G21" s="193"/>
      <c r="P21" s="805">
        <f>LARGE($A:$A, 1)</f>
        <v>45992</v>
      </c>
      <c r="Q21" s="656">
        <f t="shared" si="2"/>
        <v>1080.261892</v>
      </c>
      <c r="R21" s="468">
        <f t="shared" si="3"/>
        <v>1318.1209111333869</v>
      </c>
    </row>
    <row r="22" spans="1:18" x14ac:dyDescent="0.25">
      <c r="A22" s="801">
        <v>38961</v>
      </c>
      <c r="B22" s="462">
        <v>87.096000000000004</v>
      </c>
      <c r="C22" s="463">
        <v>17.803229999999999</v>
      </c>
      <c r="D22" s="802">
        <f t="shared" si="0"/>
        <v>2006</v>
      </c>
      <c r="E22" s="802" t="str">
        <f t="shared" si="1"/>
        <v>3</v>
      </c>
      <c r="G22" s="193"/>
    </row>
    <row r="23" spans="1:18" x14ac:dyDescent="0.25">
      <c r="A23" s="801">
        <v>39052</v>
      </c>
      <c r="B23" s="803">
        <v>66.063999999999993</v>
      </c>
      <c r="C23" s="804">
        <v>17.133371</v>
      </c>
      <c r="D23" s="802">
        <f t="shared" si="0"/>
        <v>2006</v>
      </c>
      <c r="E23" s="802" t="str">
        <f t="shared" si="1"/>
        <v>4</v>
      </c>
      <c r="G23" s="193"/>
    </row>
    <row r="24" spans="1:18" x14ac:dyDescent="0.25">
      <c r="A24" s="801">
        <v>39142</v>
      </c>
      <c r="B24" s="462">
        <v>67.822999999999993</v>
      </c>
      <c r="C24" s="463">
        <v>18.376117000000001</v>
      </c>
      <c r="D24" s="802">
        <f t="shared" si="0"/>
        <v>2007</v>
      </c>
      <c r="E24" s="802" t="str">
        <f t="shared" si="1"/>
        <v>1</v>
      </c>
      <c r="G24" s="193"/>
    </row>
    <row r="25" spans="1:18" ht="15.75" thickBot="1" x14ac:dyDescent="0.3">
      <c r="A25" s="801">
        <v>39234</v>
      </c>
      <c r="B25" s="803">
        <v>69.448999999999998</v>
      </c>
      <c r="C25" s="804">
        <v>18.888226</v>
      </c>
      <c r="D25" s="802">
        <f t="shared" si="0"/>
        <v>2007</v>
      </c>
      <c r="E25" s="802" t="str">
        <f t="shared" si="1"/>
        <v>2</v>
      </c>
      <c r="G25" s="193"/>
      <c r="P25" s="806"/>
      <c r="Q25" s="807"/>
      <c r="R25" s="807"/>
    </row>
    <row r="26" spans="1:18" x14ac:dyDescent="0.25">
      <c r="A26" s="801">
        <v>39326</v>
      </c>
      <c r="B26" s="462">
        <v>44.738</v>
      </c>
      <c r="C26" s="463">
        <v>12.719006</v>
      </c>
      <c r="D26" s="802">
        <f t="shared" si="0"/>
        <v>2007</v>
      </c>
      <c r="E26" s="802" t="str">
        <f t="shared" si="1"/>
        <v>3</v>
      </c>
      <c r="G26" s="193"/>
      <c r="P26" s="808" t="s">
        <v>158</v>
      </c>
      <c r="Q26" s="1465" t="s">
        <v>178</v>
      </c>
      <c r="R26" s="1466"/>
    </row>
    <row r="27" spans="1:18" x14ac:dyDescent="0.25">
      <c r="A27" s="801">
        <v>39417</v>
      </c>
      <c r="B27" s="803">
        <v>63.268999999999998</v>
      </c>
      <c r="C27" s="804">
        <v>17.921375999999999</v>
      </c>
      <c r="D27" s="802">
        <f t="shared" si="0"/>
        <v>2007</v>
      </c>
      <c r="E27" s="802" t="str">
        <f t="shared" si="1"/>
        <v>4</v>
      </c>
      <c r="G27" s="193"/>
      <c r="P27" s="1404" t="str">
        <f>CONCATENATE(A7," Quantity And Value By Year")</f>
        <v>Spodumene Concentrate Quantity And Value By Year</v>
      </c>
      <c r="Q27" s="1405"/>
      <c r="R27" s="1406"/>
    </row>
    <row r="28" spans="1:18" x14ac:dyDescent="0.25">
      <c r="A28" s="801">
        <v>39508</v>
      </c>
      <c r="B28" s="462">
        <v>59.527999999999999</v>
      </c>
      <c r="C28" s="463">
        <v>16.824276000000001</v>
      </c>
      <c r="D28" s="802">
        <f t="shared" si="0"/>
        <v>2008</v>
      </c>
      <c r="E28" s="802" t="str">
        <f t="shared" si="1"/>
        <v>1</v>
      </c>
      <c r="G28" s="193"/>
      <c r="P28" s="809" t="s">
        <v>272</v>
      </c>
      <c r="Q28" s="810" t="str">
        <f>Q12</f>
        <v>Quantity (Kt)</v>
      </c>
      <c r="R28" s="811" t="str">
        <f>R12</f>
        <v>Value ($ Million)</v>
      </c>
    </row>
    <row r="29" spans="1:18" x14ac:dyDescent="0.25">
      <c r="A29" s="801">
        <v>39600</v>
      </c>
      <c r="B29" s="803">
        <v>78.48</v>
      </c>
      <c r="C29" s="804">
        <v>22.511177</v>
      </c>
      <c r="D29" s="795">
        <f t="shared" si="0"/>
        <v>2008</v>
      </c>
      <c r="E29" s="795" t="str">
        <f t="shared" si="1"/>
        <v>2</v>
      </c>
      <c r="G29" s="193"/>
      <c r="P29" s="812">
        <f t="shared" ref="P29:P46" si="4">IF($Q$26="Calendar Year", P30-1, LEFT(P30,4)-1 &amp; "-" &amp; MID(P30,3,2))</f>
        <v>2006</v>
      </c>
      <c r="Q29" s="462">
        <f t="shared" ref="Q29:Q54" si="5">IF($P29="","",IF($Q$26="Calendar Year",SUMIF($D$10:$D$201,$P29,$B$10:$B$201),SUMIFS($B$10:$B$201,$D$10:$D$201,LEFT($P29,4),$E$10:$E$201,3)+SUMIFS($B$10:$B$201,$D$10:$D$201,LEFT($P29,4),$E$10:$E$201,4)+SUMIFS($B$10:$B$201,$D$10:$D$201,LEFT($P29,4)+1,$E$10:$E$201,1)+SUMIFS($B$10:$B$201,$D$10:$D$201,LEFT($P29,4)+1,$E$10:$E$201,2)))</f>
        <v>222.101</v>
      </c>
      <c r="R29" s="463">
        <f t="shared" ref="R29:R54" si="6">IF($P29="","",IF($Q$26="Calendar Year",SUMIF($D$10:$D$201,$P29,$C$10:$C$201),SUMIFS($C$10:$C$201,$D$10:$D$201,LEFT($P29,4),$E$10:$E$201,3)+SUMIFS($C$10:$C$201,$D$10:$D$201,LEFT($P29,4),$E$10:$E$201,4)+SUMIFS($C$10:$C$201,$D$10:$D$201,LEFT($P29,4)+1,$E$10:$E$201,1)+SUMIFS($C$10:$C$201,$D$10:$D$201,LEFT($P29,4)+1,$E$10:$E$201,2)))</f>
        <v>51.784586000000004</v>
      </c>
    </row>
    <row r="30" spans="1:18" x14ac:dyDescent="0.25">
      <c r="A30" s="801">
        <v>39692</v>
      </c>
      <c r="B30" s="462">
        <v>49.969000000000001</v>
      </c>
      <c r="C30" s="463">
        <v>16.469846329999999</v>
      </c>
      <c r="D30" s="795">
        <f t="shared" si="0"/>
        <v>2008</v>
      </c>
      <c r="E30" s="795" t="str">
        <f t="shared" si="1"/>
        <v>3</v>
      </c>
      <c r="G30" s="193"/>
      <c r="P30" s="812">
        <f t="shared" si="4"/>
        <v>2007</v>
      </c>
      <c r="Q30" s="803">
        <f t="shared" si="5"/>
        <v>245.279</v>
      </c>
      <c r="R30" s="804">
        <f t="shared" si="6"/>
        <v>67.904724999999999</v>
      </c>
    </row>
    <row r="31" spans="1:18" x14ac:dyDescent="0.25">
      <c r="A31" s="801">
        <v>39783</v>
      </c>
      <c r="B31" s="803">
        <v>51.551000000000002</v>
      </c>
      <c r="C31" s="804">
        <v>17.532228</v>
      </c>
      <c r="D31" s="795">
        <f t="shared" si="0"/>
        <v>2008</v>
      </c>
      <c r="E31" s="795" t="str">
        <f t="shared" si="1"/>
        <v>4</v>
      </c>
      <c r="G31" s="193"/>
      <c r="P31" s="812">
        <f t="shared" si="4"/>
        <v>2008</v>
      </c>
      <c r="Q31" s="462">
        <f t="shared" si="5"/>
        <v>239.52800000000002</v>
      </c>
      <c r="R31" s="463">
        <f t="shared" si="6"/>
        <v>73.33752733</v>
      </c>
    </row>
    <row r="32" spans="1:18" x14ac:dyDescent="0.25">
      <c r="A32" s="801">
        <v>39873</v>
      </c>
      <c r="B32" s="462">
        <v>39.302999999999997</v>
      </c>
      <c r="C32" s="463">
        <v>15.850790999999999</v>
      </c>
      <c r="D32" s="795">
        <f t="shared" si="0"/>
        <v>2009</v>
      </c>
      <c r="E32" s="795" t="str">
        <f t="shared" si="1"/>
        <v>1</v>
      </c>
      <c r="G32" s="193"/>
      <c r="P32" s="812">
        <f t="shared" si="4"/>
        <v>2009</v>
      </c>
      <c r="Q32" s="803">
        <f t="shared" si="5"/>
        <v>197.48214999999999</v>
      </c>
      <c r="R32" s="804">
        <f t="shared" si="6"/>
        <v>71.703547</v>
      </c>
    </row>
    <row r="33" spans="1:18" x14ac:dyDescent="0.25">
      <c r="A33" s="801">
        <v>39965</v>
      </c>
      <c r="B33" s="803">
        <v>82.933149999999998</v>
      </c>
      <c r="C33" s="804">
        <v>30.210339000000001</v>
      </c>
      <c r="D33" s="795">
        <f t="shared" si="0"/>
        <v>2009</v>
      </c>
      <c r="E33" s="795" t="str">
        <f t="shared" si="1"/>
        <v>2</v>
      </c>
      <c r="G33" s="193"/>
      <c r="P33" s="812">
        <f t="shared" si="4"/>
        <v>2010</v>
      </c>
      <c r="Q33" s="462">
        <f t="shared" si="5"/>
        <v>326.86499999999995</v>
      </c>
      <c r="R33" s="463">
        <f t="shared" si="6"/>
        <v>92.182259810000005</v>
      </c>
    </row>
    <row r="34" spans="1:18" x14ac:dyDescent="0.25">
      <c r="A34" s="801">
        <v>40057</v>
      </c>
      <c r="B34" s="462">
        <v>26.47</v>
      </c>
      <c r="C34" s="463">
        <v>10.037209000000001</v>
      </c>
      <c r="D34" s="795">
        <f t="shared" si="0"/>
        <v>2009</v>
      </c>
      <c r="E34" s="795" t="str">
        <f t="shared" si="1"/>
        <v>3</v>
      </c>
      <c r="G34" s="193"/>
      <c r="P34" s="812">
        <f t="shared" si="4"/>
        <v>2011</v>
      </c>
      <c r="Q34" s="803">
        <f t="shared" si="5"/>
        <v>401.53584999999998</v>
      </c>
      <c r="R34" s="804">
        <f t="shared" si="6"/>
        <v>117.3272889</v>
      </c>
    </row>
    <row r="35" spans="1:18" x14ac:dyDescent="0.25">
      <c r="A35" s="801">
        <v>40148</v>
      </c>
      <c r="B35" s="803">
        <v>48.776000000000003</v>
      </c>
      <c r="C35" s="804">
        <v>15.605207999999999</v>
      </c>
      <c r="D35" s="813">
        <f t="shared" si="0"/>
        <v>2009</v>
      </c>
      <c r="E35" s="813" t="str">
        <f t="shared" si="1"/>
        <v>4</v>
      </c>
      <c r="G35" s="193"/>
      <c r="P35" s="812">
        <f t="shared" si="4"/>
        <v>2012</v>
      </c>
      <c r="Q35" s="462">
        <f t="shared" si="5"/>
        <v>500.89855</v>
      </c>
      <c r="R35" s="463">
        <f t="shared" si="6"/>
        <v>162.18938188999999</v>
      </c>
    </row>
    <row r="36" spans="1:18" x14ac:dyDescent="0.25">
      <c r="A36" s="801">
        <v>40238</v>
      </c>
      <c r="B36" s="462">
        <v>77.483000000000004</v>
      </c>
      <c r="C36" s="463">
        <v>21.716777</v>
      </c>
      <c r="D36" s="795">
        <f t="shared" si="0"/>
        <v>2010</v>
      </c>
      <c r="E36" s="795" t="str">
        <f t="shared" si="1"/>
        <v>1</v>
      </c>
      <c r="G36" s="193"/>
      <c r="P36" s="812">
        <f t="shared" si="4"/>
        <v>2013</v>
      </c>
      <c r="Q36" s="803">
        <f t="shared" si="5"/>
        <v>405.11900000000003</v>
      </c>
      <c r="R36" s="804">
        <f t="shared" si="6"/>
        <v>169.28654399999999</v>
      </c>
    </row>
    <row r="37" spans="1:18" x14ac:dyDescent="0.25">
      <c r="A37" s="801">
        <v>40330</v>
      </c>
      <c r="B37" s="803">
        <v>94.692999999999998</v>
      </c>
      <c r="C37" s="804">
        <v>26.077617</v>
      </c>
      <c r="D37" s="795">
        <f t="shared" si="0"/>
        <v>2010</v>
      </c>
      <c r="E37" s="795" t="str">
        <f t="shared" si="1"/>
        <v>2</v>
      </c>
      <c r="G37" s="193"/>
      <c r="P37" s="812">
        <f t="shared" si="4"/>
        <v>2014</v>
      </c>
      <c r="Q37" s="462">
        <f t="shared" si="5"/>
        <v>444.54599999999999</v>
      </c>
      <c r="R37" s="463">
        <f t="shared" si="6"/>
        <v>201.517762</v>
      </c>
    </row>
    <row r="38" spans="1:18" x14ac:dyDescent="0.25">
      <c r="A38" s="801">
        <v>40422</v>
      </c>
      <c r="B38" s="462">
        <v>101.34699999999999</v>
      </c>
      <c r="C38" s="463">
        <v>27.66628781</v>
      </c>
      <c r="D38" s="795">
        <f t="shared" si="0"/>
        <v>2010</v>
      </c>
      <c r="E38" s="795" t="str">
        <f t="shared" si="1"/>
        <v>3</v>
      </c>
      <c r="G38" s="193"/>
      <c r="P38" s="812">
        <f t="shared" si="4"/>
        <v>2015</v>
      </c>
      <c r="Q38" s="803">
        <f t="shared" si="5"/>
        <v>439.51400000000001</v>
      </c>
      <c r="R38" s="804">
        <f t="shared" si="6"/>
        <v>240.17827200000002</v>
      </c>
    </row>
    <row r="39" spans="1:18" x14ac:dyDescent="0.25">
      <c r="A39" s="801">
        <v>40513</v>
      </c>
      <c r="B39" s="803">
        <v>53.341999999999999</v>
      </c>
      <c r="C39" s="804">
        <v>16.721578000000001</v>
      </c>
      <c r="D39" s="795">
        <f t="shared" si="0"/>
        <v>2010</v>
      </c>
      <c r="E39" s="795" t="str">
        <f t="shared" si="1"/>
        <v>4</v>
      </c>
      <c r="G39" s="193"/>
      <c r="I39" s="64"/>
      <c r="J39" s="64"/>
      <c r="K39" s="64"/>
      <c r="L39" s="64"/>
      <c r="M39" s="64"/>
      <c r="N39" s="64"/>
      <c r="O39" s="64"/>
      <c r="P39" s="812">
        <f t="shared" si="4"/>
        <v>2016</v>
      </c>
      <c r="Q39" s="462">
        <f t="shared" si="5"/>
        <v>522.18100000000004</v>
      </c>
      <c r="R39" s="463">
        <f t="shared" si="6"/>
        <v>293.85964200000001</v>
      </c>
    </row>
    <row r="40" spans="1:18" x14ac:dyDescent="0.25">
      <c r="A40" s="801">
        <v>40603</v>
      </c>
      <c r="B40" s="462">
        <v>101.30500000000001</v>
      </c>
      <c r="C40" s="463">
        <v>29.212876999999999</v>
      </c>
      <c r="D40" s="795">
        <f t="shared" si="0"/>
        <v>2011</v>
      </c>
      <c r="E40" s="795" t="str">
        <f t="shared" si="1"/>
        <v>1</v>
      </c>
      <c r="G40" s="193"/>
      <c r="I40" s="64"/>
      <c r="J40" s="64"/>
      <c r="K40" s="64"/>
      <c r="L40" s="64"/>
      <c r="M40" s="64"/>
      <c r="N40" s="64"/>
      <c r="O40" s="64"/>
      <c r="P40" s="812">
        <f t="shared" si="4"/>
        <v>2017</v>
      </c>
      <c r="Q40" s="803">
        <f t="shared" si="5"/>
        <v>1706.61861</v>
      </c>
      <c r="R40" s="804">
        <f t="shared" si="6"/>
        <v>1198.5285669999998</v>
      </c>
    </row>
    <row r="41" spans="1:18" x14ac:dyDescent="0.25">
      <c r="A41" s="801">
        <v>40695</v>
      </c>
      <c r="B41" s="803">
        <v>96.423699999999997</v>
      </c>
      <c r="C41" s="804">
        <v>29.716937160000001</v>
      </c>
      <c r="D41" s="795">
        <f t="shared" si="0"/>
        <v>2011</v>
      </c>
      <c r="E41" s="795" t="str">
        <f t="shared" si="1"/>
        <v>2</v>
      </c>
      <c r="G41" s="193"/>
      <c r="I41" s="64"/>
      <c r="J41" s="64"/>
      <c r="K41" s="64"/>
      <c r="L41" s="64"/>
      <c r="M41" s="64"/>
      <c r="N41" s="64"/>
      <c r="O41" s="64"/>
      <c r="P41" s="812">
        <f t="shared" si="4"/>
        <v>2018</v>
      </c>
      <c r="Q41" s="462">
        <f t="shared" si="5"/>
        <v>1965.9124324999998</v>
      </c>
      <c r="R41" s="463">
        <f t="shared" si="6"/>
        <v>1864.9992829999999</v>
      </c>
    </row>
    <row r="42" spans="1:18" x14ac:dyDescent="0.25">
      <c r="A42" s="801">
        <v>40787</v>
      </c>
      <c r="B42" s="462">
        <v>108.71615</v>
      </c>
      <c r="C42" s="463">
        <v>31.224095949999999</v>
      </c>
      <c r="D42" s="795">
        <f t="shared" si="0"/>
        <v>2011</v>
      </c>
      <c r="E42" s="795" t="str">
        <f t="shared" si="1"/>
        <v>3</v>
      </c>
      <c r="G42" s="193"/>
      <c r="I42" s="64"/>
      <c r="J42" s="64"/>
      <c r="K42" s="64"/>
      <c r="L42" s="64"/>
      <c r="M42" s="64"/>
      <c r="N42" s="64"/>
      <c r="O42" s="64"/>
      <c r="P42" s="812">
        <f t="shared" si="4"/>
        <v>2019</v>
      </c>
      <c r="Q42" s="803">
        <f t="shared" si="5"/>
        <v>1588.2630230000002</v>
      </c>
      <c r="R42" s="804">
        <f t="shared" si="6"/>
        <v>1317.353541</v>
      </c>
    </row>
    <row r="43" spans="1:18" x14ac:dyDescent="0.25">
      <c r="A43" s="801">
        <v>40878</v>
      </c>
      <c r="B43" s="803">
        <v>95.090999999999994</v>
      </c>
      <c r="C43" s="804">
        <v>27.173378789999997</v>
      </c>
      <c r="D43" s="795">
        <f t="shared" si="0"/>
        <v>2011</v>
      </c>
      <c r="E43" s="795" t="str">
        <f t="shared" si="1"/>
        <v>4</v>
      </c>
      <c r="G43" s="193"/>
      <c r="I43" s="64"/>
      <c r="J43" s="64"/>
      <c r="K43" s="64"/>
      <c r="L43" s="64"/>
      <c r="M43" s="64"/>
      <c r="N43" s="64"/>
      <c r="O43" s="64"/>
      <c r="P43" s="812">
        <f t="shared" si="4"/>
        <v>2020</v>
      </c>
      <c r="Q43" s="462">
        <f t="shared" si="5"/>
        <v>1477.0900270000002</v>
      </c>
      <c r="R43" s="463">
        <f t="shared" si="6"/>
        <v>822.77081499999997</v>
      </c>
    </row>
    <row r="44" spans="1:18" x14ac:dyDescent="0.25">
      <c r="A44" s="801">
        <v>40969</v>
      </c>
      <c r="B44" s="462">
        <v>143.05491000000001</v>
      </c>
      <c r="C44" s="463">
        <v>44.613789560000001</v>
      </c>
      <c r="D44" s="795">
        <f t="shared" si="0"/>
        <v>2012</v>
      </c>
      <c r="E44" s="795" t="str">
        <f t="shared" si="1"/>
        <v>1</v>
      </c>
      <c r="G44" s="193"/>
      <c r="I44" s="64"/>
      <c r="J44" s="64"/>
      <c r="K44" s="64"/>
      <c r="L44" s="64"/>
      <c r="M44" s="64"/>
      <c r="N44" s="64"/>
      <c r="O44" s="64"/>
      <c r="P44" s="812">
        <f t="shared" si="4"/>
        <v>2021</v>
      </c>
      <c r="Q44" s="803">
        <f t="shared" si="5"/>
        <v>1966.744338</v>
      </c>
      <c r="R44" s="804">
        <f t="shared" si="6"/>
        <v>2687.7823339999995</v>
      </c>
    </row>
    <row r="45" spans="1:18" x14ac:dyDescent="0.25">
      <c r="A45" s="801">
        <v>41061</v>
      </c>
      <c r="B45" s="803">
        <v>114.25875000000001</v>
      </c>
      <c r="C45" s="804">
        <v>35.402556759999996</v>
      </c>
      <c r="D45" s="795">
        <f t="shared" si="0"/>
        <v>2012</v>
      </c>
      <c r="E45" s="795" t="str">
        <f t="shared" si="1"/>
        <v>2</v>
      </c>
      <c r="G45" s="193"/>
      <c r="I45" s="64"/>
      <c r="J45" s="64"/>
      <c r="K45" s="64"/>
      <c r="L45" s="64"/>
      <c r="M45" s="64" t="e">
        <f>#REF!&amp;CHAR(10)&amp;"Quantity and Value by "&amp;Q26</f>
        <v>#REF!</v>
      </c>
      <c r="N45" s="64"/>
      <c r="O45" s="64"/>
      <c r="P45" s="812">
        <f t="shared" si="4"/>
        <v>2022</v>
      </c>
      <c r="Q45" s="462">
        <f t="shared" si="5"/>
        <v>2825.3749280000002</v>
      </c>
      <c r="R45" s="463">
        <f t="shared" si="6"/>
        <v>17034.832617</v>
      </c>
    </row>
    <row r="46" spans="1:18" x14ac:dyDescent="0.25">
      <c r="A46" s="801">
        <v>41153</v>
      </c>
      <c r="B46" s="462">
        <v>124.63388999999999</v>
      </c>
      <c r="C46" s="463">
        <v>40.680747100000005</v>
      </c>
      <c r="D46" s="795">
        <f t="shared" si="0"/>
        <v>2012</v>
      </c>
      <c r="E46" s="795" t="str">
        <f t="shared" si="1"/>
        <v>3</v>
      </c>
      <c r="G46" s="193"/>
      <c r="I46" s="64"/>
      <c r="J46" s="64"/>
      <c r="K46" s="64"/>
      <c r="L46" s="64"/>
      <c r="M46" s="64"/>
      <c r="N46" s="64"/>
      <c r="O46" s="64"/>
      <c r="P46" s="812">
        <f t="shared" si="4"/>
        <v>2023</v>
      </c>
      <c r="Q46" s="803">
        <f t="shared" si="5"/>
        <v>3398.2612950000002</v>
      </c>
      <c r="R46" s="804">
        <f t="shared" si="6"/>
        <v>15990.229719999998</v>
      </c>
    </row>
    <row r="47" spans="1:18" x14ac:dyDescent="0.25">
      <c r="A47" s="801">
        <v>41244</v>
      </c>
      <c r="B47" s="803">
        <v>118.95099999999999</v>
      </c>
      <c r="C47" s="804">
        <v>41.492288469999998</v>
      </c>
      <c r="D47" s="795">
        <f t="shared" si="0"/>
        <v>2012</v>
      </c>
      <c r="E47" s="795" t="str">
        <f t="shared" si="1"/>
        <v>4</v>
      </c>
      <c r="G47" s="193"/>
      <c r="I47" s="64"/>
      <c r="J47" s="64"/>
      <c r="K47" s="64"/>
      <c r="L47" s="64"/>
      <c r="M47" s="64"/>
      <c r="N47" s="64"/>
      <c r="O47" s="64"/>
      <c r="P47" s="812">
        <f>IF($Q$26="Calendar Year", P48-1, LEFT(P48,4)-1 &amp; "-" &amp; MID(P48,3,2))</f>
        <v>2024</v>
      </c>
      <c r="Q47" s="462">
        <f t="shared" si="5"/>
        <v>3796.099287</v>
      </c>
      <c r="R47" s="463">
        <f t="shared" si="6"/>
        <v>5032.6976560000003</v>
      </c>
    </row>
    <row r="48" spans="1:18" ht="15.75" thickBot="1" x14ac:dyDescent="0.3">
      <c r="A48" s="801">
        <v>41334</v>
      </c>
      <c r="B48" s="462">
        <v>87.549000000000007</v>
      </c>
      <c r="C48" s="463">
        <v>32.084334999999996</v>
      </c>
      <c r="D48" s="795">
        <f t="shared" si="0"/>
        <v>2013</v>
      </c>
      <c r="E48" s="795" t="str">
        <f t="shared" si="1"/>
        <v>1</v>
      </c>
      <c r="G48" s="193"/>
      <c r="I48" s="64"/>
      <c r="J48" s="64"/>
      <c r="K48" s="64"/>
      <c r="L48" s="64"/>
      <c r="M48" s="64"/>
      <c r="N48" s="64"/>
      <c r="O48" s="64"/>
      <c r="P48" s="814">
        <f>IF($Q$26="Calendar Year",
    YEAR(LARGE($A:$A, 4)),
    IF(MONTH(LARGE($A:$A, 4))&gt;6,
        YEAR(LARGE($A:$A, 4)) &amp; "-" &amp; RIGHT(YEAR(LARGE($A:$A, 4))+1, 2),
        YEAR(LARGE($A:$A, 4))-1 &amp; "-" &amp; RIGHT(YEAR(LARGE($A:$A, 4)), 2)
    ))</f>
        <v>2025</v>
      </c>
      <c r="Q48" s="815">
        <f t="shared" si="5"/>
        <v>3956.2635719999994</v>
      </c>
      <c r="R48" s="816">
        <f t="shared" si="6"/>
        <v>4461.8779101333876</v>
      </c>
    </row>
    <row r="49" spans="1:18" x14ac:dyDescent="0.25">
      <c r="A49" s="801">
        <v>41426</v>
      </c>
      <c r="B49" s="803">
        <v>154.745</v>
      </c>
      <c r="C49" s="804">
        <v>64.529313999999999</v>
      </c>
      <c r="D49" s="795">
        <f t="shared" si="0"/>
        <v>2013</v>
      </c>
      <c r="E49" s="795" t="str">
        <f t="shared" si="1"/>
        <v>2</v>
      </c>
      <c r="G49" s="193"/>
      <c r="I49" s="64"/>
      <c r="J49" s="64"/>
      <c r="K49" s="64"/>
      <c r="L49" s="64"/>
      <c r="M49" s="64"/>
      <c r="N49" s="64"/>
      <c r="O49" s="64"/>
      <c r="P49" s="487" t="str">
        <f>IFERROR(IF(YEAR(MAX('Commodity Prices'!$C$11:$C1516))=VALUE(RIGHT(P48,4)),"",IF($Q$26="Calendar Year",P48+1,CONCATENATE(LEFT(P48,4)+1,"-",RIGHT(P48,4)+1))),"")</f>
        <v/>
      </c>
      <c r="Q49" s="590" t="str">
        <f t="shared" si="5"/>
        <v/>
      </c>
      <c r="R49" s="590" t="str">
        <f t="shared" si="6"/>
        <v/>
      </c>
    </row>
    <row r="50" spans="1:18" x14ac:dyDescent="0.25">
      <c r="A50" s="801">
        <v>41518</v>
      </c>
      <c r="B50" s="462">
        <v>69.808999999999997</v>
      </c>
      <c r="C50" s="463">
        <v>31.509907999999999</v>
      </c>
      <c r="D50" s="795">
        <f t="shared" si="0"/>
        <v>2013</v>
      </c>
      <c r="E50" s="795" t="str">
        <f t="shared" si="1"/>
        <v>3</v>
      </c>
      <c r="G50" s="193"/>
      <c r="I50" s="64"/>
      <c r="J50" s="64"/>
      <c r="K50" s="64"/>
      <c r="L50" s="64"/>
      <c r="M50" s="64"/>
      <c r="N50" s="64"/>
      <c r="O50" s="64"/>
      <c r="P50" s="487" t="str">
        <f>IFERROR(IF(YEAR(MAX('Commodity Prices'!$C$11:$C1516))=VALUE(RIGHT(P49,4)),"",IF($Q$26="Calendar Year",P49+1,CONCATENATE(LEFT(P49,4)+1,"-",RIGHT(P49,4)+1))),"")</f>
        <v/>
      </c>
      <c r="Q50" s="590" t="str">
        <f t="shared" si="5"/>
        <v/>
      </c>
      <c r="R50" s="590" t="str">
        <f t="shared" si="6"/>
        <v/>
      </c>
    </row>
    <row r="51" spans="1:18" x14ac:dyDescent="0.25">
      <c r="A51" s="801">
        <v>41609</v>
      </c>
      <c r="B51" s="803">
        <v>93.016000000000005</v>
      </c>
      <c r="C51" s="804">
        <v>41.162987000000001</v>
      </c>
      <c r="D51" s="795">
        <f t="shared" si="0"/>
        <v>2013</v>
      </c>
      <c r="E51" s="795" t="str">
        <f t="shared" si="1"/>
        <v>4</v>
      </c>
      <c r="G51" s="193"/>
      <c r="I51" s="64"/>
      <c r="J51" s="64"/>
      <c r="K51" s="64"/>
      <c r="L51" s="64"/>
      <c r="M51" s="64"/>
      <c r="N51" s="64"/>
      <c r="O51" s="64"/>
      <c r="P51" s="487" t="str">
        <f>IFERROR(IF(YEAR(MAX('Commodity Prices'!$C$11:$C1516))=VALUE(RIGHT(P50,4)),"",IF($Q$26="Calendar Year",P50+1,CONCATENATE(LEFT(P50,4)+1,"-",RIGHT(P50,4)+1))),"")</f>
        <v/>
      </c>
      <c r="Q51" s="590" t="str">
        <f t="shared" si="5"/>
        <v/>
      </c>
      <c r="R51" s="590" t="str">
        <f t="shared" si="6"/>
        <v/>
      </c>
    </row>
    <row r="52" spans="1:18" x14ac:dyDescent="0.25">
      <c r="A52" s="801">
        <v>41699</v>
      </c>
      <c r="B52" s="462">
        <v>68.242000000000004</v>
      </c>
      <c r="C52" s="463">
        <v>32.743884000000001</v>
      </c>
      <c r="D52" s="795">
        <f t="shared" si="0"/>
        <v>2014</v>
      </c>
      <c r="E52" s="795" t="str">
        <f t="shared" si="1"/>
        <v>1</v>
      </c>
      <c r="G52" s="193"/>
      <c r="P52" s="487" t="str">
        <f>IFERROR(IF(YEAR(MAX('Commodity Prices'!$C$11:$C1516))=VALUE(RIGHT(P51,4)),"",IF($Q$26="Calendar Year",P51+1,CONCATENATE(LEFT(P51,4)+1,"-",RIGHT(P51,4)+1))),"")</f>
        <v/>
      </c>
      <c r="Q52" s="590" t="str">
        <f t="shared" si="5"/>
        <v/>
      </c>
      <c r="R52" s="590" t="str">
        <f t="shared" si="6"/>
        <v/>
      </c>
    </row>
    <row r="53" spans="1:18" x14ac:dyDescent="0.25">
      <c r="A53" s="801">
        <v>41791</v>
      </c>
      <c r="B53" s="803">
        <v>110.998</v>
      </c>
      <c r="C53" s="804">
        <v>45.147597999999995</v>
      </c>
      <c r="D53" s="795">
        <f t="shared" si="0"/>
        <v>2014</v>
      </c>
      <c r="E53" s="795" t="str">
        <f t="shared" si="1"/>
        <v>2</v>
      </c>
      <c r="G53" s="193"/>
      <c r="P53" s="487" t="str">
        <f>IFERROR(IF(YEAR(MAX('Commodity Prices'!$C$11:$C1516))=VALUE(RIGHT(P52,4)),"",IF($Q$26="Calendar Year",P52+1,CONCATENATE(LEFT(P52,4)+1,"-",RIGHT(P52,4)+1))),"")</f>
        <v/>
      </c>
      <c r="Q53" s="590" t="str">
        <f t="shared" si="5"/>
        <v/>
      </c>
      <c r="R53" s="590" t="str">
        <f t="shared" si="6"/>
        <v/>
      </c>
    </row>
    <row r="54" spans="1:18" x14ac:dyDescent="0.25">
      <c r="A54" s="801">
        <v>41883</v>
      </c>
      <c r="B54" s="462">
        <v>98.152000000000001</v>
      </c>
      <c r="C54" s="463">
        <v>41.524011999999999</v>
      </c>
      <c r="D54" s="795">
        <f t="shared" si="0"/>
        <v>2014</v>
      </c>
      <c r="E54" s="795" t="str">
        <f t="shared" si="1"/>
        <v>3</v>
      </c>
      <c r="P54" s="487" t="str">
        <f>IFERROR(IF(YEAR(MAX('Commodity Prices'!$C$11:$C1516))=VALUE(RIGHT(P53,4)),"",IF($Q$26="Calendar Year",P53+1,CONCATENATE(LEFT(P53,4)+1,"-",RIGHT(P53,4)+1))),"")</f>
        <v/>
      </c>
      <c r="Q54" s="590" t="str">
        <f t="shared" si="5"/>
        <v/>
      </c>
      <c r="R54" s="590" t="str">
        <f t="shared" si="6"/>
        <v/>
      </c>
    </row>
    <row r="55" spans="1:18" x14ac:dyDescent="0.25">
      <c r="A55" s="801">
        <v>41974</v>
      </c>
      <c r="B55" s="803">
        <v>167.154</v>
      </c>
      <c r="C55" s="804">
        <v>82.102267999999995</v>
      </c>
      <c r="D55" s="795">
        <f t="shared" si="0"/>
        <v>2014</v>
      </c>
      <c r="E55" s="795" t="str">
        <f t="shared" si="1"/>
        <v>4</v>
      </c>
    </row>
    <row r="56" spans="1:18" x14ac:dyDescent="0.25">
      <c r="A56" s="801">
        <v>42064</v>
      </c>
      <c r="B56" s="462">
        <v>117.108</v>
      </c>
      <c r="C56" s="463">
        <v>63.922114000000001</v>
      </c>
      <c r="D56" s="795">
        <f t="shared" si="0"/>
        <v>2015</v>
      </c>
      <c r="E56" s="795" t="str">
        <f t="shared" si="1"/>
        <v>1</v>
      </c>
      <c r="P56" s="193"/>
    </row>
    <row r="57" spans="1:18" x14ac:dyDescent="0.25">
      <c r="A57" s="801">
        <v>42156</v>
      </c>
      <c r="B57" s="817">
        <v>106.66</v>
      </c>
      <c r="C57" s="818">
        <v>58.325992999999997</v>
      </c>
      <c r="D57" s="795">
        <f t="shared" si="0"/>
        <v>2015</v>
      </c>
      <c r="E57" s="795" t="str">
        <f t="shared" si="1"/>
        <v>2</v>
      </c>
      <c r="Q57" s="193"/>
    </row>
    <row r="58" spans="1:18" x14ac:dyDescent="0.25">
      <c r="A58" s="801">
        <v>42248</v>
      </c>
      <c r="B58" s="569">
        <v>169.30600000000001</v>
      </c>
      <c r="C58" s="674">
        <v>91.582151999999994</v>
      </c>
      <c r="D58" s="795">
        <f t="shared" si="0"/>
        <v>2015</v>
      </c>
      <c r="E58" s="795" t="str">
        <f t="shared" si="1"/>
        <v>3</v>
      </c>
      <c r="P58" s="486"/>
    </row>
    <row r="59" spans="1:18" x14ac:dyDescent="0.25">
      <c r="A59" s="801">
        <v>42339</v>
      </c>
      <c r="B59" s="817">
        <v>46.44</v>
      </c>
      <c r="C59" s="818">
        <v>26.348012999999998</v>
      </c>
      <c r="D59" s="795">
        <f t="shared" si="0"/>
        <v>2015</v>
      </c>
      <c r="E59" s="795" t="str">
        <f t="shared" si="1"/>
        <v>4</v>
      </c>
      <c r="G59" s="193"/>
      <c r="H59" s="316"/>
      <c r="P59" s="193"/>
    </row>
    <row r="60" spans="1:18" x14ac:dyDescent="0.25">
      <c r="A60" s="801">
        <v>42430</v>
      </c>
      <c r="B60" s="569">
        <v>112.768</v>
      </c>
      <c r="C60" s="674">
        <v>67.054581999999996</v>
      </c>
      <c r="D60" s="795">
        <f t="shared" si="0"/>
        <v>2016</v>
      </c>
      <c r="E60" s="795" t="str">
        <f t="shared" si="1"/>
        <v>1</v>
      </c>
      <c r="H60" s="316"/>
      <c r="P60" s="193"/>
      <c r="Q60" s="819"/>
    </row>
    <row r="61" spans="1:18" x14ac:dyDescent="0.25">
      <c r="A61" s="801">
        <v>42522</v>
      </c>
      <c r="B61" s="817">
        <v>137.303</v>
      </c>
      <c r="C61" s="818">
        <v>75.736792999999992</v>
      </c>
      <c r="D61" s="795">
        <f t="shared" si="0"/>
        <v>2016</v>
      </c>
      <c r="E61" s="795" t="str">
        <f t="shared" si="1"/>
        <v>2</v>
      </c>
      <c r="H61" s="316"/>
    </row>
    <row r="62" spans="1:18" x14ac:dyDescent="0.25">
      <c r="A62" s="801">
        <v>42614</v>
      </c>
      <c r="B62" s="569">
        <v>122.422</v>
      </c>
      <c r="C62" s="674">
        <v>66.685486999999995</v>
      </c>
      <c r="D62" s="795">
        <f t="shared" si="0"/>
        <v>2016</v>
      </c>
      <c r="E62" s="795" t="str">
        <f t="shared" si="1"/>
        <v>3</v>
      </c>
    </row>
    <row r="63" spans="1:18" x14ac:dyDescent="0.25">
      <c r="A63" s="801">
        <v>42705</v>
      </c>
      <c r="B63" s="817">
        <v>149.68800000000002</v>
      </c>
      <c r="C63" s="818">
        <v>84.382779999999997</v>
      </c>
      <c r="D63" s="795">
        <f t="shared" si="0"/>
        <v>2016</v>
      </c>
      <c r="E63" s="795" t="str">
        <f t="shared" si="1"/>
        <v>4</v>
      </c>
    </row>
    <row r="64" spans="1:18" x14ac:dyDescent="0.25">
      <c r="A64" s="801">
        <v>42795</v>
      </c>
      <c r="B64" s="569">
        <v>197.61623</v>
      </c>
      <c r="C64" s="674">
        <v>134.485433</v>
      </c>
      <c r="D64" s="795">
        <f t="shared" si="0"/>
        <v>2017</v>
      </c>
      <c r="E64" s="795" t="str">
        <f t="shared" si="1"/>
        <v>1</v>
      </c>
    </row>
    <row r="65" spans="1:17" x14ac:dyDescent="0.25">
      <c r="A65" s="801">
        <v>42887</v>
      </c>
      <c r="B65" s="817">
        <v>444.33004500000004</v>
      </c>
      <c r="C65" s="818">
        <v>309.91839499999998</v>
      </c>
      <c r="D65" s="795">
        <f t="shared" si="0"/>
        <v>2017</v>
      </c>
      <c r="E65" s="795" t="str">
        <f t="shared" si="1"/>
        <v>2</v>
      </c>
    </row>
    <row r="66" spans="1:17" x14ac:dyDescent="0.25">
      <c r="A66" s="801">
        <v>42979</v>
      </c>
      <c r="B66" s="569">
        <v>443.59343749999999</v>
      </c>
      <c r="C66" s="674">
        <v>305.88752999999997</v>
      </c>
      <c r="D66" s="795">
        <f t="shared" si="0"/>
        <v>2017</v>
      </c>
      <c r="E66" s="795" t="str">
        <f t="shared" si="1"/>
        <v>3</v>
      </c>
      <c r="Q66" s="28"/>
    </row>
    <row r="67" spans="1:17" x14ac:dyDescent="0.25">
      <c r="A67" s="801">
        <v>43070</v>
      </c>
      <c r="B67" s="817">
        <v>621.07889749999993</v>
      </c>
      <c r="C67" s="818">
        <v>448.23720900000001</v>
      </c>
      <c r="D67" s="795">
        <f t="shared" si="0"/>
        <v>2017</v>
      </c>
      <c r="E67" s="795" t="str">
        <f t="shared" si="1"/>
        <v>4</v>
      </c>
      <c r="Q67" s="28"/>
    </row>
    <row r="68" spans="1:17" x14ac:dyDescent="0.25">
      <c r="A68" s="801">
        <v>43160</v>
      </c>
      <c r="B68" s="462">
        <v>535.00334250000003</v>
      </c>
      <c r="C68" s="463">
        <v>448.96411000000001</v>
      </c>
      <c r="D68" s="795">
        <f t="shared" si="0"/>
        <v>2018</v>
      </c>
      <c r="E68" s="795" t="str">
        <f t="shared" si="1"/>
        <v>1</v>
      </c>
    </row>
    <row r="69" spans="1:17" x14ac:dyDescent="0.25">
      <c r="A69" s="801">
        <v>43252</v>
      </c>
      <c r="B69" s="803">
        <v>538.55034000000001</v>
      </c>
      <c r="C69" s="804">
        <v>495.37811799999997</v>
      </c>
      <c r="D69" s="795">
        <f t="shared" si="0"/>
        <v>2018</v>
      </c>
      <c r="E69" s="795" t="str">
        <f t="shared" si="1"/>
        <v>2</v>
      </c>
    </row>
    <row r="70" spans="1:17" x14ac:dyDescent="0.25">
      <c r="A70" s="801">
        <v>43344</v>
      </c>
      <c r="B70" s="462">
        <v>472.00326000000001</v>
      </c>
      <c r="C70" s="463">
        <v>461.28775999999999</v>
      </c>
      <c r="D70" s="795">
        <f t="shared" si="0"/>
        <v>2018</v>
      </c>
      <c r="E70" s="795" t="str">
        <f t="shared" si="1"/>
        <v>3</v>
      </c>
    </row>
    <row r="71" spans="1:17" x14ac:dyDescent="0.25">
      <c r="A71" s="801">
        <v>43435</v>
      </c>
      <c r="B71" s="803">
        <v>420.35548999999997</v>
      </c>
      <c r="C71" s="804">
        <v>459.36929499999997</v>
      </c>
      <c r="D71" s="795">
        <f t="shared" si="0"/>
        <v>2018</v>
      </c>
      <c r="E71" s="795" t="str">
        <f t="shared" si="1"/>
        <v>4</v>
      </c>
    </row>
    <row r="72" spans="1:17" x14ac:dyDescent="0.25">
      <c r="A72" s="801">
        <v>43525</v>
      </c>
      <c r="B72" s="462">
        <v>405.89135299999998</v>
      </c>
      <c r="C72" s="463">
        <v>391.29296499999998</v>
      </c>
      <c r="D72" s="795">
        <f t="shared" si="0"/>
        <v>2019</v>
      </c>
      <c r="E72" s="795" t="str">
        <f t="shared" si="1"/>
        <v>1</v>
      </c>
    </row>
    <row r="73" spans="1:17" x14ac:dyDescent="0.25">
      <c r="A73" s="801">
        <v>43617</v>
      </c>
      <c r="B73" s="820">
        <v>398.65754000000004</v>
      </c>
      <c r="C73" s="821">
        <v>351.14332300000001</v>
      </c>
      <c r="D73" s="795">
        <f t="shared" si="0"/>
        <v>2019</v>
      </c>
      <c r="E73" s="795" t="str">
        <f t="shared" si="1"/>
        <v>2</v>
      </c>
    </row>
    <row r="74" spans="1:17" x14ac:dyDescent="0.25">
      <c r="A74" s="822">
        <v>43709</v>
      </c>
      <c r="B74" s="462">
        <v>407.50171</v>
      </c>
      <c r="C74" s="463">
        <v>326.05080599999997</v>
      </c>
      <c r="D74" s="795">
        <f t="shared" si="0"/>
        <v>2019</v>
      </c>
      <c r="E74" s="795" t="str">
        <f t="shared" si="1"/>
        <v>3</v>
      </c>
    </row>
    <row r="75" spans="1:17" x14ac:dyDescent="0.25">
      <c r="A75" s="801">
        <v>43800</v>
      </c>
      <c r="B75" s="803">
        <v>376.21242000000001</v>
      </c>
      <c r="C75" s="804">
        <v>248.86644699999999</v>
      </c>
      <c r="D75" s="795">
        <f t="shared" si="0"/>
        <v>2019</v>
      </c>
      <c r="E75" s="795" t="str">
        <f t="shared" si="1"/>
        <v>4</v>
      </c>
    </row>
    <row r="76" spans="1:17" x14ac:dyDescent="0.25">
      <c r="A76" s="822">
        <v>43891</v>
      </c>
      <c r="B76" s="462">
        <v>363.39027999999996</v>
      </c>
      <c r="C76" s="463">
        <v>234.55637299999998</v>
      </c>
      <c r="D76" s="795">
        <f t="shared" si="0"/>
        <v>2020</v>
      </c>
      <c r="E76" s="795" t="str">
        <f t="shared" si="1"/>
        <v>1</v>
      </c>
    </row>
    <row r="77" spans="1:17" x14ac:dyDescent="0.25">
      <c r="A77" s="801">
        <v>43983</v>
      </c>
      <c r="B77" s="803">
        <v>312.69251000000003</v>
      </c>
      <c r="C77" s="804">
        <v>189.18253199999998</v>
      </c>
      <c r="D77" s="795">
        <f t="shared" ref="D77:D140" si="7">YEAR(A77)</f>
        <v>2020</v>
      </c>
      <c r="E77" s="795" t="str">
        <f t="shared" ref="E77:E140" si="8">IF(MONTH(A77)=3,"1",IF(MONTH(A77)=6,"2",IF(MONTH(A77)=9,"3","4")))</f>
        <v>2</v>
      </c>
    </row>
    <row r="78" spans="1:17" x14ac:dyDescent="0.25">
      <c r="A78" s="801">
        <v>44075</v>
      </c>
      <c r="B78" s="462">
        <v>360.40602200000006</v>
      </c>
      <c r="C78" s="463">
        <v>178.09383199999999</v>
      </c>
      <c r="D78" s="795">
        <f t="shared" si="7"/>
        <v>2020</v>
      </c>
      <c r="E78" s="795" t="str">
        <f t="shared" si="8"/>
        <v>3</v>
      </c>
    </row>
    <row r="79" spans="1:17" x14ac:dyDescent="0.25">
      <c r="A79" s="801">
        <v>44166</v>
      </c>
      <c r="B79" s="803">
        <v>440.60121500000002</v>
      </c>
      <c r="C79" s="804">
        <v>220.93807799999999</v>
      </c>
      <c r="D79" s="795">
        <f t="shared" si="7"/>
        <v>2020</v>
      </c>
      <c r="E79" s="795" t="str">
        <f t="shared" si="8"/>
        <v>4</v>
      </c>
    </row>
    <row r="80" spans="1:17" x14ac:dyDescent="0.25">
      <c r="A80" s="801">
        <v>44256</v>
      </c>
      <c r="B80" s="462">
        <v>354.04701</v>
      </c>
      <c r="C80" s="463">
        <v>231.74695399999999</v>
      </c>
      <c r="D80" s="795">
        <f t="shared" si="7"/>
        <v>2021</v>
      </c>
      <c r="E80" s="795" t="str">
        <f t="shared" si="8"/>
        <v>1</v>
      </c>
    </row>
    <row r="81" spans="1:5" x14ac:dyDescent="0.25">
      <c r="A81" s="822">
        <v>44348</v>
      </c>
      <c r="B81" s="803">
        <v>554.84235000000001</v>
      </c>
      <c r="C81" s="804">
        <v>423.11411799999996</v>
      </c>
      <c r="D81" s="795">
        <f t="shared" si="7"/>
        <v>2021</v>
      </c>
      <c r="E81" s="795" t="str">
        <f t="shared" si="8"/>
        <v>2</v>
      </c>
    </row>
    <row r="82" spans="1:5" x14ac:dyDescent="0.25">
      <c r="A82" s="801">
        <v>44440</v>
      </c>
      <c r="B82" s="462">
        <v>549.58255799999995</v>
      </c>
      <c r="C82" s="463">
        <v>810.97317099999998</v>
      </c>
      <c r="D82" s="795">
        <f t="shared" si="7"/>
        <v>2021</v>
      </c>
      <c r="E82" s="795" t="str">
        <f t="shared" si="8"/>
        <v>3</v>
      </c>
    </row>
    <row r="83" spans="1:5" x14ac:dyDescent="0.25">
      <c r="A83" s="801">
        <v>44531</v>
      </c>
      <c r="B83" s="803">
        <v>508.27242000000007</v>
      </c>
      <c r="C83" s="804">
        <v>1221.948091</v>
      </c>
      <c r="D83" s="795">
        <f t="shared" si="7"/>
        <v>2021</v>
      </c>
      <c r="E83" s="795" t="str">
        <f t="shared" si="8"/>
        <v>4</v>
      </c>
    </row>
    <row r="84" spans="1:5" x14ac:dyDescent="0.25">
      <c r="A84" s="801">
        <v>44621</v>
      </c>
      <c r="B84" s="462">
        <v>491.18499000000003</v>
      </c>
      <c r="C84" s="463">
        <v>1859.456328</v>
      </c>
      <c r="D84" s="795">
        <f t="shared" si="7"/>
        <v>2022</v>
      </c>
      <c r="E84" s="795" t="str">
        <f t="shared" si="8"/>
        <v>1</v>
      </c>
    </row>
    <row r="85" spans="1:5" x14ac:dyDescent="0.25">
      <c r="A85" s="801">
        <v>44713</v>
      </c>
      <c r="B85" s="803">
        <v>693.96413199999995</v>
      </c>
      <c r="C85" s="804">
        <v>4083.7290389999998</v>
      </c>
      <c r="D85" s="795">
        <f t="shared" si="7"/>
        <v>2022</v>
      </c>
      <c r="E85" s="795" t="str">
        <f t="shared" si="8"/>
        <v>2</v>
      </c>
    </row>
    <row r="86" spans="1:5" x14ac:dyDescent="0.25">
      <c r="A86" s="801">
        <v>44805</v>
      </c>
      <c r="B86" s="462">
        <v>757.78629599999999</v>
      </c>
      <c r="C86" s="463">
        <v>4447.4842209999997</v>
      </c>
      <c r="D86" s="795">
        <f t="shared" si="7"/>
        <v>2022</v>
      </c>
      <c r="E86" s="795" t="str">
        <f t="shared" si="8"/>
        <v>3</v>
      </c>
    </row>
    <row r="87" spans="1:5" x14ac:dyDescent="0.25">
      <c r="A87" s="801">
        <v>44896</v>
      </c>
      <c r="B87" s="803">
        <v>882.43951000000004</v>
      </c>
      <c r="C87" s="804">
        <v>6644.1630289999994</v>
      </c>
      <c r="D87" s="795">
        <f t="shared" si="7"/>
        <v>2022</v>
      </c>
      <c r="E87" s="795" t="str">
        <f t="shared" si="8"/>
        <v>4</v>
      </c>
    </row>
    <row r="88" spans="1:5" x14ac:dyDescent="0.25">
      <c r="A88" s="801">
        <v>44986</v>
      </c>
      <c r="B88" s="462">
        <v>808.74401399999999</v>
      </c>
      <c r="C88" s="463">
        <v>5632.408829</v>
      </c>
      <c r="D88" s="795">
        <f t="shared" si="7"/>
        <v>2023</v>
      </c>
      <c r="E88" s="795" t="str">
        <f t="shared" si="8"/>
        <v>1</v>
      </c>
    </row>
    <row r="89" spans="1:5" x14ac:dyDescent="0.25">
      <c r="A89" s="801">
        <v>45078</v>
      </c>
      <c r="B89" s="803">
        <v>874.227037</v>
      </c>
      <c r="C89" s="804">
        <v>4731.9986859999999</v>
      </c>
      <c r="D89" s="795">
        <f t="shared" si="7"/>
        <v>2023</v>
      </c>
      <c r="E89" s="795" t="str">
        <f t="shared" si="8"/>
        <v>2</v>
      </c>
    </row>
    <row r="90" spans="1:5" x14ac:dyDescent="0.25">
      <c r="A90" s="801">
        <v>45170</v>
      </c>
      <c r="B90" s="462">
        <v>911.38977800000009</v>
      </c>
      <c r="C90" s="463">
        <v>3864.5758179999998</v>
      </c>
      <c r="D90" s="795">
        <f t="shared" si="7"/>
        <v>2023</v>
      </c>
      <c r="E90" s="795" t="str">
        <f t="shared" si="8"/>
        <v>3</v>
      </c>
    </row>
    <row r="91" spans="1:5" x14ac:dyDescent="0.25">
      <c r="A91" s="801">
        <v>45261</v>
      </c>
      <c r="B91" s="803">
        <v>803.90046600000005</v>
      </c>
      <c r="C91" s="804">
        <v>1761.2463869999999</v>
      </c>
      <c r="D91" s="795">
        <f t="shared" si="7"/>
        <v>2023</v>
      </c>
      <c r="E91" s="795" t="str">
        <f t="shared" si="8"/>
        <v>4</v>
      </c>
    </row>
    <row r="92" spans="1:5" x14ac:dyDescent="0.25">
      <c r="A92" s="801">
        <v>45352</v>
      </c>
      <c r="B92" s="462">
        <v>649.45715599999994</v>
      </c>
      <c r="C92" s="463">
        <v>964.39536799999996</v>
      </c>
      <c r="D92" s="795">
        <f t="shared" si="7"/>
        <v>2024</v>
      </c>
      <c r="E92" s="795" t="str">
        <f t="shared" si="8"/>
        <v>1</v>
      </c>
    </row>
    <row r="93" spans="1:5" x14ac:dyDescent="0.25">
      <c r="A93" s="801">
        <v>45444</v>
      </c>
      <c r="B93" s="803">
        <v>1223.6669209999998</v>
      </c>
      <c r="C93" s="804">
        <v>1926.3639169999999</v>
      </c>
      <c r="D93" s="795">
        <f t="shared" si="7"/>
        <v>2024</v>
      </c>
      <c r="E93" s="795" t="str">
        <f t="shared" si="8"/>
        <v>2</v>
      </c>
    </row>
    <row r="94" spans="1:5" x14ac:dyDescent="0.25">
      <c r="A94" s="801">
        <v>45536</v>
      </c>
      <c r="B94" s="462">
        <v>977.56040000000007</v>
      </c>
      <c r="C94" s="463">
        <v>1097.104973</v>
      </c>
      <c r="D94" s="795">
        <f t="shared" si="7"/>
        <v>2024</v>
      </c>
      <c r="E94" s="795" t="str">
        <f t="shared" si="8"/>
        <v>3</v>
      </c>
    </row>
    <row r="95" spans="1:5" x14ac:dyDescent="0.25">
      <c r="A95" s="801">
        <v>45627</v>
      </c>
      <c r="B95" s="803">
        <v>945.41480999999999</v>
      </c>
      <c r="C95" s="804">
        <v>1044.833398</v>
      </c>
      <c r="D95" s="795">
        <f t="shared" si="7"/>
        <v>2024</v>
      </c>
      <c r="E95" s="795" t="str">
        <f t="shared" si="8"/>
        <v>4</v>
      </c>
    </row>
    <row r="96" spans="1:5" x14ac:dyDescent="0.25">
      <c r="A96" s="801">
        <v>45717</v>
      </c>
      <c r="B96" s="462">
        <v>894.98106099999984</v>
      </c>
      <c r="C96" s="463">
        <v>1058.288319</v>
      </c>
      <c r="D96" s="795">
        <f t="shared" si="7"/>
        <v>2025</v>
      </c>
      <c r="E96" s="795" t="str">
        <f t="shared" si="8"/>
        <v>1</v>
      </c>
    </row>
    <row r="97" spans="1:5" x14ac:dyDescent="0.25">
      <c r="A97" s="801">
        <v>45809</v>
      </c>
      <c r="B97" s="803">
        <v>1036.4338049999999</v>
      </c>
      <c r="C97" s="804">
        <v>1043.351087</v>
      </c>
      <c r="D97" s="795">
        <f t="shared" si="7"/>
        <v>2025</v>
      </c>
      <c r="E97" s="795" t="str">
        <f t="shared" si="8"/>
        <v>2</v>
      </c>
    </row>
    <row r="98" spans="1:5" x14ac:dyDescent="0.25">
      <c r="A98" s="801">
        <v>45901</v>
      </c>
      <c r="B98" s="462">
        <v>944.586814</v>
      </c>
      <c r="C98" s="463">
        <v>1042.1175929999999</v>
      </c>
      <c r="D98" s="795">
        <f t="shared" si="7"/>
        <v>2025</v>
      </c>
      <c r="E98" s="795" t="str">
        <f t="shared" si="8"/>
        <v>3</v>
      </c>
    </row>
    <row r="99" spans="1:5" ht="15.75" thickBot="1" x14ac:dyDescent="0.3">
      <c r="A99" s="805">
        <v>45992</v>
      </c>
      <c r="B99" s="823">
        <v>1080.261892</v>
      </c>
      <c r="C99" s="816">
        <v>1318.1209111333869</v>
      </c>
      <c r="D99" s="795">
        <f t="shared" si="7"/>
        <v>2025</v>
      </c>
      <c r="E99" s="795" t="str">
        <f t="shared" si="8"/>
        <v>4</v>
      </c>
    </row>
    <row r="100" spans="1:5" x14ac:dyDescent="0.25">
      <c r="D100" s="795">
        <f t="shared" si="7"/>
        <v>1900</v>
      </c>
      <c r="E100" s="795" t="str">
        <f t="shared" si="8"/>
        <v>4</v>
      </c>
    </row>
    <row r="101" spans="1:5" x14ac:dyDescent="0.25">
      <c r="D101" s="795">
        <f t="shared" si="7"/>
        <v>1900</v>
      </c>
      <c r="E101" s="795" t="str">
        <f t="shared" si="8"/>
        <v>4</v>
      </c>
    </row>
    <row r="102" spans="1:5" x14ac:dyDescent="0.25">
      <c r="D102" s="795">
        <f t="shared" si="7"/>
        <v>1900</v>
      </c>
      <c r="E102" s="795" t="str">
        <f t="shared" si="8"/>
        <v>4</v>
      </c>
    </row>
    <row r="103" spans="1:5" x14ac:dyDescent="0.25">
      <c r="D103" s="795">
        <f t="shared" si="7"/>
        <v>1900</v>
      </c>
      <c r="E103" s="795" t="str">
        <f t="shared" si="8"/>
        <v>4</v>
      </c>
    </row>
    <row r="104" spans="1:5" x14ac:dyDescent="0.25">
      <c r="D104" s="795">
        <f t="shared" si="7"/>
        <v>1900</v>
      </c>
      <c r="E104" s="795" t="str">
        <f t="shared" si="8"/>
        <v>4</v>
      </c>
    </row>
    <row r="105" spans="1:5" x14ac:dyDescent="0.25">
      <c r="D105" s="795">
        <f t="shared" si="7"/>
        <v>1900</v>
      </c>
      <c r="E105" s="795" t="str">
        <f t="shared" si="8"/>
        <v>4</v>
      </c>
    </row>
    <row r="106" spans="1:5" x14ac:dyDescent="0.25">
      <c r="D106" s="795">
        <f t="shared" si="7"/>
        <v>1900</v>
      </c>
      <c r="E106" s="795" t="str">
        <f t="shared" si="8"/>
        <v>4</v>
      </c>
    </row>
    <row r="107" spans="1:5" x14ac:dyDescent="0.25">
      <c r="D107" s="795">
        <f t="shared" si="7"/>
        <v>1900</v>
      </c>
      <c r="E107" s="795" t="str">
        <f t="shared" si="8"/>
        <v>4</v>
      </c>
    </row>
    <row r="108" spans="1:5" x14ac:dyDescent="0.25">
      <c r="D108" s="795">
        <f t="shared" si="7"/>
        <v>1900</v>
      </c>
      <c r="E108" s="795" t="str">
        <f t="shared" si="8"/>
        <v>4</v>
      </c>
    </row>
    <row r="109" spans="1:5" x14ac:dyDescent="0.25">
      <c r="D109" s="795">
        <f t="shared" si="7"/>
        <v>1900</v>
      </c>
      <c r="E109" s="795" t="str">
        <f t="shared" si="8"/>
        <v>4</v>
      </c>
    </row>
    <row r="110" spans="1:5" x14ac:dyDescent="0.25">
      <c r="D110" s="795">
        <f t="shared" si="7"/>
        <v>1900</v>
      </c>
      <c r="E110" s="795" t="str">
        <f t="shared" si="8"/>
        <v>4</v>
      </c>
    </row>
    <row r="111" spans="1:5" x14ac:dyDescent="0.25">
      <c r="D111" s="795">
        <f t="shared" si="7"/>
        <v>1900</v>
      </c>
      <c r="E111" s="795" t="str">
        <f t="shared" si="8"/>
        <v>4</v>
      </c>
    </row>
    <row r="112" spans="1:5" x14ac:dyDescent="0.25">
      <c r="D112" s="795">
        <f t="shared" si="7"/>
        <v>1900</v>
      </c>
      <c r="E112" s="795" t="str">
        <f t="shared" si="8"/>
        <v>4</v>
      </c>
    </row>
    <row r="113" spans="4:5" x14ac:dyDescent="0.25">
      <c r="D113" s="795">
        <f t="shared" si="7"/>
        <v>1900</v>
      </c>
      <c r="E113" s="795" t="str">
        <f t="shared" si="8"/>
        <v>4</v>
      </c>
    </row>
    <row r="114" spans="4:5" x14ac:dyDescent="0.25">
      <c r="D114" s="795">
        <f t="shared" si="7"/>
        <v>1900</v>
      </c>
      <c r="E114" s="795" t="str">
        <f t="shared" si="8"/>
        <v>4</v>
      </c>
    </row>
    <row r="115" spans="4:5" x14ac:dyDescent="0.25">
      <c r="D115" s="795">
        <f t="shared" si="7"/>
        <v>1900</v>
      </c>
      <c r="E115" s="795" t="str">
        <f t="shared" si="8"/>
        <v>4</v>
      </c>
    </row>
    <row r="116" spans="4:5" x14ac:dyDescent="0.25">
      <c r="D116" s="795">
        <f t="shared" si="7"/>
        <v>1900</v>
      </c>
      <c r="E116" s="795" t="str">
        <f t="shared" si="8"/>
        <v>4</v>
      </c>
    </row>
    <row r="117" spans="4:5" x14ac:dyDescent="0.25">
      <c r="D117" s="795">
        <f t="shared" si="7"/>
        <v>1900</v>
      </c>
      <c r="E117" s="795" t="str">
        <f t="shared" si="8"/>
        <v>4</v>
      </c>
    </row>
    <row r="118" spans="4:5" x14ac:dyDescent="0.25">
      <c r="D118" s="795">
        <f t="shared" si="7"/>
        <v>1900</v>
      </c>
      <c r="E118" s="795" t="str">
        <f t="shared" si="8"/>
        <v>4</v>
      </c>
    </row>
    <row r="119" spans="4:5" x14ac:dyDescent="0.25">
      <c r="D119" s="795">
        <f t="shared" si="7"/>
        <v>1900</v>
      </c>
      <c r="E119" s="795" t="str">
        <f t="shared" si="8"/>
        <v>4</v>
      </c>
    </row>
    <row r="120" spans="4:5" x14ac:dyDescent="0.25">
      <c r="D120" s="795">
        <f t="shared" si="7"/>
        <v>1900</v>
      </c>
      <c r="E120" s="795" t="str">
        <f t="shared" si="8"/>
        <v>4</v>
      </c>
    </row>
    <row r="121" spans="4:5" x14ac:dyDescent="0.25">
      <c r="D121" s="795">
        <f t="shared" si="7"/>
        <v>1900</v>
      </c>
      <c r="E121" s="795" t="str">
        <f t="shared" si="8"/>
        <v>4</v>
      </c>
    </row>
    <row r="122" spans="4:5" x14ac:dyDescent="0.25">
      <c r="D122" s="795">
        <f t="shared" si="7"/>
        <v>1900</v>
      </c>
      <c r="E122" s="795" t="str">
        <f t="shared" si="8"/>
        <v>4</v>
      </c>
    </row>
    <row r="123" spans="4:5" x14ac:dyDescent="0.25">
      <c r="D123" s="795">
        <f t="shared" si="7"/>
        <v>1900</v>
      </c>
      <c r="E123" s="795" t="str">
        <f t="shared" si="8"/>
        <v>4</v>
      </c>
    </row>
    <row r="124" spans="4:5" x14ac:dyDescent="0.25">
      <c r="D124" s="795">
        <f t="shared" si="7"/>
        <v>1900</v>
      </c>
      <c r="E124" s="795" t="str">
        <f t="shared" si="8"/>
        <v>4</v>
      </c>
    </row>
    <row r="125" spans="4:5" x14ac:dyDescent="0.25">
      <c r="D125" s="795">
        <f t="shared" si="7"/>
        <v>1900</v>
      </c>
      <c r="E125" s="795" t="str">
        <f t="shared" si="8"/>
        <v>4</v>
      </c>
    </row>
    <row r="126" spans="4:5" x14ac:dyDescent="0.25">
      <c r="D126" s="795">
        <f t="shared" si="7"/>
        <v>1900</v>
      </c>
      <c r="E126" s="795" t="str">
        <f t="shared" si="8"/>
        <v>4</v>
      </c>
    </row>
    <row r="127" spans="4:5" x14ac:dyDescent="0.25">
      <c r="D127" s="795">
        <f t="shared" si="7"/>
        <v>1900</v>
      </c>
      <c r="E127" s="795" t="str">
        <f t="shared" si="8"/>
        <v>4</v>
      </c>
    </row>
    <row r="128" spans="4:5" x14ac:dyDescent="0.25">
      <c r="D128" s="795">
        <f t="shared" si="7"/>
        <v>1900</v>
      </c>
      <c r="E128" s="795" t="str">
        <f t="shared" si="8"/>
        <v>4</v>
      </c>
    </row>
    <row r="129" spans="4:5" x14ac:dyDescent="0.25">
      <c r="D129" s="795">
        <f t="shared" si="7"/>
        <v>1900</v>
      </c>
      <c r="E129" s="795" t="str">
        <f t="shared" si="8"/>
        <v>4</v>
      </c>
    </row>
    <row r="130" spans="4:5" x14ac:dyDescent="0.25">
      <c r="D130" s="795">
        <f t="shared" si="7"/>
        <v>1900</v>
      </c>
      <c r="E130" s="795" t="str">
        <f t="shared" si="8"/>
        <v>4</v>
      </c>
    </row>
    <row r="131" spans="4:5" x14ac:dyDescent="0.25">
      <c r="D131" s="795">
        <f t="shared" si="7"/>
        <v>1900</v>
      </c>
      <c r="E131" s="795" t="str">
        <f t="shared" si="8"/>
        <v>4</v>
      </c>
    </row>
    <row r="132" spans="4:5" x14ac:dyDescent="0.25">
      <c r="D132" s="795">
        <f t="shared" si="7"/>
        <v>1900</v>
      </c>
      <c r="E132" s="795" t="str">
        <f t="shared" si="8"/>
        <v>4</v>
      </c>
    </row>
    <row r="133" spans="4:5" x14ac:dyDescent="0.25">
      <c r="D133" s="795">
        <f t="shared" si="7"/>
        <v>1900</v>
      </c>
      <c r="E133" s="795" t="str">
        <f t="shared" si="8"/>
        <v>4</v>
      </c>
    </row>
    <row r="134" spans="4:5" x14ac:dyDescent="0.25">
      <c r="D134" s="795">
        <f t="shared" si="7"/>
        <v>1900</v>
      </c>
      <c r="E134" s="795" t="str">
        <f t="shared" si="8"/>
        <v>4</v>
      </c>
    </row>
    <row r="135" spans="4:5" x14ac:dyDescent="0.25">
      <c r="D135" s="795">
        <f t="shared" si="7"/>
        <v>1900</v>
      </c>
      <c r="E135" s="795" t="str">
        <f t="shared" si="8"/>
        <v>4</v>
      </c>
    </row>
    <row r="136" spans="4:5" x14ac:dyDescent="0.25">
      <c r="D136" s="795">
        <f t="shared" si="7"/>
        <v>1900</v>
      </c>
      <c r="E136" s="795" t="str">
        <f t="shared" si="8"/>
        <v>4</v>
      </c>
    </row>
    <row r="137" spans="4:5" x14ac:dyDescent="0.25">
      <c r="D137" s="795">
        <f t="shared" si="7"/>
        <v>1900</v>
      </c>
      <c r="E137" s="795" t="str">
        <f t="shared" si="8"/>
        <v>4</v>
      </c>
    </row>
    <row r="138" spans="4:5" x14ac:dyDescent="0.25">
      <c r="D138" s="795">
        <f t="shared" si="7"/>
        <v>1900</v>
      </c>
      <c r="E138" s="795" t="str">
        <f t="shared" si="8"/>
        <v>4</v>
      </c>
    </row>
    <row r="139" spans="4:5" x14ac:dyDescent="0.25">
      <c r="D139" s="795">
        <f t="shared" si="7"/>
        <v>1900</v>
      </c>
      <c r="E139" s="795" t="str">
        <f t="shared" si="8"/>
        <v>4</v>
      </c>
    </row>
    <row r="140" spans="4:5" x14ac:dyDescent="0.25">
      <c r="D140" s="795">
        <f t="shared" si="7"/>
        <v>1900</v>
      </c>
      <c r="E140" s="795" t="str">
        <f t="shared" si="8"/>
        <v>4</v>
      </c>
    </row>
    <row r="141" spans="4:5" x14ac:dyDescent="0.25">
      <c r="D141" s="795">
        <f t="shared" ref="D141:D204" si="9">YEAR(A141)</f>
        <v>1900</v>
      </c>
      <c r="E141" s="795" t="str">
        <f t="shared" ref="E141:E204" si="10">IF(MONTH(A141)=3,"1",IF(MONTH(A141)=6,"2",IF(MONTH(A141)=9,"3","4")))</f>
        <v>4</v>
      </c>
    </row>
    <row r="142" spans="4:5" x14ac:dyDescent="0.25">
      <c r="D142" s="795">
        <f t="shared" si="9"/>
        <v>1900</v>
      </c>
      <c r="E142" s="795" t="str">
        <f t="shared" si="10"/>
        <v>4</v>
      </c>
    </row>
    <row r="143" spans="4:5" x14ac:dyDescent="0.25">
      <c r="D143" s="795">
        <f t="shared" si="9"/>
        <v>1900</v>
      </c>
      <c r="E143" s="795" t="str">
        <f t="shared" si="10"/>
        <v>4</v>
      </c>
    </row>
    <row r="144" spans="4:5" x14ac:dyDescent="0.25">
      <c r="D144" s="795">
        <f t="shared" si="9"/>
        <v>1900</v>
      </c>
      <c r="E144" s="795" t="str">
        <f t="shared" si="10"/>
        <v>4</v>
      </c>
    </row>
    <row r="145" spans="4:5" x14ac:dyDescent="0.25">
      <c r="D145" s="795">
        <f t="shared" si="9"/>
        <v>1900</v>
      </c>
      <c r="E145" s="795" t="str">
        <f t="shared" si="10"/>
        <v>4</v>
      </c>
    </row>
    <row r="146" spans="4:5" x14ac:dyDescent="0.25">
      <c r="D146" s="795">
        <f t="shared" si="9"/>
        <v>1900</v>
      </c>
      <c r="E146" s="795" t="str">
        <f t="shared" si="10"/>
        <v>4</v>
      </c>
    </row>
    <row r="147" spans="4:5" x14ac:dyDescent="0.25">
      <c r="D147" s="795">
        <f t="shared" si="9"/>
        <v>1900</v>
      </c>
      <c r="E147" s="795" t="str">
        <f t="shared" si="10"/>
        <v>4</v>
      </c>
    </row>
    <row r="148" spans="4:5" x14ac:dyDescent="0.25">
      <c r="D148" s="795">
        <f t="shared" si="9"/>
        <v>1900</v>
      </c>
      <c r="E148" s="795" t="str">
        <f t="shared" si="10"/>
        <v>4</v>
      </c>
    </row>
    <row r="149" spans="4:5" x14ac:dyDescent="0.25">
      <c r="D149" s="795">
        <f t="shared" si="9"/>
        <v>1900</v>
      </c>
      <c r="E149" s="795" t="str">
        <f t="shared" si="10"/>
        <v>4</v>
      </c>
    </row>
    <row r="150" spans="4:5" x14ac:dyDescent="0.25">
      <c r="D150" s="795">
        <f t="shared" si="9"/>
        <v>1900</v>
      </c>
      <c r="E150" s="795" t="str">
        <f t="shared" si="10"/>
        <v>4</v>
      </c>
    </row>
    <row r="151" spans="4:5" x14ac:dyDescent="0.25">
      <c r="D151" s="795">
        <f t="shared" si="9"/>
        <v>1900</v>
      </c>
      <c r="E151" s="795" t="str">
        <f t="shared" si="10"/>
        <v>4</v>
      </c>
    </row>
    <row r="152" spans="4:5" x14ac:dyDescent="0.25">
      <c r="D152" s="795">
        <f t="shared" si="9"/>
        <v>1900</v>
      </c>
      <c r="E152" s="795" t="str">
        <f t="shared" si="10"/>
        <v>4</v>
      </c>
    </row>
    <row r="153" spans="4:5" x14ac:dyDescent="0.25">
      <c r="D153" s="795">
        <f t="shared" si="9"/>
        <v>1900</v>
      </c>
      <c r="E153" s="795" t="str">
        <f t="shared" si="10"/>
        <v>4</v>
      </c>
    </row>
    <row r="154" spans="4:5" x14ac:dyDescent="0.25">
      <c r="D154" s="795">
        <f t="shared" si="9"/>
        <v>1900</v>
      </c>
      <c r="E154" s="795" t="str">
        <f t="shared" si="10"/>
        <v>4</v>
      </c>
    </row>
    <row r="155" spans="4:5" x14ac:dyDescent="0.25">
      <c r="D155" s="795">
        <f t="shared" si="9"/>
        <v>1900</v>
      </c>
      <c r="E155" s="795" t="str">
        <f t="shared" si="10"/>
        <v>4</v>
      </c>
    </row>
    <row r="156" spans="4:5" x14ac:dyDescent="0.25">
      <c r="D156" s="795">
        <f t="shared" si="9"/>
        <v>1900</v>
      </c>
      <c r="E156" s="795" t="str">
        <f t="shared" si="10"/>
        <v>4</v>
      </c>
    </row>
    <row r="157" spans="4:5" x14ac:dyDescent="0.25">
      <c r="D157" s="795">
        <f t="shared" si="9"/>
        <v>1900</v>
      </c>
      <c r="E157" s="795" t="str">
        <f t="shared" si="10"/>
        <v>4</v>
      </c>
    </row>
    <row r="158" spans="4:5" x14ac:dyDescent="0.25">
      <c r="D158" s="795">
        <f t="shared" si="9"/>
        <v>1900</v>
      </c>
      <c r="E158" s="795" t="str">
        <f t="shared" si="10"/>
        <v>4</v>
      </c>
    </row>
    <row r="159" spans="4:5" x14ac:dyDescent="0.25">
      <c r="D159" s="795">
        <f t="shared" si="9"/>
        <v>1900</v>
      </c>
      <c r="E159" s="795" t="str">
        <f t="shared" si="10"/>
        <v>4</v>
      </c>
    </row>
    <row r="160" spans="4:5" x14ac:dyDescent="0.25">
      <c r="D160" s="795">
        <f t="shared" si="9"/>
        <v>1900</v>
      </c>
      <c r="E160" s="795" t="str">
        <f t="shared" si="10"/>
        <v>4</v>
      </c>
    </row>
    <row r="161" spans="4:5" x14ac:dyDescent="0.25">
      <c r="D161" s="795">
        <f t="shared" si="9"/>
        <v>1900</v>
      </c>
      <c r="E161" s="795" t="str">
        <f t="shared" si="10"/>
        <v>4</v>
      </c>
    </row>
    <row r="162" spans="4:5" x14ac:dyDescent="0.25">
      <c r="D162" s="795">
        <f t="shared" si="9"/>
        <v>1900</v>
      </c>
      <c r="E162" s="795" t="str">
        <f t="shared" si="10"/>
        <v>4</v>
      </c>
    </row>
    <row r="163" spans="4:5" x14ac:dyDescent="0.25">
      <c r="D163" s="795">
        <f t="shared" si="9"/>
        <v>1900</v>
      </c>
      <c r="E163" s="795" t="str">
        <f t="shared" si="10"/>
        <v>4</v>
      </c>
    </row>
    <row r="164" spans="4:5" x14ac:dyDescent="0.25">
      <c r="D164" s="795">
        <f t="shared" si="9"/>
        <v>1900</v>
      </c>
      <c r="E164" s="795" t="str">
        <f t="shared" si="10"/>
        <v>4</v>
      </c>
    </row>
    <row r="165" spans="4:5" x14ac:dyDescent="0.25">
      <c r="D165" s="795">
        <f t="shared" si="9"/>
        <v>1900</v>
      </c>
      <c r="E165" s="795" t="str">
        <f t="shared" si="10"/>
        <v>4</v>
      </c>
    </row>
    <row r="166" spans="4:5" x14ac:dyDescent="0.25">
      <c r="D166" s="795">
        <f t="shared" si="9"/>
        <v>1900</v>
      </c>
      <c r="E166" s="795" t="str">
        <f t="shared" si="10"/>
        <v>4</v>
      </c>
    </row>
    <row r="167" spans="4:5" x14ac:dyDescent="0.25">
      <c r="D167" s="795">
        <f t="shared" si="9"/>
        <v>1900</v>
      </c>
      <c r="E167" s="795" t="str">
        <f t="shared" si="10"/>
        <v>4</v>
      </c>
    </row>
    <row r="168" spans="4:5" x14ac:dyDescent="0.25">
      <c r="D168" s="795">
        <f t="shared" si="9"/>
        <v>1900</v>
      </c>
      <c r="E168" s="795" t="str">
        <f t="shared" si="10"/>
        <v>4</v>
      </c>
    </row>
    <row r="169" spans="4:5" x14ac:dyDescent="0.25">
      <c r="D169" s="795">
        <f t="shared" si="9"/>
        <v>1900</v>
      </c>
      <c r="E169" s="795" t="str">
        <f t="shared" si="10"/>
        <v>4</v>
      </c>
    </row>
    <row r="170" spans="4:5" x14ac:dyDescent="0.25">
      <c r="D170" s="795">
        <f t="shared" si="9"/>
        <v>1900</v>
      </c>
      <c r="E170" s="795" t="str">
        <f t="shared" si="10"/>
        <v>4</v>
      </c>
    </row>
    <row r="171" spans="4:5" x14ac:dyDescent="0.25">
      <c r="D171" s="795">
        <f t="shared" si="9"/>
        <v>1900</v>
      </c>
      <c r="E171" s="795" t="str">
        <f t="shared" si="10"/>
        <v>4</v>
      </c>
    </row>
    <row r="172" spans="4:5" x14ac:dyDescent="0.25">
      <c r="D172" s="795">
        <f t="shared" si="9"/>
        <v>1900</v>
      </c>
      <c r="E172" s="795" t="str">
        <f t="shared" si="10"/>
        <v>4</v>
      </c>
    </row>
    <row r="173" spans="4:5" x14ac:dyDescent="0.25">
      <c r="D173" s="795">
        <f t="shared" si="9"/>
        <v>1900</v>
      </c>
      <c r="E173" s="795" t="str">
        <f t="shared" si="10"/>
        <v>4</v>
      </c>
    </row>
    <row r="174" spans="4:5" x14ac:dyDescent="0.25">
      <c r="D174" s="795">
        <f t="shared" si="9"/>
        <v>1900</v>
      </c>
      <c r="E174" s="795" t="str">
        <f t="shared" si="10"/>
        <v>4</v>
      </c>
    </row>
    <row r="175" spans="4:5" x14ac:dyDescent="0.25">
      <c r="D175" s="795">
        <f t="shared" si="9"/>
        <v>1900</v>
      </c>
      <c r="E175" s="795" t="str">
        <f t="shared" si="10"/>
        <v>4</v>
      </c>
    </row>
    <row r="176" spans="4:5" x14ac:dyDescent="0.25">
      <c r="D176" s="795">
        <f t="shared" si="9"/>
        <v>1900</v>
      </c>
      <c r="E176" s="795" t="str">
        <f t="shared" si="10"/>
        <v>4</v>
      </c>
    </row>
    <row r="177" spans="4:5" x14ac:dyDescent="0.25">
      <c r="D177" s="795">
        <f t="shared" si="9"/>
        <v>1900</v>
      </c>
      <c r="E177" s="795" t="str">
        <f t="shared" si="10"/>
        <v>4</v>
      </c>
    </row>
    <row r="178" spans="4:5" x14ac:dyDescent="0.25">
      <c r="D178" s="795">
        <f t="shared" si="9"/>
        <v>1900</v>
      </c>
      <c r="E178" s="795" t="str">
        <f t="shared" si="10"/>
        <v>4</v>
      </c>
    </row>
    <row r="179" spans="4:5" x14ac:dyDescent="0.25">
      <c r="D179" s="795">
        <f t="shared" si="9"/>
        <v>1900</v>
      </c>
      <c r="E179" s="795" t="str">
        <f t="shared" si="10"/>
        <v>4</v>
      </c>
    </row>
    <row r="180" spans="4:5" x14ac:dyDescent="0.25">
      <c r="D180" s="795">
        <f t="shared" si="9"/>
        <v>1900</v>
      </c>
      <c r="E180" s="795" t="str">
        <f t="shared" si="10"/>
        <v>4</v>
      </c>
    </row>
    <row r="181" spans="4:5" x14ac:dyDescent="0.25">
      <c r="D181" s="795">
        <f t="shared" si="9"/>
        <v>1900</v>
      </c>
      <c r="E181" s="795" t="str">
        <f t="shared" si="10"/>
        <v>4</v>
      </c>
    </row>
    <row r="182" spans="4:5" x14ac:dyDescent="0.25">
      <c r="D182" s="795">
        <f t="shared" si="9"/>
        <v>1900</v>
      </c>
      <c r="E182" s="795" t="str">
        <f t="shared" si="10"/>
        <v>4</v>
      </c>
    </row>
    <row r="183" spans="4:5" x14ac:dyDescent="0.25">
      <c r="D183" s="795">
        <f t="shared" si="9"/>
        <v>1900</v>
      </c>
      <c r="E183" s="795" t="str">
        <f t="shared" si="10"/>
        <v>4</v>
      </c>
    </row>
    <row r="184" spans="4:5" x14ac:dyDescent="0.25">
      <c r="D184" s="795">
        <f t="shared" si="9"/>
        <v>1900</v>
      </c>
      <c r="E184" s="795" t="str">
        <f t="shared" si="10"/>
        <v>4</v>
      </c>
    </row>
    <row r="185" spans="4:5" x14ac:dyDescent="0.25">
      <c r="D185" s="795">
        <f t="shared" si="9"/>
        <v>1900</v>
      </c>
      <c r="E185" s="795" t="str">
        <f t="shared" si="10"/>
        <v>4</v>
      </c>
    </row>
    <row r="186" spans="4:5" x14ac:dyDescent="0.25">
      <c r="D186" s="795">
        <f t="shared" si="9"/>
        <v>1900</v>
      </c>
      <c r="E186" s="795" t="str">
        <f t="shared" si="10"/>
        <v>4</v>
      </c>
    </row>
    <row r="187" spans="4:5" x14ac:dyDescent="0.25">
      <c r="D187" s="795">
        <f t="shared" si="9"/>
        <v>1900</v>
      </c>
      <c r="E187" s="795" t="str">
        <f t="shared" si="10"/>
        <v>4</v>
      </c>
    </row>
    <row r="188" spans="4:5" x14ac:dyDescent="0.25">
      <c r="D188" s="795">
        <f t="shared" si="9"/>
        <v>1900</v>
      </c>
      <c r="E188" s="795" t="str">
        <f t="shared" si="10"/>
        <v>4</v>
      </c>
    </row>
    <row r="189" spans="4:5" x14ac:dyDescent="0.25">
      <c r="D189" s="795">
        <f t="shared" si="9"/>
        <v>1900</v>
      </c>
      <c r="E189" s="795" t="str">
        <f t="shared" si="10"/>
        <v>4</v>
      </c>
    </row>
    <row r="190" spans="4:5" x14ac:dyDescent="0.25">
      <c r="D190" s="795">
        <f t="shared" si="9"/>
        <v>1900</v>
      </c>
      <c r="E190" s="795" t="str">
        <f t="shared" si="10"/>
        <v>4</v>
      </c>
    </row>
    <row r="191" spans="4:5" x14ac:dyDescent="0.25">
      <c r="D191" s="795">
        <f t="shared" si="9"/>
        <v>1900</v>
      </c>
      <c r="E191" s="795" t="str">
        <f t="shared" si="10"/>
        <v>4</v>
      </c>
    </row>
    <row r="192" spans="4:5" x14ac:dyDescent="0.25">
      <c r="D192" s="795">
        <f t="shared" si="9"/>
        <v>1900</v>
      </c>
      <c r="E192" s="795" t="str">
        <f t="shared" si="10"/>
        <v>4</v>
      </c>
    </row>
    <row r="193" spans="4:5" x14ac:dyDescent="0.25">
      <c r="D193" s="795">
        <f t="shared" si="9"/>
        <v>1900</v>
      </c>
      <c r="E193" s="795" t="str">
        <f t="shared" si="10"/>
        <v>4</v>
      </c>
    </row>
    <row r="194" spans="4:5" x14ac:dyDescent="0.25">
      <c r="D194" s="795">
        <f t="shared" si="9"/>
        <v>1900</v>
      </c>
      <c r="E194" s="795" t="str">
        <f t="shared" si="10"/>
        <v>4</v>
      </c>
    </row>
    <row r="195" spans="4:5" x14ac:dyDescent="0.25">
      <c r="D195" s="795">
        <f t="shared" si="9"/>
        <v>1900</v>
      </c>
      <c r="E195" s="795" t="str">
        <f t="shared" si="10"/>
        <v>4</v>
      </c>
    </row>
    <row r="196" spans="4:5" x14ac:dyDescent="0.25">
      <c r="D196" s="795">
        <f t="shared" si="9"/>
        <v>1900</v>
      </c>
      <c r="E196" s="795" t="str">
        <f t="shared" si="10"/>
        <v>4</v>
      </c>
    </row>
    <row r="197" spans="4:5" x14ac:dyDescent="0.25">
      <c r="D197" s="795">
        <f t="shared" si="9"/>
        <v>1900</v>
      </c>
      <c r="E197" s="795" t="str">
        <f t="shared" si="10"/>
        <v>4</v>
      </c>
    </row>
    <row r="198" spans="4:5" x14ac:dyDescent="0.25">
      <c r="D198" s="795">
        <f t="shared" si="9"/>
        <v>1900</v>
      </c>
      <c r="E198" s="795" t="str">
        <f t="shared" si="10"/>
        <v>4</v>
      </c>
    </row>
    <row r="199" spans="4:5" x14ac:dyDescent="0.25">
      <c r="D199" s="795">
        <f t="shared" si="9"/>
        <v>1900</v>
      </c>
      <c r="E199" s="795" t="str">
        <f t="shared" si="10"/>
        <v>4</v>
      </c>
    </row>
    <row r="200" spans="4:5" x14ac:dyDescent="0.25">
      <c r="D200" s="795">
        <f t="shared" si="9"/>
        <v>1900</v>
      </c>
      <c r="E200" s="795" t="str">
        <f t="shared" si="10"/>
        <v>4</v>
      </c>
    </row>
    <row r="201" spans="4:5" x14ac:dyDescent="0.25">
      <c r="D201" s="795">
        <f t="shared" si="9"/>
        <v>1900</v>
      </c>
      <c r="E201" s="795" t="str">
        <f t="shared" si="10"/>
        <v>4</v>
      </c>
    </row>
    <row r="202" spans="4:5" x14ac:dyDescent="0.25">
      <c r="D202" s="795">
        <f t="shared" si="9"/>
        <v>1900</v>
      </c>
      <c r="E202" s="795" t="str">
        <f t="shared" si="10"/>
        <v>4</v>
      </c>
    </row>
    <row r="203" spans="4:5" x14ac:dyDescent="0.25">
      <c r="D203" s="795">
        <f t="shared" si="9"/>
        <v>1900</v>
      </c>
      <c r="E203" s="795" t="str">
        <f t="shared" si="10"/>
        <v>4</v>
      </c>
    </row>
    <row r="204" spans="4:5" x14ac:dyDescent="0.25">
      <c r="D204" s="795">
        <f t="shared" si="9"/>
        <v>1900</v>
      </c>
      <c r="E204" s="795" t="str">
        <f t="shared" si="10"/>
        <v>4</v>
      </c>
    </row>
    <row r="205" spans="4:5" x14ac:dyDescent="0.25">
      <c r="D205" s="795">
        <f t="shared" ref="D205:D254" si="11">YEAR(A205)</f>
        <v>1900</v>
      </c>
      <c r="E205" s="795" t="str">
        <f t="shared" ref="E205:E254" si="12">IF(MONTH(A205)=3,"1",IF(MONTH(A205)=6,"2",IF(MONTH(A205)=9,"3","4")))</f>
        <v>4</v>
      </c>
    </row>
    <row r="206" spans="4:5" x14ac:dyDescent="0.25">
      <c r="D206" s="795">
        <f t="shared" si="11"/>
        <v>1900</v>
      </c>
      <c r="E206" s="795" t="str">
        <f t="shared" si="12"/>
        <v>4</v>
      </c>
    </row>
    <row r="207" spans="4:5" x14ac:dyDescent="0.25">
      <c r="D207" s="795">
        <f t="shared" si="11"/>
        <v>1900</v>
      </c>
      <c r="E207" s="795" t="str">
        <f t="shared" si="12"/>
        <v>4</v>
      </c>
    </row>
    <row r="208" spans="4:5" x14ac:dyDescent="0.25">
      <c r="D208" s="795">
        <f t="shared" si="11"/>
        <v>1900</v>
      </c>
      <c r="E208" s="795" t="str">
        <f t="shared" si="12"/>
        <v>4</v>
      </c>
    </row>
    <row r="209" spans="4:5" x14ac:dyDescent="0.25">
      <c r="D209" s="795">
        <f t="shared" si="11"/>
        <v>1900</v>
      </c>
      <c r="E209" s="795" t="str">
        <f t="shared" si="12"/>
        <v>4</v>
      </c>
    </row>
    <row r="210" spans="4:5" x14ac:dyDescent="0.25">
      <c r="D210" s="795">
        <f t="shared" si="11"/>
        <v>1900</v>
      </c>
      <c r="E210" s="795" t="str">
        <f t="shared" si="12"/>
        <v>4</v>
      </c>
    </row>
    <row r="211" spans="4:5" x14ac:dyDescent="0.25">
      <c r="D211" s="795">
        <f t="shared" si="11"/>
        <v>1900</v>
      </c>
      <c r="E211" s="795" t="str">
        <f t="shared" si="12"/>
        <v>4</v>
      </c>
    </row>
    <row r="212" spans="4:5" x14ac:dyDescent="0.25">
      <c r="D212" s="795">
        <f t="shared" si="11"/>
        <v>1900</v>
      </c>
      <c r="E212" s="795" t="str">
        <f t="shared" si="12"/>
        <v>4</v>
      </c>
    </row>
    <row r="213" spans="4:5" x14ac:dyDescent="0.25">
      <c r="D213" s="795">
        <f t="shared" si="11"/>
        <v>1900</v>
      </c>
      <c r="E213" s="795" t="str">
        <f t="shared" si="12"/>
        <v>4</v>
      </c>
    </row>
    <row r="214" spans="4:5" x14ac:dyDescent="0.25">
      <c r="D214" s="795">
        <f t="shared" si="11"/>
        <v>1900</v>
      </c>
      <c r="E214" s="795" t="str">
        <f t="shared" si="12"/>
        <v>4</v>
      </c>
    </row>
    <row r="215" spans="4:5" x14ac:dyDescent="0.25">
      <c r="D215" s="795">
        <f t="shared" si="11"/>
        <v>1900</v>
      </c>
      <c r="E215" s="795" t="str">
        <f t="shared" si="12"/>
        <v>4</v>
      </c>
    </row>
    <row r="216" spans="4:5" x14ac:dyDescent="0.25">
      <c r="D216" s="795">
        <f t="shared" si="11"/>
        <v>1900</v>
      </c>
      <c r="E216" s="795" t="str">
        <f t="shared" si="12"/>
        <v>4</v>
      </c>
    </row>
    <row r="217" spans="4:5" x14ac:dyDescent="0.25">
      <c r="D217" s="795">
        <f t="shared" si="11"/>
        <v>1900</v>
      </c>
      <c r="E217" s="795" t="str">
        <f t="shared" si="12"/>
        <v>4</v>
      </c>
    </row>
    <row r="218" spans="4:5" x14ac:dyDescent="0.25">
      <c r="D218" s="795">
        <f t="shared" si="11"/>
        <v>1900</v>
      </c>
      <c r="E218" s="795" t="str">
        <f t="shared" si="12"/>
        <v>4</v>
      </c>
    </row>
    <row r="219" spans="4:5" x14ac:dyDescent="0.25">
      <c r="D219" s="795">
        <f t="shared" si="11"/>
        <v>1900</v>
      </c>
      <c r="E219" s="795" t="str">
        <f t="shared" si="12"/>
        <v>4</v>
      </c>
    </row>
    <row r="220" spans="4:5" x14ac:dyDescent="0.25">
      <c r="D220" s="795">
        <f t="shared" si="11"/>
        <v>1900</v>
      </c>
      <c r="E220" s="795" t="str">
        <f t="shared" si="12"/>
        <v>4</v>
      </c>
    </row>
    <row r="221" spans="4:5" x14ac:dyDescent="0.25">
      <c r="D221" s="795">
        <f t="shared" si="11"/>
        <v>1900</v>
      </c>
      <c r="E221" s="795" t="str">
        <f t="shared" si="12"/>
        <v>4</v>
      </c>
    </row>
    <row r="222" spans="4:5" x14ac:dyDescent="0.25">
      <c r="D222" s="795">
        <f t="shared" si="11"/>
        <v>1900</v>
      </c>
      <c r="E222" s="795" t="str">
        <f t="shared" si="12"/>
        <v>4</v>
      </c>
    </row>
    <row r="223" spans="4:5" x14ac:dyDescent="0.25">
      <c r="D223" s="795">
        <f t="shared" si="11"/>
        <v>1900</v>
      </c>
      <c r="E223" s="795" t="str">
        <f t="shared" si="12"/>
        <v>4</v>
      </c>
    </row>
    <row r="224" spans="4:5" x14ac:dyDescent="0.25">
      <c r="D224" s="795">
        <f t="shared" si="11"/>
        <v>1900</v>
      </c>
      <c r="E224" s="795" t="str">
        <f t="shared" si="12"/>
        <v>4</v>
      </c>
    </row>
    <row r="225" spans="4:5" x14ac:dyDescent="0.25">
      <c r="D225" s="795">
        <f t="shared" si="11"/>
        <v>1900</v>
      </c>
      <c r="E225" s="795" t="str">
        <f t="shared" si="12"/>
        <v>4</v>
      </c>
    </row>
    <row r="226" spans="4:5" x14ac:dyDescent="0.25">
      <c r="D226" s="795">
        <f t="shared" si="11"/>
        <v>1900</v>
      </c>
      <c r="E226" s="795" t="str">
        <f t="shared" si="12"/>
        <v>4</v>
      </c>
    </row>
    <row r="227" spans="4:5" x14ac:dyDescent="0.25">
      <c r="D227" s="795">
        <f t="shared" si="11"/>
        <v>1900</v>
      </c>
      <c r="E227" s="795" t="str">
        <f t="shared" si="12"/>
        <v>4</v>
      </c>
    </row>
    <row r="228" spans="4:5" x14ac:dyDescent="0.25">
      <c r="D228" s="795">
        <f t="shared" si="11"/>
        <v>1900</v>
      </c>
      <c r="E228" s="795" t="str">
        <f t="shared" si="12"/>
        <v>4</v>
      </c>
    </row>
    <row r="229" spans="4:5" x14ac:dyDescent="0.25">
      <c r="D229" s="795">
        <f t="shared" si="11"/>
        <v>1900</v>
      </c>
      <c r="E229" s="795" t="str">
        <f t="shared" si="12"/>
        <v>4</v>
      </c>
    </row>
    <row r="230" spans="4:5" x14ac:dyDescent="0.25">
      <c r="D230" s="795">
        <f t="shared" si="11"/>
        <v>1900</v>
      </c>
      <c r="E230" s="795" t="str">
        <f t="shared" si="12"/>
        <v>4</v>
      </c>
    </row>
    <row r="231" spans="4:5" x14ac:dyDescent="0.25">
      <c r="D231" s="795">
        <f t="shared" si="11"/>
        <v>1900</v>
      </c>
      <c r="E231" s="795" t="str">
        <f t="shared" si="12"/>
        <v>4</v>
      </c>
    </row>
    <row r="232" spans="4:5" x14ac:dyDescent="0.25">
      <c r="D232" s="795">
        <f t="shared" si="11"/>
        <v>1900</v>
      </c>
      <c r="E232" s="795" t="str">
        <f t="shared" si="12"/>
        <v>4</v>
      </c>
    </row>
    <row r="233" spans="4:5" x14ac:dyDescent="0.25">
      <c r="D233" s="795">
        <f t="shared" si="11"/>
        <v>1900</v>
      </c>
      <c r="E233" s="795" t="str">
        <f t="shared" si="12"/>
        <v>4</v>
      </c>
    </row>
    <row r="234" spans="4:5" x14ac:dyDescent="0.25">
      <c r="D234" s="795">
        <f t="shared" si="11"/>
        <v>1900</v>
      </c>
      <c r="E234" s="795" t="str">
        <f t="shared" si="12"/>
        <v>4</v>
      </c>
    </row>
    <row r="235" spans="4:5" x14ac:dyDescent="0.25">
      <c r="D235" s="795">
        <f t="shared" si="11"/>
        <v>1900</v>
      </c>
      <c r="E235" s="795" t="str">
        <f t="shared" si="12"/>
        <v>4</v>
      </c>
    </row>
    <row r="236" spans="4:5" x14ac:dyDescent="0.25">
      <c r="D236" s="795">
        <f t="shared" si="11"/>
        <v>1900</v>
      </c>
      <c r="E236" s="795" t="str">
        <f t="shared" si="12"/>
        <v>4</v>
      </c>
    </row>
    <row r="237" spans="4:5" x14ac:dyDescent="0.25">
      <c r="D237" s="795">
        <f t="shared" si="11"/>
        <v>1900</v>
      </c>
      <c r="E237" s="795" t="str">
        <f t="shared" si="12"/>
        <v>4</v>
      </c>
    </row>
    <row r="238" spans="4:5" x14ac:dyDescent="0.25">
      <c r="D238" s="795">
        <f t="shared" si="11"/>
        <v>1900</v>
      </c>
      <c r="E238" s="795" t="str">
        <f t="shared" si="12"/>
        <v>4</v>
      </c>
    </row>
    <row r="239" spans="4:5" x14ac:dyDescent="0.25">
      <c r="D239" s="795">
        <f t="shared" si="11"/>
        <v>1900</v>
      </c>
      <c r="E239" s="795" t="str">
        <f t="shared" si="12"/>
        <v>4</v>
      </c>
    </row>
    <row r="240" spans="4:5" x14ac:dyDescent="0.25">
      <c r="D240" s="795">
        <f t="shared" si="11"/>
        <v>1900</v>
      </c>
      <c r="E240" s="795" t="str">
        <f t="shared" si="12"/>
        <v>4</v>
      </c>
    </row>
    <row r="241" spans="4:5" x14ac:dyDescent="0.25">
      <c r="D241" s="795">
        <f t="shared" si="11"/>
        <v>1900</v>
      </c>
      <c r="E241" s="795" t="str">
        <f t="shared" si="12"/>
        <v>4</v>
      </c>
    </row>
    <row r="242" spans="4:5" x14ac:dyDescent="0.25">
      <c r="D242" s="795">
        <f t="shared" si="11"/>
        <v>1900</v>
      </c>
      <c r="E242" s="795" t="str">
        <f t="shared" si="12"/>
        <v>4</v>
      </c>
    </row>
    <row r="243" spans="4:5" x14ac:dyDescent="0.25">
      <c r="D243" s="795">
        <f t="shared" si="11"/>
        <v>1900</v>
      </c>
      <c r="E243" s="795" t="str">
        <f t="shared" si="12"/>
        <v>4</v>
      </c>
    </row>
    <row r="244" spans="4:5" x14ac:dyDescent="0.25">
      <c r="D244" s="795">
        <f t="shared" si="11"/>
        <v>1900</v>
      </c>
      <c r="E244" s="795" t="str">
        <f t="shared" si="12"/>
        <v>4</v>
      </c>
    </row>
    <row r="245" spans="4:5" x14ac:dyDescent="0.25">
      <c r="D245" s="795">
        <f t="shared" si="11"/>
        <v>1900</v>
      </c>
      <c r="E245" s="795" t="str">
        <f t="shared" si="12"/>
        <v>4</v>
      </c>
    </row>
    <row r="246" spans="4:5" x14ac:dyDescent="0.25">
      <c r="D246" s="795">
        <f t="shared" si="11"/>
        <v>1900</v>
      </c>
      <c r="E246" s="795" t="str">
        <f t="shared" si="12"/>
        <v>4</v>
      </c>
    </row>
    <row r="247" spans="4:5" x14ac:dyDescent="0.25">
      <c r="D247" s="795">
        <f t="shared" si="11"/>
        <v>1900</v>
      </c>
      <c r="E247" s="795" t="str">
        <f t="shared" si="12"/>
        <v>4</v>
      </c>
    </row>
    <row r="248" spans="4:5" x14ac:dyDescent="0.25">
      <c r="D248" s="795">
        <f t="shared" si="11"/>
        <v>1900</v>
      </c>
      <c r="E248" s="795" t="str">
        <f t="shared" si="12"/>
        <v>4</v>
      </c>
    </row>
    <row r="249" spans="4:5" x14ac:dyDescent="0.25">
      <c r="D249" s="795">
        <f t="shared" si="11"/>
        <v>1900</v>
      </c>
      <c r="E249" s="795" t="str">
        <f t="shared" si="12"/>
        <v>4</v>
      </c>
    </row>
    <row r="250" spans="4:5" x14ac:dyDescent="0.25">
      <c r="D250" s="795">
        <f t="shared" si="11"/>
        <v>1900</v>
      </c>
      <c r="E250" s="795" t="str">
        <f t="shared" si="12"/>
        <v>4</v>
      </c>
    </row>
    <row r="251" spans="4:5" x14ac:dyDescent="0.25">
      <c r="D251" s="795">
        <f t="shared" si="11"/>
        <v>1900</v>
      </c>
      <c r="E251" s="795" t="str">
        <f t="shared" si="12"/>
        <v>4</v>
      </c>
    </row>
    <row r="252" spans="4:5" x14ac:dyDescent="0.25">
      <c r="D252" s="795">
        <f t="shared" si="11"/>
        <v>1900</v>
      </c>
      <c r="E252" s="795" t="str">
        <f t="shared" si="12"/>
        <v>4</v>
      </c>
    </row>
    <row r="253" spans="4:5" x14ac:dyDescent="0.25">
      <c r="D253" s="795">
        <f t="shared" si="11"/>
        <v>1900</v>
      </c>
      <c r="E253" s="795" t="str">
        <f t="shared" si="12"/>
        <v>4</v>
      </c>
    </row>
    <row r="254" spans="4:5" x14ac:dyDescent="0.25">
      <c r="D254" s="795">
        <f t="shared" si="11"/>
        <v>1900</v>
      </c>
      <c r="E254" s="795" t="str">
        <f t="shared" si="12"/>
        <v>4</v>
      </c>
    </row>
  </sheetData>
  <mergeCells count="6">
    <mergeCell ref="P27:R27"/>
    <mergeCell ref="A7:E7"/>
    <mergeCell ref="A8:C8"/>
    <mergeCell ref="P10:R10"/>
    <mergeCell ref="P11:R11"/>
    <mergeCell ref="Q26:R26"/>
  </mergeCells>
  <dataValidations count="2">
    <dataValidation type="list" allowBlank="1" showInputMessage="1" showErrorMessage="1" sqref="Q25" xr:uid="{AA4E217E-EE3C-4980-8991-233F2114CDB7}">
      <formula1>$B$1:$B$2</formula1>
    </dataValidation>
    <dataValidation type="list" allowBlank="1" showInputMessage="1" showErrorMessage="1" sqref="Q26" xr:uid="{87DC5F30-87FE-4A9D-8530-23849440D30D}">
      <formula1>$A$1:$A$2</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B6D4F-12C5-4450-BB0F-0FD3B002FC05}">
  <dimension ref="H1:Y15"/>
  <sheetViews>
    <sheetView showGridLines="0" zoomScale="85" zoomScaleNormal="85" workbookViewId="0"/>
  </sheetViews>
  <sheetFormatPr defaultColWidth="9.140625" defaultRowHeight="15" x14ac:dyDescent="0.25"/>
  <cols>
    <col min="1" max="1" width="17.7109375" customWidth="1"/>
    <col min="2" max="2" width="44" customWidth="1"/>
    <col min="9" max="9" width="13.28515625" bestFit="1" customWidth="1"/>
    <col min="12" max="12" width="14" customWidth="1"/>
  </cols>
  <sheetData>
    <row r="1" spans="8:25" x14ac:dyDescent="0.25">
      <c r="Y1" s="58" t="s">
        <v>153</v>
      </c>
    </row>
    <row r="2" spans="8:25" x14ac:dyDescent="0.25">
      <c r="Y2" s="58" t="s">
        <v>154</v>
      </c>
    </row>
    <row r="3" spans="8:25" x14ac:dyDescent="0.25">
      <c r="Y3" s="58" t="s">
        <v>155</v>
      </c>
    </row>
    <row r="4" spans="8:25" x14ac:dyDescent="0.25">
      <c r="Y4" s="58" t="s">
        <v>154</v>
      </c>
    </row>
    <row r="8" spans="8:25" ht="15.75" thickBot="1" x14ac:dyDescent="0.3"/>
    <row r="9" spans="8:25" ht="15.75" thickBot="1" x14ac:dyDescent="0.3">
      <c r="H9" s="1357" t="s">
        <v>156</v>
      </c>
      <c r="I9" s="1358"/>
      <c r="J9" s="1358"/>
      <c r="K9" s="1358"/>
      <c r="L9" s="1359"/>
    </row>
    <row r="10" spans="8:25" ht="15.75" thickBot="1" x14ac:dyDescent="0.3">
      <c r="H10" s="1360" t="s">
        <v>153</v>
      </c>
      <c r="I10" s="1361"/>
      <c r="J10" s="1361"/>
      <c r="K10" s="1361"/>
      <c r="L10" s="1362"/>
    </row>
    <row r="11" spans="8:25" x14ac:dyDescent="0.25">
      <c r="H11" s="1363" t="s">
        <v>157</v>
      </c>
      <c r="I11" s="1363"/>
      <c r="J11" s="1363"/>
      <c r="K11" s="1363"/>
      <c r="L11" s="1363"/>
    </row>
    <row r="12" spans="8:25" ht="15.75" thickBot="1" x14ac:dyDescent="0.3"/>
    <row r="13" spans="8:25" ht="15.75" thickBot="1" x14ac:dyDescent="0.3">
      <c r="H13" s="59" t="s">
        <v>158</v>
      </c>
      <c r="I13" s="1364" t="s">
        <v>153</v>
      </c>
      <c r="J13" s="1364"/>
      <c r="K13" s="1364"/>
      <c r="L13" s="1365"/>
    </row>
    <row r="15" spans="8:25" x14ac:dyDescent="0.25">
      <c r="H15" s="1366" t="s">
        <v>155</v>
      </c>
      <c r="I15" s="1367"/>
      <c r="J15" s="1367"/>
      <c r="K15" s="1367"/>
      <c r="L15" s="1367"/>
    </row>
  </sheetData>
  <mergeCells count="5">
    <mergeCell ref="H9:L9"/>
    <mergeCell ref="H10:L10"/>
    <mergeCell ref="H11:L11"/>
    <mergeCell ref="I13:L13"/>
    <mergeCell ref="H15:L15"/>
  </mergeCells>
  <dataValidations count="2">
    <dataValidation type="list" allowBlank="1" showInputMessage="1" showErrorMessage="1" promptTitle="Select a Display Factor:" prompt="Clicking here will bring up a message describing the selections you can make." sqref="H10:L10 I13:L13" xr:uid="{7FEEDED9-4111-431A-BF47-594656BE4FA0}">
      <formula1>$Y$1:$Y$2</formula1>
    </dataValidation>
    <dataValidation type="list" allowBlank="1" showInputMessage="1" showErrorMessage="1" promptTitle="Select a Display Factor:" prompt="Clicking here will bring up a message describing the selections you can make." sqref="H15:L15" xr:uid="{5BB3DD17-1B5C-43D0-A8EE-4FC0DB0EEE46}">
      <formula1>$Y$3:$Y$4</formula1>
    </dataValidation>
  </dataValidation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D0DA9-E239-4BB1-8A86-4793E36887E6}">
  <sheetPr>
    <tabColor rgb="FFFFB871"/>
  </sheetPr>
  <dimension ref="A1:Z27"/>
  <sheetViews>
    <sheetView showGridLines="0" zoomScale="85" zoomScaleNormal="85" workbookViewId="0"/>
  </sheetViews>
  <sheetFormatPr defaultColWidth="9.140625" defaultRowHeight="15" x14ac:dyDescent="0.25"/>
  <cols>
    <col min="1" max="1" width="31.5703125" bestFit="1" customWidth="1"/>
    <col min="2" max="2" width="5.28515625" bestFit="1" customWidth="1"/>
    <col min="3" max="3" width="21.5703125" bestFit="1" customWidth="1"/>
    <col min="4" max="4" width="15.140625" bestFit="1" customWidth="1"/>
    <col min="5" max="12" width="15.42578125" customWidth="1"/>
    <col min="13" max="13" width="19.140625" hidden="1" customWidth="1"/>
    <col min="14" max="14" width="15.42578125" hidden="1" customWidth="1"/>
    <col min="15" max="15" width="0" style="2" hidden="1" customWidth="1"/>
    <col min="16" max="16" width="9.140625" style="2" hidden="1" customWidth="1"/>
    <col min="17" max="18" width="12" style="2" hidden="1" customWidth="1"/>
    <col min="19" max="19" width="14.85546875" style="2" hidden="1" customWidth="1"/>
    <col min="20" max="20" width="12" style="2" hidden="1" customWidth="1"/>
    <col min="21" max="21" width="17.28515625" style="2" hidden="1" customWidth="1"/>
    <col min="22" max="22" width="9.140625" style="64"/>
    <col min="23" max="23" width="52.42578125" style="64" bestFit="1" customWidth="1"/>
    <col min="24" max="24" width="15" style="64" bestFit="1" customWidth="1"/>
    <col min="25" max="25" width="9.140625" style="824"/>
    <col min="26" max="26" width="9.140625" style="64"/>
  </cols>
  <sheetData>
    <row r="1" spans="1:26" ht="15" customHeight="1" x14ac:dyDescent="0.25">
      <c r="V1" s="64" t="s">
        <v>48</v>
      </c>
      <c r="W1" s="64" t="str">
        <f>"Spodumene Concentrate Exports "&amp;B8&amp;CHAR(10)&amp;"Total Value: $"&amp;TEXT(C18,"#,###")</f>
        <v>Spodumene Concentrate Exports 2025
Total Value: $4,691,001,084</v>
      </c>
      <c r="X1" s="64" t="s">
        <v>178</v>
      </c>
      <c r="Y1" s="824" cm="1">
        <f t="array" ref="Y1:Y5">IF($B$7="Calendar Year",
_xlfn._xlws.SORT(_xlfn.UNIQUE(_xlfn._xlws.FILTER('Commodity Prices'!$BB:$BB, 'Commodity Prices'!$BA:$BA=$V$1))),
_xlfn._xlws.SORT(_xlfn.UNIQUE(_xlfn._xlws.FILTER('Commodity Prices'!$BI:$BI, 'Commodity Prices'!$BH:$BH=$V$1)))
)</f>
        <v>2021</v>
      </c>
      <c r="Z1" s="64">
        <f t="array" ref="Z1">MIN(IF('Commodity Prices'!$BA$11:$BA$1516=V1,'Commodity Prices'!$BB$11:$BB$1516))</f>
        <v>2021</v>
      </c>
    </row>
    <row r="2" spans="1:26" ht="15" customHeight="1" x14ac:dyDescent="0.25">
      <c r="W2" s="134" t="str">
        <f t="array" ref="W2">IF($B$7=X1,IF(RIGHT(LEFT(B8,5),1)="-","Mismatch Error",""),IF(LEN(B8)=4,"Mismatch Error",""))</f>
        <v/>
      </c>
      <c r="X2" s="64" t="s">
        <v>179</v>
      </c>
      <c r="Y2" s="824">
        <v>2022</v>
      </c>
    </row>
    <row r="3" spans="1:26" ht="15" customHeight="1" x14ac:dyDescent="0.25">
      <c r="Y3" s="824">
        <v>2023</v>
      </c>
    </row>
    <row r="4" spans="1:26" ht="15" customHeight="1" x14ac:dyDescent="0.25">
      <c r="Y4" s="824">
        <v>2024</v>
      </c>
    </row>
    <row r="5" spans="1:26" ht="15" customHeight="1" x14ac:dyDescent="0.25">
      <c r="Y5" s="824">
        <v>2025</v>
      </c>
    </row>
    <row r="6" spans="1:26" ht="15" customHeight="1" thickBot="1" x14ac:dyDescent="0.3"/>
    <row r="7" spans="1:26" x14ac:dyDescent="0.25">
      <c r="A7" s="825" t="s">
        <v>158</v>
      </c>
      <c r="B7" s="1467" t="s">
        <v>178</v>
      </c>
      <c r="C7" s="1467"/>
      <c r="D7" s="1468"/>
      <c r="E7" s="260"/>
    </row>
    <row r="8" spans="1:26" ht="15.75" thickBot="1" x14ac:dyDescent="0.3">
      <c r="A8" s="826" t="s">
        <v>158</v>
      </c>
      <c r="B8" s="1469">
        <v>2025</v>
      </c>
      <c r="C8" s="1469"/>
      <c r="D8" s="1470"/>
      <c r="E8" s="260"/>
    </row>
    <row r="10" spans="1:26" ht="15.75" thickBot="1" x14ac:dyDescent="0.3">
      <c r="A10" s="1393" t="str">
        <f>IF($B$8="Click here to select an option","Select a year above for display.",CONCATENATE("Spodumene Concentrate Exports ",B8))</f>
        <v>Spodumene Concentrate Exports 2025</v>
      </c>
      <c r="B10" s="1393"/>
      <c r="C10" s="1393"/>
      <c r="D10" s="1393"/>
    </row>
    <row r="11" spans="1:26" x14ac:dyDescent="0.25">
      <c r="A11" s="825" t="s">
        <v>562</v>
      </c>
      <c r="B11" s="827" t="s">
        <v>274</v>
      </c>
      <c r="C11" s="798" t="s">
        <v>563</v>
      </c>
      <c r="D11" s="828" t="s">
        <v>276</v>
      </c>
    </row>
    <row r="12" spans="1:26" x14ac:dyDescent="0.25">
      <c r="A12" s="829" t="str" cm="1">
        <f t="array" ref="A12">IF($W$2="Mismatch Error","Mismatch Error",
IF($B$7="Calendar Year",
INDEX('Commodity Prices'!$BA:$BF,MATCH(1,(('Commodity Prices'!$BA:$BA)=$V$1)*(('Commodity Prices'!$BB:$BB)=$B$8)*(('Commodity Prices'!$BD:$BD)=$B12),0),3),
INDEX('Commodity Prices'!$BH:$BM,MATCH(1,(('Commodity Prices'!$BH:$BH)=$V$1)*(('Commodity Prices'!$BI:$BI)=$B$8)*(('Commodity Prices'!$BK:$BK)=$B12),0),3)
)
)</f>
        <v>China</v>
      </c>
      <c r="B12" s="830">
        <v>1</v>
      </c>
      <c r="C12" s="831" cm="1">
        <f t="array" ref="C12">IF($W$2="Mismatch Error","Mismatch Error",
IF($B$7="Calendar Year",
INDEX('Commodity Prices'!$BA:$BF, MATCH(1,(('Commodity Prices'!$BA:$BA)=$V$1)*(('Commodity Prices'!$BB:$BB)=$B$8)*(('Commodity Prices'!$BD:$BD)=$B12),0), 5),
INDEX('Commodity Prices'!$BH:$BM, MATCH(1,(('Commodity Prices'!$BH:$BH)=$V$1)*(('Commodity Prices'!$BI:$BI)=$B$8)*(('Commodity Prices'!$BK:$BK)=$B12),0), 5)
)
)</f>
        <v>4440968465</v>
      </c>
      <c r="D12" s="832" cm="1">
        <f t="array" ref="D12">IF($W$2="Mismatch Error","Mismatch Error",
IF($B$7="Calendar Year",
INDEX('Commodity Prices'!$BA:$BF, MATCH(1,(('Commodity Prices'!$BA:$BA)=$V$1)*(('Commodity Prices'!$BB:$BB)=$B$8)*(('Commodity Prices'!$BD:$BD)=$B12),0), 6),
INDEX('Commodity Prices'!$BH:$BM, MATCH(1,(('Commodity Prices'!$BH:$BH)=$V$1)*(('Commodity Prices'!$BI:$BI)=$B$8)*(('Commodity Prices'!$BK:$BK)=$B12),0), 6)
)
)</f>
        <v>0.94669951796583296</v>
      </c>
    </row>
    <row r="13" spans="1:26" x14ac:dyDescent="0.25">
      <c r="A13" s="833" t="str" cm="1">
        <f t="array" ref="A13">IF($W$2="Mismatch Error","Mismatch Error",
IF($B$7="Calendar Year",
INDEX('Commodity Prices'!$BA:$BF,MATCH(1,(('Commodity Prices'!$BA:$BA)=$V$1)*(('Commodity Prices'!$BB:$BB)=$B$8)*(('Commodity Prices'!$BD:$BD)=B13),0),3),
INDEX('Commodity Prices'!$BH:$BM,MATCH(1,(('Commodity Prices'!$BH:$BH)=$V$1)*(('Commodity Prices'!$BI:$BI)=$B$8)*(('Commodity Prices'!$BK:$BK)=B13),0),3)
)
)</f>
        <v>Indonesia</v>
      </c>
      <c r="B13" s="761">
        <v>2</v>
      </c>
      <c r="C13" s="506" cm="1">
        <f t="array" ref="C13">IF($W$2="Mismatch Error","Mismatch Error",
IF($B$7="Calendar Year",
INDEX('Commodity Prices'!$BA:$BF, MATCH(1,(('Commodity Prices'!$BA:$BA)=$V$1)*(('Commodity Prices'!$BB:$BB)=$B$8)*(('Commodity Prices'!$BD:$BD)=$B13),0), 5),
INDEX('Commodity Prices'!$BH:$BM, MATCH(1,(('Commodity Prices'!$BH:$BH)=$V$1)*(('Commodity Prices'!$BI:$BI)=$B$8)*(('Commodity Prices'!$BK:$BK)=$B13),0), 5)
)
)</f>
        <v>121493920</v>
      </c>
      <c r="D13" s="762" cm="1">
        <f t="array" ref="D13">IF($W$2="Mismatch Error","Mismatch Error",
IF($B$7="Calendar Year",
INDEX('Commodity Prices'!$BA:$BF, MATCH(1,(('Commodity Prices'!$BA:$BA)=$V$1)*(('Commodity Prices'!$BB:$BB)=$B$8)*(('Commodity Prices'!$BD:$BD)=$B13),0), 6),
INDEX('Commodity Prices'!$BH:$BM, MATCH(1,(('Commodity Prices'!$BH:$BH)=$V$1)*(('Commodity Prices'!$BI:$BI)=$B$8)*(('Commodity Prices'!$BK:$BK)=$B13),0), 6)
)
)</f>
        <v>2.5899358756149033E-2</v>
      </c>
    </row>
    <row r="14" spans="1:26" x14ac:dyDescent="0.25">
      <c r="A14" s="829" t="str" cm="1">
        <f t="array" ref="A14">IF($W$2="Mismatch Error","Mismatch Error",
IF($B$7="Calendar Year",
INDEX('Commodity Prices'!$BA:$BF,MATCH(1,(('Commodity Prices'!$BA:$BA)=$V$1)*(('Commodity Prices'!$BB:$BB)=$B$8)*(('Commodity Prices'!$BD:$BD)=B14),0),3),
INDEX('Commodity Prices'!$BH:$BM,MATCH(1,(('Commodity Prices'!$BH:$BH)=$V$1)*(('Commodity Prices'!$BI:$BI)=$B$8)*(('Commodity Prices'!$BK:$BK)=B14),0),3)
)
)</f>
        <v>Korea, Republic of (South)</v>
      </c>
      <c r="B14" s="830">
        <v>3</v>
      </c>
      <c r="C14" s="831" cm="1">
        <f t="array" ref="C14">IF($W$2="Mismatch Error","Mismatch Error",
IF($B$7="Calendar Year",
INDEX('Commodity Prices'!$BA:$BF, MATCH(1,(('Commodity Prices'!$BA:$BA)=$V$1)*(('Commodity Prices'!$BB:$BB)=$B$8)*(('Commodity Prices'!$BD:$BD)=$B14),0), 5),
INDEX('Commodity Prices'!$BH:$BM, MATCH(1,(('Commodity Prices'!$BH:$BH)=$V$1)*(('Commodity Prices'!$BI:$BI)=$B$8)*(('Commodity Prices'!$BK:$BK)=$B14),0), 5)
)
)</f>
        <v>100307781</v>
      </c>
      <c r="D14" s="832" cm="1">
        <f t="array" ref="D14">IF($W$2="Mismatch Error","Mismatch Error",
IF($B$7="Calendar Year",
INDEX('Commodity Prices'!$BA:$BF, MATCH(1,(('Commodity Prices'!$BA:$BA)=$V$1)*(('Commodity Prices'!$BB:$BB)=$B$8)*(('Commodity Prices'!$BD:$BD)=$B14),0), 6),
INDEX('Commodity Prices'!$BH:$BM, MATCH(1,(('Commodity Prices'!$BH:$BH)=$V$1)*(('Commodity Prices'!$BI:$BI)=$B$8)*(('Commodity Prices'!$BK:$BK)=$B14),0), 6)
)
)</f>
        <v>2.1383022345087141E-2</v>
      </c>
    </row>
    <row r="15" spans="1:26" x14ac:dyDescent="0.25">
      <c r="A15" s="833" t="str" cm="1">
        <f t="array" ref="A15">IF($W$2="Mismatch Error","Mismatch Error",
IF($B$7="Calendar Year",
INDEX('Commodity Prices'!$BA:$BF,MATCH(1,(('Commodity Prices'!$BA:$BA)=$V$1)*(('Commodity Prices'!$BB:$BB)=$B$8)*(('Commodity Prices'!$BD:$BD)=B15),0),3),
INDEX('Commodity Prices'!$BH:$BM,MATCH(1,(('Commodity Prices'!$BH:$BH)=$V$1)*(('Commodity Prices'!$BI:$BI)=$B$8)*(('Commodity Prices'!$BK:$BK)=B15),0),3)
)
)</f>
        <v>Belgium</v>
      </c>
      <c r="B15" s="761">
        <v>4</v>
      </c>
      <c r="C15" s="506" cm="1">
        <f t="array" ref="C15">IF($W$2="Mismatch Error","Mismatch Error",
IF($B$7="Calendar Year",
INDEX('Commodity Prices'!$BA:$BF, MATCH(1,(('Commodity Prices'!$BA:$BA)=$V$1)*(('Commodity Prices'!$BB:$BB)=$B$8)*(('Commodity Prices'!$BD:$BD)=$B15),0), 5),
INDEX('Commodity Prices'!$BH:$BM, MATCH(1,(('Commodity Prices'!$BH:$BH)=$V$1)*(('Commodity Prices'!$BI:$BI)=$B$8)*(('Commodity Prices'!$BK:$BK)=$B15),0), 5)
)
)</f>
        <v>24423508</v>
      </c>
      <c r="D15" s="762" cm="1">
        <f t="array" ref="D15">IF($W$2="Mismatch Error","Mismatch Error",
IF($B$7="Calendar Year",
INDEX('Commodity Prices'!$BA:$BF, MATCH(1,(('Commodity Prices'!$BA:$BA)=$V$1)*(('Commodity Prices'!$BB:$BB)=$B$8)*(('Commodity Prices'!$BD:$BD)=$B15),0), 6),
INDEX('Commodity Prices'!$BH:$BM, MATCH(1,(('Commodity Prices'!$BH:$BH)=$V$1)*(('Commodity Prices'!$BI:$BI)=$B$8)*(('Commodity Prices'!$BK:$BK)=$B15),0), 6)
)
)</f>
        <v>5.2064596794282048E-3</v>
      </c>
    </row>
    <row r="16" spans="1:26" x14ac:dyDescent="0.25">
      <c r="A16" s="829" t="str" cm="1">
        <f t="array" ref="A16">IF($W$2="Mismatch Error","Mismatch Error",
IF($B$7="Calendar Year",
INDEX('Commodity Prices'!$BA:$BF,MATCH(1,(('Commodity Prices'!$BA:$BA)=$V$1)*(('Commodity Prices'!$BB:$BB)=$B$8)*(('Commodity Prices'!$BD:$BD)=B16),0),3),
INDEX('Commodity Prices'!$BH:$BM,MATCH(1,(('Commodity Prices'!$BH:$BH)=$V$1)*(('Commodity Prices'!$BI:$BI)=$B$8)*(('Commodity Prices'!$BK:$BK)=B16),0),3)
)
)</f>
        <v>United States of America</v>
      </c>
      <c r="B16" s="830">
        <v>5</v>
      </c>
      <c r="C16" s="831" cm="1">
        <f t="array" ref="C16">IF($W$2="Mismatch Error","Mismatch Error",
IF($B$7="Calendar Year",
INDEX('Commodity Prices'!$BA:$BF, MATCH(1,(('Commodity Prices'!$BA:$BA)=$V$1)*(('Commodity Prices'!$BB:$BB)=$B$8)*(('Commodity Prices'!$BD:$BD)=$B16),0), 5),
INDEX('Commodity Prices'!$BH:$BM, MATCH(1,(('Commodity Prices'!$BH:$BH)=$V$1)*(('Commodity Prices'!$BI:$BI)=$B$8)*(('Commodity Prices'!$BK:$BK)=$B16),0), 5)
)
)</f>
        <v>2713558</v>
      </c>
      <c r="D16" s="832" cm="1">
        <f t="array" ref="D16">IF($W$2="Mismatch Error","Mismatch Error",
IF($B$7="Calendar Year",
INDEX('Commodity Prices'!$BA:$BF, MATCH(1,(('Commodity Prices'!$BA:$BA)=$V$1)*(('Commodity Prices'!$BB:$BB)=$B$8)*(('Commodity Prices'!$BD:$BD)=$B16),0), 6),
INDEX('Commodity Prices'!$BH:$BM, MATCH(1,(('Commodity Prices'!$BH:$BH)=$V$1)*(('Commodity Prices'!$BI:$BI)=$B$8)*(('Commodity Prices'!$BK:$BK)=$B16),0), 6)
)
)</f>
        <v>5.7846032252163943E-4</v>
      </c>
      <c r="S16" s="834"/>
      <c r="T16" s="835"/>
      <c r="U16" s="836"/>
    </row>
    <row r="17" spans="1:26" x14ac:dyDescent="0.25">
      <c r="A17" s="833" t="str">
        <f>IF($W$2="Mismatch Error","","Other")</f>
        <v>Other</v>
      </c>
      <c r="B17" s="761"/>
      <c r="C17" s="506" cm="1">
        <f t="array" ref="C17">IF($W$2="Mismatch Error","Mismatch Error",
IF($B$7="Calendar Year",
INDEX('Commodity Prices'!$BA:$BF, MATCH(1,(('Commodity Prices'!$BA:$BA)=$V$1)*(('Commodity Prices'!$BB:$BB)=$B$8)*(('Commodity Prices'!$BD:$BD)=$B17),0), 5),
INDEX('Commodity Prices'!$BH:$BM, MATCH(1,(('Commodity Prices'!$BH:$BH)=$V$1)*(('Commodity Prices'!$BI:$BI)=$B$8)*(('Commodity Prices'!$BK:$BK)=$B17),0), 5)
)
)</f>
        <v>1093852</v>
      </c>
      <c r="D17" s="837" cm="1">
        <f t="array" ref="D17">IF($W$2="Mismatch Error","Mismatch Error",
IF($B$7="Calendar Year",
INDEX('Commodity Prices'!$BA:$BF, MATCH(1,(('Commodity Prices'!$BA:$BA)=$V$1)*(('Commodity Prices'!$BB:$BB)=$B$8)*(('Commodity Prices'!$BD:$BD)=$B17),0), 6),
INDEX('Commodity Prices'!$BH:$BM, MATCH(1,(('Commodity Prices'!$BH:$BH)=$V$1)*(('Commodity Prices'!$BI:$BI)=$B$8)*(('Commodity Prices'!$BK:$BK)=$B17),0), 6)
)
)</f>
        <v>2.3318093098099996E-4</v>
      </c>
      <c r="S17" s="834"/>
      <c r="T17" s="835"/>
      <c r="U17" s="836"/>
    </row>
    <row r="18" spans="1:26" ht="15.75" thickBot="1" x14ac:dyDescent="0.3">
      <c r="A18" s="513" t="str">
        <f>IF($W$2="Mismatch Error","","Grand Total")</f>
        <v>Grand Total</v>
      </c>
      <c r="B18" s="514"/>
      <c r="C18" s="515">
        <f>SUM(C7:C17)</f>
        <v>4691001084</v>
      </c>
      <c r="D18" s="516"/>
      <c r="S18" s="834"/>
      <c r="T18" s="835"/>
      <c r="U18" s="836"/>
    </row>
    <row r="19" spans="1:26" x14ac:dyDescent="0.25">
      <c r="S19" s="834"/>
      <c r="T19" s="835"/>
      <c r="U19" s="836"/>
      <c r="V19" s="415"/>
      <c r="W19" s="415"/>
      <c r="X19" s="415"/>
      <c r="Z19" s="415"/>
    </row>
    <row r="20" spans="1:26" x14ac:dyDescent="0.25">
      <c r="A20" s="517" t="str">
        <f>IF(A12="Mismatch Error","You have selected an incompatible year or year type. Change one or the other to display data.","")</f>
        <v/>
      </c>
      <c r="B20" s="517"/>
      <c r="C20" s="517"/>
      <c r="D20" s="517"/>
      <c r="E20" s="2"/>
      <c r="S20" s="834"/>
      <c r="T20" s="835"/>
      <c r="U20" s="836"/>
      <c r="V20" s="415"/>
      <c r="W20" s="415"/>
      <c r="X20" s="415"/>
      <c r="Z20" s="415"/>
    </row>
    <row r="21" spans="1:26" x14ac:dyDescent="0.25">
      <c r="A21" s="517"/>
      <c r="B21" s="517"/>
      <c r="C21" s="517"/>
      <c r="D21" s="517"/>
      <c r="E21" s="2"/>
      <c r="S21" s="834"/>
      <c r="T21" s="835"/>
      <c r="U21" s="836"/>
      <c r="V21" s="415"/>
      <c r="W21" s="415"/>
      <c r="X21" s="415"/>
      <c r="Z21" s="415"/>
    </row>
    <row r="22" spans="1:26" x14ac:dyDescent="0.25">
      <c r="A22" s="517" t="str">
        <f>IF(OR(ISNA(A12),ISNA(A13),ISNA(A14),ISNA(A15),ISNA(A16),ISNA(#REF!),ISNA(#REF!),ISNA(#REF!),ISNA(#REF!),ISNA(#REF!),ISNA(C12),ISNA(C13),ISNA(C14),ISNA(C15),ISNA(C16),ISNA(#REF!),ISNA(#REF!),ISNA(#REF!),ISNA(#REF!),ISNA(#REF!)),"You have ecountered an NA Error. This is most likely caused by the accidental loss of an array formula in the table above. Click on the cell showing #N/A above, then click the formula bar and press Ctrl, Shift and Enter.","")</f>
        <v/>
      </c>
      <c r="B22" s="517"/>
      <c r="C22" s="517"/>
      <c r="D22" s="517"/>
      <c r="E22" s="2"/>
      <c r="S22" s="834"/>
      <c r="T22" s="835"/>
      <c r="U22" s="836"/>
      <c r="V22" s="415"/>
      <c r="W22" s="415"/>
      <c r="X22" s="415"/>
      <c r="Z22" s="415"/>
    </row>
    <row r="23" spans="1:26" x14ac:dyDescent="0.25">
      <c r="A23" s="517"/>
      <c r="B23" s="517"/>
      <c r="C23" s="517"/>
      <c r="D23" s="517"/>
      <c r="E23" s="2"/>
      <c r="S23" s="834"/>
      <c r="T23" s="835"/>
      <c r="U23" s="836"/>
      <c r="V23" s="415"/>
      <c r="W23" s="415"/>
      <c r="X23" s="415"/>
      <c r="Z23" s="415"/>
    </row>
    <row r="24" spans="1:26" x14ac:dyDescent="0.25">
      <c r="A24" s="517"/>
      <c r="B24" s="517"/>
      <c r="C24" s="517"/>
      <c r="D24" s="517"/>
      <c r="E24" s="2"/>
      <c r="S24" s="834"/>
      <c r="T24" s="835"/>
      <c r="U24" s="836"/>
      <c r="V24" s="415"/>
      <c r="W24" s="415"/>
      <c r="X24" s="415"/>
      <c r="Z24" s="415"/>
    </row>
    <row r="25" spans="1:26" x14ac:dyDescent="0.25">
      <c r="A25" s="517"/>
      <c r="B25" s="517"/>
      <c r="C25" s="517"/>
      <c r="D25" s="517"/>
      <c r="E25" s="2"/>
      <c r="S25" s="834"/>
      <c r="T25" s="835"/>
      <c r="U25" s="836"/>
      <c r="V25" s="415"/>
      <c r="W25" s="415"/>
      <c r="X25" s="415"/>
      <c r="Z25" s="415"/>
    </row>
    <row r="26" spans="1:26" x14ac:dyDescent="0.25">
      <c r="A26" s="2"/>
      <c r="B26" s="2"/>
      <c r="C26" s="2"/>
      <c r="D26" s="2"/>
      <c r="E26" s="2"/>
      <c r="V26" s="415"/>
      <c r="W26" s="415"/>
      <c r="X26" s="415"/>
      <c r="Z26" s="415"/>
    </row>
    <row r="27" spans="1:26" ht="15" customHeight="1" x14ac:dyDescent="0.25">
      <c r="A27" s="2"/>
      <c r="B27" s="2"/>
      <c r="C27" s="2"/>
      <c r="D27" s="2"/>
      <c r="E27" s="2"/>
      <c r="V27" s="415"/>
      <c r="W27" s="415"/>
      <c r="X27" s="415"/>
      <c r="Z27" s="415"/>
    </row>
  </sheetData>
  <mergeCells count="3">
    <mergeCell ref="B7:D7"/>
    <mergeCell ref="B8:D8"/>
    <mergeCell ref="A10:D10"/>
  </mergeCells>
  <dataValidations count="3">
    <dataValidation type="list" allowBlank="1" showInputMessage="1" showErrorMessage="1" promptTitle="Select a Display Factor:" prompt="Clicking here will bring up a message describing the selections you can make." sqref="B8:D8" xr:uid="{A0C0E5FA-5366-4BA2-BF5A-62B1697509B1}">
      <formula1>$Y$1:$Y$27</formula1>
    </dataValidation>
    <dataValidation type="list" allowBlank="1" showInputMessage="1" showErrorMessage="1" promptTitle="Select a Display Factor:" prompt="Clicking here will bring up a message describing the selections you can make." sqref="B7:D7" xr:uid="{46BF7A72-255D-4336-B92D-9AF6EB2A715D}">
      <formula1>$X$1:$X$2</formula1>
    </dataValidation>
    <dataValidation allowBlank="1" promptTitle="Select a Display Factor:" prompt="Clicking here will bring up a message describing the selections you can make." sqref="E7:E8" xr:uid="{5F79A5F1-3E9F-44E0-AD78-78EF9F588B99}"/>
  </dataValidation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506E-E461-4D01-8176-43C9FF058833}">
  <sheetPr>
    <tabColor theme="7" tint="0.39997558519241921"/>
  </sheetPr>
  <dimension ref="A1:T71"/>
  <sheetViews>
    <sheetView showGridLines="0" zoomScale="85" zoomScaleNormal="85" workbookViewId="0">
      <pane ySplit="10" topLeftCell="A11" activePane="bottomLeft" state="frozen"/>
      <selection pane="bottomLeft"/>
    </sheetView>
  </sheetViews>
  <sheetFormatPr defaultColWidth="9.140625" defaultRowHeight="15" x14ac:dyDescent="0.25"/>
  <cols>
    <col min="1" max="1" width="12.7109375" customWidth="1"/>
    <col min="2" max="3" width="25.7109375" customWidth="1"/>
    <col min="4" max="4" width="8.7109375" customWidth="1"/>
    <col min="5" max="5" width="12.7109375" customWidth="1"/>
    <col min="6" max="7" width="25.7109375" customWidth="1"/>
  </cols>
  <sheetData>
    <row r="1" spans="1:20" ht="15" customHeight="1" x14ac:dyDescent="0.25">
      <c r="G1" s="838"/>
      <c r="T1" s="58" t="s">
        <v>551</v>
      </c>
    </row>
    <row r="2" spans="1:20" ht="15" customHeight="1" x14ac:dyDescent="0.25">
      <c r="T2" s="58" t="s">
        <v>552</v>
      </c>
    </row>
    <row r="3" spans="1:20" ht="15" customHeight="1" x14ac:dyDescent="0.25"/>
    <row r="4" spans="1:20" ht="15" customHeight="1" x14ac:dyDescent="0.25"/>
    <row r="5" spans="1:20" ht="15" customHeight="1" x14ac:dyDescent="0.25"/>
    <row r="6" spans="1:20" ht="15" customHeight="1" x14ac:dyDescent="0.25"/>
    <row r="7" spans="1:20" ht="15" customHeight="1" x14ac:dyDescent="0.25">
      <c r="A7" s="1393" t="s">
        <v>568</v>
      </c>
      <c r="B7" s="1393"/>
      <c r="C7" s="1393"/>
      <c r="E7" s="1393" t="s">
        <v>553</v>
      </c>
      <c r="F7" s="1393"/>
      <c r="G7" s="1393"/>
    </row>
    <row r="8" spans="1:20" ht="15" customHeight="1" thickBot="1" x14ac:dyDescent="0.3">
      <c r="A8" s="1395" t="s">
        <v>569</v>
      </c>
      <c r="B8" s="1395"/>
      <c r="C8" s="1395"/>
      <c r="E8" s="1408" t="str">
        <f>E53</f>
        <v>Historic Calendar Year</v>
      </c>
      <c r="F8" s="1408"/>
      <c r="G8" s="1408"/>
    </row>
    <row r="9" spans="1:20" ht="15" customHeight="1" x14ac:dyDescent="0.25">
      <c r="A9" s="839"/>
      <c r="B9" s="840" t="s">
        <v>177</v>
      </c>
      <c r="C9" s="841" t="s">
        <v>176</v>
      </c>
      <c r="E9" s="842"/>
      <c r="F9" s="840" t="s">
        <v>177</v>
      </c>
      <c r="G9" s="841" t="s">
        <v>176</v>
      </c>
    </row>
    <row r="10" spans="1:20" ht="15" customHeight="1" x14ac:dyDescent="0.25">
      <c r="A10" s="843" t="s">
        <v>269</v>
      </c>
      <c r="B10" s="844" t="s">
        <v>259</v>
      </c>
      <c r="C10" s="845" t="s">
        <v>259</v>
      </c>
      <c r="E10" s="846" t="s">
        <v>272</v>
      </c>
      <c r="F10" s="847" t="s">
        <v>259</v>
      </c>
      <c r="G10" s="848" t="s">
        <v>259</v>
      </c>
    </row>
    <row r="11" spans="1:20" ht="15" customHeight="1" x14ac:dyDescent="0.25">
      <c r="A11" s="849">
        <f>LARGE('Commodity Prices'!C$161:C$904,61)</f>
        <v>44166</v>
      </c>
      <c r="B11" s="850">
        <f>SUMIF('Commodity Prices'!C$111:C$904,A11,'Commodity Prices'!V$111:V$904)</f>
        <v>1525.4759061576503</v>
      </c>
      <c r="C11" s="851">
        <f>SUMIF('Commodity Prices'!C$111:C$904,A11,'Commodity Prices'!X$111:X$904)</f>
        <v>3614.7844236787751</v>
      </c>
      <c r="E11" s="852">
        <f>IF(E8="Historic Calendar Year", 1986, "1986-87")</f>
        <v>1986</v>
      </c>
      <c r="F11" s="853">
        <f>IF($E$8="Historic Calendar Year",
 IF(COUNTIFS('Commodity Prices'!$V:$V, "&gt;0", 'Commodity Prices'!$A:$A, $E11)=12, AVERAGEIFS('Commodity Prices'!$V:$V, 'Commodity Prices'!$A:$A, $E11), NA()),
 IF(COUNTIFS('Commodity Prices'!$V:$V, "&gt;0", 'Commodity Prices'!$B:$B, $E11)=12, AVERAGEIFS('Commodity Prices'!$V:$V, 'Commodity Prices'!$B:$B, $E11), NA())
)</f>
        <v>178.33333333333334</v>
      </c>
      <c r="G11" s="854"/>
    </row>
    <row r="12" spans="1:20" x14ac:dyDescent="0.25">
      <c r="A12" s="855">
        <f>LARGE('Commodity Prices'!C$161:C$904,60)</f>
        <v>44197</v>
      </c>
      <c r="B12" s="856">
        <f>SUMIF('Commodity Prices'!C$111:C$904,A12,'Commodity Prices'!V$111:V$904)</f>
        <v>1716.0525778458398</v>
      </c>
      <c r="C12" s="857">
        <f>SUMIF('Commodity Prices'!C$111:C$904,A12,'Commodity Prices'!X$111:X$904)</f>
        <v>3614.7844236787751</v>
      </c>
      <c r="E12" s="858">
        <f>IF($E$8="Historic Calendar Year", E11+1, LEFT(E11, 4)+1 &amp; "-" &amp; RIGHT( LEFT(E11, 4)+2, 2))</f>
        <v>1987</v>
      </c>
      <c r="F12" s="578">
        <f>IF($E$8="Historic Calendar Year",
 IF(COUNTIFS('Commodity Prices'!$V:$V, "&gt;0", 'Commodity Prices'!$A:$A, $E12)=12, AVERAGEIFS('Commodity Prices'!$V:$V, 'Commodity Prices'!$A:$A, $E12), NA()),
 IF(COUNTIFS('Commodity Prices'!$V:$V, "&gt;0", 'Commodity Prices'!$B:$B, $E12)=12, AVERAGEIFS('Commodity Prices'!$V:$V, 'Commodity Prices'!$B:$B, $E12), NA())
)</f>
        <v>270</v>
      </c>
      <c r="G12" s="580"/>
    </row>
    <row r="13" spans="1:20" x14ac:dyDescent="0.25">
      <c r="A13" s="859">
        <f>LARGE('Commodity Prices'!C$161:C$904,59)</f>
        <v>44228</v>
      </c>
      <c r="B13" s="548">
        <f>SUMIF('Commodity Prices'!C$111:C$904,A13,'Commodity Prices'!V$111:V$904)</f>
        <v>1704.9851469163707</v>
      </c>
      <c r="C13" s="434">
        <f>SUMIF('Commodity Prices'!C$111:C$904,A13,'Commodity Prices'!X$111:X$904)</f>
        <v>3555.2726009570724</v>
      </c>
      <c r="E13" s="860">
        <f t="shared" ref="E13:E50" si="0">IF($E$8="Historic Calendar Year", E12+1, LEFT(E12, 4)+1 &amp; "-" &amp; RIGHT( LEFT(E12, 4)+2, 2))</f>
        <v>1988</v>
      </c>
      <c r="F13" s="856">
        <f>IF($E$8="Historic Calendar Year",
 IF(COUNTIFS('Commodity Prices'!$V:$V, "&gt;0", 'Commodity Prices'!$A:$A, $E13)=12, AVERAGEIFS('Commodity Prices'!$V:$V, 'Commodity Prices'!$A:$A, $E13), NA()),
 IF(COUNTIFS('Commodity Prices'!$V:$V, "&gt;0", 'Commodity Prices'!$B:$B, $E13)=12, AVERAGEIFS('Commodity Prices'!$V:$V, 'Commodity Prices'!$B:$B, $E13), NA())
)</f>
        <v>310</v>
      </c>
      <c r="G13" s="857">
        <f>IF($E$8="Historic Calendar Year",
 IF(COUNTIFS('Commodity Prices'!$X:$X, "&gt;0", 'Commodity Prices'!$A:$A, $E13)=12, AVERAGEIFS('Commodity Prices'!$X:$X, 'Commodity Prices'!$A:$A, $E13), NA()),
 IF(COUNTIFS('Commodity Prices'!$X:$X, "&gt;0", 'Commodity Prices'!$B:$B, $E13)=12, AVERAGEIFS('Commodity Prices'!$X:$X, 'Commodity Prices'!$B:$B, $E13), NA())
)</f>
        <v>2492.4925642170329</v>
      </c>
    </row>
    <row r="14" spans="1:20" x14ac:dyDescent="0.25">
      <c r="A14" s="855">
        <f>LARGE('Commodity Prices'!C$161:C$904,58)</f>
        <v>44256</v>
      </c>
      <c r="B14" s="856">
        <f>SUMIF('Commodity Prices'!C$111:C$904,A14,'Commodity Prices'!V$111:V$904)</f>
        <v>1549.3028445883442</v>
      </c>
      <c r="C14" s="857">
        <f>SUMIF('Commodity Prices'!C$111:C$904,A14,'Commodity Prices'!X$111:X$904)</f>
        <v>3566.9015170882326</v>
      </c>
      <c r="E14" s="858">
        <f t="shared" si="0"/>
        <v>1989</v>
      </c>
      <c r="F14" s="578">
        <f>IF($E$8="Historic Calendar Year",
 IF(COUNTIFS('Commodity Prices'!$V:$V, "&gt;0", 'Commodity Prices'!$A:$A, $E14)=12, AVERAGEIFS('Commodity Prices'!$V:$V, 'Commodity Prices'!$A:$A, $E14), NA()),
 IF(COUNTIFS('Commodity Prices'!$V:$V, "&gt;0", 'Commodity Prices'!$B:$B, $E14)=12, AVERAGEIFS('Commodity Prices'!$V:$V, 'Commodity Prices'!$B:$B, $E14), NA())
)</f>
        <v>515</v>
      </c>
      <c r="G14" s="580">
        <f>IF($E$8="Historic Calendar Year",
 IF(COUNTIFS('Commodity Prices'!$X:$X, "&gt;0", 'Commodity Prices'!$A:$A, $E14)=12, AVERAGEIFS('Commodity Prices'!$X:$X, 'Commodity Prices'!$A:$A, $E14), NA()),
 IF(COUNTIFS('Commodity Prices'!$X:$X, "&gt;0", 'Commodity Prices'!$B:$B, $E14)=12, AVERAGEIFS('Commodity Prices'!$X:$X, 'Commodity Prices'!$B:$B, $E14), NA())
)</f>
        <v>2850.6078738058472</v>
      </c>
    </row>
    <row r="15" spans="1:20" x14ac:dyDescent="0.25">
      <c r="A15" s="859">
        <f>LARGE('Commodity Prices'!C$161:C$904,57)</f>
        <v>44287</v>
      </c>
      <c r="B15" s="548">
        <f>SUMIF('Commodity Prices'!C$111:C$904,A15,'Commodity Prices'!V$111:V$904)</f>
        <v>1773.6919422620135</v>
      </c>
      <c r="C15" s="434">
        <f>SUMIF('Commodity Prices'!C$111:C$904,A15,'Commodity Prices'!X$111:X$904)</f>
        <v>3684.4856798233413</v>
      </c>
      <c r="E15" s="860">
        <f t="shared" si="0"/>
        <v>1990</v>
      </c>
      <c r="F15" s="856">
        <f>IF($E$8="Historic Calendar Year",
 IF(COUNTIFS('Commodity Prices'!$V:$V, "&gt;0", 'Commodity Prices'!$A:$A, $E15)=12, AVERAGEIFS('Commodity Prices'!$V:$V, 'Commodity Prices'!$A:$A, $E15), NA()),
 IF(COUNTIFS('Commodity Prices'!$V:$V, "&gt;0", 'Commodity Prices'!$B:$B, $E15)=12, AVERAGEIFS('Commodity Prices'!$V:$V, 'Commodity Prices'!$B:$B, $E15), NA())
)</f>
        <v>574.33333333333337</v>
      </c>
      <c r="G15" s="857">
        <f>IF($E$8="Historic Calendar Year",
 IF(COUNTIFS('Commodity Prices'!$X:$X, "&gt;0", 'Commodity Prices'!$A:$A, $E15)=12, AVERAGEIFS('Commodity Prices'!$X:$X, 'Commodity Prices'!$A:$A, $E15), NA()),
 IF(COUNTIFS('Commodity Prices'!$X:$X, "&gt;0", 'Commodity Prices'!$B:$B, $E15)=12, AVERAGEIFS('Commodity Prices'!$X:$X, 'Commodity Prices'!$B:$B, $E15), NA())
)</f>
        <v>2738.6097485615096</v>
      </c>
    </row>
    <row r="16" spans="1:20" x14ac:dyDescent="0.25">
      <c r="A16" s="855">
        <f>LARGE('Commodity Prices'!C$161:C$904,56)</f>
        <v>44317</v>
      </c>
      <c r="B16" s="856">
        <f>SUMIF('Commodity Prices'!C$111:C$904,A16,'Commodity Prices'!V$111:V$904)</f>
        <v>1782.5444579780756</v>
      </c>
      <c r="C16" s="857">
        <f>SUMIF('Commodity Prices'!C$111:C$904,A16,'Commodity Prices'!X$111:X$904)</f>
        <v>3621.6441047254616</v>
      </c>
      <c r="E16" s="858">
        <f t="shared" si="0"/>
        <v>1991</v>
      </c>
      <c r="F16" s="578">
        <f>IF($E$8="Historic Calendar Year",
 IF(COUNTIFS('Commodity Prices'!$V:$V, "&gt;0", 'Commodity Prices'!$A:$A, $E16)=12, AVERAGEIFS('Commodity Prices'!$V:$V, 'Commodity Prices'!$A:$A, $E16), NA()),
 IF(COUNTIFS('Commodity Prices'!$V:$V, "&gt;0", 'Commodity Prices'!$B:$B, $E16)=12, AVERAGEIFS('Commodity Prices'!$V:$V, 'Commodity Prices'!$B:$B, $E16), NA())
)</f>
        <v>400.75</v>
      </c>
      <c r="G16" s="580">
        <f>IF($E$8="Historic Calendar Year",
 IF(COUNTIFS('Commodity Prices'!$X:$X, "&gt;0", 'Commodity Prices'!$A:$A, $E16)=12, AVERAGEIFS('Commodity Prices'!$X:$X, 'Commodity Prices'!$A:$A, $E16), NA()),
 IF(COUNTIFS('Commodity Prices'!$X:$X, "&gt;0", 'Commodity Prices'!$B:$B, $E16)=12, AVERAGEIFS('Commodity Prices'!$X:$X, 'Commodity Prices'!$B:$B, $E16), NA())
)</f>
        <v>2150.6365933211728</v>
      </c>
    </row>
    <row r="17" spans="1:7" x14ac:dyDescent="0.25">
      <c r="A17" s="859">
        <f>LARGE('Commodity Prices'!C$161:C$904,56)</f>
        <v>44317</v>
      </c>
      <c r="B17" s="548">
        <f>SUMIF('Commodity Prices'!C$111:C$904,A17,'Commodity Prices'!V$111:V$904)</f>
        <v>1782.5444579780756</v>
      </c>
      <c r="C17" s="434">
        <f>SUMIF('Commodity Prices'!C$111:C$904,A17,'Commodity Prices'!X$111:X$904)</f>
        <v>3621.6441047254616</v>
      </c>
      <c r="E17" s="860">
        <f t="shared" si="0"/>
        <v>1992</v>
      </c>
      <c r="F17" s="856">
        <f>IF($E$8="Historic Calendar Year",
 IF(COUNTIFS('Commodity Prices'!$V:$V, "&gt;0", 'Commodity Prices'!$A:$A, $E17)=12, AVERAGEIFS('Commodity Prices'!$V:$V, 'Commodity Prices'!$A:$A, $E17), NA()),
 IF(COUNTIFS('Commodity Prices'!$V:$V, "&gt;0", 'Commodity Prices'!$B:$B, $E17)=12, AVERAGEIFS('Commodity Prices'!$V:$V, 'Commodity Prices'!$B:$B, $E17), NA())
)</f>
        <v>216.75</v>
      </c>
      <c r="G17" s="857">
        <f>IF($E$8="Historic Calendar Year",
 IF(COUNTIFS('Commodity Prices'!$X:$X, "&gt;0", 'Commodity Prices'!$A:$A, $E17)=12, AVERAGEIFS('Commodity Prices'!$X:$X, 'Commodity Prices'!$A:$A, $E17), NA()),
 IF(COUNTIFS('Commodity Prices'!$X:$X, "&gt;0", 'Commodity Prices'!$B:$B, $E17)=12, AVERAGEIFS('Commodity Prices'!$X:$X, 'Commodity Prices'!$B:$B, $E17), NA())
)</f>
        <v>2206.6992972721691</v>
      </c>
    </row>
    <row r="18" spans="1:7" x14ac:dyDescent="0.25">
      <c r="A18" s="855">
        <f>LARGE('Commodity Prices'!C$161:C$904,54)</f>
        <v>44378</v>
      </c>
      <c r="B18" s="856">
        <f>SUMIF('Commodity Prices'!C$111:C$904,A18,'Commodity Prices'!V$111:V$904)</f>
        <v>1951.5079338100927</v>
      </c>
      <c r="C18" s="857">
        <f>SUMIF('Commodity Prices'!C$111:C$904,A18,'Commodity Prices'!X$111:X$904)</f>
        <v>3918.7916710748777</v>
      </c>
      <c r="E18" s="858">
        <f t="shared" si="0"/>
        <v>1993</v>
      </c>
      <c r="F18" s="578">
        <f>IF($E$8="Historic Calendar Year",
 IF(COUNTIFS('Commodity Prices'!$V:$V, "&gt;0", 'Commodity Prices'!$A:$A, $E18)=12, AVERAGEIFS('Commodity Prices'!$V:$V, 'Commodity Prices'!$A:$A, $E18), NA()),
 IF(COUNTIFS('Commodity Prices'!$V:$V, "&gt;0", 'Commodity Prices'!$B:$B, $E18)=12, AVERAGEIFS('Commodity Prices'!$V:$V, 'Commodity Prices'!$B:$B, $E18), NA())
)</f>
        <v>169.25</v>
      </c>
      <c r="G18" s="580">
        <f>IF($E$8="Historic Calendar Year",
 IF(COUNTIFS('Commodity Prices'!$X:$X, "&gt;0", 'Commodity Prices'!$A:$A, $E18)=12, AVERAGEIFS('Commodity Prices'!$X:$X, 'Commodity Prices'!$A:$A, $E18), NA()),
 IF(COUNTIFS('Commodity Prices'!$X:$X, "&gt;0", 'Commodity Prices'!$B:$B, $E18)=12, AVERAGEIFS('Commodity Prices'!$X:$X, 'Commodity Prices'!$B:$B, $E18), NA())
)</f>
        <v>2259.4688852220715</v>
      </c>
    </row>
    <row r="19" spans="1:7" x14ac:dyDescent="0.25">
      <c r="A19" s="859">
        <f>LARGE('Commodity Prices'!C$161:C$904,53)</f>
        <v>44409</v>
      </c>
      <c r="B19" s="548">
        <f>SUMIF('Commodity Prices'!C$111:C$904,A19,'Commodity Prices'!V$111:V$904)</f>
        <v>2081.1388888888887</v>
      </c>
      <c r="C19" s="434">
        <f>SUMIF('Commodity Prices'!C$111:C$904,A19,'Commodity Prices'!X$111:X$904)</f>
        <v>4032.5339931623266</v>
      </c>
      <c r="E19" s="860">
        <f t="shared" si="0"/>
        <v>1994</v>
      </c>
      <c r="F19" s="856">
        <f>IF($E$8="Historic Calendar Year",
 IF(COUNTIFS('Commodity Prices'!$V:$V, "&gt;0", 'Commodity Prices'!$A:$A, $E19)=12, AVERAGEIFS('Commodity Prices'!$V:$V, 'Commodity Prices'!$A:$A, $E19), NA()),
 IF(COUNTIFS('Commodity Prices'!$V:$V, "&gt;0", 'Commodity Prices'!$B:$B, $E19)=12, AVERAGEIFS('Commodity Prices'!$V:$V, 'Commodity Prices'!$B:$B, $E19), NA())
)</f>
        <v>234.5</v>
      </c>
      <c r="G19" s="857">
        <f>IF($E$8="Historic Calendar Year",
 IF(COUNTIFS('Commodity Prices'!$X:$X, "&gt;0", 'Commodity Prices'!$A:$A, $E19)=12, AVERAGEIFS('Commodity Prices'!$X:$X, 'Commodity Prices'!$A:$A, $E19), NA()),
 IF(COUNTIFS('Commodity Prices'!$X:$X, "&gt;0", 'Commodity Prices'!$B:$B, $E19)=12, AVERAGEIFS('Commodity Prices'!$X:$X, 'Commodity Prices'!$B:$B, $E19), NA())
)</f>
        <v>2615</v>
      </c>
    </row>
    <row r="20" spans="1:7" x14ac:dyDescent="0.25">
      <c r="A20" s="855">
        <f>LARGE('Commodity Prices'!C$161:C$904,52)</f>
        <v>44440</v>
      </c>
      <c r="B20" s="856">
        <f>SUMIF('Commodity Prices'!C$111:C$904,A20,'Commodity Prices'!V$111:V$904)</f>
        <v>2066.2563540753727</v>
      </c>
      <c r="C20" s="857">
        <f>SUMIF('Commodity Prices'!C$111:C$904,A20,'Commodity Prices'!X$111:X$904)</f>
        <v>4089.7249899767207</v>
      </c>
      <c r="E20" s="858">
        <f t="shared" si="0"/>
        <v>1995</v>
      </c>
      <c r="F20" s="578">
        <f>IF($E$8="Historic Calendar Year",
 IF(COUNTIFS('Commodity Prices'!$V:$V, "&gt;0", 'Commodity Prices'!$A:$A, $E20)=12, AVERAGEIFS('Commodity Prices'!$V:$V, 'Commodity Prices'!$A:$A, $E20), NA()),
 IF(COUNTIFS('Commodity Prices'!$V:$V, "&gt;0", 'Commodity Prices'!$B:$B, $E20)=12, AVERAGEIFS('Commodity Prices'!$V:$V, 'Commodity Prices'!$B:$B, $E20), NA())
)</f>
        <v>352.25</v>
      </c>
      <c r="G20" s="580">
        <f>IF($E$8="Historic Calendar Year",
 IF(COUNTIFS('Commodity Prices'!$X:$X, "&gt;0", 'Commodity Prices'!$A:$A, $E20)=12, AVERAGEIFS('Commodity Prices'!$X:$X, 'Commodity Prices'!$A:$A, $E20), NA()),
 IF(COUNTIFS('Commodity Prices'!$X:$X, "&gt;0", 'Commodity Prices'!$B:$B, $E20)=12, AVERAGEIFS('Commodity Prices'!$X:$X, 'Commodity Prices'!$B:$B, $E20), NA())
)</f>
        <v>2659.25</v>
      </c>
    </row>
    <row r="21" spans="1:7" x14ac:dyDescent="0.25">
      <c r="A21" s="859">
        <f>LARGE('Commodity Prices'!C$161:C$904,51)</f>
        <v>44470</v>
      </c>
      <c r="B21" s="548">
        <f>SUMIF('Commodity Prices'!C$111:C$904,A21,'Commodity Prices'!V$111:V$904)</f>
        <v>1323.1246971410112</v>
      </c>
      <c r="C21" s="434">
        <f>SUMIF('Commodity Prices'!C$111:C$904,A21,'Commodity Prices'!X$111:X$904)</f>
        <v>4220.7497161790034</v>
      </c>
      <c r="E21" s="860">
        <f t="shared" si="0"/>
        <v>1996</v>
      </c>
      <c r="F21" s="856">
        <f>IF($E$8="Historic Calendar Year",
 IF(COUNTIFS('Commodity Prices'!$V:$V, "&gt;0", 'Commodity Prices'!$A:$A, $E21)=12, AVERAGEIFS('Commodity Prices'!$V:$V, 'Commodity Prices'!$A:$A, $E21), NA()),
 IF(COUNTIFS('Commodity Prices'!$V:$V, "&gt;0", 'Commodity Prices'!$B:$B, $E21)=12, AVERAGEIFS('Commodity Prices'!$V:$V, 'Commodity Prices'!$B:$B, $E21), NA())
)</f>
        <v>564.5</v>
      </c>
      <c r="G21" s="857">
        <f>IF($E$8="Historic Calendar Year",
 IF(COUNTIFS('Commodity Prices'!$X:$X, "&gt;0", 'Commodity Prices'!$A:$A, $E21)=12, AVERAGEIFS('Commodity Prices'!$X:$X, 'Commodity Prices'!$A:$A, $E21), NA()),
 IF(COUNTIFS('Commodity Prices'!$X:$X, "&gt;0", 'Commodity Prices'!$B:$B, $E21)=12, AVERAGEIFS('Commodity Prices'!$X:$X, 'Commodity Prices'!$B:$B, $E21), NA())
)</f>
        <v>2227.25</v>
      </c>
    </row>
    <row r="22" spans="1:7" x14ac:dyDescent="0.25">
      <c r="A22" s="855">
        <f>LARGE('Commodity Prices'!C$161:C$904,50)</f>
        <v>44501</v>
      </c>
      <c r="B22" s="856">
        <f>SUMIF('Commodity Prices'!C$111:C$904,A22,'Commodity Prices'!V$111:V$904)</f>
        <v>2303.7133735367152</v>
      </c>
      <c r="C22" s="857">
        <f>SUMIF('Commodity Prices'!C$111:C$904,A22,'Commodity Prices'!X$111:X$904)</f>
        <v>4384.9141947546368</v>
      </c>
      <c r="E22" s="858">
        <f t="shared" si="0"/>
        <v>1997</v>
      </c>
      <c r="F22" s="578">
        <f>IF($E$8="Historic Calendar Year",
 IF(COUNTIFS('Commodity Prices'!$V:$V, "&gt;0", 'Commodity Prices'!$A:$A, $E22)=12, AVERAGEIFS('Commodity Prices'!$V:$V, 'Commodity Prices'!$A:$A, $E22), NA()),
 IF(COUNTIFS('Commodity Prices'!$V:$V, "&gt;0", 'Commodity Prices'!$B:$B, $E22)=12, AVERAGEIFS('Commodity Prices'!$V:$V, 'Commodity Prices'!$B:$B, $E22), NA())
)</f>
        <v>574</v>
      </c>
      <c r="G22" s="580">
        <f>IF($E$8="Historic Calendar Year",
 IF(COUNTIFS('Commodity Prices'!$X:$X, "&gt;0", 'Commodity Prices'!$A:$A, $E22)=12, AVERAGEIFS('Commodity Prices'!$X:$X, 'Commodity Prices'!$A:$A, $E22), NA()),
 IF(COUNTIFS('Commodity Prices'!$X:$X, "&gt;0", 'Commodity Prices'!$B:$B, $E22)=12, AVERAGEIFS('Commodity Prices'!$X:$X, 'Commodity Prices'!$B:$B, $E22), NA())
)</f>
        <v>2128</v>
      </c>
    </row>
    <row r="23" spans="1:7" x14ac:dyDescent="0.25">
      <c r="A23" s="859">
        <f>LARGE('Commodity Prices'!C$161:C$904,49)</f>
        <v>44531</v>
      </c>
      <c r="B23" s="548">
        <f>SUMIF('Commodity Prices'!C$111:C$904,A23,'Commodity Prices'!V$111:V$904)</f>
        <v>2322.2073547589616</v>
      </c>
      <c r="C23" s="434">
        <f>SUMIF('Commodity Prices'!C$111:C$904,A23,'Commodity Prices'!X$111:X$904)</f>
        <v>4337.9320653058994</v>
      </c>
      <c r="E23" s="860">
        <f t="shared" si="0"/>
        <v>1998</v>
      </c>
      <c r="F23" s="856">
        <f>IF($E$8="Historic Calendar Year",
 IF(COUNTIFS('Commodity Prices'!$V:$V, "&gt;0", 'Commodity Prices'!$A:$A, $E23)=12, AVERAGEIFS('Commodity Prices'!$V:$V, 'Commodity Prices'!$A:$A, $E23), NA()),
 IF(COUNTIFS('Commodity Prices'!$V:$V, "&gt;0", 'Commodity Prices'!$B:$B, $E23)=12, AVERAGEIFS('Commodity Prices'!$V:$V, 'Commodity Prices'!$B:$B, $E23), NA())
)</f>
        <v>555.69899169483199</v>
      </c>
      <c r="G23" s="857">
        <f>IF($E$8="Historic Calendar Year",
 IF(COUNTIFS('Commodity Prices'!$X:$X, "&gt;0", 'Commodity Prices'!$A:$A, $E23)=12, AVERAGEIFS('Commodity Prices'!$X:$X, 'Commodity Prices'!$A:$A, $E23), NA()),
 IF(COUNTIFS('Commodity Prices'!$X:$X, "&gt;0", 'Commodity Prices'!$B:$B, $E23)=12, AVERAGEIFS('Commodity Prices'!$X:$X, 'Commodity Prices'!$B:$B, $E23), NA())
)</f>
        <v>2885.0833676110919</v>
      </c>
    </row>
    <row r="24" spans="1:7" x14ac:dyDescent="0.25">
      <c r="A24" s="855">
        <f>LARGE('Commodity Prices'!C$161:C$904,48)</f>
        <v>44562</v>
      </c>
      <c r="B24" s="856">
        <f>SUMIF('Commodity Prices'!C$111:C$904,A24,'Commodity Prices'!V$111:V$904)</f>
        <v>2458.6455574745728</v>
      </c>
      <c r="C24" s="857">
        <f>SUMIF('Commodity Prices'!C$111:C$904,A24,'Commodity Prices'!X$111:X$904)</f>
        <v>4490.7294667642955</v>
      </c>
      <c r="E24" s="858">
        <f t="shared" si="0"/>
        <v>1999</v>
      </c>
      <c r="F24" s="578">
        <f>IF($E$8="Historic Calendar Year",
 IF(COUNTIFS('Commodity Prices'!$V:$V, "&gt;0", 'Commodity Prices'!$A:$A, $E24)=12, AVERAGEIFS('Commodity Prices'!$V:$V, 'Commodity Prices'!$A:$A, $E24), NA()),
 IF(COUNTIFS('Commodity Prices'!$V:$V, "&gt;0", 'Commodity Prices'!$B:$B, $E24)=12, AVERAGEIFS('Commodity Prices'!$V:$V, 'Commodity Prices'!$B:$B, $E24), NA())
)</f>
        <v>511.31013276908487</v>
      </c>
      <c r="G24" s="580">
        <f>IF($E$8="Historic Calendar Year",
 IF(COUNTIFS('Commodity Prices'!$X:$X, "&gt;0", 'Commodity Prices'!$A:$A, $E24)=12, AVERAGEIFS('Commodity Prices'!$X:$X, 'Commodity Prices'!$A:$A, $E24), NA()),
 IF(COUNTIFS('Commodity Prices'!$X:$X, "&gt;0", 'Commodity Prices'!$B:$B, $E24)=12, AVERAGEIFS('Commodity Prices'!$X:$X, 'Commodity Prices'!$B:$B, $E24), NA())
)</f>
        <v>2842.4191787405894</v>
      </c>
    </row>
    <row r="25" spans="1:7" x14ac:dyDescent="0.25">
      <c r="A25" s="859">
        <f>LARGE('Commodity Prices'!C$161:C$904,47)</f>
        <v>44593</v>
      </c>
      <c r="B25" s="548">
        <f>SUMIF('Commodity Prices'!C$111:C$904,A25,'Commodity Prices'!V$111:V$904)</f>
        <v>2592.3271389856754</v>
      </c>
      <c r="C25" s="434">
        <f>SUMIF('Commodity Prices'!C$111:C$904,A25,'Commodity Prices'!X$111:X$904)</f>
        <v>4524.4786224718264</v>
      </c>
      <c r="E25" s="860">
        <f t="shared" si="0"/>
        <v>2000</v>
      </c>
      <c r="F25" s="856">
        <f>IF($E$8="Historic Calendar Year",
 IF(COUNTIFS('Commodity Prices'!$V:$V, "&gt;0", 'Commodity Prices'!$A:$A, $E25)=12, AVERAGEIFS('Commodity Prices'!$V:$V, 'Commodity Prices'!$A:$A, $E25), NA()),
 IF(COUNTIFS('Commodity Prices'!$V:$V, "&gt;0", 'Commodity Prices'!$B:$B, $E25)=12, AVERAGEIFS('Commodity Prices'!$V:$V, 'Commodity Prices'!$B:$B, $E25), NA())
)</f>
        <v>629.84250000000009</v>
      </c>
      <c r="G25" s="857">
        <f>IF($E$8="Historic Calendar Year",
 IF(COUNTIFS('Commodity Prices'!$X:$X, "&gt;0", 'Commodity Prices'!$A:$A, $E25)=12, AVERAGEIFS('Commodity Prices'!$X:$X, 'Commodity Prices'!$A:$A, $E25), NA()),
 IF(COUNTIFS('Commodity Prices'!$X:$X, "&gt;0", 'Commodity Prices'!$B:$B, $E25)=12, AVERAGEIFS('Commodity Prices'!$X:$X, 'Commodity Prices'!$B:$B, $E25), NA())
)</f>
        <v>3290.6874999999995</v>
      </c>
    </row>
    <row r="26" spans="1:7" x14ac:dyDescent="0.25">
      <c r="A26" s="855">
        <f>LARGE('Commodity Prices'!C$161:C$904,46)</f>
        <v>44621</v>
      </c>
      <c r="B26" s="856">
        <f>SUMIF('Commodity Prices'!C$111:C$904,A26,'Commodity Prices'!V$111:V$904)</f>
        <v>2527.4779101037266</v>
      </c>
      <c r="C26" s="857">
        <f>SUMIF('Commodity Prices'!C$111:C$904,A26,'Commodity Prices'!X$111:X$904)</f>
        <v>4596.6436279229101</v>
      </c>
      <c r="E26" s="858">
        <f t="shared" si="0"/>
        <v>2001</v>
      </c>
      <c r="F26" s="578">
        <f>IF($E$8="Historic Calendar Year",
 IF(COUNTIFS('Commodity Prices'!$V:$V, "&gt;0", 'Commodity Prices'!$A:$A, $E26)=12, AVERAGEIFS('Commodity Prices'!$V:$V, 'Commodity Prices'!$A:$A, $E26), NA()),
 IF(COUNTIFS('Commodity Prices'!$V:$V, "&gt;0", 'Commodity Prices'!$B:$B, $E26)=12, AVERAGEIFS('Commodity Prices'!$V:$V, 'Commodity Prices'!$B:$B, $E26), NA())
)</f>
        <v>802.76833333333332</v>
      </c>
      <c r="G26" s="580">
        <f>IF($E$8="Historic Calendar Year",
 IF(COUNTIFS('Commodity Prices'!$X:$X, "&gt;0", 'Commodity Prices'!$A:$A, $E26)=12, AVERAGEIFS('Commodity Prices'!$X:$X, 'Commodity Prices'!$A:$A, $E26), NA()),
 IF(COUNTIFS('Commodity Prices'!$X:$X, "&gt;0", 'Commodity Prices'!$B:$B, $E26)=12, AVERAGEIFS('Commodity Prices'!$X:$X, 'Commodity Prices'!$B:$B, $E26), NA())
)</f>
        <v>3513.52025</v>
      </c>
    </row>
    <row r="27" spans="1:7" x14ac:dyDescent="0.25">
      <c r="A27" s="859">
        <f>LARGE('Commodity Prices'!C$161:C$904,45)</f>
        <v>44652</v>
      </c>
      <c r="B27" s="548">
        <f>SUMIF('Commodity Prices'!C$111:C$904,A27,'Commodity Prices'!V$111:V$904)</f>
        <v>2724.5884377150724</v>
      </c>
      <c r="C27" s="434">
        <f>SUMIF('Commodity Prices'!C$111:C$904,A27,'Commodity Prices'!X$111:X$904)</f>
        <v>4431.7794229417223</v>
      </c>
      <c r="E27" s="860">
        <f t="shared" si="0"/>
        <v>2002</v>
      </c>
      <c r="F27" s="856">
        <f>IF($E$8="Historic Calendar Year",
 IF(COUNTIFS('Commodity Prices'!$V:$V, "&gt;0", 'Commodity Prices'!$A:$A, $E27)=12, AVERAGEIFS('Commodity Prices'!$V:$V, 'Commodity Prices'!$A:$A, $E27), NA()),
 IF(COUNTIFS('Commodity Prices'!$V:$V, "&gt;0", 'Commodity Prices'!$B:$B, $E27)=12, AVERAGEIFS('Commodity Prices'!$V:$V, 'Commodity Prices'!$B:$B, $E27), NA())
)</f>
        <v>826.95999999999992</v>
      </c>
      <c r="G27" s="857">
        <f>IF($E$8="Historic Calendar Year",
 IF(COUNTIFS('Commodity Prices'!$X:$X, "&gt;0", 'Commodity Prices'!$A:$A, $E27)=12, AVERAGEIFS('Commodity Prices'!$X:$X, 'Commodity Prices'!$A:$A, $E27), NA()),
 IF(COUNTIFS('Commodity Prices'!$X:$X, "&gt;0", 'Commodity Prices'!$B:$B, $E27)=12, AVERAGEIFS('Commodity Prices'!$X:$X, 'Commodity Prices'!$B:$B, $E27), NA())
)</f>
        <v>2994.624166666667</v>
      </c>
    </row>
    <row r="28" spans="1:7" x14ac:dyDescent="0.25">
      <c r="A28" s="855">
        <f>LARGE('Commodity Prices'!C$161:C$904,44)</f>
        <v>44682</v>
      </c>
      <c r="B28" s="856">
        <f>SUMIF('Commodity Prices'!C$111:C$904,A28,'Commodity Prices'!V$111:V$904)</f>
        <v>2816.4895976922307</v>
      </c>
      <c r="C28" s="857">
        <f>SUMIF('Commodity Prices'!C$111:C$904,A28,'Commodity Prices'!X$111:X$904)</f>
        <v>4640.4635299876027</v>
      </c>
      <c r="E28" s="858">
        <f t="shared" si="0"/>
        <v>2003</v>
      </c>
      <c r="F28" s="578">
        <f>IF($E$8="Historic Calendar Year",
 IF(COUNTIFS('Commodity Prices'!$V:$V, "&gt;0", 'Commodity Prices'!$A:$A, $E28)=12, AVERAGEIFS('Commodity Prices'!$V:$V, 'Commodity Prices'!$A:$A, $E28), NA()),
 IF(COUNTIFS('Commodity Prices'!$V:$V, "&gt;0", 'Commodity Prices'!$B:$B, $E28)=12, AVERAGEIFS('Commodity Prices'!$V:$V, 'Commodity Prices'!$B:$B, $E28), NA())
)</f>
        <v>700.96083333333343</v>
      </c>
      <c r="G28" s="580">
        <f>IF($E$8="Historic Calendar Year",
 IF(COUNTIFS('Commodity Prices'!$X:$X, "&gt;0", 'Commodity Prices'!$A:$A, $E28)=12, AVERAGEIFS('Commodity Prices'!$X:$X, 'Commodity Prices'!$A:$A, $E28), NA()),
 IF(COUNTIFS('Commodity Prices'!$X:$X, "&gt;0", 'Commodity Prices'!$B:$B, $E28)=12, AVERAGEIFS('Commodity Prices'!$X:$X, 'Commodity Prices'!$B:$B, $E28), NA())
)</f>
        <v>2682.6608333333334</v>
      </c>
    </row>
    <row r="29" spans="1:7" x14ac:dyDescent="0.25">
      <c r="A29" s="859">
        <f>LARGE('Commodity Prices'!C$161:C$904,43)</f>
        <v>44713</v>
      </c>
      <c r="B29" s="548">
        <f>SUMIF('Commodity Prices'!C$111:C$904,A29,'Commodity Prices'!V$111:V$904)</f>
        <v>2772.3316742081447</v>
      </c>
      <c r="C29" s="434">
        <f>SUMIF('Commodity Prices'!C$111:C$904,A29,'Commodity Prices'!X$111:X$904)</f>
        <v>4818.8661513261868</v>
      </c>
      <c r="E29" s="860">
        <f t="shared" si="0"/>
        <v>2004</v>
      </c>
      <c r="F29" s="856">
        <f>IF($E$8="Historic Calendar Year",
 IF(COUNTIFS('Commodity Prices'!$V:$V, "&gt;0", 'Commodity Prices'!$A:$A, $E29)=12, AVERAGEIFS('Commodity Prices'!$V:$V, 'Commodity Prices'!$A:$A, $E29), NA()),
 IF(COUNTIFS('Commodity Prices'!$V:$V, "&gt;0", 'Commodity Prices'!$B:$B, $E29)=12, AVERAGEIFS('Commodity Prices'!$V:$V, 'Commodity Prices'!$B:$B, $E29), NA())
)</f>
        <v>785.35716104012909</v>
      </c>
      <c r="G29" s="857">
        <f>IF($E$8="Historic Calendar Year",
 IF(COUNTIFS('Commodity Prices'!$X:$X, "&gt;0", 'Commodity Prices'!$A:$A, $E29)=12, AVERAGEIFS('Commodity Prices'!$X:$X, 'Commodity Prices'!$A:$A, $E29), NA()),
 IF(COUNTIFS('Commodity Prices'!$X:$X, "&gt;0", 'Commodity Prices'!$B:$B, $E29)=12, AVERAGEIFS('Commodity Prices'!$X:$X, 'Commodity Prices'!$B:$B, $E29), NA())
)</f>
        <v>2384.0651770664231</v>
      </c>
    </row>
    <row r="30" spans="1:7" x14ac:dyDescent="0.25">
      <c r="A30" s="855">
        <f>LARGE('Commodity Prices'!C$161:C$904,42)</f>
        <v>44743</v>
      </c>
      <c r="B30" s="856">
        <f>SUMIF('Commodity Prices'!C$111:C$904,A30,'Commodity Prices'!V$111:V$904)</f>
        <v>3139.1894075403948</v>
      </c>
      <c r="C30" s="857">
        <f>SUMIF('Commodity Prices'!C$111:C$904,A30,'Commodity Prices'!X$111:X$904)</f>
        <v>4794.00510305223</v>
      </c>
      <c r="E30" s="858">
        <f t="shared" si="0"/>
        <v>2005</v>
      </c>
      <c r="F30" s="578">
        <f>IF($E$8="Historic Calendar Year",
 IF(COUNTIFS('Commodity Prices'!$V:$V, "&gt;0", 'Commodity Prices'!$A:$A, $E30)=12, AVERAGEIFS('Commodity Prices'!$V:$V, 'Commodity Prices'!$A:$A, $E30), NA()),
 IF(COUNTIFS('Commodity Prices'!$V:$V, "&gt;0", 'Commodity Prices'!$B:$B, $E30)=12, AVERAGEIFS('Commodity Prices'!$V:$V, 'Commodity Prices'!$B:$B, $E30), NA())
)</f>
        <v>1011.4432617873277</v>
      </c>
      <c r="G30" s="580">
        <f>IF($E$8="Historic Calendar Year",
 IF(COUNTIFS('Commodity Prices'!$X:$X, "&gt;0", 'Commodity Prices'!$A:$A, $E30)=12, AVERAGEIFS('Commodity Prices'!$X:$X, 'Commodity Prices'!$A:$A, $E30), NA()),
 IF(COUNTIFS('Commodity Prices'!$X:$X, "&gt;0", 'Commodity Prices'!$B:$B, $E30)=12, AVERAGEIFS('Commodity Prices'!$X:$X, 'Commodity Prices'!$B:$B, $E30), NA())
)</f>
        <v>2429.1093867109557</v>
      </c>
    </row>
    <row r="31" spans="1:7" x14ac:dyDescent="0.25">
      <c r="A31" s="859">
        <f>LARGE('Commodity Prices'!C$161:C$904,41)</f>
        <v>44774</v>
      </c>
      <c r="B31" s="548">
        <f>SUMIF('Commodity Prices'!C$111:C$904,A31,'Commodity Prices'!V$111:V$904)</f>
        <v>3091.1023391812864</v>
      </c>
      <c r="C31" s="434">
        <f>SUMIF('Commodity Prices'!C$111:C$904,A31,'Commodity Prices'!X$111:X$904)</f>
        <v>4713.261584702961</v>
      </c>
      <c r="E31" s="860">
        <f t="shared" si="0"/>
        <v>2006</v>
      </c>
      <c r="F31" s="856">
        <f>IF($E$8="Historic Calendar Year",
 IF(COUNTIFS('Commodity Prices'!$V:$V, "&gt;0", 'Commodity Prices'!$A:$A, $E31)=12, AVERAGEIFS('Commodity Prices'!$V:$V, 'Commodity Prices'!$A:$A, $E31), NA()),
 IF(COUNTIFS('Commodity Prices'!$V:$V, "&gt;0", 'Commodity Prices'!$B:$B, $E31)=12, AVERAGEIFS('Commodity Prices'!$V:$V, 'Commodity Prices'!$B:$B, $E31), NA())
)</f>
        <v>1116.5649410552307</v>
      </c>
      <c r="G31" s="857">
        <f>IF($E$8="Historic Calendar Year",
 IF(COUNTIFS('Commodity Prices'!$X:$X, "&gt;0", 'Commodity Prices'!$A:$A, $E31)=12, AVERAGEIFS('Commodity Prices'!$X:$X, 'Commodity Prices'!$A:$A, $E31), NA()),
 IF(COUNTIFS('Commodity Prices'!$X:$X, "&gt;0", 'Commodity Prices'!$B:$B, $E31)=12, AVERAGEIFS('Commodity Prices'!$X:$X, 'Commodity Prices'!$B:$B, $E31), NA())
)</f>
        <v>2480.2024129449342</v>
      </c>
    </row>
    <row r="32" spans="1:7" x14ac:dyDescent="0.25">
      <c r="A32" s="855">
        <f>LARGE('Commodity Prices'!C$161:C$904,40)</f>
        <v>44805</v>
      </c>
      <c r="B32" s="856">
        <f>SUMIF('Commodity Prices'!C$111:C$904,A32,'Commodity Prices'!V$111:V$904)</f>
        <v>3230.9760376551135</v>
      </c>
      <c r="C32" s="857">
        <f>SUMIF('Commodity Prices'!C$111:C$904,A32,'Commodity Prices'!X$111:X$904)</f>
        <v>4945.2473457284632</v>
      </c>
      <c r="E32" s="858">
        <f t="shared" si="0"/>
        <v>2007</v>
      </c>
      <c r="F32" s="578">
        <f>IF($E$8="Historic Calendar Year",
 IF(COUNTIFS('Commodity Prices'!$V:$V, "&gt;0", 'Commodity Prices'!$A:$A, $E32)=12, AVERAGEIFS('Commodity Prices'!$V:$V, 'Commodity Prices'!$A:$A, $E32), NA()),
 IF(COUNTIFS('Commodity Prices'!$V:$V, "&gt;0", 'Commodity Prices'!$B:$B, $E32)=12, AVERAGEIFS('Commodity Prices'!$V:$V, 'Commodity Prices'!$B:$B, $E32), NA())
)</f>
        <v>1059.5140299785669</v>
      </c>
      <c r="G32" s="580">
        <f>IF($E$8="Historic Calendar Year",
 IF(COUNTIFS('Commodity Prices'!$X:$X, "&gt;0", 'Commodity Prices'!$A:$A, $E32)=12, AVERAGEIFS('Commodity Prices'!$X:$X, 'Commodity Prices'!$A:$A, $E32), NA()),
 IF(COUNTIFS('Commodity Prices'!$X:$X, "&gt;0", 'Commodity Prices'!$B:$B, $E32)=12, AVERAGEIFS('Commodity Prices'!$X:$X, 'Commodity Prices'!$B:$B, $E32), NA())
)</f>
        <v>2255.544174711607</v>
      </c>
    </row>
    <row r="33" spans="1:7" x14ac:dyDescent="0.25">
      <c r="A33" s="859">
        <f>LARGE('Commodity Prices'!C$161:C$904,39)</f>
        <v>44835</v>
      </c>
      <c r="B33" s="548">
        <f>SUMIF('Commodity Prices'!C$111:C$904,A33,'Commodity Prices'!V$111:V$904)</f>
        <v>3377.6901062959932</v>
      </c>
      <c r="C33" s="434">
        <f>SUMIF('Commodity Prices'!C$111:C$904,A33,'Commodity Prices'!X$111:X$904)</f>
        <v>4863.6497592917385</v>
      </c>
      <c r="E33" s="860">
        <f t="shared" si="0"/>
        <v>2008</v>
      </c>
      <c r="F33" s="856">
        <f>IF($E$8="Historic Calendar Year",
 IF(COUNTIFS('Commodity Prices'!$V:$V, "&gt;0", 'Commodity Prices'!$A:$A, $E33)=12, AVERAGEIFS('Commodity Prices'!$V:$V, 'Commodity Prices'!$A:$A, $E33), NA()),
 IF(COUNTIFS('Commodity Prices'!$V:$V, "&gt;0", 'Commodity Prices'!$B:$B, $E33)=12, AVERAGEIFS('Commodity Prices'!$V:$V, 'Commodity Prices'!$B:$B, $E33), NA())
)</f>
        <v>1013.6758316055339</v>
      </c>
      <c r="G33" s="857">
        <f>IF($E$8="Historic Calendar Year",
 IF(COUNTIFS('Commodity Prices'!$X:$X, "&gt;0", 'Commodity Prices'!$A:$A, $E33)=12, AVERAGEIFS('Commodity Prices'!$X:$X, 'Commodity Prices'!$A:$A, $E33), NA()),
 IF(COUNTIFS('Commodity Prices'!$X:$X, "&gt;0", 'Commodity Prices'!$B:$B, $E33)=12, AVERAGEIFS('Commodity Prices'!$X:$X, 'Commodity Prices'!$B:$B, $E33), NA())
)</f>
        <v>2440.6540457222404</v>
      </c>
    </row>
    <row r="34" spans="1:7" x14ac:dyDescent="0.25">
      <c r="A34" s="855">
        <f>LARGE('Commodity Prices'!C$161:C$904,38)</f>
        <v>44866</v>
      </c>
      <c r="B34" s="856">
        <f>SUMIF('Commodity Prices'!C$111:C$904,A34,'Commodity Prices'!V$111:V$904)</f>
        <v>3071.7862211709048</v>
      </c>
      <c r="C34" s="857">
        <f>SUMIF('Commodity Prices'!C$111:C$904,A34,'Commodity Prices'!X$111:X$904)</f>
        <v>5065.079379866419</v>
      </c>
      <c r="E34" s="858">
        <f t="shared" si="0"/>
        <v>2009</v>
      </c>
      <c r="F34" s="578">
        <f>IF($E$8="Historic Calendar Year",
 IF(COUNTIFS('Commodity Prices'!$V:$V, "&gt;0", 'Commodity Prices'!$A:$A, $E34)=12, AVERAGEIFS('Commodity Prices'!$V:$V, 'Commodity Prices'!$A:$A, $E34), NA()),
 IF(COUNTIFS('Commodity Prices'!$V:$V, "&gt;0", 'Commodity Prices'!$B:$B, $E34)=12, AVERAGEIFS('Commodity Prices'!$V:$V, 'Commodity Prices'!$B:$B, $E34), NA())
)</f>
        <v>1196.6070783346072</v>
      </c>
      <c r="G34" s="580">
        <f>IF($E$8="Historic Calendar Year",
 IF(COUNTIFS('Commodity Prices'!$X:$X, "&gt;0", 'Commodity Prices'!$A:$A, $E34)=12, AVERAGEIFS('Commodity Prices'!$X:$X, 'Commodity Prices'!$A:$A, $E34), NA()),
 IF(COUNTIFS('Commodity Prices'!$X:$X, "&gt;0", 'Commodity Prices'!$B:$B, $E34)=12, AVERAGEIFS('Commodity Prices'!$X:$X, 'Commodity Prices'!$B:$B, $E34), NA())
)</f>
        <v>2678.5380291116358</v>
      </c>
    </row>
    <row r="35" spans="1:7" x14ac:dyDescent="0.25">
      <c r="A35" s="859">
        <f>LARGE('Commodity Prices'!C$161:C$904,37)</f>
        <v>44896</v>
      </c>
      <c r="B35" s="548">
        <f>SUMIF('Commodity Prices'!C$111:C$904,A35,'Commodity Prices'!V$111:V$904)</f>
        <v>2795.2769733769269</v>
      </c>
      <c r="C35" s="434">
        <f>SUMIF('Commodity Prices'!C$111:C$904,A35,'Commodity Prices'!X$111:X$904)</f>
        <v>5130.2471326516461</v>
      </c>
      <c r="E35" s="860">
        <f t="shared" si="0"/>
        <v>2010</v>
      </c>
      <c r="F35" s="856">
        <f>IF($E$8="Historic Calendar Year",
 IF(COUNTIFS('Commodity Prices'!$V:$V, "&gt;0", 'Commodity Prices'!$A:$A, $E35)=12, AVERAGEIFS('Commodity Prices'!$V:$V, 'Commodity Prices'!$A:$A, $E35), NA()),
 IF(COUNTIFS('Commodity Prices'!$V:$V, "&gt;0", 'Commodity Prices'!$B:$B, $E35)=12, AVERAGEIFS('Commodity Prices'!$V:$V, 'Commodity Prices'!$B:$B, $E35), NA())
)</f>
        <v>1042.916702201426</v>
      </c>
      <c r="G35" s="857">
        <f>IF($E$8="Historic Calendar Year",
 IF(COUNTIFS('Commodity Prices'!$X:$X, "&gt;0", 'Commodity Prices'!$A:$A, $E35)=12, AVERAGEIFS('Commodity Prices'!$X:$X, 'Commodity Prices'!$A:$A, $E35), NA()),
 IF(COUNTIFS('Commodity Prices'!$X:$X, "&gt;0", 'Commodity Prices'!$B:$B, $E35)=12, AVERAGEIFS('Commodity Prices'!$X:$X, 'Commodity Prices'!$B:$B, $E35), NA())
)</f>
        <v>2585.3501143227295</v>
      </c>
    </row>
    <row r="36" spans="1:7" x14ac:dyDescent="0.25">
      <c r="A36" s="855">
        <f>LARGE('Commodity Prices'!C$161:C$904,36)</f>
        <v>44927</v>
      </c>
      <c r="B36" s="856">
        <f>SUMIF('Commodity Prices'!C$111:C$904,A36,'Commodity Prices'!V$111:V$904)</f>
        <v>3158.7770623742454</v>
      </c>
      <c r="C36" s="857">
        <f>SUMIF('Commodity Prices'!C$111:C$904,A36,'Commodity Prices'!X$111:X$904)</f>
        <v>4813.8742189365803</v>
      </c>
      <c r="E36" s="858">
        <f t="shared" si="0"/>
        <v>2011</v>
      </c>
      <c r="F36" s="578">
        <f>IF($E$8="Historic Calendar Year",
 IF(COUNTIFS('Commodity Prices'!$V:$V, "&gt;0", 'Commodity Prices'!$A:$A, $E36)=12, AVERAGEIFS('Commodity Prices'!$V:$V, 'Commodity Prices'!$A:$A, $E36), NA()),
 IF(COUNTIFS('Commodity Prices'!$V:$V, "&gt;0", 'Commodity Prices'!$B:$B, $E36)=12, AVERAGEIFS('Commodity Prices'!$V:$V, 'Commodity Prices'!$B:$B, $E36), NA())
)</f>
        <v>1905.2323059264663</v>
      </c>
      <c r="G36" s="580">
        <f>IF($E$8="Historic Calendar Year",
 IF(COUNTIFS('Commodity Prices'!$X:$X, "&gt;0", 'Commodity Prices'!$A:$A, $E36)=12, AVERAGEIFS('Commodity Prices'!$X:$X, 'Commodity Prices'!$A:$A, $E36), NA()),
 IF(COUNTIFS('Commodity Prices'!$X:$X, "&gt;0", 'Commodity Prices'!$B:$B, $E36)=12, AVERAGEIFS('Commodity Prices'!$X:$X, 'Commodity Prices'!$B:$B, $E36), NA())
)</f>
        <v>2980.5604204028118</v>
      </c>
    </row>
    <row r="37" spans="1:7" x14ac:dyDescent="0.25">
      <c r="A37" s="859">
        <f>LARGE('Commodity Prices'!C$161:C$904,35)</f>
        <v>44958</v>
      </c>
      <c r="B37" s="548">
        <f>SUMIF('Commodity Prices'!C$111:C$904,A37,'Commodity Prices'!V$111:V$904)</f>
        <v>3156.9546328335255</v>
      </c>
      <c r="C37" s="434">
        <f>SUMIF('Commodity Prices'!C$111:C$904,A37,'Commodity Prices'!X$111:X$904)</f>
        <v>4739.822816925308</v>
      </c>
      <c r="E37" s="860">
        <f t="shared" si="0"/>
        <v>2012</v>
      </c>
      <c r="F37" s="856">
        <f>IF($E$8="Historic Calendar Year",
 IF(COUNTIFS('Commodity Prices'!$V:$V, "&gt;0", 'Commodity Prices'!$A:$A, $E37)=12, AVERAGEIFS('Commodity Prices'!$V:$V, 'Commodity Prices'!$A:$A, $E37), NA()),
 IF(COUNTIFS('Commodity Prices'!$V:$V, "&gt;0", 'Commodity Prices'!$B:$B, $E37)=12, AVERAGEIFS('Commodity Prices'!$V:$V, 'Commodity Prices'!$B:$B, $E37), NA())
)</f>
        <v>2188.2575402213502</v>
      </c>
      <c r="G37" s="857">
        <f>IF($E$8="Historic Calendar Year",
 IF(COUNTIFS('Commodity Prices'!$X:$X, "&gt;0", 'Commodity Prices'!$A:$A, $E37)=12, AVERAGEIFS('Commodity Prices'!$X:$X, 'Commodity Prices'!$A:$A, $E37), NA()),
 IF(COUNTIFS('Commodity Prices'!$X:$X, "&gt;0", 'Commodity Prices'!$B:$B, $E37)=12, AVERAGEIFS('Commodity Prices'!$X:$X, 'Commodity Prices'!$B:$B, $E37), NA())
)</f>
        <v>3069.6162170961056</v>
      </c>
    </row>
    <row r="38" spans="1:7" x14ac:dyDescent="0.25">
      <c r="A38" s="855">
        <f>LARGE('Commodity Prices'!C$161:C$904,34)</f>
        <v>44986</v>
      </c>
      <c r="B38" s="856">
        <f>SUMIF('Commodity Prices'!C$111:C$904,A38,'Commodity Prices'!V$111:V$904)</f>
        <v>3301.0509282488711</v>
      </c>
      <c r="C38" s="857">
        <f>SUMIF('Commodity Prices'!C$111:C$904,A38,'Commodity Prices'!X$111:X$904)</f>
        <v>5053.0786525678868</v>
      </c>
      <c r="E38" s="858">
        <f t="shared" si="0"/>
        <v>2013</v>
      </c>
      <c r="F38" s="578">
        <f>IF($E$8="Historic Calendar Year",
 IF(COUNTIFS('Commodity Prices'!$V:$V, "&gt;0", 'Commodity Prices'!$A:$A, $E38)=12, AVERAGEIFS('Commodity Prices'!$V:$V, 'Commodity Prices'!$A:$A, $E38), NA()),
 IF(COUNTIFS('Commodity Prices'!$V:$V, "&gt;0", 'Commodity Prices'!$B:$B, $E38)=12, AVERAGEIFS('Commodity Prices'!$V:$V, 'Commodity Prices'!$B:$B, $E38), NA())
)</f>
        <v>1238.6040401044102</v>
      </c>
      <c r="G38" s="580">
        <f>IF($E$8="Historic Calendar Year",
 IF(COUNTIFS('Commodity Prices'!$X:$X, "&gt;0", 'Commodity Prices'!$A:$A, $E38)=12, AVERAGEIFS('Commodity Prices'!$X:$X, 'Commodity Prices'!$A:$A, $E38), NA()),
 IF(COUNTIFS('Commodity Prices'!$X:$X, "&gt;0", 'Commodity Prices'!$B:$B, $E38)=12, AVERAGEIFS('Commodity Prices'!$X:$X, 'Commodity Prices'!$B:$B, $E38), NA())
)</f>
        <v>2679.9377199623591</v>
      </c>
    </row>
    <row r="39" spans="1:7" x14ac:dyDescent="0.25">
      <c r="A39" s="859">
        <f>LARGE('Commodity Prices'!C$161:C$904,33)</f>
        <v>45017</v>
      </c>
      <c r="B39" s="548">
        <f>SUMIF('Commodity Prices'!C$111:C$904,A39,'Commodity Prices'!V$111:V$904)</f>
        <v>3265.0566442131048</v>
      </c>
      <c r="C39" s="434">
        <f>SUMIF('Commodity Prices'!C$111:C$904,A39,'Commodity Prices'!X$111:X$904)</f>
        <v>4980.8634161280343</v>
      </c>
      <c r="E39" s="860">
        <f t="shared" si="0"/>
        <v>2014</v>
      </c>
      <c r="F39" s="856">
        <f>IF($E$8="Historic Calendar Year",
 IF(COUNTIFS('Commodity Prices'!$V:$V, "&gt;0", 'Commodity Prices'!$A:$A, $E39)=12, AVERAGEIFS('Commodity Prices'!$V:$V, 'Commodity Prices'!$A:$A, $E39), NA()),
 IF(COUNTIFS('Commodity Prices'!$V:$V, "&gt;0", 'Commodity Prices'!$B:$B, $E39)=12, AVERAGEIFS('Commodity Prices'!$V:$V, 'Commodity Prices'!$B:$B, $E39), NA())
)</f>
        <v>1203.8395062815061</v>
      </c>
      <c r="G39" s="857">
        <f>IF($E$8="Historic Calendar Year",
 IF(COUNTIFS('Commodity Prices'!$X:$X, "&gt;0", 'Commodity Prices'!$A:$A, $E39)=12, AVERAGEIFS('Commodity Prices'!$X:$X, 'Commodity Prices'!$A:$A, $E39), NA()),
 IF(COUNTIFS('Commodity Prices'!$X:$X, "&gt;0", 'Commodity Prices'!$B:$B, $E39)=12, AVERAGEIFS('Commodity Prices'!$X:$X, 'Commodity Prices'!$B:$B, $E39), NA())
)</f>
        <v>2884.5892029194256</v>
      </c>
    </row>
    <row r="40" spans="1:7" x14ac:dyDescent="0.25">
      <c r="A40" s="855">
        <f>LARGE('Commodity Prices'!C$161:C$904,32)</f>
        <v>45047</v>
      </c>
      <c r="B40" s="856">
        <f>SUMIF('Commodity Prices'!C$111:C$904,A40,'Commodity Prices'!V$111:V$904)</f>
        <v>3447.6052496139991</v>
      </c>
      <c r="C40" s="857">
        <f>SUMIF('Commodity Prices'!C$111:C$904,A40,'Commodity Prices'!X$111:X$904)</f>
        <v>5133.2814223581518</v>
      </c>
      <c r="E40" s="858">
        <f t="shared" si="0"/>
        <v>2015</v>
      </c>
      <c r="F40" s="578">
        <f>IF($E$8="Historic Calendar Year",
 IF(COUNTIFS('Commodity Prices'!$V:$V, "&gt;0", 'Commodity Prices'!$A:$A, $E40)=12, AVERAGEIFS('Commodity Prices'!$V:$V, 'Commodity Prices'!$A:$A, $E40), NA()),
 IF(COUNTIFS('Commodity Prices'!$V:$V, "&gt;0", 'Commodity Prices'!$B:$B, $E40)=12, AVERAGEIFS('Commodity Prices'!$V:$V, 'Commodity Prices'!$B:$B, $E40), NA())
)</f>
        <v>1360.0217875636138</v>
      </c>
      <c r="G40" s="580">
        <f>IF($E$8="Historic Calendar Year",
 IF(COUNTIFS('Commodity Prices'!$X:$X, "&gt;0", 'Commodity Prices'!$A:$A, $E40)=12, AVERAGEIFS('Commodity Prices'!$X:$X, 'Commodity Prices'!$A:$A, $E40), NA()),
 IF(COUNTIFS('Commodity Prices'!$X:$X, "&gt;0", 'Commodity Prices'!$B:$B, $E40)=12, AVERAGEIFS('Commodity Prices'!$X:$X, 'Commodity Prices'!$B:$B, $E40), NA())
)</f>
        <v>3011.9026469160121</v>
      </c>
    </row>
    <row r="41" spans="1:7" x14ac:dyDescent="0.25">
      <c r="A41" s="859">
        <f>LARGE('Commodity Prices'!C$161:C$904,31)</f>
        <v>45078</v>
      </c>
      <c r="B41" s="548">
        <f>SUMIF('Commodity Prices'!C$111:C$904,A41,'Commodity Prices'!V$111:V$904)</f>
        <v>3247.300889877642</v>
      </c>
      <c r="C41" s="434">
        <f>SUMIF('Commodity Prices'!C$111:C$904,A41,'Commodity Prices'!X$111:X$904)</f>
        <v>5245.2293534986629</v>
      </c>
      <c r="E41" s="858">
        <f t="shared" si="0"/>
        <v>2016</v>
      </c>
      <c r="F41" s="856">
        <f>IF($E$8="Historic Calendar Year",
 IF(COUNTIFS('Commodity Prices'!$V:$V, "&gt;0", 'Commodity Prices'!$A:$A, $E41)=12, AVERAGEIFS('Commodity Prices'!$V:$V, 'Commodity Prices'!$A:$A, $E41), NA()),
 IF(COUNTIFS('Commodity Prices'!$V:$V, "&gt;0", 'Commodity Prices'!$B:$B, $E41)=12, AVERAGEIFS('Commodity Prices'!$V:$V, 'Commodity Prices'!$B:$B, $E41), NA())
)</f>
        <v>1201.5145088253028</v>
      </c>
      <c r="G41" s="857">
        <f>IF($E$8="Historic Calendar Year",
 IF(COUNTIFS('Commodity Prices'!$X:$X, "&gt;0", 'Commodity Prices'!$A:$A, $E41)=12, AVERAGEIFS('Commodity Prices'!$X:$X, 'Commodity Prices'!$A:$A, $E41), NA()),
 IF(COUNTIFS('Commodity Prices'!$X:$X, "&gt;0", 'Commodity Prices'!$B:$B, $E41)=12, AVERAGEIFS('Commodity Prices'!$X:$X, 'Commodity Prices'!$B:$B, $E41), NA())
)</f>
        <v>2878.063025644989</v>
      </c>
    </row>
    <row r="42" spans="1:7" x14ac:dyDescent="0.25">
      <c r="A42" s="855">
        <f>LARGE('Commodity Prices'!C$161:C$904,30)</f>
        <v>45108</v>
      </c>
      <c r="B42" s="856">
        <f>SUMIF('Commodity Prices'!C$111:C$904,A42,'Commodity Prices'!V$111:V$904)</f>
        <v>3230.4037230948225</v>
      </c>
      <c r="C42" s="857">
        <f>SUMIF('Commodity Prices'!C$111:C$904,A42,'Commodity Prices'!X$111:X$904)</f>
        <v>4921.7403277325138</v>
      </c>
      <c r="E42" s="858">
        <f t="shared" si="0"/>
        <v>2017</v>
      </c>
      <c r="F42" s="578">
        <f>IF($E$8="Historic Calendar Year",
 IF(COUNTIFS('Commodity Prices'!$V:$V, "&gt;0", 'Commodity Prices'!$A:$A, $E42)=12, AVERAGEIFS('Commodity Prices'!$V:$V, 'Commodity Prices'!$A:$A, $E42), NA()),
 IF(COUNTIFS('Commodity Prices'!$V:$V, "&gt;0", 'Commodity Prices'!$B:$B, $E42)=12, AVERAGEIFS('Commodity Prices'!$V:$V, 'Commodity Prices'!$B:$B, $E42), NA())
)</f>
        <v>1347.8244285427531</v>
      </c>
      <c r="G42" s="580">
        <f>IF($E$8="Historic Calendar Year",
 IF(COUNTIFS('Commodity Prices'!$X:$X, "&gt;0", 'Commodity Prices'!$A:$A, $E42)=12, AVERAGEIFS('Commodity Prices'!$X:$X, 'Commodity Prices'!$A:$A, $E42), NA()),
 IF(COUNTIFS('Commodity Prices'!$X:$X, "&gt;0", 'Commodity Prices'!$B:$B, $E42)=12, AVERAGEIFS('Commodity Prices'!$X:$X, 'Commodity Prices'!$B:$B, $E42), NA())
)</f>
        <v>3304.7281056086772</v>
      </c>
    </row>
    <row r="43" spans="1:7" x14ac:dyDescent="0.25">
      <c r="A43" s="859">
        <f>LARGE('Commodity Prices'!C$161:C$904,29)</f>
        <v>45139</v>
      </c>
      <c r="B43" s="548">
        <f>SUMIF('Commodity Prices'!C$111:C$904,A43,'Commodity Prices'!V$111:V$904)</f>
        <v>3127.3269230769229</v>
      </c>
      <c r="C43" s="434">
        <f>SUMIF('Commodity Prices'!C$111:C$904,A43,'Commodity Prices'!X$111:X$904)</f>
        <v>5052.5761495869829</v>
      </c>
      <c r="E43" s="858">
        <f t="shared" si="0"/>
        <v>2018</v>
      </c>
      <c r="F43" s="856">
        <f>IF($E$8="Historic Calendar Year",
 IF(COUNTIFS('Commodity Prices'!$V:$V, "&gt;0", 'Commodity Prices'!$A:$A, $E43)=12, AVERAGEIFS('Commodity Prices'!$V:$V, 'Commodity Prices'!$A:$A, $E43), NA()),
 IF(COUNTIFS('Commodity Prices'!$V:$V, "&gt;0", 'Commodity Prices'!$B:$B, $E43)=12, AVERAGEIFS('Commodity Prices'!$V:$V, 'Commodity Prices'!$B:$B, $E43), NA())
)</f>
        <v>1985.0599543806563</v>
      </c>
      <c r="G43" s="857">
        <f>IF($E$8="Historic Calendar Year",
 IF(COUNTIFS('Commodity Prices'!$X:$X, "&gt;0", 'Commodity Prices'!$A:$A, $E43)=12, AVERAGEIFS('Commodity Prices'!$X:$X, 'Commodity Prices'!$A:$A, $E43), NA()),
 IF(COUNTIFS('Commodity Prices'!$X:$X, "&gt;0", 'Commodity Prices'!$B:$B, $E43)=12, AVERAGEIFS('Commodity Prices'!$X:$X, 'Commodity Prices'!$B:$B, $E43), NA())
)</f>
        <v>3827.2717032225696</v>
      </c>
    </row>
    <row r="44" spans="1:7" x14ac:dyDescent="0.25">
      <c r="A44" s="855">
        <f>LARGE('Commodity Prices'!C$161:C$904,28)</f>
        <v>45170</v>
      </c>
      <c r="B44" s="856">
        <f>SUMIF('Commodity Prices'!C$111:C$904,A44,'Commodity Prices'!V$111:V$904)</f>
        <v>3095.211601513241</v>
      </c>
      <c r="C44" s="857">
        <f>SUMIF('Commodity Prices'!C$111:C$904,A44,'Commodity Prices'!X$111:X$904)</f>
        <v>4959.602393190251</v>
      </c>
      <c r="E44" s="858">
        <f t="shared" si="0"/>
        <v>2019</v>
      </c>
      <c r="F44" s="578">
        <f>IF($E$8="Historic Calendar Year",
 IF(COUNTIFS('Commodity Prices'!$V:$V, "&gt;0", 'Commodity Prices'!$A:$A, $E44)=12, AVERAGEIFS('Commodity Prices'!$V:$V, 'Commodity Prices'!$A:$A, $E44), NA()),
 IF(COUNTIFS('Commodity Prices'!$V:$V, "&gt;0", 'Commodity Prices'!$B:$B, $E44)=12, AVERAGEIFS('Commodity Prices'!$V:$V, 'Commodity Prices'!$B:$B, $E44), NA())
)</f>
        <v>2172.7337378270604</v>
      </c>
      <c r="G44" s="580">
        <f>IF($E$8="Historic Calendar Year",
 IF(COUNTIFS('Commodity Prices'!$X:$X, "&gt;0", 'Commodity Prices'!$A:$A, $E44)=12, AVERAGEIFS('Commodity Prices'!$X:$X, 'Commodity Prices'!$A:$A, $E44), NA()),
 IF(COUNTIFS('Commodity Prices'!$X:$X, "&gt;0", 'Commodity Prices'!$B:$B, $E44)=12, AVERAGEIFS('Commodity Prices'!$X:$X, 'Commodity Prices'!$B:$B, $E44), NA())
)</f>
        <v>3947.7303055069774</v>
      </c>
    </row>
    <row r="45" spans="1:7" x14ac:dyDescent="0.25">
      <c r="A45" s="859">
        <f>LARGE('Commodity Prices'!C$161:C$904,27)</f>
        <v>45200</v>
      </c>
      <c r="B45" s="548">
        <f>SUMIF('Commodity Prices'!C$111:C$904,A45,'Commodity Prices'!V$111:V$904)</f>
        <v>3022.6192486281129</v>
      </c>
      <c r="C45" s="434">
        <f>SUMIF('Commodity Prices'!C$111:C$904,A45,'Commodity Prices'!X$111:X$904)</f>
        <v>4876.2046283817936</v>
      </c>
      <c r="E45" s="858">
        <f t="shared" si="0"/>
        <v>2020</v>
      </c>
      <c r="F45" s="856">
        <f>IF($E$8="Historic Calendar Year",
 IF(COUNTIFS('Commodity Prices'!$V:$V, "&gt;0", 'Commodity Prices'!$A:$A, $E45)=12, AVERAGEIFS('Commodity Prices'!$V:$V, 'Commodity Prices'!$A:$A, $E45), NA()),
 IF(COUNTIFS('Commodity Prices'!$V:$V, "&gt;0", 'Commodity Prices'!$B:$B, $E45)=12, AVERAGEIFS('Commodity Prices'!$V:$V, 'Commodity Prices'!$B:$B, $E45), NA())
)</f>
        <v>1908.2873094140189</v>
      </c>
      <c r="G45" s="857">
        <f>IF($E$8="Historic Calendar Year",
 IF(COUNTIFS('Commodity Prices'!$X:$X, "&gt;0", 'Commodity Prices'!$A:$A, $E45)=12, AVERAGEIFS('Commodity Prices'!$X:$X, 'Commodity Prices'!$A:$A, $E45), NA()),
 IF(COUNTIFS('Commodity Prices'!$X:$X, "&gt;0", 'Commodity Prices'!$B:$B, $E45)=12, AVERAGEIFS('Commodity Prices'!$X:$X, 'Commodity Prices'!$B:$B, $E45), NA())
)</f>
        <v>3911.0512989226386</v>
      </c>
    </row>
    <row r="46" spans="1:7" x14ac:dyDescent="0.25">
      <c r="A46" s="855">
        <f>LARGE('Commodity Prices'!C$161:C$904,26)</f>
        <v>45231</v>
      </c>
      <c r="B46" s="856">
        <f>SUMIF('Commodity Prices'!C$111:C$904,A46,'Commodity Prices'!V$111:V$904)</f>
        <v>2931.0982103884767</v>
      </c>
      <c r="C46" s="857">
        <f>SUMIF('Commodity Prices'!C$111:C$904,A46,'Commodity Prices'!X$111:X$904)</f>
        <v>4946.5843723098005</v>
      </c>
      <c r="E46" s="858">
        <f t="shared" si="0"/>
        <v>2021</v>
      </c>
      <c r="F46" s="578">
        <f>IF($E$8="Historic Calendar Year",
 IF(COUNTIFS('Commodity Prices'!$V:$V, "&gt;0", 'Commodity Prices'!$A:$A, $E46)=12, AVERAGEIFS('Commodity Prices'!$V:$V, 'Commodity Prices'!$A:$A, $E46), NA()),
 IF(COUNTIFS('Commodity Prices'!$V:$V, "&gt;0", 'Commodity Prices'!$B:$B, $E46)=12, AVERAGEIFS('Commodity Prices'!$V:$V, 'Commodity Prices'!$B:$B, $E46), NA())
)</f>
        <v>1867.6321213391905</v>
      </c>
      <c r="G46" s="580">
        <f>IF($E$8="Historic Calendar Year",
 IF(COUNTIFS('Commodity Prices'!$X:$X, "&gt;0", 'Commodity Prices'!$A:$A, $E46)=12, AVERAGEIFS('Commodity Prices'!$X:$X, 'Commodity Prices'!$A:$A, $E46), NA()),
 IF(COUNTIFS('Commodity Prices'!$X:$X, "&gt;0", 'Commodity Prices'!$B:$B, $E46)=12, AVERAGEIFS('Commodity Prices'!$X:$X, 'Commodity Prices'!$B:$B, $E46), NA())
)</f>
        <v>3904.6485173977176</v>
      </c>
    </row>
    <row r="47" spans="1:7" x14ac:dyDescent="0.25">
      <c r="A47" s="859">
        <f>LARGE('Commodity Prices'!C$161:C$904,25)</f>
        <v>45261</v>
      </c>
      <c r="B47" s="548">
        <f>SUMIF('Commodity Prices'!C$111:C$904,A47,'Commodity Prices'!V$111:V$904)</f>
        <v>2858.6983059292475</v>
      </c>
      <c r="C47" s="434">
        <f>SUMIF('Commodity Prices'!C$111:C$904,A47,'Commodity Prices'!X$111:X$904)</f>
        <v>4725.3119767910921</v>
      </c>
      <c r="E47" s="858">
        <f t="shared" si="0"/>
        <v>2022</v>
      </c>
      <c r="F47" s="856">
        <f>IF($E$8="Historic Calendar Year",
 IF(COUNTIFS('Commodity Prices'!$V:$V, "&gt;0", 'Commodity Prices'!$A:$A, $E47)=12, AVERAGEIFS('Commodity Prices'!$V:$V, 'Commodity Prices'!$A:$A, $E47), NA()),
 IF(COUNTIFS('Commodity Prices'!$V:$V, "&gt;0", 'Commodity Prices'!$B:$B, $E47)=12, AVERAGEIFS('Commodity Prices'!$V:$V, 'Commodity Prices'!$B:$B, $E47), NA())
)</f>
        <v>2883.1567834500033</v>
      </c>
      <c r="G47" s="857">
        <f>IF($E$8="Historic Calendar Year",
 IF(COUNTIFS('Commodity Prices'!$X:$X, "&gt;0", 'Commodity Prices'!$A:$A, $E47)=12, AVERAGEIFS('Commodity Prices'!$X:$X, 'Commodity Prices'!$A:$A, $E47), NA()),
 IF(COUNTIFS('Commodity Prices'!$X:$X, "&gt;0", 'Commodity Prices'!$B:$B, $E47)=12, AVERAGEIFS('Commodity Prices'!$X:$X, 'Commodity Prices'!$B:$B, $E47), NA())
)</f>
        <v>4751.2042605590004</v>
      </c>
    </row>
    <row r="48" spans="1:7" x14ac:dyDescent="0.25">
      <c r="A48" s="855">
        <f>LARGE('Commodity Prices'!C$161:C$904,24)</f>
        <v>45292</v>
      </c>
      <c r="B48" s="856">
        <f>SUMIF('Commodity Prices'!C$111:C$904,A48,'Commodity Prices'!V$111:V$904)</f>
        <v>2880.0027228383724</v>
      </c>
      <c r="C48" s="857">
        <f>SUMIF('Commodity Prices'!C$111:C$904,A48,'Commodity Prices'!X$111:X$904)</f>
        <v>4749.4585943402399</v>
      </c>
      <c r="E48" s="858">
        <f t="shared" si="0"/>
        <v>2023</v>
      </c>
      <c r="F48" s="578">
        <f>IF($E$8="Historic Calendar Year",
 IF(COUNTIFS('Commodity Prices'!$V:$V, "&gt;0", 'Commodity Prices'!$A:$A, $E48)=12, AVERAGEIFS('Commodity Prices'!$V:$V, 'Commodity Prices'!$A:$A, $E48), NA()),
 IF(COUNTIFS('Commodity Prices'!$V:$V, "&gt;0", 'Commodity Prices'!$B:$B, $E48)=12, AVERAGEIFS('Commodity Prices'!$V:$V, 'Commodity Prices'!$B:$B, $E48), NA())
)</f>
        <v>3153.5086183160179</v>
      </c>
      <c r="G48" s="580">
        <f>IF($E$8="Historic Calendar Year",
 IF(COUNTIFS('Commodity Prices'!$X:$X, "&gt;0", 'Commodity Prices'!$A:$A, $E48)=12, AVERAGEIFS('Commodity Prices'!$X:$X, 'Commodity Prices'!$A:$A, $E48), NA()),
 IF(COUNTIFS('Commodity Prices'!$X:$X, "&gt;0", 'Commodity Prices'!$B:$B, $E48)=12, AVERAGEIFS('Commodity Prices'!$X:$X, 'Commodity Prices'!$B:$B, $E48), NA())
)</f>
        <v>4954.0141440339212</v>
      </c>
    </row>
    <row r="49" spans="1:7" x14ac:dyDescent="0.25">
      <c r="A49" s="859">
        <f>LARGE('Commodity Prices'!C$161:C$904,23)</f>
        <v>45323</v>
      </c>
      <c r="B49" s="548">
        <f>SUMIF('Commodity Prices'!C$111:C$904,A49,'Commodity Prices'!V$111:V$904)</f>
        <v>2901.3071397474969</v>
      </c>
      <c r="C49" s="434">
        <f>SUMIF('Commodity Prices'!C$111:C$904,A49,'Commodity Prices'!X$111:X$904)</f>
        <v>4864.3302679730823</v>
      </c>
      <c r="E49" s="858">
        <f t="shared" si="0"/>
        <v>2024</v>
      </c>
      <c r="F49" s="1221">
        <f>IF($E$8="Historic Calendar Year",
 IF(COUNTIFS('Commodity Prices'!$V:$V, "&gt;0", 'Commodity Prices'!$A:$A, $E49)=12, AVERAGEIFS('Commodity Prices'!$V:$V, 'Commodity Prices'!$A:$A, $E49), NA()),
 IF(COUNTIFS('Commodity Prices'!$V:$V, "&gt;0", 'Commodity Prices'!$B:$B, $E49)=12, AVERAGEIFS('Commodity Prices'!$V:$V, 'Commodity Prices'!$B:$B, $E49), NA())
)</f>
        <v>2773.2758953316916</v>
      </c>
      <c r="G49" s="1222">
        <f>IF($E$8="Historic Calendar Year",
 IF(COUNTIFS('Commodity Prices'!$X:$X, "&gt;0", 'Commodity Prices'!$A:$A, $E49)=12, AVERAGEIFS('Commodity Prices'!$X:$X, 'Commodity Prices'!$A:$A, $E49), NA()),
 IF(COUNTIFS('Commodity Prices'!$X:$X, "&gt;0", 'Commodity Prices'!$B:$B, $E49)=12, AVERAGEIFS('Commodity Prices'!$X:$X, 'Commodity Prices'!$B:$B, $E49), NA())
)</f>
        <v>4848.5775405000386</v>
      </c>
    </row>
    <row r="50" spans="1:7" ht="15.75" thickBot="1" x14ac:dyDescent="0.3">
      <c r="A50" s="855">
        <f>LARGE('Commodity Prices'!C$161:C$904,22)</f>
        <v>45352</v>
      </c>
      <c r="B50" s="856">
        <f>SUMIF('Commodity Prices'!C$111:C$904,A50,'Commodity Prices'!V$111:V$904)</f>
        <v>2446.3108336548726</v>
      </c>
      <c r="C50" s="857">
        <f>SUMIF('Commodity Prices'!C$111:C$904,A50,'Commodity Prices'!X$111:X$904)</f>
        <v>4788.2862731270161</v>
      </c>
      <c r="E50" s="861">
        <f t="shared" si="0"/>
        <v>2025</v>
      </c>
      <c r="F50" s="1223">
        <f>IF($E$8="Historic Calendar Year",
 IF(COUNTIFS('Commodity Prices'!$V:$V, "&gt;0", 'Commodity Prices'!$A:$A, $E50)=12, AVERAGEIFS('Commodity Prices'!$V:$V, 'Commodity Prices'!$A:$A, $E50), NA()),
 IF(COUNTIFS('Commodity Prices'!$V:$V, "&gt;0", 'Commodity Prices'!$B:$B, $E50)=12, AVERAGEIFS('Commodity Prices'!$V:$V, 'Commodity Prices'!$B:$B, $E50), NA())
)</f>
        <v>2500.8626459916818</v>
      </c>
      <c r="G50" s="1224">
        <f>IF($E$8="Historic Calendar Year",
 IF(COUNTIFS('Commodity Prices'!$X:$X, "&gt;0", 'Commodity Prices'!$A:$A, $E50)=12, AVERAGEIFS('Commodity Prices'!$X:$X, 'Commodity Prices'!$A:$A, $E50), NA()),
 IF(COUNTIFS('Commodity Prices'!$X:$X, "&gt;0", 'Commodity Prices'!$B:$B, $E50)=12, AVERAGEIFS('Commodity Prices'!$X:$X, 'Commodity Prices'!$B:$B, $E50), NA())
)</f>
        <v>4717.9338958029302</v>
      </c>
    </row>
    <row r="51" spans="1:7" ht="15.75" thickBot="1" x14ac:dyDescent="0.3">
      <c r="A51" s="859">
        <f>LARGE('Commodity Prices'!C$161:C$904,21)</f>
        <v>45383</v>
      </c>
      <c r="B51" s="548">
        <f>SUMIF('Commodity Prices'!C$111:C$904,A51,'Commodity Prices'!V$111:V$904)</f>
        <v>2929.2468193384225</v>
      </c>
      <c r="C51" s="434">
        <f>SUMIF('Commodity Prices'!C$111:C$904,A51,'Commodity Prices'!X$111:X$904)</f>
        <v>4799.4525265313277</v>
      </c>
    </row>
    <row r="52" spans="1:7" x14ac:dyDescent="0.25">
      <c r="A52" s="855">
        <f>LARGE('Commodity Prices'!C$161:C$904,20)</f>
        <v>45413</v>
      </c>
      <c r="B52" s="856">
        <f>SUMIF('Commodity Prices'!C$111:C$904,A52,'Commodity Prices'!V$111:V$904)</f>
        <v>2793.2662744353765</v>
      </c>
      <c r="C52" s="857">
        <f>SUMIF('Commodity Prices'!C$111:C$904,A52,'Commodity Prices'!X$111:X$904)</f>
        <v>4810.6187799356385</v>
      </c>
      <c r="E52" s="1471" t="s">
        <v>156</v>
      </c>
      <c r="F52" s="1472"/>
      <c r="G52" s="1473"/>
    </row>
    <row r="53" spans="1:7" ht="15.75" thickBot="1" x14ac:dyDescent="0.3">
      <c r="A53" s="859">
        <f>LARGE('Commodity Prices'!C$161:C$904,19)</f>
        <v>45444</v>
      </c>
      <c r="B53" s="548">
        <f>SUMIF('Commodity Prices'!C$111:C$904,A53,'Commodity Prices'!V$111:V$904)</f>
        <v>2627.1944613500368</v>
      </c>
      <c r="C53" s="434">
        <f>SUMIF('Commodity Prices'!C$111:C$904,A53,'Commodity Prices'!X$111:X$904)</f>
        <v>4828.8479235271907</v>
      </c>
      <c r="E53" s="1400" t="s">
        <v>551</v>
      </c>
      <c r="F53" s="1395"/>
      <c r="G53" s="1401"/>
    </row>
    <row r="54" spans="1:7" x14ac:dyDescent="0.25">
      <c r="A54" s="855">
        <f>LARGE('Commodity Prices'!C$161:C$904,18)</f>
        <v>45474</v>
      </c>
      <c r="B54" s="856">
        <f>SUMIF('Commodity Prices'!C$111:C$904,A54,'Commodity Prices'!V$111:V$904)</f>
        <v>2579.9205794205795</v>
      </c>
      <c r="C54" s="857">
        <f>SUMIF('Commodity Prices'!C$111:C$904,A54,'Commodity Prices'!X$111:X$904)</f>
        <v>4910.7046070460701</v>
      </c>
      <c r="E54" s="1439" t="s">
        <v>554</v>
      </c>
      <c r="F54" s="1439"/>
      <c r="G54" s="1439"/>
    </row>
    <row r="55" spans="1:7" x14ac:dyDescent="0.25">
      <c r="A55" s="859">
        <f>LARGE('Commodity Prices'!C$161:C$904,17)</f>
        <v>45505</v>
      </c>
      <c r="B55" s="548">
        <f>SUMIF('Commodity Prices'!C$111:C$904,A55,'Commodity Prices'!V$111:V$904)</f>
        <v>2872.6429635145196</v>
      </c>
      <c r="C55" s="434">
        <f>SUMIF('Commodity Prices'!C$111:C$904,A55,'Commodity Prices'!X$111:X$904)</f>
        <v>5007.1422160740549</v>
      </c>
    </row>
    <row r="56" spans="1:7" x14ac:dyDescent="0.25">
      <c r="A56" s="855">
        <f>LARGE('Commodity Prices'!C$161:C$904,16)</f>
        <v>45536</v>
      </c>
      <c r="B56" s="856">
        <f>SUMIF('Commodity Prices'!C$111:C$904,A56,'Commodity Prices'!V$111:V$904)</f>
        <v>2776.5514136125653</v>
      </c>
      <c r="C56" s="857">
        <f>SUMIF('Commodity Prices'!C$111:C$904,A56,'Commodity Prices'!X$111:X$904)</f>
        <v>4777.0024747151556</v>
      </c>
    </row>
    <row r="57" spans="1:7" x14ac:dyDescent="0.25">
      <c r="A57" s="859">
        <f>LARGE('Commodity Prices'!C$161:C$904,15)</f>
        <v>45566</v>
      </c>
      <c r="B57" s="548">
        <f>SUMIF('Commodity Prices'!C$111:C$904,A57,'Commodity Prices'!V$111:V$904)</f>
        <v>2756.6622899159665</v>
      </c>
      <c r="C57" s="434">
        <f>SUMIF('Commodity Prices'!C$111:C$904,A57,'Commodity Prices'!X$111:X$904)</f>
        <v>4743.3351948767504</v>
      </c>
    </row>
    <row r="58" spans="1:7" x14ac:dyDescent="0.25">
      <c r="A58" s="855">
        <f>LARGE('Commodity Prices'!C$161:C$904,14)</f>
        <v>45597</v>
      </c>
      <c r="B58" s="856">
        <f>SUMIF('Commodity Prices'!C$111:C$904,A58,'Commodity Prices'!V$111:V$904)</f>
        <v>2813.9088851160159</v>
      </c>
      <c r="C58" s="857">
        <f>SUMIF('Commodity Prices'!C$111:C$904,A58,'Commodity Prices'!X$111:X$904)</f>
        <v>4849.307972427644</v>
      </c>
    </row>
    <row r="59" spans="1:7" x14ac:dyDescent="0.25">
      <c r="A59" s="859">
        <f>LARGE('Commodity Prices'!C$161:C$904,13)</f>
        <v>45627</v>
      </c>
      <c r="B59" s="548">
        <f>SUMIF('Commodity Prices'!C$111:C$904,A59,'Commodity Prices'!V$111:V$904)</f>
        <v>2902.2963610360716</v>
      </c>
      <c r="C59" s="434">
        <f>SUMIF('Commodity Prices'!C$111:C$904,A59,'Commodity Prices'!X$111:X$904)</f>
        <v>5054.4436554262838</v>
      </c>
    </row>
    <row r="60" spans="1:7" x14ac:dyDescent="0.25">
      <c r="A60" s="855">
        <f>LARGE('Commodity Prices'!C$161:C$904,12)</f>
        <v>45658</v>
      </c>
      <c r="B60" s="856">
        <f>SUMIF('Commodity Prices'!C$111:C$904,A60,'Commodity Prices'!V$111:V$904)</f>
        <v>2837.6802019315187</v>
      </c>
      <c r="C60" s="857">
        <f>SUMIF('Commodity Prices'!C$111:C$904,A60,'Commodity Prices'!X$111:X$904)</f>
        <v>4950.1493736974253</v>
      </c>
    </row>
    <row r="61" spans="1:7" x14ac:dyDescent="0.25">
      <c r="A61" s="859">
        <f>LARGE('Commodity Prices'!C$161:C$904,11)</f>
        <v>45689</v>
      </c>
      <c r="B61" s="548">
        <f>SUMIF('Commodity Prices'!C$111:C$904,A61,'Commodity Prices'!V$111:V$904)</f>
        <v>2830.8568561872908</v>
      </c>
      <c r="C61" s="434">
        <f>SUMIF('Commodity Prices'!C$111:C$904,A61,'Commodity Prices'!X$111:X$904)</f>
        <v>5006.6276576987511</v>
      </c>
    </row>
    <row r="62" spans="1:7" x14ac:dyDescent="0.25">
      <c r="A62" s="855">
        <f>LARGE('Commodity Prices'!C$161:C$904,10)</f>
        <v>45717</v>
      </c>
      <c r="B62" s="856">
        <f>SUMIF('Commodity Prices'!C$111:C$904,A62,'Commodity Prices'!V$111:V$904)</f>
        <v>2779.7769556840076</v>
      </c>
      <c r="C62" s="857">
        <f>SUMIF('Commodity Prices'!C$111:C$904,A62,'Commodity Prices'!X$111:X$904)</f>
        <v>4839.6883073614754</v>
      </c>
    </row>
    <row r="63" spans="1:7" x14ac:dyDescent="0.25">
      <c r="A63" s="859">
        <f>LARGE('Commodity Prices'!C$161:C$904,9)</f>
        <v>45748</v>
      </c>
      <c r="B63" s="548">
        <f>SUMIF('Commodity Prices'!C$111:C$904,A63,'Commodity Prices'!V$111:V$904)</f>
        <v>2579.385048957618</v>
      </c>
      <c r="C63" s="434">
        <f>SUMIF('Commodity Prices'!C$111:C$904,A63,'Commodity Prices'!X$111:X$904)</f>
        <v>4922.8706070203589</v>
      </c>
    </row>
    <row r="64" spans="1:7" x14ac:dyDescent="0.25">
      <c r="A64" s="855">
        <f>LARGE('Commodity Prices'!C$161:C$904,8)</f>
        <v>45778</v>
      </c>
      <c r="B64" s="856">
        <f>SUMIF('Commodity Prices'!C$111:C$904,A64,'Commodity Prices'!V$111:V$904)</f>
        <v>2707.9400163379623</v>
      </c>
      <c r="C64" s="857">
        <f>SUMIF('Commodity Prices'!C$111:C$904,A64,'Commodity Prices'!X$111:X$904)</f>
        <v>4745.6542509529336</v>
      </c>
    </row>
    <row r="65" spans="1:3" x14ac:dyDescent="0.25">
      <c r="A65" s="859">
        <f>LARGE('Commodity Prices'!C$161:C$904,7)</f>
        <v>45809</v>
      </c>
      <c r="B65" s="548">
        <f>SUMIF('Commodity Prices'!C$111:C$904,A65,'Commodity Prices'!V$111:V$904)</f>
        <v>2515.2861492160673</v>
      </c>
      <c r="C65" s="434">
        <f>SUMIF('Commodity Prices'!C$111:C$904,A65,'Commodity Prices'!X$111:X$904)</f>
        <v>4658.7553334732584</v>
      </c>
    </row>
    <row r="66" spans="1:3" x14ac:dyDescent="0.25">
      <c r="A66" s="855">
        <f>LARGE('Commodity Prices'!C$161:C$904,6)</f>
        <v>45839</v>
      </c>
      <c r="B66" s="856">
        <f>SUMIF('Commodity Prices'!C$111:C$904,A66,'Commodity Prices'!V$111:V$904)</f>
        <v>2511.9401053093461</v>
      </c>
      <c r="C66" s="857">
        <f>SUMIF('Commodity Prices'!C$111:C$904,A66,'Commodity Prices'!X$111:X$904)</f>
        <v>4753.7930527819926</v>
      </c>
    </row>
    <row r="67" spans="1:3" x14ac:dyDescent="0.25">
      <c r="A67" s="859">
        <f>LARGE('Commodity Prices'!C$161:C$904,5)</f>
        <v>45870</v>
      </c>
      <c r="B67" s="548">
        <f>SUMIF('Commodity Prices'!C$111:C$904,A67,'Commodity Prices'!V$111:V$904)</f>
        <v>2216.0078601446626</v>
      </c>
      <c r="C67" s="434">
        <f>SUMIF('Commodity Prices'!C$111:C$904,A67,'Commodity Prices'!X$111:X$904)</f>
        <v>4758.28922600227</v>
      </c>
    </row>
    <row r="68" spans="1:3" x14ac:dyDescent="0.25">
      <c r="A68" s="859">
        <f>LARGE('Commodity Prices'!C$161:C$904,4)</f>
        <v>45901</v>
      </c>
      <c r="B68" s="856">
        <f>SUMIF('Commodity Prices'!C$111:C$904,A68,'Commodity Prices'!V$111:V$904)</f>
        <v>2229.1019468438863</v>
      </c>
      <c r="C68" s="857">
        <f>SUMIF('Commodity Prices'!C$111:C$904,A68,'Commodity Prices'!X$111:X$904)</f>
        <v>4631.0849049031922</v>
      </c>
    </row>
    <row r="69" spans="1:3" x14ac:dyDescent="0.25">
      <c r="A69" s="859">
        <f>LARGE('Commodity Prices'!C$161:C$904,3)</f>
        <v>45931</v>
      </c>
      <c r="B69" s="548">
        <f>SUMIF('Commodity Prices'!C$111:C$904,A69,'Commodity Prices'!V$111:V$904)</f>
        <v>2461.763367151083</v>
      </c>
      <c r="C69" s="434">
        <f>SUMIF('Commodity Prices'!C$111:C$904,A69,'Commodity Prices'!X$111:X$904)</f>
        <v>4523.8258796465825</v>
      </c>
    </row>
    <row r="70" spans="1:3" x14ac:dyDescent="0.25">
      <c r="A70" s="862">
        <f>LARGE('Commodity Prices'!C$161:C$904,2)</f>
        <v>45962</v>
      </c>
      <c r="B70" s="856">
        <f>SUMIF('Commodity Prices'!C$111:C$904,A70,'Commodity Prices'!V$111:V$904)</f>
        <v>2245.8383098591548</v>
      </c>
      <c r="C70" s="857">
        <f>SUMIF('Commodity Prices'!C$111:C$904,A70,'Commodity Prices'!X$111:X$904)</f>
        <v>4478.6754596637256</v>
      </c>
    </row>
    <row r="71" spans="1:3" ht="15.75" thickBot="1" x14ac:dyDescent="0.3">
      <c r="A71" s="863">
        <f>LARGE('Commodity Prices'!C$161:C$904,1)</f>
        <v>45992</v>
      </c>
      <c r="B71" s="560">
        <f>SUMIF('Commodity Prices'!C$111:C$904,A71,'Commodity Prices'!V$111:V$904)</f>
        <v>2094.7749342775901</v>
      </c>
      <c r="C71" s="447">
        <f>SUMIF('Commodity Prices'!C$111:C$904,A71,'Commodity Prices'!X$111:X$904)</f>
        <v>4345.7926964332055</v>
      </c>
    </row>
  </sheetData>
  <mergeCells count="7">
    <mergeCell ref="E54:G54"/>
    <mergeCell ref="A7:C7"/>
    <mergeCell ref="E7:G7"/>
    <mergeCell ref="A8:C8"/>
    <mergeCell ref="E8:G8"/>
    <mergeCell ref="E52:G52"/>
    <mergeCell ref="E53:G53"/>
  </mergeCells>
  <dataValidations count="1">
    <dataValidation type="list" allowBlank="1" showInputMessage="1" showErrorMessage="1" promptTitle="Select a Period:" prompt="Select Financial or Calendar years." sqref="E53" xr:uid="{5CFD0FF5-F8D7-4BA8-AC09-49DC41C97F6D}">
      <formula1>$T$1:$T$2</formula1>
    </dataValidation>
  </dataValidation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26527-132A-4220-A431-E42A1AF9812C}">
  <sheetPr>
    <tabColor theme="7" tint="0.39997558519241921"/>
  </sheetPr>
  <dimension ref="A1:T251"/>
  <sheetViews>
    <sheetView showGridLines="0" zoomScale="85" zoomScaleNormal="85" workbookViewId="0">
      <pane ySplit="8" topLeftCell="A9" activePane="bottomLeft" state="frozen"/>
      <selection pane="bottomLeft"/>
    </sheetView>
  </sheetViews>
  <sheetFormatPr defaultColWidth="9.140625" defaultRowHeight="15" x14ac:dyDescent="0.25"/>
  <cols>
    <col min="1" max="1" width="13.28515625" bestFit="1" customWidth="1"/>
    <col min="2" max="3" width="15.7109375" customWidth="1"/>
    <col min="4" max="5" width="11.5703125" hidden="1" customWidth="1"/>
    <col min="6" max="6" width="8.7109375" customWidth="1"/>
    <col min="7" max="12" width="9.85546875" customWidth="1"/>
    <col min="14" max="15" width="0" hidden="1" customWidth="1"/>
    <col min="17" max="17" width="8.7109375" customWidth="1"/>
    <col min="18" max="18" width="13.28515625" customWidth="1"/>
    <col min="19" max="20" width="15.7109375" customWidth="1"/>
    <col min="36" max="36" width="11.28515625" bestFit="1" customWidth="1"/>
  </cols>
  <sheetData>
    <row r="1" spans="1:20" x14ac:dyDescent="0.25">
      <c r="A1" s="64" t="s">
        <v>178</v>
      </c>
    </row>
    <row r="2" spans="1:20" x14ac:dyDescent="0.25">
      <c r="A2" s="64" t="s">
        <v>179</v>
      </c>
    </row>
    <row r="5" spans="1:20" x14ac:dyDescent="0.25">
      <c r="A5" s="1407"/>
      <c r="B5" s="1407"/>
      <c r="C5" s="1407"/>
      <c r="D5" s="145"/>
      <c r="E5" s="145"/>
    </row>
    <row r="6" spans="1:20" x14ac:dyDescent="0.25">
      <c r="A6" s="145"/>
      <c r="B6" s="145"/>
      <c r="C6" s="145"/>
      <c r="D6" s="145"/>
      <c r="E6" s="145"/>
    </row>
    <row r="7" spans="1:20" ht="15.75" thickBot="1" x14ac:dyDescent="0.3">
      <c r="A7" s="1408" t="s">
        <v>555</v>
      </c>
      <c r="B7" s="1408"/>
      <c r="C7" s="1408"/>
      <c r="D7" s="145"/>
      <c r="E7" s="145"/>
    </row>
    <row r="8" spans="1:20" x14ac:dyDescent="0.25">
      <c r="A8" s="864" t="s">
        <v>557</v>
      </c>
      <c r="B8" s="865" t="s">
        <v>571</v>
      </c>
      <c r="C8" s="866" t="s">
        <v>559</v>
      </c>
      <c r="D8" s="146"/>
      <c r="E8" s="146"/>
    </row>
    <row r="9" spans="1:20" x14ac:dyDescent="0.25">
      <c r="A9" s="867">
        <v>36220</v>
      </c>
      <c r="B9" s="462">
        <v>607.9707503030304</v>
      </c>
      <c r="C9" s="463">
        <v>182.762</v>
      </c>
      <c r="D9" s="29">
        <f t="shared" ref="D9:D72" si="0">YEAR(A9)</f>
        <v>1999</v>
      </c>
      <c r="E9" s="29" t="str">
        <f>IF(MONTH(A9)=3,"1",IF(MONTH(A9)=6,"2",IF(MONTH(A9)=9,"3","4")))</f>
        <v>1</v>
      </c>
      <c r="R9" s="1393" t="s">
        <v>570</v>
      </c>
      <c r="S9" s="1393"/>
      <c r="T9" s="1393"/>
    </row>
    <row r="10" spans="1:20" ht="15.75" thickBot="1" x14ac:dyDescent="0.3">
      <c r="A10" s="867">
        <v>36312</v>
      </c>
      <c r="B10" s="868">
        <v>615.53115151515146</v>
      </c>
      <c r="C10" s="869">
        <v>166.893</v>
      </c>
      <c r="D10" s="29">
        <f t="shared" si="0"/>
        <v>1999</v>
      </c>
      <c r="E10" s="29" t="str">
        <f t="shared" ref="E10:E73" si="1">IF(MONTH(A10)=3,"1",IF(MONTH(A10)=6,"2",IF(MONTH(A10)=9,"3","4")))</f>
        <v>2</v>
      </c>
      <c r="R10" s="1393" t="s">
        <v>561</v>
      </c>
      <c r="S10" s="1393"/>
      <c r="T10" s="1393"/>
    </row>
    <row r="11" spans="1:20" x14ac:dyDescent="0.25">
      <c r="A11" s="867">
        <v>36404</v>
      </c>
      <c r="B11" s="462">
        <v>504.66172727272732</v>
      </c>
      <c r="C11" s="463">
        <v>156.68299999999999</v>
      </c>
      <c r="D11" s="29">
        <f t="shared" si="0"/>
        <v>1999</v>
      </c>
      <c r="E11" s="29" t="str">
        <f t="shared" si="1"/>
        <v>3</v>
      </c>
      <c r="R11" s="870" t="s">
        <v>557</v>
      </c>
      <c r="S11" s="871" t="s">
        <v>571</v>
      </c>
      <c r="T11" s="872" t="s">
        <v>559</v>
      </c>
    </row>
    <row r="12" spans="1:20" x14ac:dyDescent="0.25">
      <c r="A12" s="867">
        <v>36495</v>
      </c>
      <c r="B12" s="868">
        <v>595.74552818181803</v>
      </c>
      <c r="C12" s="869">
        <v>182.15100000000001</v>
      </c>
      <c r="D12" s="29">
        <f t="shared" si="0"/>
        <v>1999</v>
      </c>
      <c r="E12" s="29" t="str">
        <f t="shared" si="1"/>
        <v>4</v>
      </c>
      <c r="R12" s="867">
        <f>LARGE($A:$A, 9)</f>
        <v>45261</v>
      </c>
      <c r="S12" s="462">
        <f t="shared" ref="S12:S20" si="2">SUMIF($A$9:$A$739,$R12,B$9:B$751)</f>
        <v>258.5325257575758</v>
      </c>
      <c r="T12" s="463">
        <f t="shared" ref="T12:T20" si="3">SUMIF($A$9:$A$739,$R12,C$9:C$751)</f>
        <v>247.1772448422299</v>
      </c>
    </row>
    <row r="13" spans="1:20" x14ac:dyDescent="0.25">
      <c r="A13" s="867">
        <v>36586</v>
      </c>
      <c r="B13" s="462">
        <v>512.03651545454545</v>
      </c>
      <c r="C13" s="463">
        <v>174.09700000000001</v>
      </c>
      <c r="D13" s="29">
        <f t="shared" si="0"/>
        <v>2000</v>
      </c>
      <c r="E13" s="29" t="str">
        <f t="shared" si="1"/>
        <v>1</v>
      </c>
      <c r="R13" s="867">
        <f>LARGE($A:$A, 8)</f>
        <v>45352</v>
      </c>
      <c r="S13" s="868">
        <f t="shared" si="2"/>
        <v>321.43216931762521</v>
      </c>
      <c r="T13" s="869">
        <f t="shared" si="3"/>
        <v>281.70146784467886</v>
      </c>
    </row>
    <row r="14" spans="1:20" x14ac:dyDescent="0.25">
      <c r="A14" s="867">
        <v>36678</v>
      </c>
      <c r="B14" s="868">
        <v>692.56772727272732</v>
      </c>
      <c r="C14" s="869">
        <v>218.27099999999999</v>
      </c>
      <c r="D14" s="29">
        <f t="shared" si="0"/>
        <v>2000</v>
      </c>
      <c r="E14" s="29" t="str">
        <f t="shared" si="1"/>
        <v>2</v>
      </c>
      <c r="R14" s="867">
        <f>LARGE($A:$A, 7)</f>
        <v>45444</v>
      </c>
      <c r="S14" s="462">
        <f t="shared" si="2"/>
        <v>334.08079649864425</v>
      </c>
      <c r="T14" s="463">
        <f t="shared" si="3"/>
        <v>352.64922707415138</v>
      </c>
    </row>
    <row r="15" spans="1:20" x14ac:dyDescent="0.25">
      <c r="A15" s="867">
        <v>36770</v>
      </c>
      <c r="B15" s="462">
        <v>694.32842424242426</v>
      </c>
      <c r="C15" s="463">
        <v>224.471</v>
      </c>
      <c r="D15" s="29">
        <f t="shared" si="0"/>
        <v>2000</v>
      </c>
      <c r="E15" s="29" t="str">
        <f t="shared" si="1"/>
        <v>3</v>
      </c>
      <c r="R15" s="867">
        <f>LARGE($A:$A, 6)</f>
        <v>45536</v>
      </c>
      <c r="S15" s="868">
        <f t="shared" si="2"/>
        <v>317.66590330247533</v>
      </c>
      <c r="T15" s="869">
        <f t="shared" si="3"/>
        <v>327.48159314615771</v>
      </c>
    </row>
    <row r="16" spans="1:20" x14ac:dyDescent="0.25">
      <c r="A16" s="867">
        <v>36861</v>
      </c>
      <c r="B16" s="868">
        <v>620.45824242424248</v>
      </c>
      <c r="C16" s="869">
        <v>244.02</v>
      </c>
      <c r="D16" s="29">
        <f t="shared" si="0"/>
        <v>2000</v>
      </c>
      <c r="E16" s="29" t="str">
        <f t="shared" si="1"/>
        <v>4</v>
      </c>
      <c r="R16" s="867">
        <f>LARGE($A:$A, 5)</f>
        <v>45627</v>
      </c>
      <c r="S16" s="462">
        <f t="shared" si="2"/>
        <v>371.95709118004896</v>
      </c>
      <c r="T16" s="463">
        <f t="shared" si="3"/>
        <v>337.79319560600038</v>
      </c>
    </row>
    <row r="17" spans="1:20" x14ac:dyDescent="0.25">
      <c r="A17" s="867">
        <v>36951</v>
      </c>
      <c r="B17" s="462">
        <v>481.92836363636366</v>
      </c>
      <c r="C17" s="463">
        <v>207.05799999999999</v>
      </c>
      <c r="D17" s="29">
        <f t="shared" si="0"/>
        <v>2001</v>
      </c>
      <c r="E17" s="29" t="str">
        <f t="shared" si="1"/>
        <v>1</v>
      </c>
      <c r="R17" s="867">
        <f>LARGE($A:$A, 4)</f>
        <v>45717</v>
      </c>
      <c r="S17" s="868">
        <f t="shared" si="2"/>
        <v>392.72871830176678</v>
      </c>
      <c r="T17" s="869">
        <f t="shared" si="3"/>
        <v>385.86776544820952</v>
      </c>
    </row>
    <row r="18" spans="1:20" x14ac:dyDescent="0.25">
      <c r="A18" s="867">
        <v>37043</v>
      </c>
      <c r="B18" s="868">
        <v>557.10702909090901</v>
      </c>
      <c r="C18" s="869">
        <v>241.45699999999999</v>
      </c>
      <c r="D18" s="29">
        <f t="shared" si="0"/>
        <v>2001</v>
      </c>
      <c r="E18" s="29" t="str">
        <f t="shared" si="1"/>
        <v>2</v>
      </c>
      <c r="R18" s="867">
        <f>LARGE($A:$A, 3)</f>
        <v>45809</v>
      </c>
      <c r="S18" s="462">
        <f t="shared" si="2"/>
        <v>434.59600513248097</v>
      </c>
      <c r="T18" s="463">
        <f t="shared" si="3"/>
        <v>395.7054338551996</v>
      </c>
    </row>
    <row r="19" spans="1:20" x14ac:dyDescent="0.25">
      <c r="A19" s="867">
        <v>37135</v>
      </c>
      <c r="B19" s="462">
        <v>532.71918181818194</v>
      </c>
      <c r="C19" s="463">
        <v>229.02699999999999</v>
      </c>
      <c r="D19" s="29">
        <f t="shared" si="0"/>
        <v>2001</v>
      </c>
      <c r="E19" s="29" t="str">
        <f t="shared" si="1"/>
        <v>3</v>
      </c>
      <c r="R19" s="867">
        <f>LARGE($A:$A, 2)</f>
        <v>45901</v>
      </c>
      <c r="S19" s="868">
        <f t="shared" si="2"/>
        <v>322.86153922785462</v>
      </c>
      <c r="T19" s="869">
        <f t="shared" si="3"/>
        <v>324.46793672771838</v>
      </c>
    </row>
    <row r="20" spans="1:20" ht="15.75" thickBot="1" x14ac:dyDescent="0.3">
      <c r="A20" s="867">
        <v>37226</v>
      </c>
      <c r="B20" s="868">
        <v>509.69533333333339</v>
      </c>
      <c r="C20" s="869">
        <v>231.68299999999999</v>
      </c>
      <c r="D20" s="29">
        <f t="shared" si="0"/>
        <v>2001</v>
      </c>
      <c r="E20" s="29" t="str">
        <f t="shared" si="1"/>
        <v>4</v>
      </c>
      <c r="R20" s="873">
        <f>LARGE($A:$A, 1)</f>
        <v>45992</v>
      </c>
      <c r="S20" s="656">
        <f t="shared" si="2"/>
        <v>477.60475846998673</v>
      </c>
      <c r="T20" s="468">
        <f t="shared" si="3"/>
        <v>406.31341266214292</v>
      </c>
    </row>
    <row r="21" spans="1:20" x14ac:dyDescent="0.25">
      <c r="A21" s="867">
        <v>37316</v>
      </c>
      <c r="B21" s="462">
        <v>492.80342424242423</v>
      </c>
      <c r="C21" s="463">
        <v>188.23400000000001</v>
      </c>
      <c r="D21" s="29">
        <f t="shared" si="0"/>
        <v>2002</v>
      </c>
      <c r="E21" s="29" t="str">
        <f t="shared" si="1"/>
        <v>1</v>
      </c>
      <c r="R21" s="469"/>
    </row>
    <row r="22" spans="1:20" x14ac:dyDescent="0.25">
      <c r="A22" s="867">
        <v>37408</v>
      </c>
      <c r="B22" s="868">
        <v>430.57439393939393</v>
      </c>
      <c r="C22" s="869">
        <v>201.25899999999999</v>
      </c>
      <c r="D22" s="29">
        <f t="shared" si="0"/>
        <v>2002</v>
      </c>
      <c r="E22" s="29" t="str">
        <f t="shared" si="1"/>
        <v>2</v>
      </c>
      <c r="R22" s="469"/>
    </row>
    <row r="23" spans="1:20" x14ac:dyDescent="0.25">
      <c r="A23" s="867">
        <v>37500</v>
      </c>
      <c r="B23" s="462">
        <v>552.94709090909089</v>
      </c>
      <c r="C23" s="463">
        <v>219.47300000000001</v>
      </c>
      <c r="D23" s="29">
        <f t="shared" si="0"/>
        <v>2002</v>
      </c>
      <c r="E23" s="29" t="str">
        <f t="shared" si="1"/>
        <v>3</v>
      </c>
      <c r="R23" s="469"/>
    </row>
    <row r="24" spans="1:20" x14ac:dyDescent="0.25">
      <c r="A24" s="867">
        <v>37591</v>
      </c>
      <c r="B24" s="868">
        <v>572.48742424242437</v>
      </c>
      <c r="C24" s="869">
        <v>257.88600000000002</v>
      </c>
      <c r="D24" s="29">
        <f t="shared" si="0"/>
        <v>2002</v>
      </c>
      <c r="E24" s="29" t="str">
        <f t="shared" si="1"/>
        <v>4</v>
      </c>
      <c r="R24" s="469"/>
    </row>
    <row r="25" spans="1:20" x14ac:dyDescent="0.25">
      <c r="A25" s="867">
        <v>37681</v>
      </c>
      <c r="B25" s="462">
        <v>415.87169696969704</v>
      </c>
      <c r="C25" s="463">
        <v>179.92400000000001</v>
      </c>
      <c r="D25" s="29">
        <f t="shared" si="0"/>
        <v>2003</v>
      </c>
      <c r="E25" s="29" t="str">
        <f t="shared" si="1"/>
        <v>1</v>
      </c>
      <c r="R25" s="469"/>
    </row>
    <row r="26" spans="1:20" x14ac:dyDescent="0.25">
      <c r="A26" s="867">
        <v>37773</v>
      </c>
      <c r="B26" s="868">
        <v>600.56672727272735</v>
      </c>
      <c r="C26" s="869">
        <v>201.46199999999999</v>
      </c>
      <c r="D26" s="29">
        <f t="shared" si="0"/>
        <v>2003</v>
      </c>
      <c r="E26" s="29" t="str">
        <f t="shared" si="1"/>
        <v>2</v>
      </c>
      <c r="R26" s="469"/>
    </row>
    <row r="27" spans="1:20" x14ac:dyDescent="0.25">
      <c r="A27" s="867">
        <v>37865</v>
      </c>
      <c r="B27" s="462">
        <v>561.44992999999999</v>
      </c>
      <c r="C27" s="463">
        <v>183.99054675333332</v>
      </c>
      <c r="D27" s="29">
        <f t="shared" si="0"/>
        <v>2003</v>
      </c>
      <c r="E27" s="29" t="str">
        <f t="shared" si="1"/>
        <v>3</v>
      </c>
      <c r="R27" s="469"/>
    </row>
    <row r="28" spans="1:20" x14ac:dyDescent="0.25">
      <c r="A28" s="867">
        <v>37956</v>
      </c>
      <c r="B28" s="868">
        <v>709.22357</v>
      </c>
      <c r="C28" s="869">
        <v>224.472241149697</v>
      </c>
      <c r="D28" s="29">
        <f t="shared" si="0"/>
        <v>2003</v>
      </c>
      <c r="E28" s="29" t="str">
        <f t="shared" si="1"/>
        <v>4</v>
      </c>
    </row>
    <row r="29" spans="1:20" x14ac:dyDescent="0.25">
      <c r="A29" s="867">
        <v>38047</v>
      </c>
      <c r="B29" s="462">
        <v>598.08763999999985</v>
      </c>
      <c r="C29" s="463">
        <v>167.37318637727273</v>
      </c>
      <c r="D29" s="29">
        <f t="shared" si="0"/>
        <v>2004</v>
      </c>
      <c r="E29" s="29" t="str">
        <f t="shared" si="1"/>
        <v>1</v>
      </c>
    </row>
    <row r="30" spans="1:20" x14ac:dyDescent="0.25">
      <c r="A30" s="867">
        <v>38139</v>
      </c>
      <c r="B30" s="868">
        <v>667.86923000000002</v>
      </c>
      <c r="C30" s="869">
        <v>201.70191933121214</v>
      </c>
      <c r="D30" s="29">
        <f t="shared" si="0"/>
        <v>2004</v>
      </c>
      <c r="E30" s="29" t="str">
        <f t="shared" si="1"/>
        <v>2</v>
      </c>
    </row>
    <row r="31" spans="1:20" x14ac:dyDescent="0.25">
      <c r="A31" s="867">
        <v>38231</v>
      </c>
      <c r="B31" s="462">
        <v>598.51212999999996</v>
      </c>
      <c r="C31" s="463">
        <v>185.35964952</v>
      </c>
      <c r="D31" s="29">
        <f t="shared" si="0"/>
        <v>2004</v>
      </c>
      <c r="E31" s="29" t="str">
        <f t="shared" si="1"/>
        <v>3</v>
      </c>
    </row>
    <row r="32" spans="1:20" x14ac:dyDescent="0.25">
      <c r="A32" s="867">
        <v>38322</v>
      </c>
      <c r="B32" s="868">
        <v>690.77266999999995</v>
      </c>
      <c r="C32" s="869">
        <v>210.47602398363637</v>
      </c>
      <c r="D32" s="29">
        <f t="shared" si="0"/>
        <v>2004</v>
      </c>
      <c r="E32" s="29" t="str">
        <f t="shared" si="1"/>
        <v>4</v>
      </c>
    </row>
    <row r="33" spans="1:20" ht="15.75" thickBot="1" x14ac:dyDescent="0.3">
      <c r="A33" s="867">
        <v>38412</v>
      </c>
      <c r="B33" s="462">
        <v>577.42081000000007</v>
      </c>
      <c r="C33" s="463">
        <v>163.20437653696968</v>
      </c>
      <c r="D33" s="29">
        <f t="shared" si="0"/>
        <v>2005</v>
      </c>
      <c r="E33" s="29" t="str">
        <f t="shared" si="1"/>
        <v>1</v>
      </c>
    </row>
    <row r="34" spans="1:20" x14ac:dyDescent="0.25">
      <c r="A34" s="867">
        <v>38504</v>
      </c>
      <c r="B34" s="868">
        <v>733.49322999999993</v>
      </c>
      <c r="C34" s="869">
        <v>249.406867639697</v>
      </c>
      <c r="D34" s="29">
        <f t="shared" si="0"/>
        <v>2005</v>
      </c>
      <c r="E34" s="29" t="str">
        <f t="shared" si="1"/>
        <v>2</v>
      </c>
      <c r="R34" s="874" t="s">
        <v>158</v>
      </c>
      <c r="S34" s="1474" t="s">
        <v>178</v>
      </c>
      <c r="T34" s="1475"/>
    </row>
    <row r="35" spans="1:20" x14ac:dyDescent="0.25">
      <c r="A35" s="867">
        <v>38596</v>
      </c>
      <c r="B35" s="462">
        <v>638.90314000000001</v>
      </c>
      <c r="C35" s="463">
        <v>206.5326046829091</v>
      </c>
      <c r="D35" s="29">
        <f t="shared" si="0"/>
        <v>2005</v>
      </c>
      <c r="E35" s="29" t="str">
        <f t="shared" si="1"/>
        <v>3</v>
      </c>
      <c r="R35" s="1404" t="str">
        <f>CONCATENATE(A5," Quantity And Value By Year")</f>
        <v xml:space="preserve"> Quantity And Value By Year</v>
      </c>
      <c r="S35" s="1405"/>
      <c r="T35" s="1406"/>
    </row>
    <row r="36" spans="1:20" x14ac:dyDescent="0.25">
      <c r="A36" s="867">
        <v>38687</v>
      </c>
      <c r="B36" s="868">
        <v>685.25354000000004</v>
      </c>
      <c r="C36" s="869">
        <v>227.64974277981818</v>
      </c>
      <c r="D36" s="29">
        <f t="shared" si="0"/>
        <v>2005</v>
      </c>
      <c r="E36" s="29" t="str">
        <f t="shared" si="1"/>
        <v>4</v>
      </c>
      <c r="R36" s="875" t="s">
        <v>272</v>
      </c>
      <c r="S36" s="876" t="str">
        <f>B8</f>
        <v>Quantity (Kt)</v>
      </c>
      <c r="T36" s="877" t="str">
        <f>C8</f>
        <v>Value ($ Million)</v>
      </c>
    </row>
    <row r="37" spans="1:20" x14ac:dyDescent="0.25">
      <c r="A37" s="867">
        <v>38777</v>
      </c>
      <c r="B37" s="462">
        <v>460.74187000000001</v>
      </c>
      <c r="C37" s="463">
        <v>187.91728033527272</v>
      </c>
      <c r="D37" s="29">
        <f t="shared" si="0"/>
        <v>2006</v>
      </c>
      <c r="E37" s="29" t="str">
        <f t="shared" si="1"/>
        <v>1</v>
      </c>
      <c r="R37" s="878">
        <f t="shared" ref="R37:R54" si="4">IF($S$34="Calendar Year", R38-1, LEFT(R38,4)-1 &amp; "-" &amp; MID(R38,3,2))</f>
        <v>2006</v>
      </c>
      <c r="S37" s="740">
        <f>IF($S$34="Calendar Year",SUMIF($D$9:$D$201,$R37,$B$9:$B$201),SUMIFS($B$9:$B$201,$D$9:$D$201,LEFT($R37,4),$E$9:$E$201,3)+SUMIFS($B$9:$B$201,$D$9:$D$201,LEFT($R37,4),$E$9:$E$201,4)+SUMIFS($B$9:$B$201,$D$9:$D$201,LEFT($R37,4)+1,$E$9:$E$201,1)+SUMIFS($B$9:$B$201,$D$9:$D$201,LEFT($R37,4)+1,$E$9:$E$201,2))</f>
        <v>2629.9670580000002</v>
      </c>
      <c r="T37" s="879">
        <f>IF($S$34="Calendar Year",SUMIF($D$9:$D$201,$R37,$C$9:$C$201),SUMIFS($C$9:$C$201,$D$9:$D$201,LEFT($R37,4),$E$9:$E$201,3)+SUMIFS($C$9:$C$201,$D$9:$D$201,LEFT($R37,4),$E$9:$E$201,4)+SUMIFS($C$9:$C$201,$D$9:$D$201,LEFT($R37,4)+1,$E$9:$E$201,1)+SUMIFS($C$9:$C$201,$D$9:$D$201,LEFT($R37,4)+1,$E$9:$E$201,2))</f>
        <v>886.26281036130922</v>
      </c>
    </row>
    <row r="38" spans="1:20" x14ac:dyDescent="0.25">
      <c r="A38" s="867">
        <v>38869</v>
      </c>
      <c r="B38" s="868">
        <v>662.94859899999994</v>
      </c>
      <c r="C38" s="869">
        <v>213.5316214871273</v>
      </c>
      <c r="D38" s="29">
        <f t="shared" si="0"/>
        <v>2006</v>
      </c>
      <c r="E38" s="29" t="str">
        <f t="shared" si="1"/>
        <v>2</v>
      </c>
      <c r="R38" s="878">
        <f t="shared" si="4"/>
        <v>2007</v>
      </c>
      <c r="S38" s="880">
        <f t="shared" ref="S38:S56" si="5">IF(R38="","",IF($S$34="Calendar Year",SUMIF($D$9:$D$201,$R38,$B$9:$B$201),SUMIFS($B$9:$B$201,$D$9:$D$201,LEFT($R38,4),$E$9:$E$201,3)+SUMIFS($B$9:$B$201,$D$9:$D$201,LEFT($R38,4),$E$9:$E$201,4)+SUMIFS($B$9:$B$201,$D$9:$D$201,LEFT($R38,4)+1,$E$9:$E$201,1)+SUMIFS($B$9:$B$201,$D$9:$D$201,LEFT($R38,4)+1,$E$9:$E$201,2)))</f>
        <v>2489.7558399999998</v>
      </c>
      <c r="T38" s="881">
        <f t="shared" ref="T38:T56" si="6">IF(R38="","",IF($S$34="Calendar Year",SUMIF($D$9:$D$201,$R38,$C$9:$C$201),SUMIFS($C$9:$C$201,$D$9:$D$201,LEFT($R38,4),$E$9:$E$201,3)+SUMIFS($C$9:$C$201,$D$9:$D$201,LEFT($R38,4),$E$9:$E$201,4)+SUMIFS($C$9:$C$201,$D$9:$D$201,LEFT($R38,4)+1,$E$9:$E$201,1)+SUMIFS($C$9:$C$201,$D$9:$D$201,LEFT($R38,4)+1,$E$9:$E$201,2)))</f>
        <v>691.05571360429815</v>
      </c>
    </row>
    <row r="39" spans="1:20" x14ac:dyDescent="0.25">
      <c r="A39" s="867">
        <v>38961</v>
      </c>
      <c r="B39" s="462">
        <v>667.25884000000008</v>
      </c>
      <c r="C39" s="463">
        <v>221.68141107430307</v>
      </c>
      <c r="D39" s="29">
        <f t="shared" si="0"/>
        <v>2006</v>
      </c>
      <c r="E39" s="29" t="str">
        <f t="shared" si="1"/>
        <v>3</v>
      </c>
      <c r="R39" s="878">
        <f t="shared" si="4"/>
        <v>2008</v>
      </c>
      <c r="S39" s="740">
        <f t="shared" si="5"/>
        <v>2348.3883889999997</v>
      </c>
      <c r="T39" s="879">
        <f t="shared" si="6"/>
        <v>777.13671799124882</v>
      </c>
    </row>
    <row r="40" spans="1:20" x14ac:dyDescent="0.25">
      <c r="A40" s="867">
        <v>39052</v>
      </c>
      <c r="B40" s="868">
        <v>839.01774900000009</v>
      </c>
      <c r="C40" s="869">
        <v>263.13249746460605</v>
      </c>
      <c r="D40" s="29">
        <f t="shared" si="0"/>
        <v>2006</v>
      </c>
      <c r="E40" s="29" t="str">
        <f t="shared" si="1"/>
        <v>4</v>
      </c>
      <c r="R40" s="878">
        <f t="shared" si="4"/>
        <v>2009</v>
      </c>
      <c r="S40" s="880">
        <f t="shared" si="5"/>
        <v>1881.4500789999997</v>
      </c>
      <c r="T40" s="881">
        <f t="shared" si="6"/>
        <v>641.83094086659389</v>
      </c>
    </row>
    <row r="41" spans="1:20" x14ac:dyDescent="0.25">
      <c r="A41" s="867">
        <v>39142</v>
      </c>
      <c r="B41" s="462">
        <v>712.67406999999992</v>
      </c>
      <c r="C41" s="463">
        <v>208.19747113642427</v>
      </c>
      <c r="D41" s="29">
        <f t="shared" si="0"/>
        <v>2007</v>
      </c>
      <c r="E41" s="29" t="str">
        <f t="shared" si="1"/>
        <v>1</v>
      </c>
      <c r="R41" s="878">
        <f t="shared" si="4"/>
        <v>2010</v>
      </c>
      <c r="S41" s="740">
        <f t="shared" si="5"/>
        <v>1599.250035</v>
      </c>
      <c r="T41" s="879">
        <f t="shared" si="6"/>
        <v>526.47051544375756</v>
      </c>
    </row>
    <row r="42" spans="1:20" x14ac:dyDescent="0.25">
      <c r="A42" s="867">
        <v>39234</v>
      </c>
      <c r="B42" s="868">
        <v>525.55197999999996</v>
      </c>
      <c r="C42" s="869">
        <v>152.51562924866667</v>
      </c>
      <c r="D42" s="29">
        <f t="shared" si="0"/>
        <v>2007</v>
      </c>
      <c r="E42" s="29" t="str">
        <f t="shared" si="1"/>
        <v>2</v>
      </c>
      <c r="R42" s="878">
        <f t="shared" si="4"/>
        <v>2011</v>
      </c>
      <c r="S42" s="880">
        <f t="shared" si="5"/>
        <v>1455.1578890000001</v>
      </c>
      <c r="T42" s="881">
        <f t="shared" si="6"/>
        <v>591.6221046056703</v>
      </c>
    </row>
    <row r="43" spans="1:20" x14ac:dyDescent="0.25">
      <c r="A43" s="867">
        <v>39326</v>
      </c>
      <c r="B43" s="462">
        <v>579.62850000000003</v>
      </c>
      <c r="C43" s="463">
        <v>139.81280604818181</v>
      </c>
      <c r="D43" s="29">
        <f t="shared" si="0"/>
        <v>2007</v>
      </c>
      <c r="E43" s="29" t="str">
        <f t="shared" si="1"/>
        <v>3</v>
      </c>
      <c r="R43" s="878">
        <f t="shared" si="4"/>
        <v>2012</v>
      </c>
      <c r="S43" s="740">
        <f t="shared" si="5"/>
        <v>1334.321578</v>
      </c>
      <c r="T43" s="879">
        <f t="shared" si="6"/>
        <v>970.8070320666061</v>
      </c>
    </row>
    <row r="44" spans="1:20" x14ac:dyDescent="0.25">
      <c r="A44" s="867">
        <v>39417</v>
      </c>
      <c r="B44" s="868">
        <v>671.90129000000002</v>
      </c>
      <c r="C44" s="869">
        <v>190.52980717102545</v>
      </c>
      <c r="D44" s="29">
        <f t="shared" si="0"/>
        <v>2007</v>
      </c>
      <c r="E44" s="29" t="str">
        <f t="shared" si="1"/>
        <v>4</v>
      </c>
      <c r="R44" s="878">
        <f t="shared" si="4"/>
        <v>2013</v>
      </c>
      <c r="S44" s="880">
        <f t="shared" si="5"/>
        <v>1162.7821235757576</v>
      </c>
      <c r="T44" s="881">
        <f t="shared" si="6"/>
        <v>380.58465899999999</v>
      </c>
    </row>
    <row r="45" spans="1:20" x14ac:dyDescent="0.25">
      <c r="A45" s="867">
        <v>39508</v>
      </c>
      <c r="B45" s="462">
        <v>563.33965000000001</v>
      </c>
      <c r="C45" s="463">
        <v>150.9215735699818</v>
      </c>
      <c r="D45" s="29">
        <f t="shared" si="0"/>
        <v>2008</v>
      </c>
      <c r="E45" s="29" t="str">
        <f t="shared" si="1"/>
        <v>1</v>
      </c>
      <c r="R45" s="878">
        <f t="shared" si="4"/>
        <v>2014</v>
      </c>
      <c r="S45" s="740">
        <f t="shared" si="5"/>
        <v>754.38299203030306</v>
      </c>
      <c r="T45" s="879">
        <f t="shared" si="6"/>
        <v>406.75867286666664</v>
      </c>
    </row>
    <row r="46" spans="1:20" x14ac:dyDescent="0.25">
      <c r="A46" s="867">
        <v>39600</v>
      </c>
      <c r="B46" s="868">
        <v>678.11067800000001</v>
      </c>
      <c r="C46" s="869">
        <v>195.99011884184003</v>
      </c>
      <c r="D46" s="29">
        <f t="shared" si="0"/>
        <v>2008</v>
      </c>
      <c r="E46" s="29" t="str">
        <f t="shared" si="1"/>
        <v>2</v>
      </c>
      <c r="R46" s="878">
        <f t="shared" si="4"/>
        <v>2015</v>
      </c>
      <c r="S46" s="880">
        <f t="shared" si="5"/>
        <v>1013.2926921212121</v>
      </c>
      <c r="T46" s="881">
        <f t="shared" si="6"/>
        <v>586.39609236441697</v>
      </c>
    </row>
    <row r="47" spans="1:20" x14ac:dyDescent="0.25">
      <c r="A47" s="867">
        <v>39692</v>
      </c>
      <c r="B47" s="462">
        <v>563.2937730000001</v>
      </c>
      <c r="C47" s="463">
        <v>203.25011357072</v>
      </c>
      <c r="D47" s="29">
        <f t="shared" si="0"/>
        <v>2008</v>
      </c>
      <c r="E47" s="29" t="str">
        <f t="shared" si="1"/>
        <v>3</v>
      </c>
      <c r="R47" s="878">
        <f t="shared" si="4"/>
        <v>2016</v>
      </c>
      <c r="S47" s="740">
        <f t="shared" si="5"/>
        <v>1274.8886436363637</v>
      </c>
      <c r="T47" s="879">
        <f t="shared" si="6"/>
        <v>612.46402801084821</v>
      </c>
    </row>
    <row r="48" spans="1:20" x14ac:dyDescent="0.25">
      <c r="A48" s="867">
        <v>39783</v>
      </c>
      <c r="B48" s="868">
        <v>543.64428799999996</v>
      </c>
      <c r="C48" s="869">
        <v>226.97491200870695</v>
      </c>
      <c r="D48" s="29">
        <f t="shared" si="0"/>
        <v>2008</v>
      </c>
      <c r="E48" s="29" t="str">
        <f t="shared" si="1"/>
        <v>4</v>
      </c>
      <c r="R48" s="878">
        <f t="shared" si="4"/>
        <v>2017</v>
      </c>
      <c r="S48" s="880">
        <f t="shared" si="5"/>
        <v>878.65964369696974</v>
      </c>
      <c r="T48" s="881">
        <f t="shared" si="6"/>
        <v>515.14173981765259</v>
      </c>
    </row>
    <row r="49" spans="1:20" x14ac:dyDescent="0.25">
      <c r="A49" s="867">
        <v>39873</v>
      </c>
      <c r="B49" s="462">
        <v>494.34247199999993</v>
      </c>
      <c r="C49" s="463">
        <v>160.56678365354668</v>
      </c>
      <c r="D49" s="29">
        <f t="shared" si="0"/>
        <v>2009</v>
      </c>
      <c r="E49" s="29" t="str">
        <f t="shared" si="1"/>
        <v>1</v>
      </c>
      <c r="R49" s="878">
        <f t="shared" si="4"/>
        <v>2018</v>
      </c>
      <c r="S49" s="740">
        <f t="shared" si="5"/>
        <v>939.53333575757574</v>
      </c>
      <c r="T49" s="879">
        <f t="shared" si="6"/>
        <v>628.84552939685091</v>
      </c>
    </row>
    <row r="50" spans="1:20" x14ac:dyDescent="0.25">
      <c r="A50" s="867">
        <v>39965</v>
      </c>
      <c r="B50" s="868">
        <v>388.15560699999997</v>
      </c>
      <c r="C50" s="869">
        <v>113.81045802763637</v>
      </c>
      <c r="D50" s="29">
        <f t="shared" si="0"/>
        <v>2009</v>
      </c>
      <c r="E50" s="29" t="str">
        <f t="shared" si="1"/>
        <v>2</v>
      </c>
      <c r="R50" s="878">
        <f t="shared" si="4"/>
        <v>2019</v>
      </c>
      <c r="S50" s="880">
        <f t="shared" si="5"/>
        <v>1063.0407810303032</v>
      </c>
      <c r="T50" s="881">
        <f t="shared" si="6"/>
        <v>761.70542010130384</v>
      </c>
    </row>
    <row r="51" spans="1:20" x14ac:dyDescent="0.25">
      <c r="A51" s="867">
        <v>40057</v>
      </c>
      <c r="B51" s="462">
        <v>448.44291999999996</v>
      </c>
      <c r="C51" s="463">
        <v>161.38295638874911</v>
      </c>
      <c r="D51" s="29">
        <f t="shared" si="0"/>
        <v>2009</v>
      </c>
      <c r="E51" s="29" t="str">
        <f t="shared" si="1"/>
        <v>3</v>
      </c>
      <c r="R51" s="878">
        <f t="shared" si="4"/>
        <v>2020</v>
      </c>
      <c r="S51" s="740">
        <f t="shared" si="5"/>
        <v>1237.0700446060607</v>
      </c>
      <c r="T51" s="879">
        <f t="shared" si="6"/>
        <v>886.20492566042299</v>
      </c>
    </row>
    <row r="52" spans="1:20" x14ac:dyDescent="0.25">
      <c r="A52" s="867">
        <v>40148</v>
      </c>
      <c r="B52" s="868">
        <v>550.50907999999993</v>
      </c>
      <c r="C52" s="869">
        <v>206.07074279666182</v>
      </c>
      <c r="D52" s="29">
        <f t="shared" si="0"/>
        <v>2009</v>
      </c>
      <c r="E52" s="29" t="str">
        <f t="shared" si="1"/>
        <v>4</v>
      </c>
      <c r="R52" s="878">
        <f t="shared" si="4"/>
        <v>2021</v>
      </c>
      <c r="S52" s="880">
        <f t="shared" si="5"/>
        <v>1278.100646078788</v>
      </c>
      <c r="T52" s="881">
        <f t="shared" si="6"/>
        <v>1173.1784463361901</v>
      </c>
    </row>
    <row r="53" spans="1:20" x14ac:dyDescent="0.25">
      <c r="A53" s="867">
        <v>40238</v>
      </c>
      <c r="B53" s="462">
        <v>432.03534000000002</v>
      </c>
      <c r="C53" s="463">
        <v>146.44246715351517</v>
      </c>
      <c r="D53" s="29">
        <f t="shared" si="0"/>
        <v>2010</v>
      </c>
      <c r="E53" s="29" t="str">
        <f t="shared" si="1"/>
        <v>1</v>
      </c>
      <c r="R53" s="878">
        <f t="shared" si="4"/>
        <v>2022</v>
      </c>
      <c r="S53" s="740">
        <f t="shared" si="5"/>
        <v>1153.9747892424243</v>
      </c>
      <c r="T53" s="879">
        <f t="shared" si="6"/>
        <v>1343.7084353974126</v>
      </c>
    </row>
    <row r="54" spans="1:20" x14ac:dyDescent="0.25">
      <c r="A54" s="867">
        <v>40330</v>
      </c>
      <c r="B54" s="868">
        <v>468.59804000000003</v>
      </c>
      <c r="C54" s="869">
        <v>150.58886328757575</v>
      </c>
      <c r="D54" s="29">
        <f t="shared" si="0"/>
        <v>2010</v>
      </c>
      <c r="E54" s="29" t="str">
        <f t="shared" si="1"/>
        <v>2</v>
      </c>
      <c r="R54" s="878">
        <f t="shared" si="4"/>
        <v>2023</v>
      </c>
      <c r="S54" s="880">
        <f t="shared" si="5"/>
        <v>1142.1653318795547</v>
      </c>
      <c r="T54" s="881">
        <f t="shared" si="6"/>
        <v>1298.5110257613542</v>
      </c>
    </row>
    <row r="55" spans="1:20" x14ac:dyDescent="0.25">
      <c r="A55" s="867">
        <v>40422</v>
      </c>
      <c r="B55" s="462">
        <v>369.87650800000006</v>
      </c>
      <c r="C55" s="463">
        <v>119.27838987599999</v>
      </c>
      <c r="D55" s="29">
        <f t="shared" si="0"/>
        <v>2010</v>
      </c>
      <c r="E55" s="29" t="str">
        <f t="shared" si="1"/>
        <v>3</v>
      </c>
      <c r="R55" s="878">
        <f>IF($S$34="Calendar Year", R56-1, LEFT(R56,4)-1 &amp; "-" &amp; MID(R56,3,2))</f>
        <v>2024</v>
      </c>
      <c r="S55" s="740">
        <f t="shared" si="5"/>
        <v>1345.1359602987939</v>
      </c>
      <c r="T55" s="879">
        <f t="shared" si="6"/>
        <v>1299.6254836709882</v>
      </c>
    </row>
    <row r="56" spans="1:20" ht="15.75" thickBot="1" x14ac:dyDescent="0.3">
      <c r="A56" s="867">
        <v>40513</v>
      </c>
      <c r="B56" s="868">
        <v>328.74014699999998</v>
      </c>
      <c r="C56" s="869">
        <v>110.16079512666667</v>
      </c>
      <c r="D56" s="29">
        <f t="shared" si="0"/>
        <v>2010</v>
      </c>
      <c r="E56" s="29" t="str">
        <f t="shared" si="1"/>
        <v>4</v>
      </c>
      <c r="R56" s="882">
        <f>IF($S$34="Calendar Year",
    YEAR(LARGE($A:$A, 4)),
    IF(MONTH(LARGE($A:$A, 4))&gt;6,
        YEAR(LARGE($A:$A, 4)) &amp; "-" &amp; RIGHT(YEAR(LARGE($A:$A, 4))+1, 2),
        YEAR(LARGE($A:$A, 4))-1 &amp; "-" &amp; RIGHT(YEAR(LARGE($A:$A, 4)), 2)
    ))</f>
        <v>2025</v>
      </c>
      <c r="S56" s="883">
        <f t="shared" si="5"/>
        <v>1627.7910211320891</v>
      </c>
      <c r="T56" s="884">
        <f t="shared" si="6"/>
        <v>1512.3545486932703</v>
      </c>
    </row>
    <row r="57" spans="1:20" x14ac:dyDescent="0.25">
      <c r="A57" s="867">
        <v>40603</v>
      </c>
      <c r="B57" s="462">
        <v>369.869034</v>
      </c>
      <c r="C57" s="463">
        <v>113.38754588096971</v>
      </c>
      <c r="D57" s="29">
        <f t="shared" si="0"/>
        <v>2011</v>
      </c>
      <c r="E57" s="29" t="str">
        <f t="shared" si="1"/>
        <v>1</v>
      </c>
      <c r="R57" s="588"/>
      <c r="S57" s="573"/>
      <c r="T57" s="573"/>
    </row>
    <row r="58" spans="1:20" x14ac:dyDescent="0.25">
      <c r="A58" s="867">
        <v>40695</v>
      </c>
      <c r="B58" s="868">
        <v>348.30933999999996</v>
      </c>
      <c r="C58" s="869">
        <v>133.35581608327271</v>
      </c>
      <c r="D58" s="29">
        <f t="shared" si="0"/>
        <v>2011</v>
      </c>
      <c r="E58" s="29" t="str">
        <f t="shared" si="1"/>
        <v>2</v>
      </c>
      <c r="R58" s="588"/>
      <c r="S58" s="573"/>
      <c r="T58" s="573"/>
    </row>
    <row r="59" spans="1:20" x14ac:dyDescent="0.25">
      <c r="A59" s="867">
        <v>40787</v>
      </c>
      <c r="B59" s="462">
        <v>381.62442499999997</v>
      </c>
      <c r="C59" s="463">
        <v>174.96184977763636</v>
      </c>
      <c r="D59" s="29">
        <f t="shared" si="0"/>
        <v>2011</v>
      </c>
      <c r="E59" s="29" t="str">
        <f t="shared" si="1"/>
        <v>3</v>
      </c>
      <c r="R59" s="588"/>
      <c r="S59" s="573"/>
      <c r="T59" s="573"/>
    </row>
    <row r="60" spans="1:20" x14ac:dyDescent="0.25">
      <c r="A60" s="867">
        <v>40878</v>
      </c>
      <c r="B60" s="868">
        <v>355.35508999999996</v>
      </c>
      <c r="C60" s="869">
        <v>169.91689286379153</v>
      </c>
      <c r="D60" s="29">
        <f t="shared" si="0"/>
        <v>2011</v>
      </c>
      <c r="E60" s="29" t="str">
        <f t="shared" si="1"/>
        <v>4</v>
      </c>
      <c r="R60" s="588"/>
      <c r="S60" s="573"/>
      <c r="T60" s="573"/>
    </row>
    <row r="61" spans="1:20" x14ac:dyDescent="0.25">
      <c r="A61" s="867">
        <v>40969</v>
      </c>
      <c r="B61" s="462">
        <v>347.86962800000003</v>
      </c>
      <c r="C61" s="463">
        <v>240.15949792703032</v>
      </c>
      <c r="D61" s="29">
        <f t="shared" si="0"/>
        <v>2012</v>
      </c>
      <c r="E61" s="29" t="str">
        <f t="shared" si="1"/>
        <v>1</v>
      </c>
      <c r="R61" s="589" t="str">
        <f>IFERROR(IF(YEAR(MAX('Commodity Prices'!$C$11:$C1516))=VALUE(RIGHT(R60,4)),"",IF($S$34="Calendar Year",R60+1,CONCATENATE(LEFT(R60,4)+1,"-",RIGHT(R60,4)+1))),"")</f>
        <v/>
      </c>
      <c r="S61" s="773" t="str">
        <f>IF(R61="","",IF($S$34="Calendar Year",SUMIF($D$9:$D$201,$R61,$B$9:$B$201),SUMIFS($B$9:$B$201,$D$9:$D$201,LEFT($R61,4),$E$9:$E$201,3)+SUMIFS($B$9:$B$201,$D$9:$D$201,LEFT($R61,4),$E$9:$E$201,4)+SUMIFS($B$9:$B$201,$D$9:$D$201,LEFT($R61,4)+1,$E$9:$E$201,1)+SUMIFS($B$9:$B$201,$D$9:$D$201,LEFT($R61,4)+1,$E$9:$E$201,2)))</f>
        <v/>
      </c>
      <c r="T61" s="746" t="str">
        <f>IF(R61="","",IF($S$34="Calendar Year",SUMIF($D$9:$D$201,$R61,$C$9:$C$201),SUMIFS($C$9:$C$201,$D$9:$D$201,LEFT($R61,4),$E$9:$E$201,3)+SUMIFS($C$9:$C$201,$D$9:$D$201,LEFT($R61,4),$E$9:$E$201,4)+SUMIFS($C$9:$C$201,$D$9:$D$201,LEFT($R61,4)+1,$E$9:$E$201,1)+SUMIFS($C$9:$C$201,$D$9:$D$201,LEFT($R61,4)+1,$E$9:$E$201,2)))</f>
        <v/>
      </c>
    </row>
    <row r="62" spans="1:20" x14ac:dyDescent="0.25">
      <c r="A62" s="867">
        <v>41061</v>
      </c>
      <c r="B62" s="868">
        <v>330.71230000000003</v>
      </c>
      <c r="C62" s="869">
        <v>279.07432250472726</v>
      </c>
      <c r="D62" s="29">
        <f t="shared" si="0"/>
        <v>2012</v>
      </c>
      <c r="E62" s="29" t="str">
        <f t="shared" si="1"/>
        <v>2</v>
      </c>
      <c r="R62" s="589" t="str">
        <f>IFERROR(IF(YEAR(MAX('Commodity Prices'!$C$11:$C1516))=VALUE(RIGHT(R61,4)),"",IF($S$34="Calendar Year",R61+1,CONCATENATE(LEFT(R61,4)+1,"-",RIGHT(R61,4)+1))),"")</f>
        <v/>
      </c>
      <c r="S62" s="773" t="str">
        <f>IF(R62="","",IF($S$34="Calendar Year",SUMIF($D$9:$D$201,$R62,$B$9:$B$201),SUMIFS($B$9:$B$201,$D$9:$D$201,LEFT($R62,4),$E$9:$E$201,3)+SUMIFS($B$9:$B$201,$D$9:$D$201,LEFT($R62,4),$E$9:$E$201,4)+SUMIFS($B$9:$B$201,$D$9:$D$201,LEFT($R62,4)+1,$E$9:$E$201,1)+SUMIFS($B$9:$B$201,$D$9:$D$201,LEFT($R62,4)+1,$E$9:$E$201,2)))</f>
        <v/>
      </c>
      <c r="T62" s="746" t="str">
        <f>IF(R62="","",IF($S$34="Calendar Year",SUMIF($D$9:$D$201,$R62,$C$9:$C$201),SUMIFS($C$9:$C$201,$D$9:$D$201,LEFT($R62,4),$E$9:$E$201,3)+SUMIFS($C$9:$C$201,$D$9:$D$201,LEFT($R62,4),$E$9:$E$201,4)+SUMIFS($C$9:$C$201,$D$9:$D$201,LEFT($R62,4)+1,$E$9:$E$201,1)+SUMIFS($C$9:$C$201,$D$9:$D$201,LEFT($R62,4)+1,$E$9:$E$201,2)))</f>
        <v/>
      </c>
    </row>
    <row r="63" spans="1:20" x14ac:dyDescent="0.25">
      <c r="A63" s="867">
        <v>41153</v>
      </c>
      <c r="B63" s="462">
        <v>323.30175000000003</v>
      </c>
      <c r="C63" s="463">
        <v>240.53327604000003</v>
      </c>
      <c r="D63" s="29">
        <f t="shared" si="0"/>
        <v>2012</v>
      </c>
      <c r="E63" s="29" t="str">
        <f t="shared" si="1"/>
        <v>3</v>
      </c>
      <c r="H63" s="403"/>
      <c r="I63" s="403"/>
    </row>
    <row r="64" spans="1:20" x14ac:dyDescent="0.25">
      <c r="A64" s="867">
        <v>41244</v>
      </c>
      <c r="B64" s="868">
        <v>332.43790000000001</v>
      </c>
      <c r="C64" s="869">
        <v>211.03993559484849</v>
      </c>
      <c r="D64" s="29">
        <f t="shared" si="0"/>
        <v>2012</v>
      </c>
      <c r="E64" s="29" t="str">
        <f t="shared" si="1"/>
        <v>4</v>
      </c>
      <c r="H64" s="403"/>
      <c r="I64" s="403"/>
    </row>
    <row r="65" spans="1:9" x14ac:dyDescent="0.25">
      <c r="A65" s="867">
        <v>41334</v>
      </c>
      <c r="B65" s="462">
        <v>318.15396969696974</v>
      </c>
      <c r="C65" s="463">
        <v>106.96275399999999</v>
      </c>
      <c r="D65" s="29">
        <f t="shared" si="0"/>
        <v>2013</v>
      </c>
      <c r="E65" s="29" t="str">
        <f t="shared" si="1"/>
        <v>1</v>
      </c>
      <c r="H65" s="403"/>
      <c r="I65" s="403"/>
    </row>
    <row r="66" spans="1:9" x14ac:dyDescent="0.25">
      <c r="A66" s="867">
        <v>41426</v>
      </c>
      <c r="B66" s="868">
        <v>283.29897266666666</v>
      </c>
      <c r="C66" s="869">
        <v>98.636386000000002</v>
      </c>
      <c r="D66" s="29">
        <f t="shared" si="0"/>
        <v>2013</v>
      </c>
      <c r="E66" s="29" t="str">
        <f t="shared" si="1"/>
        <v>2</v>
      </c>
    </row>
    <row r="67" spans="1:9" x14ac:dyDescent="0.25">
      <c r="A67" s="867">
        <v>41518</v>
      </c>
      <c r="B67" s="462">
        <v>266.2454872727273</v>
      </c>
      <c r="C67" s="463">
        <v>80.906579999999991</v>
      </c>
      <c r="D67" s="29">
        <f t="shared" si="0"/>
        <v>2013</v>
      </c>
      <c r="E67" s="29" t="str">
        <f t="shared" si="1"/>
        <v>3</v>
      </c>
    </row>
    <row r="68" spans="1:9" x14ac:dyDescent="0.25">
      <c r="A68" s="867">
        <v>41609</v>
      </c>
      <c r="B68" s="868">
        <v>295.08369393939392</v>
      </c>
      <c r="C68" s="869">
        <v>94.078938999999991</v>
      </c>
      <c r="D68" s="29">
        <f t="shared" si="0"/>
        <v>2013</v>
      </c>
      <c r="E68" s="29" t="str">
        <f t="shared" si="1"/>
        <v>4</v>
      </c>
    </row>
    <row r="69" spans="1:9" x14ac:dyDescent="0.25">
      <c r="A69" s="867">
        <v>41699</v>
      </c>
      <c r="B69" s="462">
        <v>167.99979263636362</v>
      </c>
      <c r="C69" s="463">
        <v>76.715109290909098</v>
      </c>
      <c r="D69" s="29">
        <f t="shared" si="0"/>
        <v>2014</v>
      </c>
      <c r="E69" s="29" t="str">
        <f t="shared" si="1"/>
        <v>1</v>
      </c>
    </row>
    <row r="70" spans="1:9" x14ac:dyDescent="0.25">
      <c r="A70" s="867">
        <v>41791</v>
      </c>
      <c r="B70" s="868">
        <v>203.85361151515153</v>
      </c>
      <c r="C70" s="869">
        <v>108.25742245454546</v>
      </c>
      <c r="D70" s="29">
        <f t="shared" si="0"/>
        <v>2014</v>
      </c>
      <c r="E70" s="29" t="str">
        <f t="shared" si="1"/>
        <v>2</v>
      </c>
    </row>
    <row r="71" spans="1:9" x14ac:dyDescent="0.25">
      <c r="A71" s="867">
        <v>41883</v>
      </c>
      <c r="B71" s="462">
        <v>192.05296030303029</v>
      </c>
      <c r="C71" s="463">
        <v>108.58870309090909</v>
      </c>
      <c r="D71" s="29">
        <f t="shared" si="0"/>
        <v>2014</v>
      </c>
      <c r="E71" s="29" t="str">
        <f t="shared" si="1"/>
        <v>3</v>
      </c>
    </row>
    <row r="72" spans="1:9" x14ac:dyDescent="0.25">
      <c r="A72" s="867">
        <v>41974</v>
      </c>
      <c r="B72" s="868">
        <v>190.47662757575756</v>
      </c>
      <c r="C72" s="869">
        <v>113.19743803030303</v>
      </c>
      <c r="D72" s="29">
        <f t="shared" si="0"/>
        <v>2014</v>
      </c>
      <c r="E72" s="29" t="str">
        <f t="shared" si="1"/>
        <v>4</v>
      </c>
    </row>
    <row r="73" spans="1:9" x14ac:dyDescent="0.25">
      <c r="A73" s="867">
        <v>42064</v>
      </c>
      <c r="B73" s="462">
        <v>219.84536454545452</v>
      </c>
      <c r="C73" s="463">
        <v>116.41049234948923</v>
      </c>
      <c r="D73" s="29">
        <f>YEAR(A73)</f>
        <v>2015</v>
      </c>
      <c r="E73" s="29" t="str">
        <f t="shared" si="1"/>
        <v>1</v>
      </c>
    </row>
    <row r="74" spans="1:9" x14ac:dyDescent="0.25">
      <c r="A74" s="867">
        <v>42156</v>
      </c>
      <c r="B74" s="868">
        <v>281.34365909090911</v>
      </c>
      <c r="C74" s="869">
        <v>156.03087978995075</v>
      </c>
      <c r="D74" s="29">
        <f>YEAR(A74)</f>
        <v>2015</v>
      </c>
      <c r="E74" s="29" t="str">
        <f>IF(MONTH(A74)=3,"1",IF(MONTH(A74)=6,"2",IF(MONTH(A74)=9,"3","4")))</f>
        <v>2</v>
      </c>
    </row>
    <row r="75" spans="1:9" x14ac:dyDescent="0.25">
      <c r="A75" s="867">
        <v>42248</v>
      </c>
      <c r="B75" s="462">
        <v>181.19125757575759</v>
      </c>
      <c r="C75" s="463">
        <v>134.82173197609356</v>
      </c>
      <c r="D75" s="29">
        <f>YEAR(A75)</f>
        <v>2015</v>
      </c>
      <c r="E75" s="29" t="str">
        <f>IF(MONTH(A75)=3,"1",IF(MONTH(A75)=6,"2",IF(MONTH(A75)=9,"3","4")))</f>
        <v>3</v>
      </c>
    </row>
    <row r="76" spans="1:9" x14ac:dyDescent="0.25">
      <c r="A76" s="867">
        <v>42339</v>
      </c>
      <c r="B76" s="868">
        <v>330.91241090909091</v>
      </c>
      <c r="C76" s="869">
        <v>179.13298824888346</v>
      </c>
      <c r="D76" s="29">
        <f>YEAR(A76)</f>
        <v>2015</v>
      </c>
      <c r="E76" s="29" t="str">
        <f>IF(MONTH(A76)=3,"1",IF(MONTH(A76)=6,"2",IF(MONTH(A76)=9,"3","4")))</f>
        <v>4</v>
      </c>
    </row>
    <row r="77" spans="1:9" x14ac:dyDescent="0.25">
      <c r="A77" s="867">
        <v>42430</v>
      </c>
      <c r="B77" s="462">
        <v>242.61038606060606</v>
      </c>
      <c r="C77" s="463">
        <v>122.58967324767677</v>
      </c>
      <c r="D77" s="29">
        <f t="shared" ref="D77:D140" si="7">YEAR(A77)</f>
        <v>2016</v>
      </c>
      <c r="E77" s="29" t="str">
        <f t="shared" ref="E77:E140" si="8">IF(MONTH(A77)=3,"1",IF(MONTH(A77)=6,"2",IF(MONTH(A77)=9,"3","4")))</f>
        <v>1</v>
      </c>
    </row>
    <row r="78" spans="1:9" x14ac:dyDescent="0.25">
      <c r="A78" s="867">
        <v>42522</v>
      </c>
      <c r="B78" s="868">
        <v>203.3450606060606</v>
      </c>
      <c r="C78" s="869">
        <v>134.9861616631745</v>
      </c>
      <c r="D78" s="29">
        <f t="shared" si="7"/>
        <v>2016</v>
      </c>
      <c r="E78" s="29" t="str">
        <f t="shared" si="8"/>
        <v>2</v>
      </c>
    </row>
    <row r="79" spans="1:9" x14ac:dyDescent="0.25">
      <c r="A79" s="867">
        <v>42614</v>
      </c>
      <c r="B79" s="462">
        <v>278.46633333333335</v>
      </c>
      <c r="C79" s="463">
        <v>135.27440645425679</v>
      </c>
      <c r="D79" s="29">
        <f t="shared" si="7"/>
        <v>2016</v>
      </c>
      <c r="E79" s="29" t="str">
        <f t="shared" si="8"/>
        <v>3</v>
      </c>
    </row>
    <row r="80" spans="1:9" x14ac:dyDescent="0.25">
      <c r="A80" s="867">
        <v>42705</v>
      </c>
      <c r="B80" s="868">
        <v>550.46686363636366</v>
      </c>
      <c r="C80" s="869">
        <v>219.61378664574019</v>
      </c>
      <c r="D80" s="29">
        <f t="shared" si="7"/>
        <v>2016</v>
      </c>
      <c r="E80" s="29" t="str">
        <f t="shared" si="8"/>
        <v>4</v>
      </c>
    </row>
    <row r="81" spans="1:5" x14ac:dyDescent="0.25">
      <c r="A81" s="867">
        <v>42795</v>
      </c>
      <c r="B81" s="462">
        <v>211.9179272727273</v>
      </c>
      <c r="C81" s="463">
        <v>120.69086450397532</v>
      </c>
      <c r="D81" s="29">
        <f t="shared" si="7"/>
        <v>2017</v>
      </c>
      <c r="E81" s="29" t="str">
        <f t="shared" si="8"/>
        <v>1</v>
      </c>
    </row>
    <row r="82" spans="1:5" x14ac:dyDescent="0.25">
      <c r="A82" s="867">
        <v>42887</v>
      </c>
      <c r="B82" s="868">
        <v>198.13095309090909</v>
      </c>
      <c r="C82" s="869">
        <v>107.88373044242806</v>
      </c>
      <c r="D82" s="29">
        <f t="shared" si="7"/>
        <v>2017</v>
      </c>
      <c r="E82" s="29" t="str">
        <f t="shared" si="8"/>
        <v>2</v>
      </c>
    </row>
    <row r="83" spans="1:5" x14ac:dyDescent="0.25">
      <c r="A83" s="867">
        <v>42979</v>
      </c>
      <c r="B83" s="462">
        <v>215.16577915151515</v>
      </c>
      <c r="C83" s="463">
        <v>140.18719657801475</v>
      </c>
      <c r="D83" s="29">
        <f t="shared" si="7"/>
        <v>2017</v>
      </c>
      <c r="E83" s="29" t="str">
        <f t="shared" si="8"/>
        <v>3</v>
      </c>
    </row>
    <row r="84" spans="1:5" x14ac:dyDescent="0.25">
      <c r="A84" s="867">
        <v>43070</v>
      </c>
      <c r="B84" s="868">
        <v>253.44498418181817</v>
      </c>
      <c r="C84" s="869">
        <v>146.37994829323446</v>
      </c>
      <c r="D84" s="29">
        <f t="shared" si="7"/>
        <v>2017</v>
      </c>
      <c r="E84" s="29" t="str">
        <f t="shared" si="8"/>
        <v>4</v>
      </c>
    </row>
    <row r="85" spans="1:5" x14ac:dyDescent="0.25">
      <c r="A85" s="867">
        <v>43160</v>
      </c>
      <c r="B85" s="462">
        <v>224.9157913939394</v>
      </c>
      <c r="C85" s="463">
        <v>127.05420793713439</v>
      </c>
      <c r="D85" s="29">
        <f t="shared" si="7"/>
        <v>2018</v>
      </c>
      <c r="E85" s="29" t="str">
        <f t="shared" si="8"/>
        <v>1</v>
      </c>
    </row>
    <row r="86" spans="1:5" x14ac:dyDescent="0.25">
      <c r="A86" s="867">
        <v>43252</v>
      </c>
      <c r="B86" s="868">
        <v>200.94247793939394</v>
      </c>
      <c r="C86" s="869">
        <v>138.38763106901274</v>
      </c>
      <c r="D86" s="29">
        <f t="shared" si="7"/>
        <v>2018</v>
      </c>
      <c r="E86" s="29" t="str">
        <f t="shared" si="8"/>
        <v>2</v>
      </c>
    </row>
    <row r="87" spans="1:5" x14ac:dyDescent="0.25">
      <c r="A87" s="867">
        <v>43344</v>
      </c>
      <c r="B87" s="462">
        <v>266.82648236363639</v>
      </c>
      <c r="C87" s="463">
        <v>193.86647576907271</v>
      </c>
      <c r="D87" s="29">
        <f t="shared" si="7"/>
        <v>2018</v>
      </c>
      <c r="E87" s="29" t="str">
        <f t="shared" si="8"/>
        <v>3</v>
      </c>
    </row>
    <row r="88" spans="1:5" x14ac:dyDescent="0.25">
      <c r="A88" s="867">
        <v>43435</v>
      </c>
      <c r="B88" s="868">
        <v>246.8485840606061</v>
      </c>
      <c r="C88" s="869">
        <v>169.53721462163102</v>
      </c>
      <c r="D88" s="29">
        <f t="shared" si="7"/>
        <v>2018</v>
      </c>
      <c r="E88" s="29" t="str">
        <f t="shared" si="8"/>
        <v>4</v>
      </c>
    </row>
    <row r="89" spans="1:5" x14ac:dyDescent="0.25">
      <c r="A89" s="867">
        <v>43525</v>
      </c>
      <c r="B89" s="462">
        <v>230.07744727272728</v>
      </c>
      <c r="C89" s="463">
        <v>167.88623956500098</v>
      </c>
      <c r="D89" s="29">
        <f t="shared" si="7"/>
        <v>2019</v>
      </c>
      <c r="E89" s="29" t="str">
        <f t="shared" si="8"/>
        <v>1</v>
      </c>
    </row>
    <row r="90" spans="1:5" x14ac:dyDescent="0.25">
      <c r="A90" s="867">
        <v>43617</v>
      </c>
      <c r="B90" s="868">
        <v>285.88922212121219</v>
      </c>
      <c r="C90" s="869">
        <v>187.04012640535677</v>
      </c>
      <c r="D90" s="29">
        <f t="shared" si="7"/>
        <v>2019</v>
      </c>
      <c r="E90" s="29" t="str">
        <f t="shared" si="8"/>
        <v>2</v>
      </c>
    </row>
    <row r="91" spans="1:5" x14ac:dyDescent="0.25">
      <c r="A91" s="867">
        <v>43709</v>
      </c>
      <c r="B91" s="462">
        <v>268.09512969696971</v>
      </c>
      <c r="C91" s="463">
        <v>201.03284640572465</v>
      </c>
      <c r="D91" s="29">
        <f t="shared" si="7"/>
        <v>2019</v>
      </c>
      <c r="E91" s="29" t="str">
        <f t="shared" si="8"/>
        <v>3</v>
      </c>
    </row>
    <row r="92" spans="1:5" x14ac:dyDescent="0.25">
      <c r="A92" s="867">
        <v>43800</v>
      </c>
      <c r="B92" s="885">
        <v>278.97898193939403</v>
      </c>
      <c r="C92" s="881">
        <v>205.74620772522144</v>
      </c>
      <c r="D92" s="29">
        <f t="shared" si="7"/>
        <v>2019</v>
      </c>
      <c r="E92" s="29" t="str">
        <f t="shared" si="8"/>
        <v>4</v>
      </c>
    </row>
    <row r="93" spans="1:5" x14ac:dyDescent="0.25">
      <c r="A93" s="867">
        <v>43891</v>
      </c>
      <c r="B93" s="569">
        <v>280.45567884848487</v>
      </c>
      <c r="C93" s="674">
        <v>178.57415043291149</v>
      </c>
      <c r="D93" s="29">
        <f t="shared" si="7"/>
        <v>2020</v>
      </c>
      <c r="E93" s="29" t="str">
        <f t="shared" si="8"/>
        <v>1</v>
      </c>
    </row>
    <row r="94" spans="1:5" x14ac:dyDescent="0.25">
      <c r="A94" s="867">
        <v>43983</v>
      </c>
      <c r="B94" s="885">
        <v>286.05264612121215</v>
      </c>
      <c r="C94" s="881">
        <v>230.37788370213656</v>
      </c>
      <c r="D94" s="29">
        <f t="shared" si="7"/>
        <v>2020</v>
      </c>
      <c r="E94" s="29" t="str">
        <f t="shared" si="8"/>
        <v>2</v>
      </c>
    </row>
    <row r="95" spans="1:5" x14ac:dyDescent="0.25">
      <c r="A95" s="867">
        <v>44075</v>
      </c>
      <c r="B95" s="569">
        <v>295.96322115151514</v>
      </c>
      <c r="C95" s="674">
        <v>205.32352876130025</v>
      </c>
      <c r="D95" s="29">
        <f t="shared" si="7"/>
        <v>2020</v>
      </c>
      <c r="E95" s="29" t="str">
        <f t="shared" si="8"/>
        <v>3</v>
      </c>
    </row>
    <row r="96" spans="1:5" x14ac:dyDescent="0.25">
      <c r="A96" s="867">
        <v>44166</v>
      </c>
      <c r="B96" s="868">
        <v>374.59849848484851</v>
      </c>
      <c r="C96" s="869">
        <v>271.9293627640746</v>
      </c>
      <c r="D96" s="29">
        <f t="shared" si="7"/>
        <v>2020</v>
      </c>
      <c r="E96" s="29" t="str">
        <f t="shared" si="8"/>
        <v>4</v>
      </c>
    </row>
    <row r="97" spans="1:5" x14ac:dyDescent="0.25">
      <c r="A97" s="867">
        <v>44256</v>
      </c>
      <c r="B97" s="462">
        <v>257.13602363636369</v>
      </c>
      <c r="C97" s="463">
        <v>183.78462062225722</v>
      </c>
      <c r="D97" s="29">
        <f t="shared" si="7"/>
        <v>2021</v>
      </c>
      <c r="E97" s="29" t="str">
        <f t="shared" si="8"/>
        <v>1</v>
      </c>
    </row>
    <row r="98" spans="1:5" x14ac:dyDescent="0.25">
      <c r="A98" s="867">
        <v>44348</v>
      </c>
      <c r="B98" s="868">
        <v>305.65604278787879</v>
      </c>
      <c r="C98" s="869">
        <v>265.76500319037257</v>
      </c>
      <c r="D98" s="29">
        <f t="shared" si="7"/>
        <v>2021</v>
      </c>
      <c r="E98" s="29" t="str">
        <f t="shared" si="8"/>
        <v>2</v>
      </c>
    </row>
    <row r="99" spans="1:5" x14ac:dyDescent="0.25">
      <c r="A99" s="867">
        <v>44440</v>
      </c>
      <c r="B99" s="462">
        <v>322.24202513939395</v>
      </c>
      <c r="C99" s="463">
        <v>341.41994948662273</v>
      </c>
      <c r="D99" s="29">
        <f t="shared" si="7"/>
        <v>2021</v>
      </c>
      <c r="E99" s="29" t="str">
        <f t="shared" si="8"/>
        <v>3</v>
      </c>
    </row>
    <row r="100" spans="1:5" x14ac:dyDescent="0.25">
      <c r="A100" s="867">
        <v>44531</v>
      </c>
      <c r="B100" s="868">
        <v>393.06655451515167</v>
      </c>
      <c r="C100" s="869">
        <v>382.20887303693746</v>
      </c>
      <c r="D100" s="29">
        <f t="shared" si="7"/>
        <v>2021</v>
      </c>
      <c r="E100" s="29" t="str">
        <f t="shared" si="8"/>
        <v>4</v>
      </c>
    </row>
    <row r="101" spans="1:5" x14ac:dyDescent="0.25">
      <c r="A101" s="867">
        <v>44621</v>
      </c>
      <c r="B101" s="462">
        <v>258.47337681818175</v>
      </c>
      <c r="C101" s="463">
        <v>308.77832917942902</v>
      </c>
      <c r="D101" s="29">
        <f t="shared" si="7"/>
        <v>2022</v>
      </c>
      <c r="E101" s="29" t="str">
        <f t="shared" si="8"/>
        <v>1</v>
      </c>
    </row>
    <row r="102" spans="1:5" x14ac:dyDescent="0.25">
      <c r="A102" s="867">
        <v>44713</v>
      </c>
      <c r="B102" s="868">
        <v>316.73389263636363</v>
      </c>
      <c r="C102" s="869">
        <v>354.99344974878761</v>
      </c>
      <c r="D102" s="29">
        <f t="shared" si="7"/>
        <v>2022</v>
      </c>
      <c r="E102" s="29" t="str">
        <f t="shared" si="8"/>
        <v>2</v>
      </c>
    </row>
    <row r="103" spans="1:5" x14ac:dyDescent="0.25">
      <c r="A103" s="867">
        <v>44805</v>
      </c>
      <c r="B103" s="462">
        <v>271.93652921212123</v>
      </c>
      <c r="C103" s="463">
        <v>323.59798780545384</v>
      </c>
      <c r="D103" s="29">
        <f t="shared" si="7"/>
        <v>2022</v>
      </c>
      <c r="E103" s="29" t="str">
        <f t="shared" si="8"/>
        <v>3</v>
      </c>
    </row>
    <row r="104" spans="1:5" x14ac:dyDescent="0.25">
      <c r="A104" s="867">
        <v>44896</v>
      </c>
      <c r="B104" s="868">
        <v>306.83099057575748</v>
      </c>
      <c r="C104" s="869">
        <v>356.33866866374206</v>
      </c>
      <c r="D104" s="29">
        <f t="shared" si="7"/>
        <v>2022</v>
      </c>
      <c r="E104" s="29" t="str">
        <f t="shared" si="8"/>
        <v>4</v>
      </c>
    </row>
    <row r="105" spans="1:5" x14ac:dyDescent="0.25">
      <c r="A105" s="867">
        <v>44986</v>
      </c>
      <c r="B105" s="462">
        <v>283.87144587878782</v>
      </c>
      <c r="C105" s="463">
        <v>357.26412176788347</v>
      </c>
      <c r="D105" s="29">
        <f t="shared" si="7"/>
        <v>2023</v>
      </c>
      <c r="E105" s="29" t="str">
        <f t="shared" si="8"/>
        <v>1</v>
      </c>
    </row>
    <row r="106" spans="1:5" x14ac:dyDescent="0.25">
      <c r="A106" s="867">
        <v>45078</v>
      </c>
      <c r="B106" s="868">
        <v>319.21825263636362</v>
      </c>
      <c r="C106" s="869">
        <v>397.5447930412592</v>
      </c>
      <c r="D106" s="29">
        <f t="shared" si="7"/>
        <v>2023</v>
      </c>
      <c r="E106" s="29" t="str">
        <f t="shared" si="8"/>
        <v>2</v>
      </c>
    </row>
    <row r="107" spans="1:5" x14ac:dyDescent="0.25">
      <c r="A107" s="867">
        <v>45170</v>
      </c>
      <c r="B107" s="462">
        <v>280.54310760682762</v>
      </c>
      <c r="C107" s="463">
        <v>296.52486610998176</v>
      </c>
      <c r="D107" s="29">
        <f t="shared" si="7"/>
        <v>2023</v>
      </c>
      <c r="E107" s="29" t="str">
        <f t="shared" si="8"/>
        <v>3</v>
      </c>
    </row>
    <row r="108" spans="1:5" x14ac:dyDescent="0.25">
      <c r="A108" s="867">
        <v>45261</v>
      </c>
      <c r="B108" s="868">
        <v>258.5325257575758</v>
      </c>
      <c r="C108" s="869">
        <v>247.1772448422299</v>
      </c>
      <c r="D108" s="29">
        <f t="shared" si="7"/>
        <v>2023</v>
      </c>
      <c r="E108" s="29" t="str">
        <f t="shared" si="8"/>
        <v>4</v>
      </c>
    </row>
    <row r="109" spans="1:5" x14ac:dyDescent="0.25">
      <c r="A109" s="867">
        <v>45352</v>
      </c>
      <c r="B109" s="462">
        <v>321.43216931762521</v>
      </c>
      <c r="C109" s="463">
        <v>281.70146784467886</v>
      </c>
      <c r="D109" s="29">
        <f t="shared" si="7"/>
        <v>2024</v>
      </c>
      <c r="E109" s="29" t="str">
        <f t="shared" si="8"/>
        <v>1</v>
      </c>
    </row>
    <row r="110" spans="1:5" x14ac:dyDescent="0.25">
      <c r="A110" s="867">
        <v>45444</v>
      </c>
      <c r="B110" s="868">
        <v>334.08079649864425</v>
      </c>
      <c r="C110" s="869">
        <v>352.64922707415138</v>
      </c>
      <c r="D110" s="29">
        <f t="shared" si="7"/>
        <v>2024</v>
      </c>
      <c r="E110" s="29" t="str">
        <f t="shared" si="8"/>
        <v>2</v>
      </c>
    </row>
    <row r="111" spans="1:5" x14ac:dyDescent="0.25">
      <c r="A111" s="867">
        <v>45536</v>
      </c>
      <c r="B111" s="462">
        <v>317.66590330247533</v>
      </c>
      <c r="C111" s="463">
        <v>327.48159314615771</v>
      </c>
      <c r="D111" s="29">
        <f t="shared" si="7"/>
        <v>2024</v>
      </c>
      <c r="E111" s="29" t="str">
        <f t="shared" si="8"/>
        <v>3</v>
      </c>
    </row>
    <row r="112" spans="1:5" x14ac:dyDescent="0.25">
      <c r="A112" s="867">
        <v>45627</v>
      </c>
      <c r="B112" s="868">
        <v>371.95709118004896</v>
      </c>
      <c r="C112" s="869">
        <v>337.79319560600038</v>
      </c>
      <c r="D112" s="29">
        <f t="shared" si="7"/>
        <v>2024</v>
      </c>
      <c r="E112" s="29" t="str">
        <f t="shared" si="8"/>
        <v>4</v>
      </c>
    </row>
    <row r="113" spans="1:5" x14ac:dyDescent="0.25">
      <c r="A113" s="867">
        <v>45717</v>
      </c>
      <c r="B113" s="462">
        <v>392.72871830176678</v>
      </c>
      <c r="C113" s="463">
        <v>385.86776544820952</v>
      </c>
      <c r="D113" s="29">
        <f t="shared" si="7"/>
        <v>2025</v>
      </c>
      <c r="E113" s="29" t="str">
        <f t="shared" si="8"/>
        <v>1</v>
      </c>
    </row>
    <row r="114" spans="1:5" x14ac:dyDescent="0.25">
      <c r="A114" s="867">
        <v>45809</v>
      </c>
      <c r="B114" s="868">
        <v>434.59600513248097</v>
      </c>
      <c r="C114" s="869">
        <v>395.7054338551996</v>
      </c>
      <c r="D114" s="29">
        <f t="shared" si="7"/>
        <v>2025</v>
      </c>
      <c r="E114" s="29" t="str">
        <f t="shared" si="8"/>
        <v>2</v>
      </c>
    </row>
    <row r="115" spans="1:5" x14ac:dyDescent="0.25">
      <c r="A115" s="867">
        <v>45901</v>
      </c>
      <c r="B115" s="462">
        <v>322.86153922785462</v>
      </c>
      <c r="C115" s="463">
        <v>324.46793672771838</v>
      </c>
      <c r="D115" s="29">
        <f t="shared" si="7"/>
        <v>2025</v>
      </c>
      <c r="E115" s="29" t="str">
        <f t="shared" si="8"/>
        <v>3</v>
      </c>
    </row>
    <row r="116" spans="1:5" ht="15.75" thickBot="1" x14ac:dyDescent="0.3">
      <c r="A116" s="873">
        <v>45992</v>
      </c>
      <c r="B116" s="886">
        <v>477.60475846998673</v>
      </c>
      <c r="C116" s="887">
        <v>406.31341266214292</v>
      </c>
      <c r="D116" s="29">
        <f t="shared" si="7"/>
        <v>2025</v>
      </c>
      <c r="E116" s="29" t="str">
        <f t="shared" si="8"/>
        <v>4</v>
      </c>
    </row>
    <row r="117" spans="1:5" x14ac:dyDescent="0.25">
      <c r="B117" s="403"/>
      <c r="C117" s="193"/>
      <c r="D117" s="29">
        <f t="shared" si="7"/>
        <v>1900</v>
      </c>
      <c r="E117" s="29" t="str">
        <f t="shared" si="8"/>
        <v>4</v>
      </c>
    </row>
    <row r="118" spans="1:5" x14ac:dyDescent="0.25">
      <c r="B118" s="403"/>
      <c r="C118" s="193"/>
      <c r="D118" s="29">
        <f t="shared" si="7"/>
        <v>1900</v>
      </c>
      <c r="E118" s="29" t="str">
        <f t="shared" si="8"/>
        <v>4</v>
      </c>
    </row>
    <row r="119" spans="1:5" x14ac:dyDescent="0.25">
      <c r="B119" s="403"/>
      <c r="C119" s="193"/>
      <c r="D119" s="29">
        <f t="shared" si="7"/>
        <v>1900</v>
      </c>
      <c r="E119" s="29" t="str">
        <f t="shared" si="8"/>
        <v>4</v>
      </c>
    </row>
    <row r="120" spans="1:5" x14ac:dyDescent="0.25">
      <c r="B120" s="403"/>
      <c r="C120" s="193"/>
      <c r="D120" s="29">
        <f t="shared" si="7"/>
        <v>1900</v>
      </c>
      <c r="E120" s="29" t="str">
        <f t="shared" si="8"/>
        <v>4</v>
      </c>
    </row>
    <row r="121" spans="1:5" x14ac:dyDescent="0.25">
      <c r="B121" s="403"/>
      <c r="C121" s="193"/>
      <c r="D121" s="29">
        <f t="shared" si="7"/>
        <v>1900</v>
      </c>
      <c r="E121" s="29" t="str">
        <f t="shared" si="8"/>
        <v>4</v>
      </c>
    </row>
    <row r="122" spans="1:5" x14ac:dyDescent="0.25">
      <c r="B122" s="403"/>
      <c r="C122" s="193"/>
      <c r="D122" s="29">
        <f t="shared" si="7"/>
        <v>1900</v>
      </c>
      <c r="E122" s="29" t="str">
        <f t="shared" si="8"/>
        <v>4</v>
      </c>
    </row>
    <row r="123" spans="1:5" x14ac:dyDescent="0.25">
      <c r="B123" s="403"/>
      <c r="C123" s="193"/>
      <c r="D123" s="29">
        <f t="shared" si="7"/>
        <v>1900</v>
      </c>
      <c r="E123" s="29" t="str">
        <f t="shared" si="8"/>
        <v>4</v>
      </c>
    </row>
    <row r="124" spans="1:5" x14ac:dyDescent="0.25">
      <c r="B124" s="403"/>
      <c r="C124" s="193"/>
      <c r="D124" s="29">
        <f t="shared" si="7"/>
        <v>1900</v>
      </c>
      <c r="E124" s="29" t="str">
        <f t="shared" si="8"/>
        <v>4</v>
      </c>
    </row>
    <row r="125" spans="1:5" x14ac:dyDescent="0.25">
      <c r="B125" s="403"/>
      <c r="C125" s="193"/>
      <c r="D125" s="29">
        <f t="shared" si="7"/>
        <v>1900</v>
      </c>
      <c r="E125" s="29" t="str">
        <f t="shared" si="8"/>
        <v>4</v>
      </c>
    </row>
    <row r="126" spans="1:5" x14ac:dyDescent="0.25">
      <c r="B126" s="403"/>
      <c r="C126" s="193"/>
      <c r="D126" s="29">
        <f t="shared" si="7"/>
        <v>1900</v>
      </c>
      <c r="E126" s="29" t="str">
        <f t="shared" si="8"/>
        <v>4</v>
      </c>
    </row>
    <row r="127" spans="1:5" x14ac:dyDescent="0.25">
      <c r="B127" s="403"/>
      <c r="C127" s="193"/>
      <c r="D127" s="29">
        <f t="shared" si="7"/>
        <v>1900</v>
      </c>
      <c r="E127" s="29" t="str">
        <f t="shared" si="8"/>
        <v>4</v>
      </c>
    </row>
    <row r="128" spans="1:5" x14ac:dyDescent="0.25">
      <c r="B128" s="403"/>
      <c r="C128" s="193"/>
      <c r="D128" s="29">
        <f t="shared" si="7"/>
        <v>1900</v>
      </c>
      <c r="E128" s="29" t="str">
        <f t="shared" si="8"/>
        <v>4</v>
      </c>
    </row>
    <row r="129" spans="2:5" x14ac:dyDescent="0.25">
      <c r="B129" s="403"/>
      <c r="C129" s="193"/>
      <c r="D129" s="29">
        <f t="shared" si="7"/>
        <v>1900</v>
      </c>
      <c r="E129" s="29" t="str">
        <f t="shared" si="8"/>
        <v>4</v>
      </c>
    </row>
    <row r="130" spans="2:5" x14ac:dyDescent="0.25">
      <c r="B130" s="403"/>
      <c r="C130" s="193"/>
      <c r="D130" s="29">
        <f t="shared" si="7"/>
        <v>1900</v>
      </c>
      <c r="E130" s="29" t="str">
        <f t="shared" si="8"/>
        <v>4</v>
      </c>
    </row>
    <row r="131" spans="2:5" x14ac:dyDescent="0.25">
      <c r="B131" s="403"/>
      <c r="C131" s="193"/>
      <c r="D131" s="29">
        <f t="shared" si="7"/>
        <v>1900</v>
      </c>
      <c r="E131" s="29" t="str">
        <f t="shared" si="8"/>
        <v>4</v>
      </c>
    </row>
    <row r="132" spans="2:5" x14ac:dyDescent="0.25">
      <c r="B132" s="403"/>
      <c r="C132" s="193"/>
      <c r="D132" s="29">
        <f t="shared" si="7"/>
        <v>1900</v>
      </c>
      <c r="E132" s="29" t="str">
        <f t="shared" si="8"/>
        <v>4</v>
      </c>
    </row>
    <row r="133" spans="2:5" x14ac:dyDescent="0.25">
      <c r="B133" s="403"/>
      <c r="C133" s="193"/>
      <c r="D133" s="29">
        <f t="shared" si="7"/>
        <v>1900</v>
      </c>
      <c r="E133" s="29" t="str">
        <f t="shared" si="8"/>
        <v>4</v>
      </c>
    </row>
    <row r="134" spans="2:5" x14ac:dyDescent="0.25">
      <c r="B134" s="403"/>
      <c r="C134" s="193"/>
      <c r="D134" s="29">
        <f t="shared" si="7"/>
        <v>1900</v>
      </c>
      <c r="E134" s="29" t="str">
        <f t="shared" si="8"/>
        <v>4</v>
      </c>
    </row>
    <row r="135" spans="2:5" x14ac:dyDescent="0.25">
      <c r="B135" s="403"/>
      <c r="C135" s="193"/>
      <c r="D135" s="29">
        <f t="shared" si="7"/>
        <v>1900</v>
      </c>
      <c r="E135" s="29" t="str">
        <f t="shared" si="8"/>
        <v>4</v>
      </c>
    </row>
    <row r="136" spans="2:5" x14ac:dyDescent="0.25">
      <c r="B136" s="403"/>
      <c r="C136" s="193"/>
      <c r="D136" s="29">
        <f t="shared" si="7"/>
        <v>1900</v>
      </c>
      <c r="E136" s="29" t="str">
        <f t="shared" si="8"/>
        <v>4</v>
      </c>
    </row>
    <row r="137" spans="2:5" x14ac:dyDescent="0.25">
      <c r="B137" s="403"/>
      <c r="C137" s="193"/>
      <c r="D137" s="29">
        <f t="shared" si="7"/>
        <v>1900</v>
      </c>
      <c r="E137" s="29" t="str">
        <f t="shared" si="8"/>
        <v>4</v>
      </c>
    </row>
    <row r="138" spans="2:5" x14ac:dyDescent="0.25">
      <c r="B138" s="403"/>
      <c r="C138" s="193"/>
      <c r="D138" s="29">
        <f t="shared" si="7"/>
        <v>1900</v>
      </c>
      <c r="E138" s="29" t="str">
        <f t="shared" si="8"/>
        <v>4</v>
      </c>
    </row>
    <row r="139" spans="2:5" x14ac:dyDescent="0.25">
      <c r="B139" s="403"/>
      <c r="C139" s="193"/>
      <c r="D139" s="29">
        <f t="shared" si="7"/>
        <v>1900</v>
      </c>
      <c r="E139" s="29" t="str">
        <f t="shared" si="8"/>
        <v>4</v>
      </c>
    </row>
    <row r="140" spans="2:5" x14ac:dyDescent="0.25">
      <c r="B140" s="403"/>
      <c r="C140" s="193"/>
      <c r="D140" s="29">
        <f t="shared" si="7"/>
        <v>1900</v>
      </c>
      <c r="E140" s="29" t="str">
        <f t="shared" si="8"/>
        <v>4</v>
      </c>
    </row>
    <row r="141" spans="2:5" x14ac:dyDescent="0.25">
      <c r="B141" s="403"/>
      <c r="C141" s="193"/>
      <c r="D141" s="29">
        <f t="shared" ref="D141:D204" si="9">YEAR(A141)</f>
        <v>1900</v>
      </c>
      <c r="E141" s="29" t="str">
        <f t="shared" ref="E141:E204" si="10">IF(MONTH(A141)=3,"1",IF(MONTH(A141)=6,"2",IF(MONTH(A141)=9,"3","4")))</f>
        <v>4</v>
      </c>
    </row>
    <row r="142" spans="2:5" x14ac:dyDescent="0.25">
      <c r="B142" s="403"/>
      <c r="C142" s="193"/>
      <c r="D142" s="29">
        <f t="shared" si="9"/>
        <v>1900</v>
      </c>
      <c r="E142" s="29" t="str">
        <f t="shared" si="10"/>
        <v>4</v>
      </c>
    </row>
    <row r="143" spans="2:5" x14ac:dyDescent="0.25">
      <c r="C143" s="193"/>
      <c r="D143" s="29">
        <f t="shared" si="9"/>
        <v>1900</v>
      </c>
      <c r="E143" s="29" t="str">
        <f t="shared" si="10"/>
        <v>4</v>
      </c>
    </row>
    <row r="144" spans="2:5" x14ac:dyDescent="0.25">
      <c r="C144" s="193"/>
      <c r="D144" s="29">
        <f t="shared" si="9"/>
        <v>1900</v>
      </c>
      <c r="E144" s="29" t="str">
        <f t="shared" si="10"/>
        <v>4</v>
      </c>
    </row>
    <row r="145" spans="3:5" x14ac:dyDescent="0.25">
      <c r="C145" s="193"/>
      <c r="D145" s="29">
        <f t="shared" si="9"/>
        <v>1900</v>
      </c>
      <c r="E145" s="29" t="str">
        <f t="shared" si="10"/>
        <v>4</v>
      </c>
    </row>
    <row r="146" spans="3:5" x14ac:dyDescent="0.25">
      <c r="C146" s="193"/>
      <c r="D146" s="29">
        <f t="shared" si="9"/>
        <v>1900</v>
      </c>
      <c r="E146" s="29" t="str">
        <f t="shared" si="10"/>
        <v>4</v>
      </c>
    </row>
    <row r="147" spans="3:5" x14ac:dyDescent="0.25">
      <c r="C147" s="193"/>
      <c r="D147" s="29">
        <f t="shared" si="9"/>
        <v>1900</v>
      </c>
      <c r="E147" s="29" t="str">
        <f t="shared" si="10"/>
        <v>4</v>
      </c>
    </row>
    <row r="148" spans="3:5" x14ac:dyDescent="0.25">
      <c r="C148" s="193"/>
      <c r="D148" s="29">
        <f t="shared" si="9"/>
        <v>1900</v>
      </c>
      <c r="E148" s="29" t="str">
        <f t="shared" si="10"/>
        <v>4</v>
      </c>
    </row>
    <row r="149" spans="3:5" x14ac:dyDescent="0.25">
      <c r="C149" s="193"/>
      <c r="D149" s="29">
        <f t="shared" si="9"/>
        <v>1900</v>
      </c>
      <c r="E149" s="29" t="str">
        <f t="shared" si="10"/>
        <v>4</v>
      </c>
    </row>
    <row r="150" spans="3:5" x14ac:dyDescent="0.25">
      <c r="C150" s="193"/>
      <c r="D150" s="29">
        <f t="shared" si="9"/>
        <v>1900</v>
      </c>
      <c r="E150" s="29" t="str">
        <f t="shared" si="10"/>
        <v>4</v>
      </c>
    </row>
    <row r="151" spans="3:5" x14ac:dyDescent="0.25">
      <c r="C151" s="193"/>
      <c r="D151" s="29">
        <f t="shared" si="9"/>
        <v>1900</v>
      </c>
      <c r="E151" s="29" t="str">
        <f t="shared" si="10"/>
        <v>4</v>
      </c>
    </row>
    <row r="152" spans="3:5" x14ac:dyDescent="0.25">
      <c r="C152" s="193"/>
      <c r="D152" s="29">
        <f t="shared" si="9"/>
        <v>1900</v>
      </c>
      <c r="E152" s="29" t="str">
        <f t="shared" si="10"/>
        <v>4</v>
      </c>
    </row>
    <row r="153" spans="3:5" x14ac:dyDescent="0.25">
      <c r="C153" s="193"/>
      <c r="D153" s="29">
        <f t="shared" si="9"/>
        <v>1900</v>
      </c>
      <c r="E153" s="29" t="str">
        <f t="shared" si="10"/>
        <v>4</v>
      </c>
    </row>
    <row r="154" spans="3:5" x14ac:dyDescent="0.25">
      <c r="C154" s="193"/>
      <c r="D154" s="29">
        <f t="shared" si="9"/>
        <v>1900</v>
      </c>
      <c r="E154" s="29" t="str">
        <f t="shared" si="10"/>
        <v>4</v>
      </c>
    </row>
    <row r="155" spans="3:5" x14ac:dyDescent="0.25">
      <c r="C155" s="193"/>
      <c r="D155" s="29">
        <f t="shared" si="9"/>
        <v>1900</v>
      </c>
      <c r="E155" s="29" t="str">
        <f t="shared" si="10"/>
        <v>4</v>
      </c>
    </row>
    <row r="156" spans="3:5" x14ac:dyDescent="0.25">
      <c r="C156" s="193"/>
      <c r="D156" s="29">
        <f t="shared" si="9"/>
        <v>1900</v>
      </c>
      <c r="E156" s="29" t="str">
        <f t="shared" si="10"/>
        <v>4</v>
      </c>
    </row>
    <row r="157" spans="3:5" x14ac:dyDescent="0.25">
      <c r="C157" s="193"/>
      <c r="D157" s="29">
        <f t="shared" si="9"/>
        <v>1900</v>
      </c>
      <c r="E157" s="29" t="str">
        <f t="shared" si="10"/>
        <v>4</v>
      </c>
    </row>
    <row r="158" spans="3:5" x14ac:dyDescent="0.25">
      <c r="C158" s="193"/>
      <c r="D158" s="29">
        <f t="shared" si="9"/>
        <v>1900</v>
      </c>
      <c r="E158" s="29" t="str">
        <f t="shared" si="10"/>
        <v>4</v>
      </c>
    </row>
    <row r="159" spans="3:5" x14ac:dyDescent="0.25">
      <c r="C159" s="193"/>
      <c r="D159" s="29">
        <f t="shared" si="9"/>
        <v>1900</v>
      </c>
      <c r="E159" s="29" t="str">
        <f t="shared" si="10"/>
        <v>4</v>
      </c>
    </row>
    <row r="160" spans="3:5" x14ac:dyDescent="0.25">
      <c r="C160" s="193"/>
      <c r="D160" s="29">
        <f t="shared" si="9"/>
        <v>1900</v>
      </c>
      <c r="E160" s="29" t="str">
        <f t="shared" si="10"/>
        <v>4</v>
      </c>
    </row>
    <row r="161" spans="3:5" x14ac:dyDescent="0.25">
      <c r="C161" s="193"/>
      <c r="D161" s="29">
        <f t="shared" si="9"/>
        <v>1900</v>
      </c>
      <c r="E161" s="29" t="str">
        <f t="shared" si="10"/>
        <v>4</v>
      </c>
    </row>
    <row r="162" spans="3:5" x14ac:dyDescent="0.25">
      <c r="C162" s="193"/>
      <c r="D162" s="29">
        <f t="shared" si="9"/>
        <v>1900</v>
      </c>
      <c r="E162" s="29" t="str">
        <f t="shared" si="10"/>
        <v>4</v>
      </c>
    </row>
    <row r="163" spans="3:5" x14ac:dyDescent="0.25">
      <c r="C163" s="193"/>
      <c r="D163" s="29">
        <f t="shared" si="9"/>
        <v>1900</v>
      </c>
      <c r="E163" s="29" t="str">
        <f t="shared" si="10"/>
        <v>4</v>
      </c>
    </row>
    <row r="164" spans="3:5" x14ac:dyDescent="0.25">
      <c r="C164" s="193"/>
      <c r="D164" s="29">
        <f t="shared" si="9"/>
        <v>1900</v>
      </c>
      <c r="E164" s="29" t="str">
        <f t="shared" si="10"/>
        <v>4</v>
      </c>
    </row>
    <row r="165" spans="3:5" x14ac:dyDescent="0.25">
      <c r="C165" s="193"/>
      <c r="D165" s="29">
        <f t="shared" si="9"/>
        <v>1900</v>
      </c>
      <c r="E165" s="29" t="str">
        <f t="shared" si="10"/>
        <v>4</v>
      </c>
    </row>
    <row r="166" spans="3:5" x14ac:dyDescent="0.25">
      <c r="C166" s="193"/>
      <c r="D166" s="29">
        <f t="shared" si="9"/>
        <v>1900</v>
      </c>
      <c r="E166" s="29" t="str">
        <f t="shared" si="10"/>
        <v>4</v>
      </c>
    </row>
    <row r="167" spans="3:5" x14ac:dyDescent="0.25">
      <c r="C167" s="193"/>
      <c r="D167" s="29">
        <f t="shared" si="9"/>
        <v>1900</v>
      </c>
      <c r="E167" s="29" t="str">
        <f t="shared" si="10"/>
        <v>4</v>
      </c>
    </row>
    <row r="168" spans="3:5" x14ac:dyDescent="0.25">
      <c r="C168" s="193"/>
      <c r="D168" s="29">
        <f t="shared" si="9"/>
        <v>1900</v>
      </c>
      <c r="E168" s="29" t="str">
        <f t="shared" si="10"/>
        <v>4</v>
      </c>
    </row>
    <row r="169" spans="3:5" x14ac:dyDescent="0.25">
      <c r="C169" s="193"/>
      <c r="D169" s="29">
        <f t="shared" si="9"/>
        <v>1900</v>
      </c>
      <c r="E169" s="29" t="str">
        <f t="shared" si="10"/>
        <v>4</v>
      </c>
    </row>
    <row r="170" spans="3:5" x14ac:dyDescent="0.25">
      <c r="C170" s="193"/>
      <c r="D170" s="29">
        <f t="shared" si="9"/>
        <v>1900</v>
      </c>
      <c r="E170" s="29" t="str">
        <f t="shared" si="10"/>
        <v>4</v>
      </c>
    </row>
    <row r="171" spans="3:5" x14ac:dyDescent="0.25">
      <c r="C171" s="193"/>
      <c r="D171" s="29">
        <f t="shared" si="9"/>
        <v>1900</v>
      </c>
      <c r="E171" s="29" t="str">
        <f t="shared" si="10"/>
        <v>4</v>
      </c>
    </row>
    <row r="172" spans="3:5" x14ac:dyDescent="0.25">
      <c r="C172" s="193"/>
      <c r="D172" s="29">
        <f t="shared" si="9"/>
        <v>1900</v>
      </c>
      <c r="E172" s="29" t="str">
        <f t="shared" si="10"/>
        <v>4</v>
      </c>
    </row>
    <row r="173" spans="3:5" x14ac:dyDescent="0.25">
      <c r="C173" s="193"/>
      <c r="D173" s="29">
        <f t="shared" si="9"/>
        <v>1900</v>
      </c>
      <c r="E173" s="29" t="str">
        <f t="shared" si="10"/>
        <v>4</v>
      </c>
    </row>
    <row r="174" spans="3:5" x14ac:dyDescent="0.25">
      <c r="C174" s="193"/>
      <c r="D174" s="29">
        <f t="shared" si="9"/>
        <v>1900</v>
      </c>
      <c r="E174" s="29" t="str">
        <f t="shared" si="10"/>
        <v>4</v>
      </c>
    </row>
    <row r="175" spans="3:5" x14ac:dyDescent="0.25">
      <c r="C175" s="193"/>
      <c r="D175" s="29">
        <f t="shared" si="9"/>
        <v>1900</v>
      </c>
      <c r="E175" s="29" t="str">
        <f t="shared" si="10"/>
        <v>4</v>
      </c>
    </row>
    <row r="176" spans="3:5" x14ac:dyDescent="0.25">
      <c r="C176" s="193"/>
      <c r="D176" s="29">
        <f t="shared" si="9"/>
        <v>1900</v>
      </c>
      <c r="E176" s="29" t="str">
        <f t="shared" si="10"/>
        <v>4</v>
      </c>
    </row>
    <row r="177" spans="3:5" x14ac:dyDescent="0.25">
      <c r="C177" s="193"/>
      <c r="D177" s="29">
        <f t="shared" si="9"/>
        <v>1900</v>
      </c>
      <c r="E177" s="29" t="str">
        <f t="shared" si="10"/>
        <v>4</v>
      </c>
    </row>
    <row r="178" spans="3:5" x14ac:dyDescent="0.25">
      <c r="C178" s="193"/>
      <c r="D178" s="29">
        <f t="shared" si="9"/>
        <v>1900</v>
      </c>
      <c r="E178" s="29" t="str">
        <f t="shared" si="10"/>
        <v>4</v>
      </c>
    </row>
    <row r="179" spans="3:5" x14ac:dyDescent="0.25">
      <c r="C179" s="193"/>
      <c r="D179" s="29">
        <f t="shared" si="9"/>
        <v>1900</v>
      </c>
      <c r="E179" s="29" t="str">
        <f t="shared" si="10"/>
        <v>4</v>
      </c>
    </row>
    <row r="180" spans="3:5" x14ac:dyDescent="0.25">
      <c r="C180" s="193"/>
      <c r="D180" s="29">
        <f t="shared" si="9"/>
        <v>1900</v>
      </c>
      <c r="E180" s="29" t="str">
        <f t="shared" si="10"/>
        <v>4</v>
      </c>
    </row>
    <row r="181" spans="3:5" x14ac:dyDescent="0.25">
      <c r="C181" s="193"/>
      <c r="D181" s="29">
        <f t="shared" si="9"/>
        <v>1900</v>
      </c>
      <c r="E181" s="29" t="str">
        <f t="shared" si="10"/>
        <v>4</v>
      </c>
    </row>
    <row r="182" spans="3:5" x14ac:dyDescent="0.25">
      <c r="C182" s="193"/>
      <c r="D182" s="29">
        <f t="shared" si="9"/>
        <v>1900</v>
      </c>
      <c r="E182" s="29" t="str">
        <f t="shared" si="10"/>
        <v>4</v>
      </c>
    </row>
    <row r="183" spans="3:5" x14ac:dyDescent="0.25">
      <c r="C183" s="193"/>
      <c r="D183" s="29">
        <f t="shared" si="9"/>
        <v>1900</v>
      </c>
      <c r="E183" s="29" t="str">
        <f t="shared" si="10"/>
        <v>4</v>
      </c>
    </row>
    <row r="184" spans="3:5" x14ac:dyDescent="0.25">
      <c r="C184" s="193"/>
      <c r="D184" s="29">
        <f t="shared" si="9"/>
        <v>1900</v>
      </c>
      <c r="E184" s="29" t="str">
        <f t="shared" si="10"/>
        <v>4</v>
      </c>
    </row>
    <row r="185" spans="3:5" x14ac:dyDescent="0.25">
      <c r="C185" s="193"/>
      <c r="D185" s="29">
        <f t="shared" si="9"/>
        <v>1900</v>
      </c>
      <c r="E185" s="29" t="str">
        <f t="shared" si="10"/>
        <v>4</v>
      </c>
    </row>
    <row r="186" spans="3:5" x14ac:dyDescent="0.25">
      <c r="C186" s="193"/>
      <c r="D186" s="29">
        <f t="shared" si="9"/>
        <v>1900</v>
      </c>
      <c r="E186" s="29" t="str">
        <f t="shared" si="10"/>
        <v>4</v>
      </c>
    </row>
    <row r="187" spans="3:5" x14ac:dyDescent="0.25">
      <c r="C187" s="193"/>
      <c r="D187" s="29">
        <f t="shared" si="9"/>
        <v>1900</v>
      </c>
      <c r="E187" s="29" t="str">
        <f t="shared" si="10"/>
        <v>4</v>
      </c>
    </row>
    <row r="188" spans="3:5" x14ac:dyDescent="0.25">
      <c r="C188" s="193"/>
      <c r="D188" s="29">
        <f t="shared" si="9"/>
        <v>1900</v>
      </c>
      <c r="E188" s="29" t="str">
        <f t="shared" si="10"/>
        <v>4</v>
      </c>
    </row>
    <row r="189" spans="3:5" x14ac:dyDescent="0.25">
      <c r="C189" s="193"/>
      <c r="D189" s="29">
        <f t="shared" si="9"/>
        <v>1900</v>
      </c>
      <c r="E189" s="29" t="str">
        <f t="shared" si="10"/>
        <v>4</v>
      </c>
    </row>
    <row r="190" spans="3:5" x14ac:dyDescent="0.25">
      <c r="C190" s="193"/>
      <c r="D190" s="29">
        <f t="shared" si="9"/>
        <v>1900</v>
      </c>
      <c r="E190" s="29" t="str">
        <f t="shared" si="10"/>
        <v>4</v>
      </c>
    </row>
    <row r="191" spans="3:5" x14ac:dyDescent="0.25">
      <c r="C191" s="193"/>
      <c r="D191" s="29">
        <f t="shared" si="9"/>
        <v>1900</v>
      </c>
      <c r="E191" s="29" t="str">
        <f t="shared" si="10"/>
        <v>4</v>
      </c>
    </row>
    <row r="192" spans="3:5" x14ac:dyDescent="0.25">
      <c r="C192" s="193"/>
      <c r="D192" s="29">
        <f t="shared" si="9"/>
        <v>1900</v>
      </c>
      <c r="E192" s="29" t="str">
        <f t="shared" si="10"/>
        <v>4</v>
      </c>
    </row>
    <row r="193" spans="3:5" x14ac:dyDescent="0.25">
      <c r="C193" s="193"/>
      <c r="D193" s="29">
        <f t="shared" si="9"/>
        <v>1900</v>
      </c>
      <c r="E193" s="29" t="str">
        <f t="shared" si="10"/>
        <v>4</v>
      </c>
    </row>
    <row r="194" spans="3:5" x14ac:dyDescent="0.25">
      <c r="C194" s="193"/>
      <c r="D194" s="29">
        <f t="shared" si="9"/>
        <v>1900</v>
      </c>
      <c r="E194" s="29" t="str">
        <f t="shared" si="10"/>
        <v>4</v>
      </c>
    </row>
    <row r="195" spans="3:5" x14ac:dyDescent="0.25">
      <c r="C195" s="193"/>
      <c r="D195" s="29">
        <f t="shared" si="9"/>
        <v>1900</v>
      </c>
      <c r="E195" s="29" t="str">
        <f t="shared" si="10"/>
        <v>4</v>
      </c>
    </row>
    <row r="196" spans="3:5" x14ac:dyDescent="0.25">
      <c r="C196" s="193"/>
      <c r="D196" s="29">
        <f t="shared" si="9"/>
        <v>1900</v>
      </c>
      <c r="E196" s="29" t="str">
        <f t="shared" si="10"/>
        <v>4</v>
      </c>
    </row>
    <row r="197" spans="3:5" x14ac:dyDescent="0.25">
      <c r="C197" s="193"/>
      <c r="D197" s="29">
        <f t="shared" si="9"/>
        <v>1900</v>
      </c>
      <c r="E197" s="29" t="str">
        <f t="shared" si="10"/>
        <v>4</v>
      </c>
    </row>
    <row r="198" spans="3:5" x14ac:dyDescent="0.25">
      <c r="C198" s="193"/>
      <c r="D198" s="29">
        <f t="shared" si="9"/>
        <v>1900</v>
      </c>
      <c r="E198" s="29" t="str">
        <f t="shared" si="10"/>
        <v>4</v>
      </c>
    </row>
    <row r="199" spans="3:5" x14ac:dyDescent="0.25">
      <c r="C199" s="193"/>
      <c r="D199" s="29">
        <f t="shared" si="9"/>
        <v>1900</v>
      </c>
      <c r="E199" s="29" t="str">
        <f t="shared" si="10"/>
        <v>4</v>
      </c>
    </row>
    <row r="200" spans="3:5" x14ac:dyDescent="0.25">
      <c r="C200" s="193"/>
      <c r="D200" s="29">
        <f t="shared" si="9"/>
        <v>1900</v>
      </c>
      <c r="E200" s="29" t="str">
        <f t="shared" si="10"/>
        <v>4</v>
      </c>
    </row>
    <row r="201" spans="3:5" x14ac:dyDescent="0.25">
      <c r="C201" s="193"/>
      <c r="D201" s="29">
        <f t="shared" si="9"/>
        <v>1900</v>
      </c>
      <c r="E201" s="29" t="str">
        <f t="shared" si="10"/>
        <v>4</v>
      </c>
    </row>
    <row r="202" spans="3:5" x14ac:dyDescent="0.25">
      <c r="C202" s="193"/>
      <c r="D202" s="29">
        <f t="shared" si="9"/>
        <v>1900</v>
      </c>
      <c r="E202" s="29" t="str">
        <f t="shared" si="10"/>
        <v>4</v>
      </c>
    </row>
    <row r="203" spans="3:5" x14ac:dyDescent="0.25">
      <c r="C203" s="193"/>
      <c r="D203" s="29">
        <f t="shared" si="9"/>
        <v>1900</v>
      </c>
      <c r="E203" s="29" t="str">
        <f t="shared" si="10"/>
        <v>4</v>
      </c>
    </row>
    <row r="204" spans="3:5" x14ac:dyDescent="0.25">
      <c r="C204" s="193"/>
      <c r="D204" s="29">
        <f t="shared" si="9"/>
        <v>1900</v>
      </c>
      <c r="E204" s="29" t="str">
        <f t="shared" si="10"/>
        <v>4</v>
      </c>
    </row>
    <row r="205" spans="3:5" x14ac:dyDescent="0.25">
      <c r="C205" s="193"/>
      <c r="D205" s="29">
        <f t="shared" ref="D205:D251" si="11">YEAR(A205)</f>
        <v>1900</v>
      </c>
      <c r="E205" s="29" t="str">
        <f t="shared" ref="E205:E251" si="12">IF(MONTH(A205)=3,"1",IF(MONTH(A205)=6,"2",IF(MONTH(A205)=9,"3","4")))</f>
        <v>4</v>
      </c>
    </row>
    <row r="206" spans="3:5" x14ac:dyDescent="0.25">
      <c r="C206" s="193"/>
      <c r="D206" s="29">
        <f t="shared" si="11"/>
        <v>1900</v>
      </c>
      <c r="E206" s="29" t="str">
        <f t="shared" si="12"/>
        <v>4</v>
      </c>
    </row>
    <row r="207" spans="3:5" x14ac:dyDescent="0.25">
      <c r="C207" s="193"/>
      <c r="D207" s="29">
        <f t="shared" si="11"/>
        <v>1900</v>
      </c>
      <c r="E207" s="29" t="str">
        <f t="shared" si="12"/>
        <v>4</v>
      </c>
    </row>
    <row r="208" spans="3:5" x14ac:dyDescent="0.25">
      <c r="C208" s="193"/>
      <c r="D208" s="29">
        <f t="shared" si="11"/>
        <v>1900</v>
      </c>
      <c r="E208" s="29" t="str">
        <f t="shared" si="12"/>
        <v>4</v>
      </c>
    </row>
    <row r="209" spans="3:5" x14ac:dyDescent="0.25">
      <c r="C209" s="193"/>
      <c r="D209" s="29">
        <f t="shared" si="11"/>
        <v>1900</v>
      </c>
      <c r="E209" s="29" t="str">
        <f t="shared" si="12"/>
        <v>4</v>
      </c>
    </row>
    <row r="210" spans="3:5" x14ac:dyDescent="0.25">
      <c r="C210" s="193"/>
      <c r="D210" s="29">
        <f t="shared" si="11"/>
        <v>1900</v>
      </c>
      <c r="E210" s="29" t="str">
        <f t="shared" si="12"/>
        <v>4</v>
      </c>
    </row>
    <row r="211" spans="3:5" x14ac:dyDescent="0.25">
      <c r="C211" s="193"/>
      <c r="D211" s="29">
        <f t="shared" si="11"/>
        <v>1900</v>
      </c>
      <c r="E211" s="29" t="str">
        <f t="shared" si="12"/>
        <v>4</v>
      </c>
    </row>
    <row r="212" spans="3:5" x14ac:dyDescent="0.25">
      <c r="C212" s="193"/>
      <c r="D212" s="29">
        <f t="shared" si="11"/>
        <v>1900</v>
      </c>
      <c r="E212" s="29" t="str">
        <f t="shared" si="12"/>
        <v>4</v>
      </c>
    </row>
    <row r="213" spans="3:5" x14ac:dyDescent="0.25">
      <c r="C213" s="193"/>
      <c r="D213" s="29">
        <f t="shared" si="11"/>
        <v>1900</v>
      </c>
      <c r="E213" s="29" t="str">
        <f t="shared" si="12"/>
        <v>4</v>
      </c>
    </row>
    <row r="214" spans="3:5" x14ac:dyDescent="0.25">
      <c r="C214" s="193"/>
      <c r="D214" s="29">
        <f t="shared" si="11"/>
        <v>1900</v>
      </c>
      <c r="E214" s="29" t="str">
        <f t="shared" si="12"/>
        <v>4</v>
      </c>
    </row>
    <row r="215" spans="3:5" x14ac:dyDescent="0.25">
      <c r="C215" s="193"/>
      <c r="D215" s="29">
        <f t="shared" si="11"/>
        <v>1900</v>
      </c>
      <c r="E215" s="29" t="str">
        <f t="shared" si="12"/>
        <v>4</v>
      </c>
    </row>
    <row r="216" spans="3:5" x14ac:dyDescent="0.25">
      <c r="C216" s="193"/>
      <c r="D216" s="29">
        <f t="shared" si="11"/>
        <v>1900</v>
      </c>
      <c r="E216" s="29" t="str">
        <f t="shared" si="12"/>
        <v>4</v>
      </c>
    </row>
    <row r="217" spans="3:5" x14ac:dyDescent="0.25">
      <c r="C217" s="193"/>
      <c r="D217" s="29">
        <f t="shared" si="11"/>
        <v>1900</v>
      </c>
      <c r="E217" s="29" t="str">
        <f t="shared" si="12"/>
        <v>4</v>
      </c>
    </row>
    <row r="218" spans="3:5" x14ac:dyDescent="0.25">
      <c r="C218" s="193"/>
      <c r="D218" s="29">
        <f t="shared" si="11"/>
        <v>1900</v>
      </c>
      <c r="E218" s="29" t="str">
        <f t="shared" si="12"/>
        <v>4</v>
      </c>
    </row>
    <row r="219" spans="3:5" x14ac:dyDescent="0.25">
      <c r="C219" s="193"/>
      <c r="D219" s="29">
        <f t="shared" si="11"/>
        <v>1900</v>
      </c>
      <c r="E219" s="29" t="str">
        <f t="shared" si="12"/>
        <v>4</v>
      </c>
    </row>
    <row r="220" spans="3:5" x14ac:dyDescent="0.25">
      <c r="C220" s="193"/>
      <c r="D220" s="29">
        <f t="shared" si="11"/>
        <v>1900</v>
      </c>
      <c r="E220" s="29" t="str">
        <f t="shared" si="12"/>
        <v>4</v>
      </c>
    </row>
    <row r="221" spans="3:5" x14ac:dyDescent="0.25">
      <c r="C221" s="193"/>
      <c r="D221" s="29">
        <f t="shared" si="11"/>
        <v>1900</v>
      </c>
      <c r="E221" s="29" t="str">
        <f t="shared" si="12"/>
        <v>4</v>
      </c>
    </row>
    <row r="222" spans="3:5" x14ac:dyDescent="0.25">
      <c r="C222" s="193"/>
      <c r="D222" s="29">
        <f t="shared" si="11"/>
        <v>1900</v>
      </c>
      <c r="E222" s="29" t="str">
        <f t="shared" si="12"/>
        <v>4</v>
      </c>
    </row>
    <row r="223" spans="3:5" x14ac:dyDescent="0.25">
      <c r="C223" s="193"/>
      <c r="D223" s="29">
        <f t="shared" si="11"/>
        <v>1900</v>
      </c>
      <c r="E223" s="29" t="str">
        <f t="shared" si="12"/>
        <v>4</v>
      </c>
    </row>
    <row r="224" spans="3:5" x14ac:dyDescent="0.25">
      <c r="C224" s="193"/>
      <c r="D224" s="29">
        <f t="shared" si="11"/>
        <v>1900</v>
      </c>
      <c r="E224" s="29" t="str">
        <f t="shared" si="12"/>
        <v>4</v>
      </c>
    </row>
    <row r="225" spans="3:5" x14ac:dyDescent="0.25">
      <c r="C225" s="193"/>
      <c r="D225" s="29">
        <f t="shared" si="11"/>
        <v>1900</v>
      </c>
      <c r="E225" s="29" t="str">
        <f t="shared" si="12"/>
        <v>4</v>
      </c>
    </row>
    <row r="226" spans="3:5" x14ac:dyDescent="0.25">
      <c r="C226" s="193"/>
      <c r="D226" s="29">
        <f t="shared" si="11"/>
        <v>1900</v>
      </c>
      <c r="E226" s="29" t="str">
        <f t="shared" si="12"/>
        <v>4</v>
      </c>
    </row>
    <row r="227" spans="3:5" x14ac:dyDescent="0.25">
      <c r="C227" s="193"/>
      <c r="D227" s="29">
        <f t="shared" si="11"/>
        <v>1900</v>
      </c>
      <c r="E227" s="29" t="str">
        <f t="shared" si="12"/>
        <v>4</v>
      </c>
    </row>
    <row r="228" spans="3:5" x14ac:dyDescent="0.25">
      <c r="C228" s="193"/>
      <c r="D228" s="29">
        <f t="shared" si="11"/>
        <v>1900</v>
      </c>
      <c r="E228" s="29" t="str">
        <f t="shared" si="12"/>
        <v>4</v>
      </c>
    </row>
    <row r="229" spans="3:5" x14ac:dyDescent="0.25">
      <c r="C229" s="193"/>
      <c r="D229" s="29">
        <f t="shared" si="11"/>
        <v>1900</v>
      </c>
      <c r="E229" s="29" t="str">
        <f t="shared" si="12"/>
        <v>4</v>
      </c>
    </row>
    <row r="230" spans="3:5" x14ac:dyDescent="0.25">
      <c r="C230" s="193"/>
      <c r="D230" s="29">
        <f t="shared" si="11"/>
        <v>1900</v>
      </c>
      <c r="E230" s="29" t="str">
        <f t="shared" si="12"/>
        <v>4</v>
      </c>
    </row>
    <row r="231" spans="3:5" x14ac:dyDescent="0.25">
      <c r="C231" s="193"/>
      <c r="D231" s="29">
        <f t="shared" si="11"/>
        <v>1900</v>
      </c>
      <c r="E231" s="29" t="str">
        <f t="shared" si="12"/>
        <v>4</v>
      </c>
    </row>
    <row r="232" spans="3:5" x14ac:dyDescent="0.25">
      <c r="C232" s="193"/>
      <c r="D232" s="29">
        <f t="shared" si="11"/>
        <v>1900</v>
      </c>
      <c r="E232" s="29" t="str">
        <f t="shared" si="12"/>
        <v>4</v>
      </c>
    </row>
    <row r="233" spans="3:5" x14ac:dyDescent="0.25">
      <c r="C233" s="193"/>
      <c r="D233" s="29">
        <f t="shared" si="11"/>
        <v>1900</v>
      </c>
      <c r="E233" s="29" t="str">
        <f t="shared" si="12"/>
        <v>4</v>
      </c>
    </row>
    <row r="234" spans="3:5" x14ac:dyDescent="0.25">
      <c r="C234" s="193"/>
      <c r="D234" s="29">
        <f t="shared" si="11"/>
        <v>1900</v>
      </c>
      <c r="E234" s="29" t="str">
        <f t="shared" si="12"/>
        <v>4</v>
      </c>
    </row>
    <row r="235" spans="3:5" x14ac:dyDescent="0.25">
      <c r="C235" s="193"/>
      <c r="D235" s="29">
        <f t="shared" si="11"/>
        <v>1900</v>
      </c>
      <c r="E235" s="29" t="str">
        <f t="shared" si="12"/>
        <v>4</v>
      </c>
    </row>
    <row r="236" spans="3:5" x14ac:dyDescent="0.25">
      <c r="C236" s="193"/>
      <c r="D236" s="29">
        <f t="shared" si="11"/>
        <v>1900</v>
      </c>
      <c r="E236" s="29" t="str">
        <f t="shared" si="12"/>
        <v>4</v>
      </c>
    </row>
    <row r="237" spans="3:5" x14ac:dyDescent="0.25">
      <c r="C237" s="193"/>
      <c r="D237" s="29">
        <f t="shared" si="11"/>
        <v>1900</v>
      </c>
      <c r="E237" s="29" t="str">
        <f t="shared" si="12"/>
        <v>4</v>
      </c>
    </row>
    <row r="238" spans="3:5" x14ac:dyDescent="0.25">
      <c r="C238" s="193"/>
      <c r="D238" s="29">
        <f t="shared" si="11"/>
        <v>1900</v>
      </c>
      <c r="E238" s="29" t="str">
        <f t="shared" si="12"/>
        <v>4</v>
      </c>
    </row>
    <row r="239" spans="3:5" x14ac:dyDescent="0.25">
      <c r="C239" s="193"/>
      <c r="D239" s="29">
        <f t="shared" si="11"/>
        <v>1900</v>
      </c>
      <c r="E239" s="29" t="str">
        <f t="shared" si="12"/>
        <v>4</v>
      </c>
    </row>
    <row r="240" spans="3:5" x14ac:dyDescent="0.25">
      <c r="C240" s="193"/>
      <c r="D240" s="29">
        <f t="shared" si="11"/>
        <v>1900</v>
      </c>
      <c r="E240" s="29" t="str">
        <f t="shared" si="12"/>
        <v>4</v>
      </c>
    </row>
    <row r="241" spans="3:5" x14ac:dyDescent="0.25">
      <c r="C241" s="193"/>
      <c r="D241" s="29">
        <f t="shared" si="11"/>
        <v>1900</v>
      </c>
      <c r="E241" s="29" t="str">
        <f t="shared" si="12"/>
        <v>4</v>
      </c>
    </row>
    <row r="242" spans="3:5" x14ac:dyDescent="0.25">
      <c r="C242" s="193"/>
      <c r="D242" s="29">
        <f t="shared" si="11"/>
        <v>1900</v>
      </c>
      <c r="E242" s="29" t="str">
        <f t="shared" si="12"/>
        <v>4</v>
      </c>
    </row>
    <row r="243" spans="3:5" x14ac:dyDescent="0.25">
      <c r="C243" s="193"/>
      <c r="D243" s="29">
        <f t="shared" si="11"/>
        <v>1900</v>
      </c>
      <c r="E243" s="29" t="str">
        <f t="shared" si="12"/>
        <v>4</v>
      </c>
    </row>
    <row r="244" spans="3:5" x14ac:dyDescent="0.25">
      <c r="C244" s="193"/>
      <c r="D244" s="29">
        <f t="shared" si="11"/>
        <v>1900</v>
      </c>
      <c r="E244" s="29" t="str">
        <f t="shared" si="12"/>
        <v>4</v>
      </c>
    </row>
    <row r="245" spans="3:5" x14ac:dyDescent="0.25">
      <c r="C245" s="193"/>
      <c r="D245" s="29">
        <f t="shared" si="11"/>
        <v>1900</v>
      </c>
      <c r="E245" s="29" t="str">
        <f t="shared" si="12"/>
        <v>4</v>
      </c>
    </row>
    <row r="246" spans="3:5" x14ac:dyDescent="0.25">
      <c r="C246" s="193"/>
      <c r="D246" s="29">
        <f t="shared" si="11"/>
        <v>1900</v>
      </c>
      <c r="E246" s="29" t="str">
        <f t="shared" si="12"/>
        <v>4</v>
      </c>
    </row>
    <row r="247" spans="3:5" x14ac:dyDescent="0.25">
      <c r="C247" s="193"/>
      <c r="D247" s="29">
        <f t="shared" si="11"/>
        <v>1900</v>
      </c>
      <c r="E247" s="29" t="str">
        <f t="shared" si="12"/>
        <v>4</v>
      </c>
    </row>
    <row r="248" spans="3:5" x14ac:dyDescent="0.25">
      <c r="C248" s="193"/>
      <c r="D248" s="29">
        <f t="shared" si="11"/>
        <v>1900</v>
      </c>
      <c r="E248" s="29" t="str">
        <f t="shared" si="12"/>
        <v>4</v>
      </c>
    </row>
    <row r="249" spans="3:5" x14ac:dyDescent="0.25">
      <c r="C249" s="193"/>
      <c r="D249" s="29">
        <f t="shared" si="11"/>
        <v>1900</v>
      </c>
      <c r="E249" s="29" t="str">
        <f t="shared" si="12"/>
        <v>4</v>
      </c>
    </row>
    <row r="250" spans="3:5" x14ac:dyDescent="0.25">
      <c r="C250" s="193"/>
      <c r="D250" s="29">
        <f t="shared" si="11"/>
        <v>1900</v>
      </c>
      <c r="E250" s="29" t="str">
        <f t="shared" si="12"/>
        <v>4</v>
      </c>
    </row>
    <row r="251" spans="3:5" x14ac:dyDescent="0.25">
      <c r="C251" s="193"/>
      <c r="D251" s="29">
        <f t="shared" si="11"/>
        <v>1900</v>
      </c>
      <c r="E251" s="29" t="str">
        <f t="shared" si="12"/>
        <v>4</v>
      </c>
    </row>
  </sheetData>
  <mergeCells count="6">
    <mergeCell ref="R35:T35"/>
    <mergeCell ref="A5:C5"/>
    <mergeCell ref="A7:C7"/>
    <mergeCell ref="R9:T9"/>
    <mergeCell ref="R10:T10"/>
    <mergeCell ref="S34:T34"/>
  </mergeCells>
  <dataValidations count="1">
    <dataValidation type="list" allowBlank="1" showInputMessage="1" showErrorMessage="1" promptTitle="Select a Period:" prompt="Select Financial or Calendar years." sqref="S34:T34" xr:uid="{4A812843-1246-44DB-910B-BABA1E7D1022}">
      <formula1>A1:A2</formula1>
    </dataValidation>
  </dataValidation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49CE5-C62A-466B-8546-FB72008A4B6C}">
  <sheetPr>
    <tabColor theme="7" tint="0.39997558519241921"/>
  </sheetPr>
  <dimension ref="A1:AH27"/>
  <sheetViews>
    <sheetView showGridLines="0" zoomScale="85" zoomScaleNormal="85" workbookViewId="0"/>
  </sheetViews>
  <sheetFormatPr defaultColWidth="9.140625" defaultRowHeight="15" x14ac:dyDescent="0.25"/>
  <cols>
    <col min="1" max="1" width="25.140625" customWidth="1"/>
    <col min="2" max="2" width="5.28515625" bestFit="1" customWidth="1"/>
    <col min="3" max="3" width="23.28515625" bestFit="1" customWidth="1"/>
    <col min="4" max="4" width="15.140625" bestFit="1" customWidth="1"/>
    <col min="5" max="14" width="15.42578125" customWidth="1"/>
    <col min="19" max="19" width="9.140625" style="726"/>
    <col min="20" max="22" width="9.140625" style="132"/>
    <col min="23" max="23" width="17.85546875" style="132" customWidth="1"/>
    <col min="24" max="33" width="9.140625" style="132"/>
    <col min="34" max="34" width="9.140625" style="726"/>
  </cols>
  <sheetData>
    <row r="1" spans="1:25" ht="15" customHeight="1" x14ac:dyDescent="0.25">
      <c r="V1" s="132" t="s">
        <v>54</v>
      </c>
      <c r="W1" s="132" t="str">
        <f>"Mineral Sands Exports "&amp;B8&amp;CHAR(10)&amp;"Total Value: $"&amp;TEXT(C23,"#,###")</f>
        <v>Mineral Sands Exports 2023
Total Value: $1,749,940,790</v>
      </c>
      <c r="X1" s="132" t="s">
        <v>178</v>
      </c>
      <c r="Y1" s="132" cm="1">
        <f t="array" ref="Y1:Y16">IF($B$7="Calendar Year",
_xlfn._xlws.SORT(_xlfn.UNIQUE(_xlfn._xlws.FILTER('Commodity Prices'!$BB:$BB, 'Commodity Prices'!$BA:$BA=$V$1))),
_xlfn._xlws.SORT(_xlfn.UNIQUE(_xlfn._xlws.FILTER('Commodity Prices'!$BI:$BI, 'Commodity Prices'!$BH:$BH=$V$1)))
)</f>
        <v>2008</v>
      </c>
    </row>
    <row r="2" spans="1:25" ht="15" customHeight="1" x14ac:dyDescent="0.25">
      <c r="W2" s="132" t="str">
        <f>IF($B$7=X1,IF(RIGHT(LEFT(B8,5),1)="-","Mismatch Error",""),IF(LEN(B8)=4,"Mismatch Error",""))</f>
        <v/>
      </c>
      <c r="X2" s="132" t="s">
        <v>179</v>
      </c>
      <c r="Y2" s="132">
        <v>2009</v>
      </c>
    </row>
    <row r="3" spans="1:25" ht="15" customHeight="1" x14ac:dyDescent="0.25">
      <c r="Y3" s="132">
        <v>2010</v>
      </c>
    </row>
    <row r="4" spans="1:25" ht="15" customHeight="1" x14ac:dyDescent="0.25">
      <c r="Y4" s="132">
        <v>2011</v>
      </c>
    </row>
    <row r="5" spans="1:25" ht="15" customHeight="1" x14ac:dyDescent="0.25">
      <c r="Y5" s="132">
        <v>2012</v>
      </c>
    </row>
    <row r="6" spans="1:25" ht="15" customHeight="1" thickBot="1" x14ac:dyDescent="0.3">
      <c r="Y6" s="132">
        <v>2013</v>
      </c>
    </row>
    <row r="7" spans="1:25" ht="15" customHeight="1" x14ac:dyDescent="0.25">
      <c r="A7" s="888" t="s">
        <v>158</v>
      </c>
      <c r="B7" s="1476" t="s">
        <v>178</v>
      </c>
      <c r="C7" s="1476"/>
      <c r="D7" s="1477"/>
      <c r="E7" s="260"/>
      <c r="Y7" s="132">
        <v>2014</v>
      </c>
    </row>
    <row r="8" spans="1:25" ht="15" customHeight="1" thickBot="1" x14ac:dyDescent="0.3">
      <c r="A8" s="889" t="s">
        <v>158</v>
      </c>
      <c r="B8" s="1478">
        <v>2023</v>
      </c>
      <c r="C8" s="1478"/>
      <c r="D8" s="1479"/>
      <c r="E8" s="260"/>
      <c r="Y8" s="132">
        <v>2015</v>
      </c>
    </row>
    <row r="9" spans="1:25" ht="15" customHeight="1" x14ac:dyDescent="0.25">
      <c r="Y9" s="132">
        <v>2016</v>
      </c>
    </row>
    <row r="10" spans="1:25" ht="15" customHeight="1" thickBot="1" x14ac:dyDescent="0.3">
      <c r="A10" s="1393" t="str">
        <f>IF($B$8="Click here to select an option","Select a year above for display.",CONCATENATE("Exports ",B8))</f>
        <v>Exports 2023</v>
      </c>
      <c r="B10" s="1393"/>
      <c r="C10" s="1393"/>
      <c r="D10" s="1393"/>
      <c r="Y10" s="132">
        <v>2017</v>
      </c>
    </row>
    <row r="11" spans="1:25" x14ac:dyDescent="0.25">
      <c r="A11" s="888" t="s">
        <v>562</v>
      </c>
      <c r="B11" s="890" t="s">
        <v>274</v>
      </c>
      <c r="C11" s="891" t="s">
        <v>563</v>
      </c>
      <c r="D11" s="892" t="s">
        <v>276</v>
      </c>
      <c r="Y11" s="132">
        <v>2018</v>
      </c>
    </row>
    <row r="12" spans="1:25" x14ac:dyDescent="0.25">
      <c r="A12" s="893" t="str" cm="1">
        <f t="array" ref="A12">IF($W$2="Mismatch Error","Mismatch Error",
IF($B$7="Calendar Year",
INDEX('Commodity Prices'!$BA:$BF,MATCH(1,(('Commodity Prices'!$BA:$BA)=$V$1)*(('Commodity Prices'!$BB:$BB)=$B$8)*(('Commodity Prices'!$BD:$BD)=$B12),0),3),
INDEX('Commodity Prices'!$BH:$BM,MATCH(1,(('Commodity Prices'!$BH:$BH)=$V$1)*(('Commodity Prices'!$BI:$BI)=$B$8)*(('Commodity Prices'!$BK:$BK)=$B12),0),3)
)
)</f>
        <v>China</v>
      </c>
      <c r="B12" s="894">
        <v>1</v>
      </c>
      <c r="C12" s="895" cm="1">
        <f t="array" ref="C12">IF($W$2="Mismatch Error","Mismatch Error",
IF($B$7="Calendar Year",
INDEX('Commodity Prices'!$BA:$BF, MATCH(1,(('Commodity Prices'!$BA:$BA)=$V$1)*(('Commodity Prices'!$BB:$BB)=$B$8)*(('Commodity Prices'!$BD:$BD)=$B12),0), 5),
INDEX('Commodity Prices'!$BH:$BM, MATCH(1,(('Commodity Prices'!$BH:$BH)=$V$1)*(('Commodity Prices'!$BI:$BI)=$B$8)*(('Commodity Prices'!$BK:$BK)=$B12),0), 5)
)
)</f>
        <v>695288422.24000013</v>
      </c>
      <c r="D12" s="896" cm="1">
        <f t="array" ref="D12">IF($W$2="Mismatch Error","Mismatch Error",
IF($B$7="Calendar Year",
INDEX('Commodity Prices'!$BA:$BF, MATCH(1,(('Commodity Prices'!$BA:$BA)=$V$1)*(('Commodity Prices'!$BB:$BB)=$B$8)*(('Commodity Prices'!$BD:$BD)=$B12),0), 6),
INDEX('Commodity Prices'!$BH:$BM, MATCH(1,(('Commodity Prices'!$BH:$BH)=$V$1)*(('Commodity Prices'!$BI:$BI)=$B$8)*(('Commodity Prices'!$BK:$BK)=$B12),0), 6)
)
)</f>
        <v>0.39732111297062289</v>
      </c>
      <c r="Y12" s="132">
        <v>2019</v>
      </c>
    </row>
    <row r="13" spans="1:25" x14ac:dyDescent="0.25">
      <c r="A13" s="512" t="str" cm="1">
        <f t="array" ref="A13">IF($W$2="Mismatch Error","Mismatch Error",
IF($B$7="Calendar Year",
INDEX('Commodity Prices'!$BA:$BF,MATCH(1,(('Commodity Prices'!$BA:$BA)=$V$1)*(('Commodity Prices'!$BB:$BB)=$B$8)*(('Commodity Prices'!$BD:$BD)=B13),0),3),
INDEX('Commodity Prices'!$BH:$BM,MATCH(1,(('Commodity Prices'!$BH:$BH)=$V$1)*(('Commodity Prices'!$BI:$BI)=$B$8)*(('Commodity Prices'!$BK:$BK)=B13),0),3)
)
)</f>
        <v>Malaysia</v>
      </c>
      <c r="B13" s="761">
        <v>2</v>
      </c>
      <c r="C13" s="506" cm="1">
        <f t="array" ref="C13">IF($W$2="Mismatch Error","Mismatch Error",
IF($B$7="Calendar Year",
INDEX('Commodity Prices'!$BA:$BF, MATCH(1,(('Commodity Prices'!$BA:$BA)=$V$1)*(('Commodity Prices'!$BB:$BB)=$B$8)*(('Commodity Prices'!$BD:$BD)=$B13),0), 5),
INDEX('Commodity Prices'!$BH:$BM, MATCH(1,(('Commodity Prices'!$BH:$BH)=$V$1)*(('Commodity Prices'!$BI:$BI)=$B$8)*(('Commodity Prices'!$BK:$BK)=$B13),0), 5)
)
)</f>
        <v>150260509.50999999</v>
      </c>
      <c r="D13" s="762" cm="1">
        <f t="array" ref="D13">IF($W$2="Mismatch Error","Mismatch Error",
IF($B$7="Calendar Year",
INDEX('Commodity Prices'!$BA:$BF, MATCH(1,(('Commodity Prices'!$BA:$BA)=$V$1)*(('Commodity Prices'!$BB:$BB)=$B$8)*(('Commodity Prices'!$BD:$BD)=$B13),0), 6),
INDEX('Commodity Prices'!$BH:$BM, MATCH(1,(('Commodity Prices'!$BH:$BH)=$V$1)*(('Commodity Prices'!$BI:$BI)=$B$8)*(('Commodity Prices'!$BK:$BK)=$B13),0), 6)
)
)</f>
        <v>8.5866053517339017E-2</v>
      </c>
      <c r="Y13" s="132">
        <v>2020</v>
      </c>
    </row>
    <row r="14" spans="1:25" x14ac:dyDescent="0.25">
      <c r="A14" s="893" t="str" cm="1">
        <f t="array" ref="A14">IF($W$2="Mismatch Error","Mismatch Error",
IF($B$7="Calendar Year",
INDEX('Commodity Prices'!$BA:$BF,MATCH(1,(('Commodity Prices'!$BA:$BA)=$V$1)*(('Commodity Prices'!$BB:$BB)=$B$8)*(('Commodity Prices'!$BD:$BD)=B14),0),3),
INDEX('Commodity Prices'!$BH:$BM,MATCH(1,(('Commodity Prices'!$BH:$BH)=$V$1)*(('Commodity Prices'!$BI:$BI)=$B$8)*(('Commodity Prices'!$BK:$BK)=B14),0),3)
)
)</f>
        <v>United States</v>
      </c>
      <c r="B14" s="894">
        <v>3</v>
      </c>
      <c r="C14" s="895" cm="1">
        <f t="array" ref="C14">IF($W$2="Mismatch Error","Mismatch Error",
IF($B$7="Calendar Year",
INDEX('Commodity Prices'!$BA:$BF, MATCH(1,(('Commodity Prices'!$BA:$BA)=$V$1)*(('Commodity Prices'!$BB:$BB)=$B$8)*(('Commodity Prices'!$BD:$BD)=$B14),0), 5),
INDEX('Commodity Prices'!$BH:$BM, MATCH(1,(('Commodity Prices'!$BH:$BH)=$V$1)*(('Commodity Prices'!$BI:$BI)=$B$8)*(('Commodity Prices'!$BK:$BK)=$B14),0), 5)
)
)</f>
        <v>122750216.63999999</v>
      </c>
      <c r="D14" s="896" cm="1">
        <f t="array" ref="D14">IF($W$2="Mismatch Error","Mismatch Error",
IF($B$7="Calendar Year",
INDEX('Commodity Prices'!$BA:$BF, MATCH(1,(('Commodity Prices'!$BA:$BA)=$V$1)*(('Commodity Prices'!$BB:$BB)=$B$8)*(('Commodity Prices'!$BD:$BD)=$B14),0), 6),
INDEX('Commodity Prices'!$BH:$BM, MATCH(1,(('Commodity Prices'!$BH:$BH)=$V$1)*(('Commodity Prices'!$BI:$BI)=$B$8)*(('Commodity Prices'!$BK:$BK)=$B14),0), 6)
)
)</f>
        <v>7.0145354262716272E-2</v>
      </c>
      <c r="Y14" s="132">
        <v>2021</v>
      </c>
    </row>
    <row r="15" spans="1:25" x14ac:dyDescent="0.25">
      <c r="A15" s="512" t="str" cm="1">
        <f t="array" ref="A15">IF($W$2="Mismatch Error","Mismatch Error",
IF($B$7="Calendar Year",
INDEX('Commodity Prices'!$BA:$BF,MATCH(1,(('Commodity Prices'!$BA:$BA)=$V$1)*(('Commodity Prices'!$BB:$BB)=$B$8)*(('Commodity Prices'!$BD:$BD)=B15),0),3),
INDEX('Commodity Prices'!$BH:$BM,MATCH(1,(('Commodity Prices'!$BH:$BH)=$V$1)*(('Commodity Prices'!$BI:$BI)=$B$8)*(('Commodity Prices'!$BK:$BK)=B15),0),3)
)
)</f>
        <v>Mexico</v>
      </c>
      <c r="B15" s="761">
        <v>4</v>
      </c>
      <c r="C15" s="506" cm="1">
        <f t="array" ref="C15">IF($W$2="Mismatch Error","Mismatch Error",
IF($B$7="Calendar Year",
INDEX('Commodity Prices'!$BA:$BF, MATCH(1,(('Commodity Prices'!$BA:$BA)=$V$1)*(('Commodity Prices'!$BB:$BB)=$B$8)*(('Commodity Prices'!$BD:$BD)=$B15),0), 5),
INDEX('Commodity Prices'!$BH:$BM, MATCH(1,(('Commodity Prices'!$BH:$BH)=$V$1)*(('Commodity Prices'!$BI:$BI)=$B$8)*(('Commodity Prices'!$BK:$BK)=$B15),0), 5)
)
)</f>
        <v>113175697.00000001</v>
      </c>
      <c r="D15" s="762" cm="1">
        <f t="array" ref="D15">IF($W$2="Mismatch Error","Mismatch Error",
IF($B$7="Calendar Year",
INDEX('Commodity Prices'!$BA:$BF, MATCH(1,(('Commodity Prices'!$BA:$BA)=$V$1)*(('Commodity Prices'!$BB:$BB)=$B$8)*(('Commodity Prices'!$BD:$BD)=$B15),0), 6),
INDEX('Commodity Prices'!$BH:$BM, MATCH(1,(('Commodity Prices'!$BH:$BH)=$V$1)*(('Commodity Prices'!$BI:$BI)=$B$8)*(('Commodity Prices'!$BK:$BK)=$B15),0), 6)
)
)</f>
        <v>6.4674015063268545E-2</v>
      </c>
      <c r="Y15" s="132">
        <v>2022</v>
      </c>
    </row>
    <row r="16" spans="1:25" x14ac:dyDescent="0.25">
      <c r="A16" s="893" t="str" cm="1">
        <f t="array" ref="A16">IF($W$2="Mismatch Error","Mismatch Error",
IF($B$7="Calendar Year",
INDEX('Commodity Prices'!$BA:$BF,MATCH(1,(('Commodity Prices'!$BA:$BA)=$V$1)*(('Commodity Prices'!$BB:$BB)=$B$8)*(('Commodity Prices'!$BD:$BD)=B16),0),3),
INDEX('Commodity Prices'!$BH:$BM,MATCH(1,(('Commodity Prices'!$BH:$BH)=$V$1)*(('Commodity Prices'!$BI:$BI)=$B$8)*(('Commodity Prices'!$BK:$BK)=B16),0),3)
)
)</f>
        <v>Spain</v>
      </c>
      <c r="B16" s="894">
        <v>5</v>
      </c>
      <c r="C16" s="895" cm="1">
        <f t="array" ref="C16">IF($W$2="Mismatch Error","Mismatch Error",
IF($B$7="Calendar Year",
INDEX('Commodity Prices'!$BA:$BF, MATCH(1,(('Commodity Prices'!$BA:$BA)=$V$1)*(('Commodity Prices'!$BB:$BB)=$B$8)*(('Commodity Prices'!$BD:$BD)=$B16),0), 5),
INDEX('Commodity Prices'!$BH:$BM, MATCH(1,(('Commodity Prices'!$BH:$BH)=$V$1)*(('Commodity Prices'!$BI:$BI)=$B$8)*(('Commodity Prices'!$BK:$BK)=$B16),0), 5)
)
)</f>
        <v>98447179.769999996</v>
      </c>
      <c r="D16" s="896" cm="1">
        <f t="array" ref="D16">IF($W$2="Mismatch Error","Mismatch Error",
IF($B$7="Calendar Year",
INDEX('Commodity Prices'!$BA:$BF, MATCH(1,(('Commodity Prices'!$BA:$BA)=$V$1)*(('Commodity Prices'!$BB:$BB)=$B$8)*(('Commodity Prices'!$BD:$BD)=$B16),0), 6),
INDEX('Commodity Prices'!$BH:$BM, MATCH(1,(('Commodity Prices'!$BH:$BH)=$V$1)*(('Commodity Prices'!$BI:$BI)=$B$8)*(('Commodity Prices'!$BK:$BK)=$B16),0), 6)
)
)</f>
        <v>5.6257434733371123E-2</v>
      </c>
      <c r="Y16" s="132">
        <v>2023</v>
      </c>
    </row>
    <row r="17" spans="1:4" x14ac:dyDescent="0.25">
      <c r="A17" s="512" t="str" cm="1">
        <f t="array" ref="A17">IF($W$2="Mismatch Error","Mismatch Error",
IF($B$7="Calendar Year",
INDEX('Commodity Prices'!$BA:$BF,MATCH(1,(('Commodity Prices'!$BA:$BA)=$V$1)*(('Commodity Prices'!$BB:$BB)=$B$8)*(('Commodity Prices'!$BD:$BD)=B17),0),3),
INDEX('Commodity Prices'!$BH:$BM,MATCH(1,(('Commodity Prices'!$BH:$BH)=$V$1)*(('Commodity Prices'!$BI:$BI)=$B$8)*(('Commodity Prices'!$BK:$BK)=B17),0),3)
)
)</f>
        <v>United Kingdom</v>
      </c>
      <c r="B17" s="761">
        <v>6</v>
      </c>
      <c r="C17" s="506" cm="1">
        <f t="array" ref="C17">IF($W$2="Mismatch Error","Mismatch Error",
IF($B$7="Calendar Year",
INDEX('Commodity Prices'!$BA:$BF, MATCH(1,(('Commodity Prices'!$BA:$BA)=$V$1)*(('Commodity Prices'!$BB:$BB)=$B$8)*(('Commodity Prices'!$BD:$BD)=$B17),0), 5),
INDEX('Commodity Prices'!$BH:$BM, MATCH(1,(('Commodity Prices'!$BH:$BH)=$V$1)*(('Commodity Prices'!$BI:$BI)=$B$8)*(('Commodity Prices'!$BK:$BK)=$B17),0), 5)
)
)</f>
        <v>95542571.940000013</v>
      </c>
      <c r="D17" s="762" cm="1">
        <f t="array" ref="D17">IF($W$2="Mismatch Error","Mismatch Error",
IF($B$7="Calendar Year",
INDEX('Commodity Prices'!$BA:$BF, MATCH(1,(('Commodity Prices'!$BA:$BA)=$V$1)*(('Commodity Prices'!$BB:$BB)=$B$8)*(('Commodity Prices'!$BD:$BD)=$B17),0), 6),
INDEX('Commodity Prices'!$BH:$BM, MATCH(1,(('Commodity Prices'!$BH:$BH)=$V$1)*(('Commodity Prices'!$BI:$BI)=$B$8)*(('Commodity Prices'!$BK:$BK)=$B17),0), 6)
)
)</f>
        <v>5.4597602671101544E-2</v>
      </c>
    </row>
    <row r="18" spans="1:4" x14ac:dyDescent="0.25">
      <c r="A18" s="893" t="str" cm="1">
        <f t="array" ref="A18">IF($W$2="Mismatch Error","Mismatch Error",
IF($B$7="Calendar Year",
INDEX('Commodity Prices'!$BA:$BF,MATCH(1,(('Commodity Prices'!$BA:$BA)=$V$1)*(('Commodity Prices'!$BB:$BB)=$B$8)*(('Commodity Prices'!$BD:$BD)=B18),0),3),
INDEX('Commodity Prices'!$BH:$BM,MATCH(1,(('Commodity Prices'!$BH:$BH)=$V$1)*(('Commodity Prices'!$BI:$BI)=$B$8)*(('Commodity Prices'!$BK:$BK)=B18),0),3)
)
)</f>
        <v>Belgium</v>
      </c>
      <c r="B18" s="894">
        <v>7</v>
      </c>
      <c r="C18" s="895" cm="1">
        <f t="array" ref="C18">IF($W$2="Mismatch Error","Mismatch Error",
IF($B$7="Calendar Year",
INDEX('Commodity Prices'!$BA:$BF, MATCH(1,(('Commodity Prices'!$BA:$BA)=$V$1)*(('Commodity Prices'!$BB:$BB)=$B$8)*(('Commodity Prices'!$BD:$BD)=$B18),0), 5),
INDEX('Commodity Prices'!$BH:$BM, MATCH(1,(('Commodity Prices'!$BH:$BH)=$V$1)*(('Commodity Prices'!$BI:$BI)=$B$8)*(('Commodity Prices'!$BK:$BK)=$B18),0), 5)
)
)</f>
        <v>91623482.680000007</v>
      </c>
      <c r="D18" s="896" cm="1">
        <f t="array" ref="D18">IF($W$2="Mismatch Error","Mismatch Error",
IF($B$7="Calendar Year",
INDEX('Commodity Prices'!$BA:$BF, MATCH(1,(('Commodity Prices'!$BA:$BA)=$V$1)*(('Commodity Prices'!$BB:$BB)=$B$8)*(('Commodity Prices'!$BD:$BD)=$B18),0), 6),
INDEX('Commodity Prices'!$BH:$BM, MATCH(1,(('Commodity Prices'!$BH:$BH)=$V$1)*(('Commodity Prices'!$BI:$BI)=$B$8)*(('Commodity Prices'!$BK:$BK)=$B18),0), 6)
)
)</f>
        <v>5.2358047319959911E-2</v>
      </c>
    </row>
    <row r="19" spans="1:4" x14ac:dyDescent="0.25">
      <c r="A19" s="512" t="str" cm="1">
        <f t="array" ref="A19">IF($W$2="Mismatch Error","Mismatch Error",
IF($B$7="Calendar Year",
INDEX('Commodity Prices'!$BA:$BF,MATCH(1,(('Commodity Prices'!$BA:$BA)=$V$1)*(('Commodity Prices'!$BB:$BB)=$B$8)*(('Commodity Prices'!$BD:$BD)=B19),0),3),
INDEX('Commodity Prices'!$BH:$BM,MATCH(1,(('Commodity Prices'!$BH:$BH)=$V$1)*(('Commodity Prices'!$BI:$BI)=$B$8)*(('Commodity Prices'!$BK:$BK)=B19),0),3)
)
)</f>
        <v>Taiwan, Province Of China</v>
      </c>
      <c r="B19" s="761">
        <v>8</v>
      </c>
      <c r="C19" s="506" cm="1">
        <f t="array" ref="C19">IF($W$2="Mismatch Error","Mismatch Error",
IF($B$7="Calendar Year",
INDEX('Commodity Prices'!$BA:$BF, MATCH(1,(('Commodity Prices'!$BA:$BA)=$V$1)*(('Commodity Prices'!$BB:$BB)=$B$8)*(('Commodity Prices'!$BD:$BD)=$B19),0), 5),
INDEX('Commodity Prices'!$BH:$BM, MATCH(1,(('Commodity Prices'!$BH:$BH)=$V$1)*(('Commodity Prices'!$BI:$BI)=$B$8)*(('Commodity Prices'!$BK:$BK)=$B19),0), 5)
)
)</f>
        <v>84136649.699999988</v>
      </c>
      <c r="D19" s="762" cm="1">
        <f t="array" ref="D19">IF($W$2="Mismatch Error","Mismatch Error",
IF($B$7="Calendar Year",
INDEX('Commodity Prices'!$BA:$BF, MATCH(1,(('Commodity Prices'!$BA:$BA)=$V$1)*(('Commodity Prices'!$BB:$BB)=$B$8)*(('Commodity Prices'!$BD:$BD)=$B19),0), 6),
INDEX('Commodity Prices'!$BH:$BM, MATCH(1,(('Commodity Prices'!$BH:$BH)=$V$1)*(('Commodity Prices'!$BI:$BI)=$B$8)*(('Commodity Prices'!$BK:$BK)=$B19),0), 6)
)
)</f>
        <v>4.8079712290799922E-2</v>
      </c>
    </row>
    <row r="20" spans="1:4" x14ac:dyDescent="0.25">
      <c r="A20" s="893" t="str" cm="1">
        <f t="array" ref="A20">IF($W$2="Mismatch Error","Mismatch Error",
IF($B$7="Calendar Year",
INDEX('Commodity Prices'!$BA:$BF,MATCH(1,(('Commodity Prices'!$BA:$BA)=$V$1)*(('Commodity Prices'!$BB:$BB)=$B$8)*(('Commodity Prices'!$BD:$BD)=B20),0),3),
INDEX('Commodity Prices'!$BH:$BM,MATCH(1,(('Commodity Prices'!$BH:$BH)=$V$1)*(('Commodity Prices'!$BI:$BI)=$B$8)*(('Commodity Prices'!$BK:$BK)=B20),0),3)
)
)</f>
        <v>Netherlands</v>
      </c>
      <c r="B20" s="894">
        <v>9</v>
      </c>
      <c r="C20" s="895" cm="1">
        <f t="array" ref="C20">IF($W$2="Mismatch Error","Mismatch Error",
IF($B$7="Calendar Year",
INDEX('Commodity Prices'!$BA:$BF, MATCH(1,(('Commodity Prices'!$BA:$BA)=$V$1)*(('Commodity Prices'!$BB:$BB)=$B$8)*(('Commodity Prices'!$BD:$BD)=$B20),0), 5),
INDEX('Commodity Prices'!$BH:$BM, MATCH(1,(('Commodity Prices'!$BH:$BH)=$V$1)*(('Commodity Prices'!$BI:$BI)=$B$8)*(('Commodity Prices'!$BK:$BK)=$B20),0), 5)
)
)</f>
        <v>74011819.090000018</v>
      </c>
      <c r="D20" s="896" cm="1">
        <f t="array" ref="D20">IF($W$2="Mismatch Error","Mismatch Error",
IF($B$7="Calendar Year",
INDEX('Commodity Prices'!$BA:$BF, MATCH(1,(('Commodity Prices'!$BA:$BA)=$V$1)*(('Commodity Prices'!$BB:$BB)=$B$8)*(('Commodity Prices'!$BD:$BD)=$B20),0), 6),
INDEX('Commodity Prices'!$BH:$BM, MATCH(1,(('Commodity Prices'!$BH:$BH)=$V$1)*(('Commodity Prices'!$BI:$BI)=$B$8)*(('Commodity Prices'!$BK:$BK)=$B20),0), 6)
)
)</f>
        <v>4.2293899039884571E-2</v>
      </c>
    </row>
    <row r="21" spans="1:4" x14ac:dyDescent="0.25">
      <c r="A21" s="512" t="str" cm="1">
        <f t="array" ref="A21">IF($W$2="Mismatch Error","Mismatch Error",
IF($B$7="Calendar Year",
INDEX('Commodity Prices'!$BA:$BF,MATCH(1,(('Commodity Prices'!$BA:$BA)=$V$1)*(('Commodity Prices'!$BB:$BB)=$B$8)*(('Commodity Prices'!$BD:$BD)=B21),0),3),
INDEX('Commodity Prices'!$BH:$BM,MATCH(1,(('Commodity Prices'!$BH:$BH)=$V$1)*(('Commodity Prices'!$BI:$BI)=$B$8)*(('Commodity Prices'!$BK:$BK)=B21),0),3)
)
)</f>
        <v>Saudi Arabia</v>
      </c>
      <c r="B21" s="761">
        <v>10</v>
      </c>
      <c r="C21" s="506" cm="1">
        <f t="array" ref="C21">IF($W$2="Mismatch Error","Mismatch Error",
IF($B$7="Calendar Year",
INDEX('Commodity Prices'!$BA:$BF, MATCH(1,(('Commodity Prices'!$BA:$BA)=$V$1)*(('Commodity Prices'!$BB:$BB)=$B$8)*(('Commodity Prices'!$BD:$BD)=$B21),0), 5),
INDEX('Commodity Prices'!$BH:$BM, MATCH(1,(('Commodity Prices'!$BH:$BH)=$V$1)*(('Commodity Prices'!$BI:$BI)=$B$8)*(('Commodity Prices'!$BK:$BK)=$B21),0), 5)
)
)</f>
        <v>73552774.230000004</v>
      </c>
      <c r="D21" s="762" cm="1">
        <f t="array" ref="D21">IF($W$2="Mismatch Error","Mismatch Error",
IF($B$7="Calendar Year",
INDEX('Commodity Prices'!$BA:$BF, MATCH(1,(('Commodity Prices'!$BA:$BA)=$V$1)*(('Commodity Prices'!$BB:$BB)=$B$8)*(('Commodity Prices'!$BD:$BD)=$B21),0), 6),
INDEX('Commodity Prices'!$BH:$BM, MATCH(1,(('Commodity Prices'!$BH:$BH)=$V$1)*(('Commodity Prices'!$BI:$BI)=$B$8)*(('Commodity Prices'!$BK:$BK)=$B21),0), 6)
)
)</f>
        <v>4.2031578815867249E-2</v>
      </c>
    </row>
    <row r="22" spans="1:4" x14ac:dyDescent="0.25">
      <c r="A22" s="893" t="str">
        <f>IF($W$2="Mismatch Error","","Other")</f>
        <v>Other</v>
      </c>
      <c r="B22" s="894"/>
      <c r="C22" s="895" cm="1">
        <f t="array" ref="C22">IF($W$2="Mismatch Error","Mismatch Error",
IF($B$7="Calendar Year",
INDEX('Commodity Prices'!$BA:$BF, MATCH(1,(('Commodity Prices'!$BA:$BA)=$V$1)*(('Commodity Prices'!$BB:$BB)=$B$8)*(('Commodity Prices'!$BD:$BD)=$B22),0), 5),
INDEX('Commodity Prices'!$BH:$BM, MATCH(1,(('Commodity Prices'!$BH:$BH)=$V$1)*(('Commodity Prices'!$BI:$BI)=$B$8)*(('Commodity Prices'!$BK:$BK)=$B22),0), 5)
)
)</f>
        <v>151151467.00999999</v>
      </c>
      <c r="D22" s="896" cm="1">
        <f t="array" ref="D22">IF($W$2="Mismatch Error","Mismatch Error",
IF($B$7="Calendar Year",
INDEX('Commodity Prices'!$BA:$BF, MATCH(1,(('Commodity Prices'!$BA:$BA)=$V$1)*(('Commodity Prices'!$BB:$BB)=$B$8)*(('Commodity Prices'!$BD:$BD)=$B22),0), 6),
INDEX('Commodity Prices'!$BH:$BM, MATCH(1,(('Commodity Prices'!$BH:$BH)=$V$1)*(('Commodity Prices'!$BI:$BI)=$B$8)*(('Commodity Prices'!$BK:$BK)=$B22),0), 6)
)
)</f>
        <v>8.637518931506892E-2</v>
      </c>
    </row>
    <row r="23" spans="1:4" ht="15.75" thickBot="1" x14ac:dyDescent="0.3">
      <c r="A23" s="513" t="str">
        <f>IF($W$2="Mismatch Error","","Grand Total")</f>
        <v>Grand Total</v>
      </c>
      <c r="B23" s="514"/>
      <c r="C23" s="515">
        <f>SUM(C12:C22)</f>
        <v>1749940789.8100002</v>
      </c>
      <c r="D23" s="516"/>
    </row>
    <row r="25" spans="1:4" x14ac:dyDescent="0.25">
      <c r="A25" s="517" t="str">
        <f>IF(A12="Mismatch Error","You have selected an incompatible year or year type. Change one or the other to display data.","")</f>
        <v/>
      </c>
      <c r="B25" s="517"/>
      <c r="C25" s="517"/>
      <c r="D25" s="517"/>
    </row>
    <row r="26" spans="1:4" x14ac:dyDescent="0.25">
      <c r="A26" s="517"/>
      <c r="B26" s="517"/>
      <c r="C26" s="517"/>
      <c r="D26" s="517"/>
    </row>
    <row r="27" spans="1:4" ht="15" customHeight="1" x14ac:dyDescent="0.25">
      <c r="A27" s="517" t="str">
        <f>IF(OR(ISNA(A12),ISNA(A13),ISNA(A14),ISNA(A15),ISNA(A16),ISNA(A17),ISNA(A18),ISNA(A19),ISNA(A20),ISNA(A21),ISNA(C12),ISNA(C13),ISNA(C14),ISNA(C15),ISNA(C16),ISNA(C17),ISNA(C18),ISNA(C19),ISNA(C20),ISNA(C21)),"You have ecountered an NA Error. This is most likely caused by the accidental loss of an array formula in the table above. Click on the cell showing #N/A above, then click the formula bar and press Ctrl, Shift and Enter.","")</f>
        <v/>
      </c>
      <c r="B27" s="517"/>
      <c r="C27" s="517"/>
      <c r="D27" s="517"/>
    </row>
  </sheetData>
  <mergeCells count="3">
    <mergeCell ref="B7:D7"/>
    <mergeCell ref="B8:D8"/>
    <mergeCell ref="A10:D10"/>
  </mergeCells>
  <dataValidations count="3">
    <dataValidation type="list" allowBlank="1" showInputMessage="1" showErrorMessage="1" promptTitle="Select a Display Factor:" prompt="Clicking here will bring up a message describing the selections you can make." sqref="B8:D8" xr:uid="{A7F5F13B-9C1A-4028-8B06-9586DDD58755}">
      <formula1>$Y$1:$Y$27</formula1>
    </dataValidation>
    <dataValidation type="list" allowBlank="1" showInputMessage="1" showErrorMessage="1" promptTitle="Select a Display Factor:" prompt="Clicking here will bring up a message describing the selections you can make." sqref="B7:D7" xr:uid="{DBDB6B24-345E-491A-9BD2-BE52638A7AD4}">
      <formula1>$X$1:$X$2</formula1>
    </dataValidation>
    <dataValidation allowBlank="1" promptTitle="Select a Display Factor:" prompt="Clicking here will bring up a message describing the selections you can make." sqref="E7:E8" xr:uid="{89C77839-126B-4051-A046-556E225A2F56}"/>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1DC7C-5D45-4F55-8772-16619A82D530}">
  <sheetPr>
    <tabColor theme="7" tint="0.39997558519241921"/>
  </sheetPr>
  <dimension ref="A7:S66"/>
  <sheetViews>
    <sheetView showGridLines="0" zoomScale="85" zoomScaleNormal="85" workbookViewId="0">
      <pane ySplit="8" topLeftCell="A9" activePane="bottomLeft" state="frozen"/>
      <selection pane="bottomLeft"/>
    </sheetView>
  </sheetViews>
  <sheetFormatPr defaultColWidth="9.140625" defaultRowHeight="15" x14ac:dyDescent="0.25"/>
  <cols>
    <col min="1" max="1" width="12.7109375" customWidth="1"/>
    <col min="2" max="3" width="20.7109375" customWidth="1"/>
    <col min="4" max="4" width="8.7109375" customWidth="1"/>
    <col min="5" max="5" width="7.140625" customWidth="1"/>
    <col min="6" max="7" width="24.28515625" customWidth="1"/>
    <col min="16" max="16" width="8.7109375" customWidth="1"/>
    <col min="17" max="17" width="12.7109375" customWidth="1"/>
    <col min="18" max="19" width="20.7109375" customWidth="1"/>
    <col min="20" max="20" width="10.85546875" customWidth="1"/>
    <col min="21" max="22" width="23.5703125" customWidth="1"/>
  </cols>
  <sheetData>
    <row r="7" spans="1:19" ht="15.75" thickBot="1" x14ac:dyDescent="0.3">
      <c r="A7" s="1480" t="s">
        <v>584</v>
      </c>
      <c r="B7" s="1480"/>
      <c r="C7" s="1480"/>
    </row>
    <row r="8" spans="1:19" x14ac:dyDescent="0.25">
      <c r="A8" s="897" t="s">
        <v>272</v>
      </c>
      <c r="B8" s="898" t="s">
        <v>585</v>
      </c>
      <c r="C8" s="899" t="s">
        <v>586</v>
      </c>
    </row>
    <row r="9" spans="1:19" x14ac:dyDescent="0.25">
      <c r="A9" s="900">
        <v>1957</v>
      </c>
      <c r="B9" s="1160">
        <v>492</v>
      </c>
      <c r="C9" s="907">
        <v>21903008</v>
      </c>
      <c r="Q9" s="1393" t="s">
        <v>584</v>
      </c>
      <c r="R9" s="1393"/>
      <c r="S9" s="1393"/>
    </row>
    <row r="10" spans="1:19" ht="15.75" thickBot="1" x14ac:dyDescent="0.3">
      <c r="A10" s="900">
        <v>1958</v>
      </c>
      <c r="B10" s="1161">
        <v>2156</v>
      </c>
      <c r="C10" s="908">
        <v>12426344</v>
      </c>
      <c r="Q10" s="1393" t="s">
        <v>567</v>
      </c>
      <c r="R10" s="1393"/>
      <c r="S10" s="1393"/>
    </row>
    <row r="11" spans="1:19" x14ac:dyDescent="0.25">
      <c r="A11" s="900">
        <v>1959</v>
      </c>
      <c r="B11" s="1160">
        <v>133392</v>
      </c>
      <c r="C11" s="907">
        <v>10460008</v>
      </c>
      <c r="Q11" s="870" t="s">
        <v>272</v>
      </c>
      <c r="R11" s="871" t="str">
        <f>B8</f>
        <v>Western Australia ($)</v>
      </c>
      <c r="S11" s="872" t="str">
        <f>C8</f>
        <v>Rest of Australia ($)</v>
      </c>
    </row>
    <row r="12" spans="1:19" x14ac:dyDescent="0.25">
      <c r="A12" s="900">
        <v>1960</v>
      </c>
      <c r="B12" s="1161">
        <v>345568</v>
      </c>
      <c r="C12" s="908">
        <v>10861632.000000002</v>
      </c>
      <c r="Q12" s="901">
        <f>LARGE(A$17:A$86,10)</f>
        <v>2005</v>
      </c>
      <c r="R12" s="902">
        <f t="shared" ref="R12:R21" si="0">SUMIF($A$17:$A$92,$Q12,B$17:B$92)</f>
        <v>846793591.63939393</v>
      </c>
      <c r="S12" s="903" t="s">
        <v>172</v>
      </c>
    </row>
    <row r="13" spans="1:19" x14ac:dyDescent="0.25">
      <c r="A13" s="900">
        <v>1961</v>
      </c>
      <c r="B13" s="1160">
        <v>588303</v>
      </c>
      <c r="C13" s="907">
        <v>10857057</v>
      </c>
      <c r="Q13" s="901">
        <f>LARGE(A$17:A$86,9)</f>
        <v>2006</v>
      </c>
      <c r="R13" s="433">
        <f t="shared" si="0"/>
        <v>886262810.36130917</v>
      </c>
      <c r="S13" s="674" t="s">
        <v>172</v>
      </c>
    </row>
    <row r="14" spans="1:19" x14ac:dyDescent="0.25">
      <c r="A14" s="900">
        <v>1962</v>
      </c>
      <c r="B14" s="1161">
        <v>874763.00000000012</v>
      </c>
      <c r="C14" s="908">
        <v>11597336.999999998</v>
      </c>
      <c r="Q14" s="901">
        <f>LARGE(A$17:A$86,8)</f>
        <v>2007</v>
      </c>
      <c r="R14" s="902">
        <f t="shared" si="0"/>
        <v>691055713.60429811</v>
      </c>
      <c r="S14" s="903" t="s">
        <v>172</v>
      </c>
    </row>
    <row r="15" spans="1:19" x14ac:dyDescent="0.25">
      <c r="A15" s="900">
        <v>1963</v>
      </c>
      <c r="B15" s="1160">
        <v>1308304.0999999999</v>
      </c>
      <c r="C15" s="907">
        <v>17902415.899999999</v>
      </c>
      <c r="Q15" s="901">
        <f>LARGE(A$17:A$86,7)</f>
        <v>2008</v>
      </c>
      <c r="R15" s="433">
        <f t="shared" si="0"/>
        <v>777136717.99124885</v>
      </c>
      <c r="S15" s="674" t="s">
        <v>172</v>
      </c>
    </row>
    <row r="16" spans="1:19" x14ac:dyDescent="0.25">
      <c r="A16" s="900">
        <v>1964</v>
      </c>
      <c r="B16" s="1161">
        <v>1604629.3</v>
      </c>
      <c r="C16" s="908">
        <v>19308340.699999999</v>
      </c>
      <c r="Q16" s="901">
        <f>LARGE(A$17:A$86,6)</f>
        <v>2009</v>
      </c>
      <c r="R16" s="902">
        <f t="shared" si="0"/>
        <v>641830940.86659384</v>
      </c>
      <c r="S16" s="903" t="s">
        <v>172</v>
      </c>
    </row>
    <row r="17" spans="1:19" x14ac:dyDescent="0.25">
      <c r="A17" s="900">
        <v>1965</v>
      </c>
      <c r="B17" s="1162">
        <v>2692152.5</v>
      </c>
      <c r="C17" s="1163">
        <v>24680057.500000004</v>
      </c>
      <c r="Q17" s="901">
        <f>LARGE(A$17:A$86,5)</f>
        <v>2010</v>
      </c>
      <c r="R17" s="433">
        <f t="shared" si="0"/>
        <v>526470515.44375753</v>
      </c>
      <c r="S17" s="904" t="s">
        <v>172</v>
      </c>
    </row>
    <row r="18" spans="1:19" x14ac:dyDescent="0.25">
      <c r="A18" s="900">
        <v>1966</v>
      </c>
      <c r="B18" s="1161">
        <v>2894269.1</v>
      </c>
      <c r="C18" s="908">
        <v>31947030.899999995</v>
      </c>
      <c r="Q18" s="901">
        <f>LARGE(A$17:A$86,4)</f>
        <v>2011</v>
      </c>
      <c r="R18" s="902">
        <f t="shared" si="0"/>
        <v>591622104.60567033</v>
      </c>
      <c r="S18" s="905" t="s">
        <v>172</v>
      </c>
    </row>
    <row r="19" spans="1:19" x14ac:dyDescent="0.25">
      <c r="A19" s="900">
        <v>1967</v>
      </c>
      <c r="B19" s="1160">
        <v>4325525.2</v>
      </c>
      <c r="C19" s="907">
        <v>34500594.800000004</v>
      </c>
      <c r="Q19" s="901">
        <f>LARGE(A$17:A$86,3)</f>
        <v>2012</v>
      </c>
      <c r="R19" s="433">
        <f t="shared" si="0"/>
        <v>970807032.06660604</v>
      </c>
      <c r="S19" s="904" t="s">
        <v>172</v>
      </c>
    </row>
    <row r="20" spans="1:19" x14ac:dyDescent="0.25">
      <c r="A20" s="900">
        <v>1968</v>
      </c>
      <c r="B20" s="1161">
        <v>4214603</v>
      </c>
      <c r="C20" s="908">
        <v>36073557</v>
      </c>
      <c r="Q20" s="901">
        <f>LARGE(A$17:A$86,2)</f>
        <v>2013</v>
      </c>
      <c r="R20" s="902">
        <f t="shared" si="0"/>
        <v>380584659</v>
      </c>
      <c r="S20" s="905" t="s">
        <v>172</v>
      </c>
    </row>
    <row r="21" spans="1:19" ht="15.75" thickBot="1" x14ac:dyDescent="0.3">
      <c r="A21" s="900">
        <v>1969</v>
      </c>
      <c r="B21" s="1160">
        <v>9211062.3000000007</v>
      </c>
      <c r="C21" s="907">
        <v>40674638.699999996</v>
      </c>
      <c r="Q21" s="882">
        <f>LARGE(A$17:A$86,1)</f>
        <v>2014</v>
      </c>
      <c r="R21" s="446">
        <f t="shared" si="0"/>
        <v>406758672.86666662</v>
      </c>
      <c r="S21" s="906" t="s">
        <v>172</v>
      </c>
    </row>
    <row r="22" spans="1:19" x14ac:dyDescent="0.25">
      <c r="A22" s="900">
        <v>1970</v>
      </c>
      <c r="B22" s="1161">
        <v>10271270.6</v>
      </c>
      <c r="C22" s="908">
        <v>48209466.400000006</v>
      </c>
    </row>
    <row r="23" spans="1:19" x14ac:dyDescent="0.25">
      <c r="A23" s="900">
        <v>1971</v>
      </c>
      <c r="B23" s="1160">
        <v>10462659</v>
      </c>
      <c r="C23" s="907">
        <v>55277821</v>
      </c>
    </row>
    <row r="24" spans="1:19" x14ac:dyDescent="0.25">
      <c r="A24" s="900">
        <v>1972</v>
      </c>
      <c r="B24" s="1161">
        <v>10468339.700000001</v>
      </c>
      <c r="C24" s="908">
        <v>47525519.299999982</v>
      </c>
    </row>
    <row r="25" spans="1:19" x14ac:dyDescent="0.25">
      <c r="A25" s="900">
        <v>1973</v>
      </c>
      <c r="B25" s="1160">
        <v>11077312.899999999</v>
      </c>
      <c r="C25" s="907">
        <v>52602239.100000001</v>
      </c>
    </row>
    <row r="26" spans="1:19" x14ac:dyDescent="0.25">
      <c r="A26" s="900">
        <v>1974</v>
      </c>
      <c r="B26" s="1161">
        <v>16463287.700000001</v>
      </c>
      <c r="C26" s="908">
        <v>70380853.299999982</v>
      </c>
    </row>
    <row r="27" spans="1:19" x14ac:dyDescent="0.25">
      <c r="A27" s="900">
        <v>1975</v>
      </c>
      <c r="B27" s="1160">
        <v>34526710.899999999</v>
      </c>
      <c r="C27" s="907">
        <v>125495545.09999999</v>
      </c>
    </row>
    <row r="28" spans="1:19" x14ac:dyDescent="0.25">
      <c r="A28" s="900">
        <v>1976</v>
      </c>
      <c r="B28" s="1161">
        <v>39788065</v>
      </c>
      <c r="C28" s="908">
        <v>125917837</v>
      </c>
    </row>
    <row r="29" spans="1:19" x14ac:dyDescent="0.25">
      <c r="A29" s="900">
        <v>1977</v>
      </c>
      <c r="B29" s="1160">
        <v>54309956.400000006</v>
      </c>
      <c r="C29" s="907">
        <v>82043274.600000009</v>
      </c>
    </row>
    <row r="30" spans="1:19" x14ac:dyDescent="0.25">
      <c r="A30" s="900">
        <v>1978</v>
      </c>
      <c r="B30" s="1161">
        <v>58998055.100000001</v>
      </c>
      <c r="C30" s="908">
        <v>48427636.899999991</v>
      </c>
    </row>
    <row r="31" spans="1:19" x14ac:dyDescent="0.25">
      <c r="A31" s="900">
        <v>1979</v>
      </c>
      <c r="B31" s="1160">
        <v>69875106.199999988</v>
      </c>
      <c r="C31" s="907">
        <v>53505783.800000004</v>
      </c>
    </row>
    <row r="32" spans="1:19" x14ac:dyDescent="0.25">
      <c r="A32" s="900">
        <v>1980</v>
      </c>
      <c r="B32" s="1161">
        <v>79036531</v>
      </c>
      <c r="C32" s="908">
        <v>80616028</v>
      </c>
    </row>
    <row r="33" spans="1:3" x14ac:dyDescent="0.25">
      <c r="A33" s="900">
        <v>1981</v>
      </c>
      <c r="B33" s="1160">
        <v>88623282.399999991</v>
      </c>
      <c r="C33" s="907">
        <v>60094861.599999972</v>
      </c>
    </row>
    <row r="34" spans="1:3" x14ac:dyDescent="0.25">
      <c r="A34" s="900">
        <v>1982</v>
      </c>
      <c r="B34" s="1161">
        <v>93353064.400000006</v>
      </c>
      <c r="C34" s="908">
        <v>50807023.599999987</v>
      </c>
    </row>
    <row r="35" spans="1:3" x14ac:dyDescent="0.25">
      <c r="A35" s="900">
        <v>1983</v>
      </c>
      <c r="B35" s="1160">
        <v>77817286.499999985</v>
      </c>
      <c r="C35" s="907">
        <v>39991133.5</v>
      </c>
    </row>
    <row r="36" spans="1:3" x14ac:dyDescent="0.25">
      <c r="A36" s="900">
        <v>1984</v>
      </c>
      <c r="B36" s="1161">
        <v>114568998.5</v>
      </c>
      <c r="C36" s="908">
        <v>53791583.500000022</v>
      </c>
    </row>
    <row r="37" spans="1:3" x14ac:dyDescent="0.25">
      <c r="A37" s="900">
        <v>1985</v>
      </c>
      <c r="B37" s="1160">
        <v>134961831.40000001</v>
      </c>
      <c r="C37" s="907">
        <v>86350293.600000009</v>
      </c>
    </row>
    <row r="38" spans="1:3" x14ac:dyDescent="0.25">
      <c r="A38" s="900">
        <v>1986</v>
      </c>
      <c r="B38" s="1161">
        <v>160577471.40000001</v>
      </c>
      <c r="C38" s="908">
        <v>94356085.599999994</v>
      </c>
    </row>
    <row r="39" spans="1:3" x14ac:dyDescent="0.25">
      <c r="A39" s="900">
        <v>1987</v>
      </c>
      <c r="B39" s="1160">
        <v>240223386.29999998</v>
      </c>
      <c r="C39" s="907">
        <v>144404564.70000002</v>
      </c>
    </row>
    <row r="40" spans="1:3" x14ac:dyDescent="0.25">
      <c r="A40" s="900">
        <v>1988</v>
      </c>
      <c r="B40" s="1161">
        <v>348835148.60000002</v>
      </c>
      <c r="C40" s="908">
        <v>174675127.39999995</v>
      </c>
    </row>
    <row r="41" spans="1:3" x14ac:dyDescent="0.25">
      <c r="A41" s="900">
        <v>1989</v>
      </c>
      <c r="B41" s="1160">
        <v>428312699</v>
      </c>
      <c r="C41" s="907">
        <v>321476520.99999994</v>
      </c>
    </row>
    <row r="42" spans="1:3" x14ac:dyDescent="0.25">
      <c r="A42" s="900">
        <v>1990</v>
      </c>
      <c r="B42" s="1161">
        <v>447623340.9000001</v>
      </c>
      <c r="C42" s="908">
        <v>294352387.0999999</v>
      </c>
    </row>
    <row r="43" spans="1:3" x14ac:dyDescent="0.25">
      <c r="A43" s="900">
        <v>1991</v>
      </c>
      <c r="B43" s="1160">
        <v>241626154</v>
      </c>
      <c r="C43" s="907">
        <v>165517603.99999997</v>
      </c>
    </row>
    <row r="44" spans="1:3" x14ac:dyDescent="0.25">
      <c r="A44" s="900">
        <v>1992</v>
      </c>
      <c r="B44" s="1161">
        <v>276836642.00614107</v>
      </c>
      <c r="C44" s="908">
        <v>111675432.39999993</v>
      </c>
    </row>
    <row r="45" spans="1:3" x14ac:dyDescent="0.25">
      <c r="A45" s="900">
        <v>1993</v>
      </c>
      <c r="B45" s="1160">
        <v>332056090.18000001</v>
      </c>
      <c r="C45" s="907">
        <v>93207174.899999976</v>
      </c>
    </row>
    <row r="46" spans="1:3" x14ac:dyDescent="0.25">
      <c r="A46" s="900">
        <v>1994</v>
      </c>
      <c r="B46" s="1161">
        <v>417667340.69999999</v>
      </c>
      <c r="C46" s="908">
        <v>93063309.300000027</v>
      </c>
    </row>
    <row r="47" spans="1:3" x14ac:dyDescent="0.25">
      <c r="A47" s="900">
        <v>1995</v>
      </c>
      <c r="B47" s="1160">
        <v>571348686.50000012</v>
      </c>
      <c r="C47" s="907">
        <v>83489338.499999955</v>
      </c>
    </row>
    <row r="48" spans="1:3" x14ac:dyDescent="0.25">
      <c r="A48" s="900">
        <v>1996</v>
      </c>
      <c r="B48" s="1161">
        <v>612206253.4000001</v>
      </c>
      <c r="C48" s="908">
        <v>125882000</v>
      </c>
    </row>
    <row r="49" spans="1:3" x14ac:dyDescent="0.25">
      <c r="A49" s="900">
        <v>1997</v>
      </c>
      <c r="B49" s="1160">
        <v>654697524</v>
      </c>
      <c r="C49" s="907">
        <v>158197000</v>
      </c>
    </row>
    <row r="50" spans="1:3" x14ac:dyDescent="0.25">
      <c r="A50" s="900">
        <v>1998</v>
      </c>
      <c r="B50" s="1161">
        <v>706242000</v>
      </c>
      <c r="C50" s="908">
        <v>161779000</v>
      </c>
    </row>
    <row r="51" spans="1:3" x14ac:dyDescent="0.25">
      <c r="A51" s="900">
        <v>1999</v>
      </c>
      <c r="B51" s="1160">
        <f>SUMIF('Mineral Sands - Q&amp;V'!D$9:D$509, A51,'Mineral Sands - Q&amp;V'!C$9:C$509)*1000000</f>
        <v>688489000</v>
      </c>
      <c r="C51" s="907">
        <v>63105000</v>
      </c>
    </row>
    <row r="52" spans="1:3" x14ac:dyDescent="0.25">
      <c r="A52" s="900">
        <v>2000</v>
      </c>
      <c r="B52" s="1161">
        <f>SUMIF('Mineral Sands - Q&amp;V'!D$9:D$509, A52,'Mineral Sands - Q&amp;V'!C$9:C$509)*1000000</f>
        <v>860858999.99999988</v>
      </c>
      <c r="C52" s="908">
        <v>40072000</v>
      </c>
    </row>
    <row r="53" spans="1:3" x14ac:dyDescent="0.25">
      <c r="A53" s="900">
        <v>2001</v>
      </c>
      <c r="B53" s="1160">
        <f>SUMIF('Mineral Sands - Q&amp;V'!D$9:D$509, A53,'Mineral Sands - Q&amp;V'!C$9:C$509)*1000000</f>
        <v>909224999.99999988</v>
      </c>
      <c r="C53" s="907">
        <v>72447000</v>
      </c>
    </row>
    <row r="54" spans="1:3" x14ac:dyDescent="0.25">
      <c r="A54" s="900">
        <v>2002</v>
      </c>
      <c r="B54" s="1161">
        <f>SUMIF('Mineral Sands - Q&amp;V'!D$9:D$509, A54,'Mineral Sands - Q&amp;V'!C$9:C$509)*1000000</f>
        <v>866852000.00000012</v>
      </c>
      <c r="C54" s="908">
        <v>108805599.99999997</v>
      </c>
    </row>
    <row r="55" spans="1:3" x14ac:dyDescent="0.25">
      <c r="A55" s="900">
        <v>2003</v>
      </c>
      <c r="B55" s="1160">
        <f>SUMIF('Mineral Sands - Q&amp;V'!D$9:D$509, A55,'Mineral Sands - Q&amp;V'!C$9:C$509)*1000000</f>
        <v>789848787.90303028</v>
      </c>
      <c r="C55" s="907">
        <v>74724000</v>
      </c>
    </row>
    <row r="56" spans="1:3" x14ac:dyDescent="0.25">
      <c r="A56" s="900">
        <v>2004</v>
      </c>
      <c r="B56" s="1161">
        <f>SUMIF('Mineral Sands - Q&amp;V'!D$9:D$509, A56,'Mineral Sands - Q&amp;V'!C$9:C$509)*1000000</f>
        <v>764910779.21212125</v>
      </c>
      <c r="C56" s="908">
        <v>90109962.999999985</v>
      </c>
    </row>
    <row r="57" spans="1:3" x14ac:dyDescent="0.25">
      <c r="A57" s="900">
        <v>2005</v>
      </c>
      <c r="B57" s="1160">
        <f>SUMIF('Mineral Sands - Q&amp;V'!D$9:D$509, A57,'Mineral Sands - Q&amp;V'!C$9:C$509)*1000000</f>
        <v>846793591.63939393</v>
      </c>
      <c r="C57" s="907">
        <v>52770605.999999911</v>
      </c>
    </row>
    <row r="58" spans="1:3" x14ac:dyDescent="0.25">
      <c r="A58" s="900">
        <v>2006</v>
      </c>
      <c r="B58" s="1161">
        <f>SUMIF('Mineral Sands - Q&amp;V'!D$9:D$509, A58,'Mineral Sands - Q&amp;V'!C$9:C$509)*1000000</f>
        <v>886262810.36130917</v>
      </c>
      <c r="C58" s="908">
        <v>355967000</v>
      </c>
    </row>
    <row r="59" spans="1:3" x14ac:dyDescent="0.25">
      <c r="A59" s="900">
        <v>2007</v>
      </c>
      <c r="B59" s="1160">
        <f>SUMIF('Mineral Sands - Q&amp;V'!D$9:D$509, A59,'Mineral Sands - Q&amp;V'!C$9:C$509)*1000000</f>
        <v>691055713.60429811</v>
      </c>
      <c r="C59" s="907">
        <v>545455959</v>
      </c>
    </row>
    <row r="60" spans="1:3" x14ac:dyDescent="0.25">
      <c r="A60" s="900">
        <v>2008</v>
      </c>
      <c r="B60" s="1161">
        <f>SUMIF('Mineral Sands - Q&amp;V'!D$9:D$509, A60,'Mineral Sands - Q&amp;V'!C$9:C$509)*1000000</f>
        <v>777136717.99124885</v>
      </c>
      <c r="C60" s="908">
        <v>360678633.00000006</v>
      </c>
    </row>
    <row r="61" spans="1:3" x14ac:dyDescent="0.25">
      <c r="A61" s="900">
        <v>2009</v>
      </c>
      <c r="B61" s="1160">
        <f>SUMIF('Mineral Sands - Q&amp;V'!D$9:D$509, A61,'Mineral Sands - Q&amp;V'!C$9:C$509)*1000000</f>
        <v>641830940.86659384</v>
      </c>
      <c r="C61" s="907">
        <v>628933613</v>
      </c>
    </row>
    <row r="62" spans="1:3" x14ac:dyDescent="0.25">
      <c r="A62" s="900">
        <v>2010</v>
      </c>
      <c r="B62" s="1161">
        <f>SUMIF('Mineral Sands - Q&amp;V'!D$9:D$509, A62,'Mineral Sands - Q&amp;V'!C$9:C$509)*1000000</f>
        <v>526470515.44375753</v>
      </c>
      <c r="C62" s="908">
        <v>880785482</v>
      </c>
    </row>
    <row r="63" spans="1:3" x14ac:dyDescent="0.25">
      <c r="A63" s="900">
        <v>2011</v>
      </c>
      <c r="B63" s="1160">
        <f>SUMIF('Mineral Sands - Q&amp;V'!D$9:D$509, A63,'Mineral Sands - Q&amp;V'!C$9:C$509)*1000000</f>
        <v>591622104.60567033</v>
      </c>
      <c r="C63" s="907">
        <v>1345503845</v>
      </c>
    </row>
    <row r="64" spans="1:3" x14ac:dyDescent="0.25">
      <c r="A64" s="900">
        <v>2012</v>
      </c>
      <c r="B64" s="1161">
        <f>SUMIF('Mineral Sands - Q&amp;V'!D$9:D$509, A64,'Mineral Sands - Q&amp;V'!C$9:C$509)*1000000</f>
        <v>970807032.06660604</v>
      </c>
      <c r="C64" s="908">
        <v>1320369000</v>
      </c>
    </row>
    <row r="65" spans="1:3" x14ac:dyDescent="0.25">
      <c r="A65" s="900">
        <v>2013</v>
      </c>
      <c r="B65" s="1160">
        <f>SUMIF('Mineral Sands - Q&amp;V'!D$9:D$509, A65,'Mineral Sands - Q&amp;V'!C$9:C$509)*1000000</f>
        <v>380584659</v>
      </c>
      <c r="C65" s="907">
        <v>1367400000</v>
      </c>
    </row>
    <row r="66" spans="1:3" ht="15.75" thickBot="1" x14ac:dyDescent="0.3">
      <c r="A66" s="909">
        <v>2014</v>
      </c>
      <c r="B66" s="1354">
        <f>SUMIF('Mineral Sands - Q&amp;V'!D$9:D$509, A66,'Mineral Sands - Q&amp;V'!C$9:C$509)*1000000</f>
        <v>406758672.86666662</v>
      </c>
      <c r="C66" s="1355">
        <v>1243000000</v>
      </c>
    </row>
  </sheetData>
  <mergeCells count="3">
    <mergeCell ref="A7:C7"/>
    <mergeCell ref="Q9:S9"/>
    <mergeCell ref="Q10:S10"/>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27592-F04D-4B30-B488-434A99CD2BEA}">
  <sheetPr>
    <tabColor theme="4" tint="0.39997558519241921"/>
  </sheetPr>
  <dimension ref="A1:W70"/>
  <sheetViews>
    <sheetView showGridLines="0" zoomScale="85" zoomScaleNormal="85" workbookViewId="0">
      <pane ySplit="9" topLeftCell="A10" activePane="bottomLeft" state="frozen"/>
      <selection pane="bottomLeft"/>
    </sheetView>
  </sheetViews>
  <sheetFormatPr defaultColWidth="9.140625" defaultRowHeight="15" x14ac:dyDescent="0.25"/>
  <cols>
    <col min="1" max="1" width="12.7109375" customWidth="1"/>
    <col min="2" max="3" width="15.7109375" customWidth="1"/>
    <col min="4" max="4" width="8.7109375" customWidth="1"/>
    <col min="5" max="5" width="12.7109375" customWidth="1"/>
    <col min="6" max="7" width="15.7109375" customWidth="1"/>
    <col min="8" max="8" width="8.7109375" customWidth="1"/>
  </cols>
  <sheetData>
    <row r="1" spans="1:23" x14ac:dyDescent="0.25">
      <c r="W1" s="58" t="s">
        <v>551</v>
      </c>
    </row>
    <row r="2" spans="1:23" x14ac:dyDescent="0.25">
      <c r="G2" s="421"/>
      <c r="W2" s="58" t="s">
        <v>552</v>
      </c>
    </row>
    <row r="4" spans="1:23" x14ac:dyDescent="0.25">
      <c r="F4" s="421"/>
    </row>
    <row r="5" spans="1:23" x14ac:dyDescent="0.25">
      <c r="F5" s="421"/>
    </row>
    <row r="6" spans="1:23" x14ac:dyDescent="0.25">
      <c r="F6" s="421"/>
    </row>
    <row r="7" spans="1:23" x14ac:dyDescent="0.25">
      <c r="A7" s="1393" t="s">
        <v>568</v>
      </c>
      <c r="B7" s="1393"/>
      <c r="C7" s="1393"/>
      <c r="E7" s="1393" t="s">
        <v>553</v>
      </c>
      <c r="F7" s="1393"/>
      <c r="G7" s="1393"/>
    </row>
    <row r="8" spans="1:23" ht="15.75" thickBot="1" x14ac:dyDescent="0.3">
      <c r="A8" s="1395" t="s">
        <v>569</v>
      </c>
      <c r="B8" s="1395"/>
      <c r="C8" s="1395"/>
      <c r="E8" s="1393" t="str">
        <f>E54</f>
        <v>Historic Calendar Year</v>
      </c>
      <c r="F8" s="1393"/>
      <c r="G8" s="1393"/>
    </row>
    <row r="9" spans="1:23" x14ac:dyDescent="0.25">
      <c r="A9" s="910" t="s">
        <v>269</v>
      </c>
      <c r="B9" s="911" t="s">
        <v>258</v>
      </c>
      <c r="C9" s="912" t="s">
        <v>259</v>
      </c>
      <c r="D9" s="487"/>
      <c r="E9" s="913" t="s">
        <v>272</v>
      </c>
      <c r="F9" s="911" t="s">
        <v>258</v>
      </c>
      <c r="G9" s="912" t="s">
        <v>259</v>
      </c>
    </row>
    <row r="10" spans="1:23" x14ac:dyDescent="0.25">
      <c r="A10" s="914">
        <f>LARGE('Commodity Prices'!C$161:C$904,61)</f>
        <v>44166</v>
      </c>
      <c r="B10" s="433">
        <f>SUMIF('Commodity Prices'!C$161:C$904,A10,'Commodity Prices'!M$161:M$904)</f>
        <v>16807.05</v>
      </c>
      <c r="C10" s="434">
        <f>SUMIF('Commodity Prices'!C$161:C$904,A10,'Commodity Prices'!N$161:N$904)</f>
        <v>22348.385360602799</v>
      </c>
      <c r="D10" s="573"/>
      <c r="E10" s="915">
        <f>IF(E8="Historic Calendar Year", 1984, "1983-84")</f>
        <v>1984</v>
      </c>
      <c r="F10" s="433">
        <f>IF($E$8="Historic Calendar Year",
 IF(COUNTIFS('Commodity Prices'!$M:$M, "&gt;0", 'Commodity Prices'!$A:$A, $E10)=12, AVERAGEIFS('Commodity Prices'!$M:$M, 'Commodity Prices'!$A:$A, $E10), NA()),
 IF(COUNTIFS('Commodity Prices'!$M:$M, "&gt;0", 'Commodity Prices'!$B:$B, $E10)=12, AVERAGEIFS('Commodity Prices'!$M:$M, 'Commodity Prices'!$B:$B, $E10), NA())
)</f>
        <v>4498.9238067637543</v>
      </c>
      <c r="G10" s="434">
        <f>IF($E$8="Historic Calendar Year",
 IF(COUNTIFS('Commodity Prices'!$N:$N, "&gt;0", 'Commodity Prices'!$A:$A, $E10)=12, AVERAGEIFS('Commodity Prices'!$N:$N, 'Commodity Prices'!$A:$A, $E10), NA()),
 IF(COUNTIFS('Commodity Prices'!$N:$N, "&gt;0", 'Commodity Prices'!$B:$B, $E10)=12, AVERAGEIFS('Commodity Prices'!$N:$N, 'Commodity Prices'!$B:$B, $E10), NA())
)</f>
        <v>5138.8102199647028</v>
      </c>
    </row>
    <row r="11" spans="1:23" x14ac:dyDescent="0.25">
      <c r="A11" s="916">
        <f>LARGE('Commodity Prices'!C$161:C$904,60)</f>
        <v>44197</v>
      </c>
      <c r="B11" s="917">
        <f>SUMIF('Commodity Prices'!C$161:C$904,A11,'Commodity Prices'!M$161:M$904)</f>
        <v>17847.599999999999</v>
      </c>
      <c r="C11" s="918">
        <f>SUMIF('Commodity Prices'!C$161:C$904,A11,'Commodity Prices'!N$161:N$904)</f>
        <v>23101.171052721213</v>
      </c>
      <c r="D11" s="573"/>
      <c r="E11" s="919">
        <f>IF($E$8="Historic Calendar Year", E10+1, LEFT(E10, 4)+1 &amp; "-" &amp; RIGHT(LEFT(E10, 4)+2, 2))</f>
        <v>1985</v>
      </c>
      <c r="F11" s="917">
        <f>IF($E$8="Historic Calendar Year",
 IF(COUNTIFS('Commodity Prices'!$M:$M, "&gt;0", 'Commodity Prices'!$A:$A, $E11)=12, AVERAGEIFS('Commodity Prices'!$M:$M, 'Commodity Prices'!$A:$A, $E11), NA()),
 IF(COUNTIFS('Commodity Prices'!$M:$M, "&gt;0", 'Commodity Prices'!$B:$B, $E11)=12, AVERAGEIFS('Commodity Prices'!$M:$M, 'Commodity Prices'!$B:$B, $E11), NA())
)</f>
        <v>4901.3944896129678</v>
      </c>
      <c r="G11" s="918">
        <f>IF($E$8="Historic Calendar Year",
 IF(COUNTIFS('Commodity Prices'!$N:$N, "&gt;0", 'Commodity Prices'!$A:$A, $E11)=12, AVERAGEIFS('Commodity Prices'!$N:$N, 'Commodity Prices'!$A:$A, $E11), NA()),
 IF(COUNTIFS('Commodity Prices'!$N:$N, "&gt;0", 'Commodity Prices'!$B:$B, $E11)=12, AVERAGEIFS('Commodity Prices'!$N:$N, 'Commodity Prices'!$B:$B, $E11), NA())
)</f>
        <v>7017.9622645454801</v>
      </c>
    </row>
    <row r="12" spans="1:23" x14ac:dyDescent="0.25">
      <c r="A12" s="914">
        <f>LARGE('Commodity Prices'!C$161:C$904,59)</f>
        <v>44228</v>
      </c>
      <c r="B12" s="433">
        <f>SUMIF('Commodity Prices'!C$161:C$904,A12,'Commodity Prices'!M$161:M$904)</f>
        <v>18568.05</v>
      </c>
      <c r="C12" s="434">
        <f>SUMIF('Commodity Prices'!C$161:C$904,A12,'Commodity Prices'!N$161:N$904)</f>
        <v>23944.716327833339</v>
      </c>
      <c r="D12" s="573"/>
      <c r="E12" s="919">
        <f t="shared" ref="E12:E45" si="0">IF($E$8="Historic Calendar Year", E11+1, LEFT(E11, 4)+1 &amp; "-" &amp; RIGHT( LEFT(E11, 4)+2, 2))</f>
        <v>1986</v>
      </c>
      <c r="F12" s="433">
        <f>IF($E$8="Historic Calendar Year",
 IF(COUNTIFS('Commodity Prices'!$M:$M, "&gt;0", 'Commodity Prices'!$A:$A, $E12)=12, AVERAGEIFS('Commodity Prices'!$M:$M, 'Commodity Prices'!$A:$A, $E12), NA()),
 IF(COUNTIFS('Commodity Prices'!$M:$M, "&gt;0", 'Commodity Prices'!$B:$B, $E12)=12, AVERAGEIFS('Commodity Prices'!$M:$M, 'Commodity Prices'!$B:$B, $E12), NA())
)</f>
        <v>3888.8356621152602</v>
      </c>
      <c r="G12" s="434">
        <f>IF($E$8="Historic Calendar Year",
 IF(COUNTIFS('Commodity Prices'!$N:$N, "&gt;0", 'Commodity Prices'!$A:$A, $E12)=12, AVERAGEIFS('Commodity Prices'!$N:$N, 'Commodity Prices'!$A:$A, $E12), NA()),
 IF(COUNTIFS('Commodity Prices'!$N:$N, "&gt;0", 'Commodity Prices'!$B:$B, $E12)=12, AVERAGEIFS('Commodity Prices'!$N:$N, 'Commodity Prices'!$B:$B, $E12), NA())
)</f>
        <v>5807.2150261370289</v>
      </c>
    </row>
    <row r="13" spans="1:23" x14ac:dyDescent="0.25">
      <c r="A13" s="916">
        <f>LARGE('Commodity Prices'!C$161:C$904,58)</f>
        <v>44256</v>
      </c>
      <c r="B13" s="917">
        <f>SUMIF('Commodity Prices'!C$161:C$904,A13,'Commodity Prices'!M$161:M$904)</f>
        <v>16460.740000000002</v>
      </c>
      <c r="C13" s="918">
        <f>SUMIF('Commodity Prices'!C$161:C$904,A13,'Commodity Prices'!N$161:N$904)</f>
        <v>21347.5700455035</v>
      </c>
      <c r="D13" s="573"/>
      <c r="E13" s="919">
        <f t="shared" si="0"/>
        <v>1987</v>
      </c>
      <c r="F13" s="917">
        <f>IF($E$8="Historic Calendar Year",
 IF(COUNTIFS('Commodity Prices'!$M:$M, "&gt;0", 'Commodity Prices'!$A:$A, $E13)=12, AVERAGEIFS('Commodity Prices'!$M:$M, 'Commodity Prices'!$A:$A, $E13), NA()),
 IF(COUNTIFS('Commodity Prices'!$M:$M, "&gt;0", 'Commodity Prices'!$B:$B, $E13)=12, AVERAGEIFS('Commodity Prices'!$M:$M, 'Commodity Prices'!$B:$B, $E13), NA())
)</f>
        <v>4859.1571635335049</v>
      </c>
      <c r="G13" s="918">
        <f>IF($E$8="Historic Calendar Year",
 IF(COUNTIFS('Commodity Prices'!$N:$N, "&gt;0", 'Commodity Prices'!$A:$A, $E13)=12, AVERAGEIFS('Commodity Prices'!$N:$N, 'Commodity Prices'!$A:$A, $E13), NA()),
 IF(COUNTIFS('Commodity Prices'!$N:$N, "&gt;0", 'Commodity Prices'!$B:$B, $E13)=12, AVERAGEIFS('Commodity Prices'!$N:$N, 'Commodity Prices'!$B:$B, $E13), NA())
)</f>
        <v>6915.6166865840269</v>
      </c>
    </row>
    <row r="14" spans="1:23" x14ac:dyDescent="0.25">
      <c r="A14" s="914">
        <f>LARGE('Commodity Prices'!C$161:C$904,57)</f>
        <v>44287</v>
      </c>
      <c r="B14" s="433">
        <f>SUMIF('Commodity Prices'!C$161:C$904,A14,'Commodity Prices'!M$161:M$904)</f>
        <v>16480.7</v>
      </c>
      <c r="C14" s="434">
        <f>SUMIF('Commodity Prices'!C$161:C$904,A14,'Commodity Prices'!N$161:N$904)</f>
        <v>21394.337491724324</v>
      </c>
      <c r="D14" s="573"/>
      <c r="E14" s="919">
        <f t="shared" si="0"/>
        <v>1988</v>
      </c>
      <c r="F14" s="433">
        <f>IF($E$8="Historic Calendar Year",
 IF(COUNTIFS('Commodity Prices'!$M:$M, "&gt;0", 'Commodity Prices'!$A:$A, $E14)=12, AVERAGEIFS('Commodity Prices'!$M:$M, 'Commodity Prices'!$A:$A, $E14), NA()),
 IF(COUNTIFS('Commodity Prices'!$M:$M, "&gt;0", 'Commodity Prices'!$B:$B, $E14)=12, AVERAGEIFS('Commodity Prices'!$M:$M, 'Commodity Prices'!$B:$B, $E14), NA())
)</f>
        <v>13794.974205344808</v>
      </c>
      <c r="G14" s="434">
        <f>IF($E$8="Historic Calendar Year",
 IF(COUNTIFS('Commodity Prices'!$N:$N, "&gt;0", 'Commodity Prices'!$A:$A, $E14)=12, AVERAGEIFS('Commodity Prices'!$N:$N, 'Commodity Prices'!$A:$A, $E14), NA()),
 IF(COUNTIFS('Commodity Prices'!$N:$N, "&gt;0", 'Commodity Prices'!$B:$B, $E14)=12, AVERAGEIFS('Commodity Prices'!$N:$N, 'Commodity Prices'!$B:$B, $E14), NA())
)</f>
        <v>17556.426775707569</v>
      </c>
    </row>
    <row r="15" spans="1:23" x14ac:dyDescent="0.25">
      <c r="A15" s="916">
        <f>LARGE('Commodity Prices'!C$161:C$904,56)</f>
        <v>44317</v>
      </c>
      <c r="B15" s="917">
        <f>SUMIF('Commodity Prices'!C$161:C$904,A15,'Commodity Prices'!M$161:M$904)</f>
        <v>17605.740000000002</v>
      </c>
      <c r="C15" s="918">
        <f>SUMIF('Commodity Prices'!C$161:C$904,A15,'Commodity Prices'!N$161:N$904)</f>
        <v>22689.480079534573</v>
      </c>
      <c r="D15" s="573"/>
      <c r="E15" s="919">
        <f t="shared" si="0"/>
        <v>1989</v>
      </c>
      <c r="F15" s="917">
        <f>IF($E$8="Historic Calendar Year",
 IF(COUNTIFS('Commodity Prices'!$M:$M, "&gt;0", 'Commodity Prices'!$A:$A, $E15)=12, AVERAGEIFS('Commodity Prices'!$M:$M, 'Commodity Prices'!$A:$A, $E15), NA()),
 IF(COUNTIFS('Commodity Prices'!$M:$M, "&gt;0", 'Commodity Prices'!$B:$B, $E15)=12, AVERAGEIFS('Commodity Prices'!$M:$M, 'Commodity Prices'!$B:$B, $E15), NA())
)</f>
        <v>13236.366666666669</v>
      </c>
      <c r="G15" s="918">
        <f>IF($E$8="Historic Calendar Year",
 IF(COUNTIFS('Commodity Prices'!$N:$N, "&gt;0", 'Commodity Prices'!$A:$A, $E15)=12, AVERAGEIFS('Commodity Prices'!$N:$N, 'Commodity Prices'!$A:$A, $E15), NA()),
 IF(COUNTIFS('Commodity Prices'!$N:$N, "&gt;0", 'Commodity Prices'!$B:$B, $E15)=12, AVERAGEIFS('Commodity Prices'!$N:$N, 'Commodity Prices'!$B:$B, $E15), NA())
)</f>
        <v>16603.232723155015</v>
      </c>
    </row>
    <row r="16" spans="1:23" x14ac:dyDescent="0.25">
      <c r="A16" s="914">
        <f>LARGE('Commodity Prices'!C$161:C$904,56)</f>
        <v>44317</v>
      </c>
      <c r="B16" s="433">
        <f>SUMIF('Commodity Prices'!C$161:C$904,A16,'Commodity Prices'!M$161:M$904)</f>
        <v>17605.740000000002</v>
      </c>
      <c r="C16" s="434">
        <f>SUMIF('Commodity Prices'!C$161:C$904,A16,'Commodity Prices'!N$161:N$904)</f>
        <v>22689.480079534573</v>
      </c>
      <c r="D16" s="573"/>
      <c r="E16" s="919">
        <f t="shared" si="0"/>
        <v>1990</v>
      </c>
      <c r="F16" s="433">
        <f>IF($E$8="Historic Calendar Year",
 IF(COUNTIFS('Commodity Prices'!$M:$M, "&gt;0", 'Commodity Prices'!$A:$A, $E16)=12, AVERAGEIFS('Commodity Prices'!$M:$M, 'Commodity Prices'!$A:$A, $E16), NA()),
 IF(COUNTIFS('Commodity Prices'!$M:$M, "&gt;0", 'Commodity Prices'!$B:$B, $E16)=12, AVERAGEIFS('Commodity Prices'!$M:$M, 'Commodity Prices'!$B:$B, $E16), NA())
)</f>
        <v>8849.7666666666682</v>
      </c>
      <c r="G16" s="434">
        <f>IF($E$8="Historic Calendar Year",
 IF(COUNTIFS('Commodity Prices'!$N:$N, "&gt;0", 'Commodity Prices'!$A:$A, $E16)=12, AVERAGEIFS('Commodity Prices'!$N:$N, 'Commodity Prices'!$A:$A, $E16), NA()),
 IF(COUNTIFS('Commodity Prices'!$N:$N, "&gt;0", 'Commodity Prices'!$B:$B, $E16)=12, AVERAGEIFS('Commodity Prices'!$N:$N, 'Commodity Prices'!$B:$B, $E16), NA())
)</f>
        <v>11308.955244810373</v>
      </c>
    </row>
    <row r="17" spans="1:7" x14ac:dyDescent="0.25">
      <c r="A17" s="916">
        <f>LARGE('Commodity Prices'!C$161:C$904,54)</f>
        <v>44378</v>
      </c>
      <c r="B17" s="917">
        <f>SUMIF('Commodity Prices'!C$161:C$904,A17,'Commodity Prices'!M$161:M$904)</f>
        <v>18817.05</v>
      </c>
      <c r="C17" s="918">
        <f>SUMIF('Commodity Prices'!C$161:C$904,A17,'Commodity Prices'!N$161:N$904)</f>
        <v>25343.604028283695</v>
      </c>
      <c r="D17" s="573"/>
      <c r="E17" s="919">
        <f t="shared" si="0"/>
        <v>1991</v>
      </c>
      <c r="F17" s="917">
        <f>IF($E$8="Historic Calendar Year",
 IF(COUNTIFS('Commodity Prices'!$M:$M, "&gt;0", 'Commodity Prices'!$A:$A, $E17)=12, AVERAGEIFS('Commodity Prices'!$M:$M, 'Commodity Prices'!$A:$A, $E17), NA()),
 IF(COUNTIFS('Commodity Prices'!$M:$M, "&gt;0", 'Commodity Prices'!$B:$B, $E17)=12, AVERAGEIFS('Commodity Prices'!$M:$M, 'Commodity Prices'!$B:$B, $E17), NA())
)</f>
        <v>8148.1041666666679</v>
      </c>
      <c r="G17" s="918">
        <f>IF($E$8="Historic Calendar Year",
 IF(COUNTIFS('Commodity Prices'!$N:$N, "&gt;0", 'Commodity Prices'!$A:$A, $E17)=12, AVERAGEIFS('Commodity Prices'!$N:$N, 'Commodity Prices'!$A:$A, $E17), NA()),
 IF(COUNTIFS('Commodity Prices'!$N:$N, "&gt;0", 'Commodity Prices'!$B:$B, $E17)=12, AVERAGEIFS('Commodity Prices'!$N:$N, 'Commodity Prices'!$B:$B, $E17), NA())
)</f>
        <v>10463.634067185552</v>
      </c>
    </row>
    <row r="18" spans="1:7" x14ac:dyDescent="0.25">
      <c r="A18" s="914">
        <f>LARGE('Commodity Prices'!C$161:C$904,53)</f>
        <v>44409</v>
      </c>
      <c r="B18" s="433">
        <f>SUMIF('Commodity Prices'!C$161:C$904,A18,'Commodity Prices'!M$161:M$904)</f>
        <v>19160.43</v>
      </c>
      <c r="C18" s="434">
        <f>SUMIF('Commodity Prices'!C$161:C$904,A18,'Commodity Prices'!N$161:N$904)</f>
        <v>26243.911713486261</v>
      </c>
      <c r="D18" s="573"/>
      <c r="E18" s="919">
        <f t="shared" si="0"/>
        <v>1992</v>
      </c>
      <c r="F18" s="433">
        <f>IF($E$8="Historic Calendar Year",
 IF(COUNTIFS('Commodity Prices'!$M:$M, "&gt;0", 'Commodity Prices'!$A:$A, $E18)=12, AVERAGEIFS('Commodity Prices'!$M:$M, 'Commodity Prices'!$A:$A, $E18), NA()),
 IF(COUNTIFS('Commodity Prices'!$M:$M, "&gt;0", 'Commodity Prices'!$B:$B, $E18)=12, AVERAGEIFS('Commodity Prices'!$M:$M, 'Commodity Prices'!$B:$B, $E18), NA())
)</f>
        <v>7005.3058333333347</v>
      </c>
      <c r="G18" s="434">
        <f>IF($E$8="Historic Calendar Year",
 IF(COUNTIFS('Commodity Prices'!$N:$N, "&gt;0", 'Commodity Prices'!$A:$A, $E18)=12, AVERAGEIFS('Commodity Prices'!$N:$N, 'Commodity Prices'!$A:$A, $E18), NA()),
 IF(COUNTIFS('Commodity Prices'!$N:$N, "&gt;0", 'Commodity Prices'!$B:$B, $E18)=12, AVERAGEIFS('Commodity Prices'!$N:$N, 'Commodity Prices'!$B:$B, $E18), NA())
)</f>
        <v>9508.5645001778048</v>
      </c>
    </row>
    <row r="19" spans="1:7" x14ac:dyDescent="0.25">
      <c r="A19" s="916">
        <f>LARGE('Commodity Prices'!C$161:C$904,52)</f>
        <v>44440</v>
      </c>
      <c r="B19" s="917">
        <f>SUMIF('Commodity Prices'!C$161:C$904,A19,'Commodity Prices'!M$161:M$904)</f>
        <v>19541</v>
      </c>
      <c r="C19" s="918">
        <f>SUMIF('Commodity Prices'!C$161:C$904,A19,'Commodity Prices'!N$161:N$904)</f>
        <v>26687.897693764164</v>
      </c>
      <c r="D19" s="573"/>
      <c r="E19" s="919">
        <f t="shared" si="0"/>
        <v>1993</v>
      </c>
      <c r="F19" s="917">
        <f>IF($E$8="Historic Calendar Year",
 IF(COUNTIFS('Commodity Prices'!$M:$M, "&gt;0", 'Commodity Prices'!$A:$A, $E19)=12, AVERAGEIFS('Commodity Prices'!$M:$M, 'Commodity Prices'!$A:$A, $E19), NA()),
 IF(COUNTIFS('Commodity Prices'!$M:$M, "&gt;0", 'Commodity Prices'!$B:$B, $E19)=12, AVERAGEIFS('Commodity Prices'!$M:$M, 'Commodity Prices'!$B:$B, $E19), NA())
)</f>
        <v>5292.8183333333336</v>
      </c>
      <c r="G19" s="918">
        <f>IF($E$8="Historic Calendar Year",
 IF(COUNTIFS('Commodity Prices'!$N:$N, "&gt;0", 'Commodity Prices'!$A:$A, $E19)=12, AVERAGEIFS('Commodity Prices'!$N:$N, 'Commodity Prices'!$A:$A, $E19), NA()),
 IF(COUNTIFS('Commodity Prices'!$N:$N, "&gt;0", 'Commodity Prices'!$B:$B, $E19)=12, AVERAGEIFS('Commodity Prices'!$N:$N, 'Commodity Prices'!$B:$B, $E19), NA())
)</f>
        <v>7776.8257970252525</v>
      </c>
    </row>
    <row r="20" spans="1:7" x14ac:dyDescent="0.25">
      <c r="A20" s="914">
        <f>LARGE('Commodity Prices'!C$161:C$904,51)</f>
        <v>44470</v>
      </c>
      <c r="B20" s="433">
        <f>SUMIF('Commodity Prices'!C$161:C$904,A20,'Commodity Prices'!M$161:M$904)</f>
        <v>19416.189999999999</v>
      </c>
      <c r="C20" s="434">
        <f>SUMIF('Commodity Prices'!C$161:C$904,A20,'Commodity Prices'!N$161:N$904)</f>
        <v>26227.638981757274</v>
      </c>
      <c r="D20" s="573"/>
      <c r="E20" s="919">
        <f t="shared" si="0"/>
        <v>1994</v>
      </c>
      <c r="F20" s="433">
        <f>IF($E$8="Historic Calendar Year",
 IF(COUNTIFS('Commodity Prices'!$M:$M, "&gt;0", 'Commodity Prices'!$A:$A, $E20)=12, AVERAGEIFS('Commodity Prices'!$M:$M, 'Commodity Prices'!$A:$A, $E20), NA()),
 IF(COUNTIFS('Commodity Prices'!$M:$M, "&gt;0", 'Commodity Prices'!$B:$B, $E20)=12, AVERAGEIFS('Commodity Prices'!$M:$M, 'Commodity Prices'!$B:$B, $E20), NA())
)</f>
        <v>6340.3230000000003</v>
      </c>
      <c r="G20" s="434">
        <f>IF($E$8="Historic Calendar Year",
 IF(COUNTIFS('Commodity Prices'!$N:$N, "&gt;0", 'Commodity Prices'!$A:$A, $E20)=12, AVERAGEIFS('Commodity Prices'!$N:$N, 'Commodity Prices'!$A:$A, $E20), NA()),
 IF(COUNTIFS('Commodity Prices'!$N:$N, "&gt;0", 'Commodity Prices'!$B:$B, $E20)=12, AVERAGEIFS('Commodity Prices'!$N:$N, 'Commodity Prices'!$B:$B, $E20), NA())
)</f>
        <v>8643.5326677242356</v>
      </c>
    </row>
    <row r="21" spans="1:7" x14ac:dyDescent="0.25">
      <c r="A21" s="916">
        <f>LARGE('Commodity Prices'!C$161:C$904,50)</f>
        <v>44501</v>
      </c>
      <c r="B21" s="917">
        <f>SUMIF('Commodity Prices'!C$161:C$904,A21,'Commodity Prices'!M$161:M$904)</f>
        <v>19957.95</v>
      </c>
      <c r="C21" s="918">
        <f>SUMIF('Commodity Prices'!C$161:C$904,A21,'Commodity Prices'!N$161:N$904)</f>
        <v>27290.378519485366</v>
      </c>
      <c r="D21" s="573"/>
      <c r="E21" s="919">
        <f t="shared" si="0"/>
        <v>1995</v>
      </c>
      <c r="F21" s="917">
        <f>IF($E$8="Historic Calendar Year",
 IF(COUNTIFS('Commodity Prices'!$M:$M, "&gt;0", 'Commodity Prices'!$A:$A, $E21)=12, AVERAGEIFS('Commodity Prices'!$M:$M, 'Commodity Prices'!$A:$A, $E21), NA()),
 IF(COUNTIFS('Commodity Prices'!$M:$M, "&gt;0", 'Commodity Prices'!$B:$B, $E21)=12, AVERAGEIFS('Commodity Prices'!$M:$M, 'Commodity Prices'!$B:$B, $E21), NA())
)</f>
        <v>8233.5949999999993</v>
      </c>
      <c r="G21" s="918">
        <f>IF($E$8="Historic Calendar Year",
 IF(COUNTIFS('Commodity Prices'!$N:$N, "&gt;0", 'Commodity Prices'!$A:$A, $E21)=12, AVERAGEIFS('Commodity Prices'!$N:$N, 'Commodity Prices'!$A:$A, $E21), NA()),
 IF(COUNTIFS('Commodity Prices'!$N:$N, "&gt;0", 'Commodity Prices'!$B:$B, $E21)=12, AVERAGEIFS('Commodity Prices'!$N:$N, 'Commodity Prices'!$B:$B, $E21), NA())
)</f>
        <v>11099.375082539351</v>
      </c>
    </row>
    <row r="22" spans="1:7" x14ac:dyDescent="0.25">
      <c r="A22" s="914">
        <f>LARGE('Commodity Prices'!C$161:C$904,49)</f>
        <v>44531</v>
      </c>
      <c r="B22" s="433">
        <f>SUMIF('Commodity Prices'!C$161:C$904,A22,'Commodity Prices'!M$161:M$904)</f>
        <v>20064.759999999998</v>
      </c>
      <c r="C22" s="434">
        <f>SUMIF('Commodity Prices'!C$161:C$904,A22,'Commodity Prices'!N$161:N$904)</f>
        <v>28060.358812482518</v>
      </c>
      <c r="D22" s="573"/>
      <c r="E22" s="919">
        <f t="shared" si="0"/>
        <v>1996</v>
      </c>
      <c r="F22" s="433">
        <f>IF($E$8="Historic Calendar Year",
 IF(COUNTIFS('Commodity Prices'!$M:$M, "&gt;0", 'Commodity Prices'!$A:$A, $E22)=12, AVERAGEIFS('Commodity Prices'!$M:$M, 'Commodity Prices'!$A:$A, $E22), NA()),
 IF(COUNTIFS('Commodity Prices'!$M:$M, "&gt;0", 'Commodity Prices'!$B:$B, $E22)=12, AVERAGEIFS('Commodity Prices'!$M:$M, 'Commodity Prices'!$B:$B, $E22), NA())
)</f>
        <v>7531.4583333333348</v>
      </c>
      <c r="G22" s="434">
        <f>IF($E$8="Historic Calendar Year",
 IF(COUNTIFS('Commodity Prices'!$N:$N, "&gt;0", 'Commodity Prices'!$A:$A, $E22)=12, AVERAGEIFS('Commodity Prices'!$N:$N, 'Commodity Prices'!$A:$A, $E22), NA()),
 IF(COUNTIFS('Commodity Prices'!$N:$N, "&gt;0", 'Commodity Prices'!$B:$B, $E22)=12, AVERAGEIFS('Commodity Prices'!$N:$N, 'Commodity Prices'!$B:$B, $E22), NA())
)</f>
        <v>9631.7317750959719</v>
      </c>
    </row>
    <row r="23" spans="1:7" x14ac:dyDescent="0.25">
      <c r="A23" s="916">
        <f>LARGE('Commodity Prices'!C$161:C$904,48)</f>
        <v>44562</v>
      </c>
      <c r="B23" s="917">
        <f>SUMIF('Commodity Prices'!C$161:C$904,A23,'Commodity Prices'!M$161:M$904)</f>
        <v>22319.38</v>
      </c>
      <c r="C23" s="918">
        <f>SUMIF('Commodity Prices'!C$161:C$904,A23,'Commodity Prices'!N$161:N$904)</f>
        <v>31088.450006231349</v>
      </c>
      <c r="D23" s="573"/>
      <c r="E23" s="919">
        <f t="shared" si="0"/>
        <v>1997</v>
      </c>
      <c r="F23" s="917">
        <f>IF($E$8="Historic Calendar Year",
 IF(COUNTIFS('Commodity Prices'!$M:$M, "&gt;0", 'Commodity Prices'!$A:$A, $E23)=12, AVERAGEIFS('Commodity Prices'!$M:$M, 'Commodity Prices'!$A:$A, $E23), NA()),
 IF(COUNTIFS('Commodity Prices'!$M:$M, "&gt;0", 'Commodity Prices'!$B:$B, $E23)=12, AVERAGEIFS('Commodity Prices'!$M:$M, 'Commodity Prices'!$B:$B, $E23), NA())
)</f>
        <v>6924.1499999999987</v>
      </c>
      <c r="G23" s="918">
        <f>IF($E$8="Historic Calendar Year",
 IF(COUNTIFS('Commodity Prices'!$N:$N, "&gt;0", 'Commodity Prices'!$A:$A, $E23)=12, AVERAGEIFS('Commodity Prices'!$N:$N, 'Commodity Prices'!$A:$A, $E23), NA()),
 IF(COUNTIFS('Commodity Prices'!$N:$N, "&gt;0", 'Commodity Prices'!$B:$B, $E23)=12, AVERAGEIFS('Commodity Prices'!$N:$N, 'Commodity Prices'!$B:$B, $E23), NA())
)</f>
        <v>9291.8261160070087</v>
      </c>
    </row>
    <row r="24" spans="1:7" x14ac:dyDescent="0.25">
      <c r="A24" s="914">
        <f>LARGE('Commodity Prices'!C$161:C$904,47)</f>
        <v>44593</v>
      </c>
      <c r="B24" s="433">
        <f>SUMIF('Commodity Prices'!C$161:C$904,A24,'Commodity Prices'!M$161:M$904)</f>
        <v>24172.5</v>
      </c>
      <c r="C24" s="434">
        <f>SUMIF('Commodity Prices'!C$161:C$904,A24,'Commodity Prices'!N$161:N$904)</f>
        <v>33771.559101101622</v>
      </c>
      <c r="D24" s="573"/>
      <c r="E24" s="919">
        <f t="shared" si="0"/>
        <v>1998</v>
      </c>
      <c r="F24" s="433">
        <f>IF($E$8="Historic Calendar Year",
 IF(COUNTIFS('Commodity Prices'!$M:$M, "&gt;0", 'Commodity Prices'!$A:$A, $E24)=12, AVERAGEIFS('Commodity Prices'!$M:$M, 'Commodity Prices'!$A:$A, $E24), NA()),
 IF(COUNTIFS('Commodity Prices'!$M:$M, "&gt;0", 'Commodity Prices'!$B:$B, $E24)=12, AVERAGEIFS('Commodity Prices'!$M:$M, 'Commodity Prices'!$B:$B, $E24), NA())
)</f>
        <v>4632.6191666666664</v>
      </c>
      <c r="G24" s="434">
        <f>IF($E$8="Historic Calendar Year",
 IF(COUNTIFS('Commodity Prices'!$N:$N, "&gt;0", 'Commodity Prices'!$A:$A, $E24)=12, AVERAGEIFS('Commodity Prices'!$N:$N, 'Commodity Prices'!$A:$A, $E24), NA()),
 IF(COUNTIFS('Commodity Prices'!$N:$N, "&gt;0", 'Commodity Prices'!$B:$B, $E24)=12, AVERAGEIFS('Commodity Prices'!$N:$N, 'Commodity Prices'!$B:$B, $E24), NA())
)</f>
        <v>7339.2905318583653</v>
      </c>
    </row>
    <row r="25" spans="1:7" x14ac:dyDescent="0.25">
      <c r="A25" s="916">
        <f>LARGE('Commodity Prices'!C$161:C$904,46)</f>
        <v>44621</v>
      </c>
      <c r="B25" s="917">
        <f>SUMIF('Commodity Prices'!C$161:C$904,A25,'Commodity Prices'!M$161:M$904)</f>
        <v>34101.18</v>
      </c>
      <c r="C25" s="918">
        <f>SUMIF('Commodity Prices'!C$161:C$904,A25,'Commodity Prices'!N$161:N$904)</f>
        <v>46278.721257500925</v>
      </c>
      <c r="D25" s="573"/>
      <c r="E25" s="919">
        <f t="shared" si="0"/>
        <v>1999</v>
      </c>
      <c r="F25" s="917">
        <f>IF($E$8="Historic Calendar Year",
 IF(COUNTIFS('Commodity Prices'!$M:$M, "&gt;0", 'Commodity Prices'!$A:$A, $E25)=12, AVERAGEIFS('Commodity Prices'!$M:$M, 'Commodity Prices'!$A:$A, $E25), NA()),
 IF(COUNTIFS('Commodity Prices'!$M:$M, "&gt;0", 'Commodity Prices'!$B:$B, $E25)=12, AVERAGEIFS('Commodity Prices'!$M:$M, 'Commodity Prices'!$B:$B, $E25), NA())
)</f>
        <v>6014.5920000000006</v>
      </c>
      <c r="G25" s="918">
        <f>IF($E$8="Historic Calendar Year",
 IF(COUNTIFS('Commodity Prices'!$N:$N, "&gt;0", 'Commodity Prices'!$A:$A, $E25)=12, AVERAGEIFS('Commodity Prices'!$N:$N, 'Commodity Prices'!$A:$A, $E25), NA()),
 IF(COUNTIFS('Commodity Prices'!$N:$N, "&gt;0", 'Commodity Prices'!$B:$B, $E25)=12, AVERAGEIFS('Commodity Prices'!$N:$N, 'Commodity Prices'!$B:$B, $E25), NA())
)</f>
        <v>9318.6959983254765</v>
      </c>
    </row>
    <row r="26" spans="1:7" x14ac:dyDescent="0.25">
      <c r="A26" s="914">
        <f>LARGE('Commodity Prices'!C$161:C$904,45)</f>
        <v>44652</v>
      </c>
      <c r="B26" s="433">
        <f>SUMIF('Commodity Prices'!C$161:C$904,A26,'Commodity Prices'!M$161:M$904)</f>
        <v>33287.24</v>
      </c>
      <c r="C26" s="434">
        <f>SUMIF('Commodity Prices'!C$161:C$904,A26,'Commodity Prices'!N$161:N$904)</f>
        <v>44997.958769854682</v>
      </c>
      <c r="D26" s="573"/>
      <c r="E26" s="919">
        <f t="shared" si="0"/>
        <v>2000</v>
      </c>
      <c r="F26" s="433">
        <f>IF($E$8="Historic Calendar Year",
 IF(COUNTIFS('Commodity Prices'!$M:$M, "&gt;0", 'Commodity Prices'!$A:$A, $E26)=12, AVERAGEIFS('Commodity Prices'!$M:$M, 'Commodity Prices'!$A:$A, $E26), NA()),
 IF(COUNTIFS('Commodity Prices'!$M:$M, "&gt;0", 'Commodity Prices'!$B:$B, $E26)=12, AVERAGEIFS('Commodity Prices'!$M:$M, 'Commodity Prices'!$B:$B, $E26), NA())
)</f>
        <v>8641.8808333333345</v>
      </c>
      <c r="G26" s="434">
        <f>IF($E$8="Historic Calendar Year",
 IF(COUNTIFS('Commodity Prices'!$N:$N, "&gt;0", 'Commodity Prices'!$A:$A, $E26)=12, AVERAGEIFS('Commodity Prices'!$N:$N, 'Commodity Prices'!$A:$A, $E26), NA()),
 IF(COUNTIFS('Commodity Prices'!$N:$N, "&gt;0", 'Commodity Prices'!$B:$B, $E26)=12, AVERAGEIFS('Commodity Prices'!$N:$N, 'Commodity Prices'!$B:$B, $E26), NA())
)</f>
        <v>14839.194849024641</v>
      </c>
    </row>
    <row r="27" spans="1:7" x14ac:dyDescent="0.25">
      <c r="A27" s="916">
        <f>LARGE('Commodity Prices'!C$161:C$904,44)</f>
        <v>44682</v>
      </c>
      <c r="B27" s="917">
        <f>SUMIF('Commodity Prices'!C$161:C$904,A27,'Commodity Prices'!M$161:M$904)</f>
        <v>27938.57</v>
      </c>
      <c r="C27" s="918">
        <f>SUMIF('Commodity Prices'!C$161:C$904,A27,'Commodity Prices'!N$161:N$904)</f>
        <v>39617.938173567782</v>
      </c>
      <c r="D27" s="573"/>
      <c r="E27" s="919">
        <f t="shared" si="0"/>
        <v>2001</v>
      </c>
      <c r="F27" s="917">
        <f>IF($E$8="Historic Calendar Year",
 IF(COUNTIFS('Commodity Prices'!$M:$M, "&gt;0", 'Commodity Prices'!$A:$A, $E27)=12, AVERAGEIFS('Commodity Prices'!$M:$M, 'Commodity Prices'!$A:$A, $E27), NA()),
 IF(COUNTIFS('Commodity Prices'!$M:$M, "&gt;0", 'Commodity Prices'!$B:$B, $E27)=12, AVERAGEIFS('Commodity Prices'!$M:$M, 'Commodity Prices'!$B:$B, $E27), NA())
)</f>
        <v>5949.4933333333347</v>
      </c>
      <c r="G27" s="918">
        <f>IF($E$8="Historic Calendar Year",
 IF(COUNTIFS('Commodity Prices'!$N:$N, "&gt;0", 'Commodity Prices'!$A:$A, $E27)=12, AVERAGEIFS('Commodity Prices'!$N:$N, 'Commodity Prices'!$A:$A, $E27), NA()),
 IF(COUNTIFS('Commodity Prices'!$N:$N, "&gt;0", 'Commodity Prices'!$B:$B, $E27)=12, AVERAGEIFS('Commodity Prices'!$N:$N, 'Commodity Prices'!$B:$B, $E27), NA())
)</f>
        <v>11480.188599147981</v>
      </c>
    </row>
    <row r="28" spans="1:7" x14ac:dyDescent="0.25">
      <c r="A28" s="914">
        <f>LARGE('Commodity Prices'!C$161:C$904,43)</f>
        <v>44713</v>
      </c>
      <c r="B28" s="433">
        <f>SUMIF('Commodity Prices'!C$161:C$904,A28,'Commodity Prices'!M$161:M$904)</f>
        <v>25824.880000000001</v>
      </c>
      <c r="C28" s="434">
        <f>SUMIF('Commodity Prices'!C$161:C$904,A28,'Commodity Prices'!N$161:N$904)</f>
        <v>36733.507183158697</v>
      </c>
      <c r="D28" s="573"/>
      <c r="E28" s="919">
        <f t="shared" si="0"/>
        <v>2002</v>
      </c>
      <c r="F28" s="433">
        <f>IF($E$8="Historic Calendar Year",
 IF(COUNTIFS('Commodity Prices'!$M:$M, "&gt;0", 'Commodity Prices'!$A:$A, $E28)=12, AVERAGEIFS('Commodity Prices'!$M:$M, 'Commodity Prices'!$A:$A, $E28), NA()),
 IF(COUNTIFS('Commodity Prices'!$M:$M, "&gt;0", 'Commodity Prices'!$B:$B, $E28)=12, AVERAGEIFS('Commodity Prices'!$M:$M, 'Commodity Prices'!$B:$B, $E28), NA())
)</f>
        <v>6793.0508333333337</v>
      </c>
      <c r="G28" s="434">
        <f>IF($E$8="Historic Calendar Year",
 IF(COUNTIFS('Commodity Prices'!$N:$N, "&gt;0", 'Commodity Prices'!$A:$A, $E28)=12, AVERAGEIFS('Commodity Prices'!$N:$N, 'Commodity Prices'!$A:$A, $E28), NA()),
 IF(COUNTIFS('Commodity Prices'!$N:$N, "&gt;0", 'Commodity Prices'!$B:$B, $E28)=12, AVERAGEIFS('Commodity Prices'!$N:$N, 'Commodity Prices'!$B:$B, $E28), NA())
)</f>
        <v>12480.84574770486</v>
      </c>
    </row>
    <row r="29" spans="1:7" x14ac:dyDescent="0.25">
      <c r="A29" s="916">
        <f>LARGE('Commodity Prices'!C$161:C$904,42)</f>
        <v>44743</v>
      </c>
      <c r="B29" s="917">
        <f>SUMIF('Commodity Prices'!C$161:C$904,A29,'Commodity Prices'!M$161:M$904)</f>
        <v>21470.95</v>
      </c>
      <c r="C29" s="918">
        <f>SUMIF('Commodity Prices'!C$161:C$904,A29,'Commodity Prices'!N$161:N$904)</f>
        <v>31322.242830943644</v>
      </c>
      <c r="D29" s="573"/>
      <c r="E29" s="919">
        <f t="shared" si="0"/>
        <v>2003</v>
      </c>
      <c r="F29" s="917">
        <f>IF($E$8="Historic Calendar Year",
 IF(COUNTIFS('Commodity Prices'!$M:$M, "&gt;0", 'Commodity Prices'!$A:$A, $E29)=12, AVERAGEIFS('Commodity Prices'!$M:$M, 'Commodity Prices'!$A:$A, $E29), NA()),
 IF(COUNTIFS('Commodity Prices'!$M:$M, "&gt;0", 'Commodity Prices'!$B:$B, $E29)=12, AVERAGEIFS('Commodity Prices'!$M:$M, 'Commodity Prices'!$B:$B, $E29), NA())
)</f>
        <v>9633.3608333333341</v>
      </c>
      <c r="G29" s="918">
        <f>IF($E$8="Historic Calendar Year",
 IF(COUNTIFS('Commodity Prices'!$N:$N, "&gt;0", 'Commodity Prices'!$A:$A, $E29)=12, AVERAGEIFS('Commodity Prices'!$N:$N, 'Commodity Prices'!$A:$A, $E29), NA()),
 IF(COUNTIFS('Commodity Prices'!$N:$N, "&gt;0", 'Commodity Prices'!$B:$B, $E29)=12, AVERAGEIFS('Commodity Prices'!$N:$N, 'Commodity Prices'!$B:$B, $E29), NA())
)</f>
        <v>14681.767613151509</v>
      </c>
    </row>
    <row r="30" spans="1:7" x14ac:dyDescent="0.25">
      <c r="A30" s="914">
        <f>LARGE('Commodity Prices'!C$161:C$904,41)</f>
        <v>44774</v>
      </c>
      <c r="B30" s="433">
        <f>SUMIF('Commodity Prices'!C$161:C$904,A30,'Commodity Prices'!M$161:M$904)</f>
        <v>21987.95</v>
      </c>
      <c r="C30" s="434">
        <f>SUMIF('Commodity Prices'!C$161:C$904,A30,'Commodity Prices'!N$161:N$904)</f>
        <v>31591.675864185836</v>
      </c>
      <c r="D30" s="573"/>
      <c r="E30" s="919">
        <f t="shared" si="0"/>
        <v>2004</v>
      </c>
      <c r="F30" s="433">
        <f>IF($E$8="Historic Calendar Year",
 IF(COUNTIFS('Commodity Prices'!$M:$M, "&gt;0", 'Commodity Prices'!$A:$A, $E30)=12, AVERAGEIFS('Commodity Prices'!$M:$M, 'Commodity Prices'!$A:$A, $E30), NA()),
 IF(COUNTIFS('Commodity Prices'!$M:$M, "&gt;0", 'Commodity Prices'!$B:$B, $E30)=12, AVERAGEIFS('Commodity Prices'!$M:$M, 'Commodity Prices'!$B:$B, $E30), NA())
)</f>
        <v>13830.259166666665</v>
      </c>
      <c r="G30" s="434">
        <f>IF($E$8="Historic Calendar Year",
 IF(COUNTIFS('Commodity Prices'!$N:$N, "&gt;0", 'Commodity Prices'!$A:$A, $E30)=12, AVERAGEIFS('Commodity Prices'!$N:$N, 'Commodity Prices'!$A:$A, $E30), NA()),
 IF(COUNTIFS('Commodity Prices'!$N:$N, "&gt;0", 'Commodity Prices'!$B:$B, $E30)=12, AVERAGEIFS('Commodity Prices'!$N:$N, 'Commodity Prices'!$B:$B, $E30), NA())
)</f>
        <v>18776.299374102182</v>
      </c>
    </row>
    <row r="31" spans="1:7" x14ac:dyDescent="0.25">
      <c r="A31" s="916">
        <f>LARGE('Commodity Prices'!C$161:C$904,40)</f>
        <v>44805</v>
      </c>
      <c r="B31" s="917">
        <f>SUMIF('Commodity Prices'!C$161:C$904,A31,'Commodity Prices'!M$161:M$904)</f>
        <v>22672.84</v>
      </c>
      <c r="C31" s="918">
        <f>SUMIF('Commodity Prices'!C$161:C$904,A31,'Commodity Prices'!N$161:N$904)</f>
        <v>33903.432856013722</v>
      </c>
      <c r="D31" s="573"/>
      <c r="E31" s="919">
        <f t="shared" si="0"/>
        <v>2005</v>
      </c>
      <c r="F31" s="917">
        <f>IF($E$8="Historic Calendar Year",
 IF(COUNTIFS('Commodity Prices'!$M:$M, "&gt;0", 'Commodity Prices'!$A:$A, $E31)=12, AVERAGEIFS('Commodity Prices'!$M:$M, 'Commodity Prices'!$A:$A, $E31), NA()),
 IF(COUNTIFS('Commodity Prices'!$M:$M, "&gt;0", 'Commodity Prices'!$B:$B, $E31)=12, AVERAGEIFS('Commodity Prices'!$M:$M, 'Commodity Prices'!$B:$B, $E31), NA())
)</f>
        <v>14743.910000000002</v>
      </c>
      <c r="G31" s="918">
        <f>IF($E$8="Historic Calendar Year",
 IF(COUNTIFS('Commodity Prices'!$N:$N, "&gt;0", 'Commodity Prices'!$A:$A, $E31)=12, AVERAGEIFS('Commodity Prices'!$N:$N, 'Commodity Prices'!$A:$A, $E31), NA()),
 IF(COUNTIFS('Commodity Prices'!$N:$N, "&gt;0", 'Commodity Prices'!$B:$B, $E31)=12, AVERAGEIFS('Commodity Prices'!$N:$N, 'Commodity Prices'!$B:$B, $E31), NA())
)</f>
        <v>19319.30706067169</v>
      </c>
    </row>
    <row r="32" spans="1:7" x14ac:dyDescent="0.25">
      <c r="A32" s="914">
        <f>LARGE('Commodity Prices'!C$161:C$904,39)</f>
        <v>44835</v>
      </c>
      <c r="B32" s="433">
        <f>SUMIF('Commodity Prices'!C$161:C$904,A32,'Commodity Prices'!M$161:M$904)</f>
        <v>21924.52</v>
      </c>
      <c r="C32" s="434">
        <f>SUMIF('Commodity Prices'!C$161:C$904,A32,'Commodity Prices'!N$161:N$904)</f>
        <v>34467.638227294883</v>
      </c>
      <c r="D32" s="573"/>
      <c r="E32" s="919">
        <f t="shared" si="0"/>
        <v>2006</v>
      </c>
      <c r="F32" s="433">
        <f>IF($E$8="Historic Calendar Year",
 IF(COUNTIFS('Commodity Prices'!$M:$M, "&gt;0", 'Commodity Prices'!$A:$A, $E32)=12, AVERAGEIFS('Commodity Prices'!$M:$M, 'Commodity Prices'!$A:$A, $E32), NA()),
 IF(COUNTIFS('Commodity Prices'!$M:$M, "&gt;0", 'Commodity Prices'!$B:$B, $E32)=12, AVERAGEIFS('Commodity Prices'!$M:$M, 'Commodity Prices'!$B:$B, $E32), NA())
)</f>
        <v>24360.182499999999</v>
      </c>
      <c r="G32" s="434">
        <f>IF($E$8="Historic Calendar Year",
 IF(COUNTIFS('Commodity Prices'!$N:$N, "&gt;0", 'Commodity Prices'!$A:$A, $E32)=12, AVERAGEIFS('Commodity Prices'!$N:$N, 'Commodity Prices'!$A:$A, $E32), NA()),
 IF(COUNTIFS('Commodity Prices'!$N:$N, "&gt;0", 'Commodity Prices'!$B:$B, $E32)=12, AVERAGEIFS('Commodity Prices'!$N:$N, 'Commodity Prices'!$B:$B, $E32), NA())
)</f>
        <v>32188.773145870091</v>
      </c>
    </row>
    <row r="33" spans="1:7" x14ac:dyDescent="0.25">
      <c r="A33" s="916">
        <f>LARGE('Commodity Prices'!C$161:C$904,38)</f>
        <v>44866</v>
      </c>
      <c r="B33" s="917">
        <f>SUMIF('Commodity Prices'!C$161:C$904,A33,'Commodity Prices'!M$161:M$904)</f>
        <v>25246.25</v>
      </c>
      <c r="C33" s="918">
        <f>SUMIF('Commodity Prices'!C$161:C$904,A33,'Commodity Prices'!N$161:N$904)</f>
        <v>38286.963954586492</v>
      </c>
      <c r="D33" s="573"/>
      <c r="E33" s="919">
        <f t="shared" si="0"/>
        <v>2007</v>
      </c>
      <c r="F33" s="917">
        <f>IF($E$8="Historic Calendar Year",
 IF(COUNTIFS('Commodity Prices'!$M:$M, "&gt;0", 'Commodity Prices'!$A:$A, $E33)=12, AVERAGEIFS('Commodity Prices'!$M:$M, 'Commodity Prices'!$A:$A, $E33), NA()),
 IF(COUNTIFS('Commodity Prices'!$M:$M, "&gt;0", 'Commodity Prices'!$B:$B, $E33)=12, AVERAGEIFS('Commodity Prices'!$M:$M, 'Commodity Prices'!$B:$B, $E33), NA())
)</f>
        <v>37229.805833333332</v>
      </c>
      <c r="G33" s="918">
        <f>IF($E$8="Historic Calendar Year",
 IF(COUNTIFS('Commodity Prices'!$N:$N, "&gt;0", 'Commodity Prices'!$A:$A, $E33)=12, AVERAGEIFS('Commodity Prices'!$N:$N, 'Commodity Prices'!$A:$A, $E33), NA()),
 IF(COUNTIFS('Commodity Prices'!$N:$N, "&gt;0", 'Commodity Prices'!$B:$B, $E33)=12, AVERAGEIFS('Commodity Prices'!$N:$N, 'Commodity Prices'!$B:$B, $E33), NA())
)</f>
        <v>44744.99982866794</v>
      </c>
    </row>
    <row r="34" spans="1:7" x14ac:dyDescent="0.25">
      <c r="A34" s="914">
        <f>LARGE('Commodity Prices'!C$161:C$904,37)</f>
        <v>44896</v>
      </c>
      <c r="B34" s="433">
        <f>SUMIF('Commodity Prices'!C$161:C$904,A34,'Commodity Prices'!M$161:M$904)</f>
        <v>26925</v>
      </c>
      <c r="C34" s="434">
        <f>SUMIF('Commodity Prices'!C$161:C$904,A34,'Commodity Prices'!N$161:N$904)</f>
        <v>39877.368760135963</v>
      </c>
      <c r="D34" s="573"/>
      <c r="E34" s="919">
        <f t="shared" si="0"/>
        <v>2008</v>
      </c>
      <c r="F34" s="433">
        <f>IF($E$8="Historic Calendar Year",
 IF(COUNTIFS('Commodity Prices'!$M:$M, "&gt;0", 'Commodity Prices'!$A:$A, $E34)=12, AVERAGEIFS('Commodity Prices'!$M:$M, 'Commodity Prices'!$A:$A, $E34), NA()),
 IF(COUNTIFS('Commodity Prices'!$M:$M, "&gt;0", 'Commodity Prices'!$B:$B, $E34)=12, AVERAGEIFS('Commodity Prices'!$M:$M, 'Commodity Prices'!$B:$B, $E34), NA())
)</f>
        <v>21113.145833333332</v>
      </c>
      <c r="G34" s="434">
        <f>IF($E$8="Historic Calendar Year",
 IF(COUNTIFS('Commodity Prices'!$N:$N, "&gt;0", 'Commodity Prices'!$A:$A, $E34)=12, AVERAGEIFS('Commodity Prices'!$N:$N, 'Commodity Prices'!$A:$A, $E34), NA()),
 IF(COUNTIFS('Commodity Prices'!$N:$N, "&gt;0", 'Commodity Prices'!$B:$B, $E34)=12, AVERAGEIFS('Commodity Prices'!$N:$N, 'Commodity Prices'!$B:$B, $E34), NA())
)</f>
        <v>24173.233354519092</v>
      </c>
    </row>
    <row r="35" spans="1:7" x14ac:dyDescent="0.25">
      <c r="A35" s="916">
        <f>LARGE('Commodity Prices'!C$161:C$904,36)</f>
        <v>44927</v>
      </c>
      <c r="B35" s="917">
        <f>SUMIF('Commodity Prices'!C$161:C$904,A35,'Commodity Prices'!M$161:M$904)</f>
        <v>28226.07</v>
      </c>
      <c r="C35" s="918">
        <f>SUMIF('Commodity Prices'!C$161:C$904,A35,'Commodity Prices'!N$161:N$904)</f>
        <v>40620.648466619648</v>
      </c>
      <c r="D35" s="573"/>
      <c r="E35" s="919">
        <f t="shared" si="0"/>
        <v>2009</v>
      </c>
      <c r="F35" s="917">
        <f>IF($E$8="Historic Calendar Year",
 IF(COUNTIFS('Commodity Prices'!$M:$M, "&gt;0", 'Commodity Prices'!$A:$A, $E35)=12, AVERAGEIFS('Commodity Prices'!$M:$M, 'Commodity Prices'!$A:$A, $E35), NA()),
 IF(COUNTIFS('Commodity Prices'!$M:$M, "&gt;0", 'Commodity Prices'!$B:$B, $E35)=12, AVERAGEIFS('Commodity Prices'!$M:$M, 'Commodity Prices'!$B:$B, $E35), NA())
)</f>
        <v>14721.555833333334</v>
      </c>
      <c r="G35" s="918">
        <f>IF($E$8="Historic Calendar Year",
 IF(COUNTIFS('Commodity Prices'!$N:$N, "&gt;0", 'Commodity Prices'!$A:$A, $E35)=12, AVERAGEIFS('Commodity Prices'!$N:$N, 'Commodity Prices'!$A:$A, $E35), NA()),
 IF(COUNTIFS('Commodity Prices'!$N:$N, "&gt;0", 'Commodity Prices'!$B:$B, $E35)=12, AVERAGEIFS('Commodity Prices'!$N:$N, 'Commodity Prices'!$B:$B, $E35), NA())
)</f>
        <v>18387.95872138254</v>
      </c>
    </row>
    <row r="36" spans="1:7" x14ac:dyDescent="0.25">
      <c r="A36" s="914">
        <f>LARGE('Commodity Prices'!C$161:C$904,35)</f>
        <v>44958</v>
      </c>
      <c r="B36" s="433">
        <f>SUMIF('Commodity Prices'!C$161:C$904,A36,'Commodity Prices'!M$161:M$904)</f>
        <v>26678.880000000001</v>
      </c>
      <c r="C36" s="434">
        <f>SUMIF('Commodity Prices'!C$161:C$904,A36,'Commodity Prices'!N$161:N$904)</f>
        <v>38583.403233737306</v>
      </c>
      <c r="D36" s="573"/>
      <c r="E36" s="919">
        <f t="shared" si="0"/>
        <v>2010</v>
      </c>
      <c r="F36" s="433">
        <f>IF($E$8="Historic Calendar Year",
 IF(COUNTIFS('Commodity Prices'!$M:$M, "&gt;0", 'Commodity Prices'!$A:$A, $E36)=12, AVERAGEIFS('Commodity Prices'!$M:$M, 'Commodity Prices'!$A:$A, $E36), NA()),
 IF(COUNTIFS('Commodity Prices'!$M:$M, "&gt;0", 'Commodity Prices'!$B:$B, $E36)=12, AVERAGEIFS('Commodity Prices'!$M:$M, 'Commodity Prices'!$B:$B, $E36), NA())
)</f>
        <v>21808.852500000001</v>
      </c>
      <c r="G36" s="434">
        <f>IF($E$8="Historic Calendar Year",
 IF(COUNTIFS('Commodity Prices'!$N:$N, "&gt;0", 'Commodity Prices'!$A:$A, $E36)=12, AVERAGEIFS('Commodity Prices'!$N:$N, 'Commodity Prices'!$A:$A, $E36), NA()),
 IF(COUNTIFS('Commodity Prices'!$N:$N, "&gt;0", 'Commodity Prices'!$B:$B, $E36)=12, AVERAGEIFS('Commodity Prices'!$N:$N, 'Commodity Prices'!$B:$B, $E36), NA())
)</f>
        <v>23691.080165372565</v>
      </c>
    </row>
    <row r="37" spans="1:7" x14ac:dyDescent="0.25">
      <c r="A37" s="916">
        <f>LARGE('Commodity Prices'!C$161:C$904,34)</f>
        <v>44986</v>
      </c>
      <c r="B37" s="917">
        <f>SUMIF('Commodity Prices'!C$161:C$904,A37,'Commodity Prices'!M$161:M$904)</f>
        <v>23289.46</v>
      </c>
      <c r="C37" s="918">
        <f>SUMIF('Commodity Prices'!C$161:C$904,A37,'Commodity Prices'!N$161:N$904)</f>
        <v>34827.285376193075</v>
      </c>
      <c r="D37" s="573"/>
      <c r="E37" s="919">
        <f t="shared" si="0"/>
        <v>2011</v>
      </c>
      <c r="F37" s="917">
        <f>IF($E$8="Historic Calendar Year",
 IF(COUNTIFS('Commodity Prices'!$M:$M, "&gt;0", 'Commodity Prices'!$A:$A, $E37)=12, AVERAGEIFS('Commodity Prices'!$M:$M, 'Commodity Prices'!$A:$A, $E37), NA()),
 IF(COUNTIFS('Commodity Prices'!$M:$M, "&gt;0", 'Commodity Prices'!$B:$B, $E37)=12, AVERAGEIFS('Commodity Prices'!$M:$M, 'Commodity Prices'!$B:$B, $E37), NA())
)</f>
        <v>22894.358333333334</v>
      </c>
      <c r="G37" s="918">
        <f>IF($E$8="Historic Calendar Year",
 IF(COUNTIFS('Commodity Prices'!$N:$N, "&gt;0", 'Commodity Prices'!$A:$A, $E37)=12, AVERAGEIFS('Commodity Prices'!$N:$N, 'Commodity Prices'!$A:$A, $E37), NA()),
 IF(COUNTIFS('Commodity Prices'!$N:$N, "&gt;0", 'Commodity Prices'!$B:$B, $E37)=12, AVERAGEIFS('Commodity Prices'!$N:$N, 'Commodity Prices'!$B:$B, $E37), NA())
)</f>
        <v>22194.801667713149</v>
      </c>
    </row>
    <row r="38" spans="1:7" x14ac:dyDescent="0.25">
      <c r="A38" s="914">
        <f>LARGE('Commodity Prices'!C$161:C$904,33)</f>
        <v>45017</v>
      </c>
      <c r="B38" s="433">
        <f>SUMIF('Commodity Prices'!C$161:C$904,A38,'Commodity Prices'!M$161:M$904)</f>
        <v>23749.17</v>
      </c>
      <c r="C38" s="434">
        <f>SUMIF('Commodity Prices'!C$161:C$904,A38,'Commodity Prices'!N$161:N$904)</f>
        <v>35474.553202706265</v>
      </c>
      <c r="D38" s="573"/>
      <c r="E38" s="919">
        <f t="shared" si="0"/>
        <v>2012</v>
      </c>
      <c r="F38" s="433">
        <f>IF($E$8="Historic Calendar Year",
 IF(COUNTIFS('Commodity Prices'!$M:$M, "&gt;0", 'Commodity Prices'!$A:$A, $E38)=12, AVERAGEIFS('Commodity Prices'!$M:$M, 'Commodity Prices'!$A:$A, $E38), NA()),
 IF(COUNTIFS('Commodity Prices'!$M:$M, "&gt;0", 'Commodity Prices'!$B:$B, $E38)=12, AVERAGEIFS('Commodity Prices'!$M:$M, 'Commodity Prices'!$B:$B, $E38), NA())
)</f>
        <v>17535.575158333333</v>
      </c>
      <c r="G38" s="434">
        <f>IF($E$8="Historic Calendar Year",
 IF(COUNTIFS('Commodity Prices'!$N:$N, "&gt;0", 'Commodity Prices'!$A:$A, $E38)=12, AVERAGEIFS('Commodity Prices'!$N:$N, 'Commodity Prices'!$A:$A, $E38), NA()),
 IF(COUNTIFS('Commodity Prices'!$N:$N, "&gt;0", 'Commodity Prices'!$B:$B, $E38)=12, AVERAGEIFS('Commodity Prices'!$N:$N, 'Commodity Prices'!$B:$B, $E38), NA())
)</f>
        <v>16920.31787505178</v>
      </c>
    </row>
    <row r="39" spans="1:7" x14ac:dyDescent="0.25">
      <c r="A39" s="916">
        <f>LARGE('Commodity Prices'!C$161:C$904,32)</f>
        <v>45047</v>
      </c>
      <c r="B39" s="917">
        <f>SUMIF('Commodity Prices'!C$161:C$904,A39,'Commodity Prices'!M$161:M$904)</f>
        <v>22214.880000000001</v>
      </c>
      <c r="C39" s="918">
        <f>SUMIF('Commodity Prices'!C$161:C$904,A39,'Commodity Prices'!N$161:N$904)</f>
        <v>33401.030253902674</v>
      </c>
      <c r="D39" s="573"/>
      <c r="E39" s="919">
        <f t="shared" si="0"/>
        <v>2013</v>
      </c>
      <c r="F39" s="917">
        <f>IF($E$8="Historic Calendar Year",
 IF(COUNTIFS('Commodity Prices'!$M:$M, "&gt;0", 'Commodity Prices'!$A:$A, $E39)=12, AVERAGEIFS('Commodity Prices'!$M:$M, 'Commodity Prices'!$A:$A, $E39), NA()),
 IF(COUNTIFS('Commodity Prices'!$M:$M, "&gt;0", 'Commodity Prices'!$B:$B, $E39)=12, AVERAGEIFS('Commodity Prices'!$M:$M, 'Commodity Prices'!$B:$B, $E39), NA())
)</f>
        <v>15021.8935</v>
      </c>
      <c r="G39" s="918">
        <f>IF($E$8="Historic Calendar Year",
 IF(COUNTIFS('Commodity Prices'!$N:$N, "&gt;0", 'Commodity Prices'!$A:$A, $E39)=12, AVERAGEIFS('Commodity Prices'!$N:$N, 'Commodity Prices'!$A:$A, $E39), NA()),
 IF(COUNTIFS('Commodity Prices'!$N:$N, "&gt;0", 'Commodity Prices'!$B:$B, $E39)=12, AVERAGEIFS('Commodity Prices'!$N:$N, 'Commodity Prices'!$B:$B, $E39), NA())
)</f>
        <v>15485.073351990808</v>
      </c>
    </row>
    <row r="40" spans="1:7" x14ac:dyDescent="0.25">
      <c r="A40" s="914">
        <f>LARGE('Commodity Prices'!C$161:C$904,31)</f>
        <v>45078</v>
      </c>
      <c r="B40" s="433">
        <f>SUMIF('Commodity Prices'!C$161:C$904,A40,'Commodity Prices'!M$161:M$904)</f>
        <v>21184.09</v>
      </c>
      <c r="C40" s="434">
        <f>SUMIF('Commodity Prices'!C$161:C$904,A40,'Commodity Prices'!N$161:N$904)</f>
        <v>31579.888549726693</v>
      </c>
      <c r="D40" s="573"/>
      <c r="E40" s="919">
        <f t="shared" si="0"/>
        <v>2014</v>
      </c>
      <c r="F40" s="433">
        <f>IF($E$8="Historic Calendar Year",
 IF(COUNTIFS('Commodity Prices'!$M:$M, "&gt;0", 'Commodity Prices'!$A:$A, $E40)=12, AVERAGEIFS('Commodity Prices'!$M:$M, 'Commodity Prices'!$A:$A, $E40), NA()),
 IF(COUNTIFS('Commodity Prices'!$M:$M, "&gt;0", 'Commodity Prices'!$B:$B, $E40)=12, AVERAGEIFS('Commodity Prices'!$M:$M, 'Commodity Prices'!$B:$B, $E40), NA())
)</f>
        <v>16868.555058333335</v>
      </c>
      <c r="G40" s="434">
        <f>IF($E$8="Historic Calendar Year",
 IF(COUNTIFS('Commodity Prices'!$N:$N, "&gt;0", 'Commodity Prices'!$A:$A, $E40)=12, AVERAGEIFS('Commodity Prices'!$N:$N, 'Commodity Prices'!$A:$A, $E40), NA()),
 IF(COUNTIFS('Commodity Prices'!$N:$N, "&gt;0", 'Commodity Prices'!$B:$B, $E40)=12, AVERAGEIFS('Commodity Prices'!$N:$N, 'Commodity Prices'!$B:$B, $E40), NA())
)</f>
        <v>18661.064206055453</v>
      </c>
    </row>
    <row r="41" spans="1:7" x14ac:dyDescent="0.25">
      <c r="A41" s="916">
        <f>LARGE('Commodity Prices'!C$161:C$904,30)</f>
        <v>45108</v>
      </c>
      <c r="B41" s="917">
        <f>SUMIF('Commodity Prices'!C$161:C$904,A41,'Commodity Prices'!M$161:M$904)</f>
        <v>20889.88</v>
      </c>
      <c r="C41" s="918">
        <f>SUMIF('Commodity Prices'!C$161:C$904,A41,'Commodity Prices'!N$161:N$904)</f>
        <v>31005.059050526899</v>
      </c>
      <c r="D41" s="573"/>
      <c r="E41" s="919">
        <f t="shared" si="0"/>
        <v>2015</v>
      </c>
      <c r="F41" s="917">
        <f>IF($E$8="Historic Calendar Year",
 IF(COUNTIFS('Commodity Prices'!$M:$M, "&gt;0", 'Commodity Prices'!$A:$A, $E41)=12, AVERAGEIFS('Commodity Prices'!$M:$M, 'Commodity Prices'!$A:$A, $E41), NA()),
 IF(COUNTIFS('Commodity Prices'!$M:$M, "&gt;0", 'Commodity Prices'!$B:$B, $E41)=12, AVERAGEIFS('Commodity Prices'!$M:$M, 'Commodity Prices'!$B:$B, $E41), NA())
)</f>
        <v>11834.792475000002</v>
      </c>
      <c r="G41" s="918">
        <f>IF($E$8="Historic Calendar Year",
 IF(COUNTIFS('Commodity Prices'!$N:$N, "&gt;0", 'Commodity Prices'!$A:$A, $E41)=12, AVERAGEIFS('Commodity Prices'!$N:$N, 'Commodity Prices'!$A:$A, $E41), NA()),
 IF(COUNTIFS('Commodity Prices'!$N:$N, "&gt;0", 'Commodity Prices'!$B:$B, $E41)=12, AVERAGEIFS('Commodity Prices'!$N:$N, 'Commodity Prices'!$B:$B, $E41), NA())
)</f>
        <v>15636.201490325429</v>
      </c>
    </row>
    <row r="42" spans="1:7" x14ac:dyDescent="0.25">
      <c r="A42" s="914">
        <f>LARGE('Commodity Prices'!C$161:C$904,29)</f>
        <v>45139</v>
      </c>
      <c r="B42" s="433">
        <f>SUMIF('Commodity Prices'!C$161:C$904,A42,'Commodity Prices'!M$161:M$904)</f>
        <v>20484.43</v>
      </c>
      <c r="C42" s="434">
        <f>SUMIF('Commodity Prices'!C$161:C$904,A42,'Commodity Prices'!N$161:N$904)</f>
        <v>31571.911167157061</v>
      </c>
      <c r="D42" s="573"/>
      <c r="E42" s="919">
        <f t="shared" si="0"/>
        <v>2016</v>
      </c>
      <c r="F42" s="433">
        <f>IF($E$8="Historic Calendar Year",
 IF(COUNTIFS('Commodity Prices'!$M:$M, "&gt;0", 'Commodity Prices'!$A:$A, $E42)=12, AVERAGEIFS('Commodity Prices'!$M:$M, 'Commodity Prices'!$A:$A, $E42), NA()),
 IF(COUNTIFS('Commodity Prices'!$M:$M, "&gt;0", 'Commodity Prices'!$B:$B, $E42)=12, AVERAGEIFS('Commodity Prices'!$M:$M, 'Commodity Prices'!$B:$B, $E42), NA())
)</f>
        <v>9597.5587916666682</v>
      </c>
      <c r="G42" s="434">
        <f>IF($E$8="Historic Calendar Year",
 IF(COUNTIFS('Commodity Prices'!$N:$N, "&gt;0", 'Commodity Prices'!$A:$A, $E42)=12, AVERAGEIFS('Commodity Prices'!$N:$N, 'Commodity Prices'!$A:$A, $E42), NA()),
 IF(COUNTIFS('Commodity Prices'!$N:$N, "&gt;0", 'Commodity Prices'!$B:$B, $E42)=12, AVERAGEIFS('Commodity Prices'!$N:$N, 'Commodity Prices'!$B:$B, $E42), NA())
)</f>
        <v>12891.090930180819</v>
      </c>
    </row>
    <row r="43" spans="1:7" x14ac:dyDescent="0.25">
      <c r="A43" s="916">
        <f>LARGE('Commodity Prices'!C$161:C$904,28)</f>
        <v>45170</v>
      </c>
      <c r="B43" s="917">
        <f>SUMIF('Commodity Prices'!C$161:C$904,A43,'Commodity Prices'!M$161:M$904)</f>
        <v>19620.599999999999</v>
      </c>
      <c r="C43" s="918">
        <f>SUMIF('Commodity Prices'!C$161:C$904,A43,'Commodity Prices'!N$161:N$904)</f>
        <v>30539.709599235081</v>
      </c>
      <c r="D43" s="573"/>
      <c r="E43" s="919">
        <f t="shared" si="0"/>
        <v>2017</v>
      </c>
      <c r="F43" s="917">
        <f>IF($E$8="Historic Calendar Year",
 IF(COUNTIFS('Commodity Prices'!$M:$M, "&gt;0", 'Commodity Prices'!$A:$A, $E43)=12, AVERAGEIFS('Commodity Prices'!$M:$M, 'Commodity Prices'!$A:$A, $E43), NA()),
 IF(COUNTIFS('Commodity Prices'!$M:$M, "&gt;0", 'Commodity Prices'!$B:$B, $E43)=12, AVERAGEIFS('Commodity Prices'!$M:$M, 'Commodity Prices'!$B:$B, $E43), NA())
)</f>
        <v>10406.91070378788</v>
      </c>
      <c r="G43" s="918">
        <f>IF($E$8="Historic Calendar Year",
 IF(COUNTIFS('Commodity Prices'!$N:$N, "&gt;0", 'Commodity Prices'!$A:$A, $E43)=12, AVERAGEIFS('Commodity Prices'!$N:$N, 'Commodity Prices'!$A:$A, $E43), NA()),
 IF(COUNTIFS('Commodity Prices'!$N:$N, "&gt;0", 'Commodity Prices'!$B:$B, $E43)=12, AVERAGEIFS('Commodity Prices'!$N:$N, 'Commodity Prices'!$B:$B, $E43), NA())
)</f>
        <v>13567.229044753867</v>
      </c>
    </row>
    <row r="44" spans="1:7" x14ac:dyDescent="0.25">
      <c r="A44" s="914">
        <f>LARGE('Commodity Prices'!C$161:C$904,27)</f>
        <v>45200</v>
      </c>
      <c r="B44" s="433">
        <f>SUMIF('Commodity Prices'!C$161:C$904,A44,'Commodity Prices'!M$161:M$904)</f>
        <v>18249.2</v>
      </c>
      <c r="C44" s="434">
        <f>SUMIF('Commodity Prices'!C$161:C$904,A44,'Commodity Prices'!N$161:N$904)</f>
        <v>28738.251107961576</v>
      </c>
      <c r="D44" s="573"/>
      <c r="E44" s="919">
        <f t="shared" si="0"/>
        <v>2018</v>
      </c>
      <c r="F44" s="433">
        <f>IF($E$8="Historic Calendar Year",
 IF(COUNTIFS('Commodity Prices'!$M:$M, "&gt;0", 'Commodity Prices'!$A:$A, $E44)=12, AVERAGEIFS('Commodity Prices'!$M:$M, 'Commodity Prices'!$A:$A, $E44), NA()),
 IF(COUNTIFS('Commodity Prices'!$M:$M, "&gt;0", 'Commodity Prices'!$B:$B, $E44)=12, AVERAGEIFS('Commodity Prices'!$M:$M, 'Commodity Prices'!$B:$B, $E44), NA())
)</f>
        <v>13117.675179440836</v>
      </c>
      <c r="G44" s="434">
        <f>IF($E$8="Historic Calendar Year",
 IF(COUNTIFS('Commodity Prices'!$N:$N, "&gt;0", 'Commodity Prices'!$A:$A, $E44)=12, AVERAGEIFS('Commodity Prices'!$N:$N, 'Commodity Prices'!$A:$A, $E44), NA()),
 IF(COUNTIFS('Commodity Prices'!$N:$N, "&gt;0", 'Commodity Prices'!$B:$B, $E44)=12, AVERAGEIFS('Commodity Prices'!$N:$N, 'Commodity Prices'!$B:$B, $E44), NA())
)</f>
        <v>17527.964525245628</v>
      </c>
    </row>
    <row r="45" spans="1:7" x14ac:dyDescent="0.25">
      <c r="A45" s="916">
        <f>LARGE('Commodity Prices'!C$161:C$904,26)</f>
        <v>45231</v>
      </c>
      <c r="B45" s="917">
        <f>SUMIF('Commodity Prices'!C$161:C$904,A45,'Commodity Prices'!M$161:M$904)</f>
        <v>16974.32</v>
      </c>
      <c r="C45" s="918">
        <f>SUMIF('Commodity Prices'!C$161:C$904,A45,'Commodity Prices'!N$161:N$904)</f>
        <v>26147.068008206075</v>
      </c>
      <c r="D45" s="573"/>
      <c r="E45" s="919">
        <f t="shared" si="0"/>
        <v>2019</v>
      </c>
      <c r="F45" s="917">
        <f>IF($E$8="Historic Calendar Year",
 IF(COUNTIFS('Commodity Prices'!$M:$M, "&gt;0", 'Commodity Prices'!$A:$A, $E45)=12, AVERAGEIFS('Commodity Prices'!$M:$M, 'Commodity Prices'!$A:$A, $E45), NA()),
 IF(COUNTIFS('Commodity Prices'!$M:$M, "&gt;0", 'Commodity Prices'!$B:$B, $E45)=12, AVERAGEIFS('Commodity Prices'!$M:$M, 'Commodity Prices'!$B:$B, $E45), NA())
)</f>
        <v>13906.955833333333</v>
      </c>
      <c r="G45" s="918">
        <f>IF($E$8="Historic Calendar Year",
 IF(COUNTIFS('Commodity Prices'!$N:$N, "&gt;0", 'Commodity Prices'!$A:$A, $E45)=12, AVERAGEIFS('Commodity Prices'!$N:$N, 'Commodity Prices'!$A:$A, $E45), NA()),
 IF(COUNTIFS('Commodity Prices'!$N:$N, "&gt;0", 'Commodity Prices'!$B:$B, $E45)=12, AVERAGEIFS('Commodity Prices'!$N:$N, 'Commodity Prices'!$B:$B, $E45), NA())
)</f>
        <v>20050.216098817091</v>
      </c>
    </row>
    <row r="46" spans="1:7" x14ac:dyDescent="0.25">
      <c r="A46" s="914">
        <f>LARGE('Commodity Prices'!C$161:C$904,25)</f>
        <v>45261</v>
      </c>
      <c r="B46" s="433">
        <f>SUMIF('Commodity Prices'!C$161:C$904,A46,'Commodity Prices'!M$161:M$904)</f>
        <v>16381.71</v>
      </c>
      <c r="C46" s="434">
        <f>SUMIF('Commodity Prices'!C$161:C$904,A46,'Commodity Prices'!N$161:N$904)</f>
        <v>24513.667687897232</v>
      </c>
      <c r="D46" s="573"/>
      <c r="E46" s="919">
        <f>IF($E$8="Historic Calendar Year", E45+1, LEFT(E45, 4)+1 &amp; "-" &amp; RIGHT( LEFT(E45, 4)+2, 2))</f>
        <v>2020</v>
      </c>
      <c r="F46" s="433">
        <f>IF($E$8="Historic Calendar Year",
 IF(COUNTIFS('Commodity Prices'!$M:$M, "&gt;0", 'Commodity Prices'!$A:$A, $E46)=12, AVERAGEIFS('Commodity Prices'!$M:$M, 'Commodity Prices'!$A:$A, $E46), NA()),
 IF(COUNTIFS('Commodity Prices'!$M:$M, "&gt;0", 'Commodity Prices'!$B:$B, $E46)=12, AVERAGEIFS('Commodity Prices'!$M:$M, 'Commodity Prices'!$B:$B, $E46), NA())
)</f>
        <v>13773.181666666665</v>
      </c>
      <c r="G46" s="434">
        <f>IF($E$8="Historic Calendar Year",
 IF(COUNTIFS('Commodity Prices'!$N:$N, "&gt;0", 'Commodity Prices'!$A:$A, $E46)=12, AVERAGEIFS('Commodity Prices'!$N:$N, 'Commodity Prices'!$A:$A, $E46), NA()),
 IF(COUNTIFS('Commodity Prices'!$N:$N, "&gt;0", 'Commodity Prices'!$B:$B, $E46)=12, AVERAGEIFS('Commodity Prices'!$N:$N, 'Commodity Prices'!$B:$B, $E46), NA())
)</f>
        <v>19892.361092829509</v>
      </c>
    </row>
    <row r="47" spans="1:7" x14ac:dyDescent="0.25">
      <c r="A47" s="916">
        <f>LARGE('Commodity Prices'!C$161:C$904,24)</f>
        <v>45292</v>
      </c>
      <c r="B47" s="917">
        <f>SUMIF('Commodity Prices'!C$161:C$904,A47,'Commodity Prices'!M$161:M$904)</f>
        <v>16085.11</v>
      </c>
      <c r="C47" s="918">
        <f>SUMIF('Commodity Prices'!C$161:C$904,A47,'Commodity Prices'!N$161:N$904)</f>
        <v>24179.651250187904</v>
      </c>
      <c r="D47" s="573"/>
      <c r="E47" s="919">
        <f t="shared" ref="E47:E48" si="1">IF($E$8="Historic Calendar Year", E46+1, LEFT(E46, 4)+1 &amp; "-" &amp; RIGHT( LEFT(E46, 4)+2, 2))</f>
        <v>2021</v>
      </c>
      <c r="F47" s="917">
        <f>IF($E$8="Historic Calendar Year",
 IF(COUNTIFS('Commodity Prices'!$M:$M, "&gt;0", 'Commodity Prices'!$A:$A, $E47)=12, AVERAGEIFS('Commodity Prices'!$M:$M, 'Commodity Prices'!$A:$A, $E47), NA()),
 IF(COUNTIFS('Commodity Prices'!$M:$M, "&gt;0", 'Commodity Prices'!$B:$B, $E47)=12, AVERAGEIFS('Commodity Prices'!$M:$M, 'Commodity Prices'!$B:$B, $E47), NA())
)</f>
        <v>18488.620000000003</v>
      </c>
      <c r="G47" s="918">
        <f>IF($E$8="Historic Calendar Year",
 IF(COUNTIFS('Commodity Prices'!$N:$N, "&gt;0", 'Commodity Prices'!$A:$A, $E47)=12, AVERAGEIFS('Commodity Prices'!$N:$N, 'Commodity Prices'!$A:$A, $E47), NA()),
 IF(COUNTIFS('Commodity Prices'!$N:$N, "&gt;0", 'Commodity Prices'!$B:$B, $E47)=12, AVERAGEIFS('Commodity Prices'!$N:$N, 'Commodity Prices'!$B:$B, $E47), NA())
)</f>
        <v>24650.097417871559</v>
      </c>
    </row>
    <row r="48" spans="1:7" x14ac:dyDescent="0.25">
      <c r="A48" s="914">
        <f>LARGE('Commodity Prices'!C$161:C$904,23)</f>
        <v>45323</v>
      </c>
      <c r="B48" s="433">
        <f>SUMIF('Commodity Prices'!C$161:C$904,A48,'Commodity Prices'!M$161:M$904)</f>
        <v>16302.38</v>
      </c>
      <c r="C48" s="434">
        <f>SUMIF('Commodity Prices'!C$161:C$904,A48,'Commodity Prices'!N$161:N$904)</f>
        <v>24965.177822665915</v>
      </c>
      <c r="D48" s="573"/>
      <c r="E48" s="919">
        <f t="shared" si="1"/>
        <v>2022</v>
      </c>
      <c r="F48" s="433">
        <f>IF($E$8="Historic Calendar Year",
 IF(COUNTIFS('Commodity Prices'!$M:$M, "&gt;0", 'Commodity Prices'!$A:$A, $E48)=12, AVERAGEIFS('Commodity Prices'!$M:$M, 'Commodity Prices'!$A:$A, $E48), NA()),
 IF(COUNTIFS('Commodity Prices'!$M:$M, "&gt;0", 'Commodity Prices'!$B:$B, $E48)=12, AVERAGEIFS('Commodity Prices'!$M:$M, 'Commodity Prices'!$B:$B, $E48), NA())
)</f>
        <v>25655.938333333335</v>
      </c>
      <c r="G48" s="434">
        <f>IF($E$8="Historic Calendar Year",
 IF(COUNTIFS('Commodity Prices'!$N:$N, "&gt;0", 'Commodity Prices'!$A:$A, $E48)=12, AVERAGEIFS('Commodity Prices'!$N:$N, 'Commodity Prices'!$A:$A, $E48), NA()),
 IF(COUNTIFS('Commodity Prices'!$N:$N, "&gt;0", 'Commodity Prices'!$B:$B, $E48)=12, AVERAGEIFS('Commodity Prices'!$N:$N, 'Commodity Prices'!$B:$B, $E48), NA())
)</f>
        <v>36828.121415381298</v>
      </c>
    </row>
    <row r="49" spans="1:7" x14ac:dyDescent="0.25">
      <c r="A49" s="916">
        <f>LARGE('Commodity Prices'!C$161:C$904,22)</f>
        <v>45352</v>
      </c>
      <c r="B49" s="917">
        <f>SUMIF('Commodity Prices'!C$161:C$904,A49,'Commodity Prices'!M$161:M$904)</f>
        <v>17427.25</v>
      </c>
      <c r="C49" s="918">
        <f>SUMIF('Commodity Prices'!C$161:C$904,A49,'Commodity Prices'!N$161:N$904)</f>
        <v>26570.182727418265</v>
      </c>
      <c r="D49" s="573"/>
      <c r="E49" s="919">
        <f t="shared" ref="E49:E51" si="2">IF($E$8="Historic Calendar Year", E48+1, LEFT(E48, 4)+1 &amp; "-" &amp; RIGHT( LEFT(E48, 4)+2, 2))</f>
        <v>2023</v>
      </c>
      <c r="F49" s="917">
        <f>IF($E$8="Historic Calendar Year",
 IF(COUNTIFS('Commodity Prices'!$M:$M, "&gt;0", 'Commodity Prices'!$A:$A, $E49)=12, AVERAGEIFS('Commodity Prices'!$M:$M, 'Commodity Prices'!$A:$A, $E49), NA()),
 IF(COUNTIFS('Commodity Prices'!$M:$M, "&gt;0", 'Commodity Prices'!$B:$B, $E49)=12, AVERAGEIFS('Commodity Prices'!$M:$M, 'Commodity Prices'!$B:$B, $E49), NA())
)</f>
        <v>21495.22416666667</v>
      </c>
      <c r="G49" s="918">
        <f>IF($E$8="Historic Calendar Year",
 IF(COUNTIFS('Commodity Prices'!$N:$N, "&gt;0", 'Commodity Prices'!$A:$A, $E49)=12, AVERAGEIFS('Commodity Prices'!$N:$N, 'Commodity Prices'!$A:$A, $E49), NA()),
 IF(COUNTIFS('Commodity Prices'!$N:$N, "&gt;0", 'Commodity Prices'!$B:$B, $E49)=12, AVERAGEIFS('Commodity Prices'!$N:$N, 'Commodity Prices'!$B:$B, $E49), NA())
)</f>
        <v>32250.206308655805</v>
      </c>
    </row>
    <row r="50" spans="1:7" x14ac:dyDescent="0.25">
      <c r="A50" s="914">
        <f>LARGE('Commodity Prices'!C$161:C$904,21)</f>
        <v>45383</v>
      </c>
      <c r="B50" s="433">
        <f>SUMIF('Commodity Prices'!C$161:C$904,A50,'Commodity Prices'!M$161:M$904)</f>
        <v>18167.86</v>
      </c>
      <c r="C50" s="434">
        <f>SUMIF('Commodity Prices'!C$161:C$904,A50,'Commodity Prices'!N$161:N$904)</f>
        <v>27900.547480285335</v>
      </c>
      <c r="D50" s="573"/>
      <c r="E50" s="919">
        <f t="shared" ref="E50" si="3">IF($E$8="Historic Calendar Year", E49+1, LEFT(E49, 4)+1 &amp; "-" &amp; RIGHT( LEFT(E49, 4)+2, 2))</f>
        <v>2024</v>
      </c>
      <c r="F50" s="433">
        <f>IF($E$8="Historic Calendar Year",
 IF(COUNTIFS('Commodity Prices'!$M:$M, "&gt;0", 'Commodity Prices'!$A:$A, $E50)=12, AVERAGEIFS('Commodity Prices'!$M:$M, 'Commodity Prices'!$A:$A, $E50), NA()),
 IF(COUNTIFS('Commodity Prices'!$M:$M, "&gt;0", 'Commodity Prices'!$B:$B, $E50)=12, AVERAGEIFS('Commodity Prices'!$M:$M, 'Commodity Prices'!$B:$B, $E50), NA())
)</f>
        <v>16812.845000000001</v>
      </c>
      <c r="G50" s="434">
        <f>IF($E$8="Historic Calendar Year",
 IF(COUNTIFS('Commodity Prices'!$N:$N, "&gt;0", 'Commodity Prices'!$A:$A, $E50)=12, AVERAGEIFS('Commodity Prices'!$N:$N, 'Commodity Prices'!$A:$A, $E50), NA()),
 IF(COUNTIFS('Commodity Prices'!$N:$N, "&gt;0", 'Commodity Prices'!$B:$B, $E50)=12, AVERAGEIFS('Commodity Prices'!$N:$N, 'Commodity Prices'!$B:$B, $E50), NA())
)</f>
        <v>25474.017907560123</v>
      </c>
    </row>
    <row r="51" spans="1:7" ht="15.75" thickBot="1" x14ac:dyDescent="0.3">
      <c r="A51" s="916">
        <f>LARGE('Commodity Prices'!C$161:C$904,20)</f>
        <v>45413</v>
      </c>
      <c r="B51" s="917">
        <f>SUMIF('Commodity Prices'!C$161:C$904,A51,'Commodity Prices'!M$161:M$904)</f>
        <v>19515.830000000002</v>
      </c>
      <c r="C51" s="918">
        <f>SUMIF('Commodity Prices'!C$161:C$904,A51,'Commodity Prices'!N$161:N$904)</f>
        <v>29489.983509516511</v>
      </c>
      <c r="D51" s="573"/>
      <c r="E51" s="920">
        <f t="shared" si="2"/>
        <v>2025</v>
      </c>
      <c r="F51" s="1187">
        <f>IF($E$8="Historic Calendar Year",
 IF(COUNTIFS('Commodity Prices'!$M:$M, "&gt;0", 'Commodity Prices'!$A:$A, $E51)=12, AVERAGEIFS('Commodity Prices'!$M:$M, 'Commodity Prices'!$A:$A, $E51), NA()),
 IF(COUNTIFS('Commodity Prices'!$M:$M, "&gt;0", 'Commodity Prices'!$B:$B, $E51)=12, AVERAGEIFS('Commodity Prices'!$M:$M, 'Commodity Prices'!$B:$B, $E51), NA())
)</f>
        <v>15154.294166666668</v>
      </c>
      <c r="G51" s="1188">
        <f>IF($E$8="Historic Calendar Year",
 IF(COUNTIFS('Commodity Prices'!$N:$N, "&gt;0", 'Commodity Prices'!$A:$A, $E51)=12, AVERAGEIFS('Commodity Prices'!$N:$N, 'Commodity Prices'!$A:$A, $E51), NA()),
 IF(COUNTIFS('Commodity Prices'!$N:$N, "&gt;0", 'Commodity Prices'!$B:$B, $E51)=12, AVERAGEIFS('Commodity Prices'!$N:$N, 'Commodity Prices'!$B:$B, $E51), NA())
)</f>
        <v>23526.285898214566</v>
      </c>
    </row>
    <row r="52" spans="1:7" ht="15.75" thickBot="1" x14ac:dyDescent="0.3">
      <c r="A52" s="914">
        <f>LARGE('Commodity Prices'!C$161:C$904,19)</f>
        <v>45444</v>
      </c>
      <c r="B52" s="433">
        <f>SUMIF('Commodity Prices'!C$161:C$904,A52,'Commodity Prices'!M$161:M$904)</f>
        <v>17502.25</v>
      </c>
      <c r="C52" s="434">
        <f>SUMIF('Commodity Prices'!C$161:C$904,A52,'Commodity Prices'!N$161:N$904)</f>
        <v>26328.133040924098</v>
      </c>
      <c r="D52" s="573"/>
    </row>
    <row r="53" spans="1:7" x14ac:dyDescent="0.25">
      <c r="A53" s="916">
        <f>LARGE('Commodity Prices'!C$161:C$904,18)</f>
        <v>45474</v>
      </c>
      <c r="B53" s="917">
        <f>SUMIF('Commodity Prices'!C$161:C$904,A53,'Commodity Prices'!M$161:M$904)</f>
        <v>16391.96</v>
      </c>
      <c r="C53" s="918">
        <f>SUMIF('Commodity Prices'!C$161:C$904,A53,'Commodity Prices'!N$161:N$904)</f>
        <v>24563.963435689944</v>
      </c>
      <c r="D53" s="573"/>
      <c r="E53" s="1481" t="s">
        <v>156</v>
      </c>
      <c r="F53" s="1482"/>
      <c r="G53" s="1483"/>
    </row>
    <row r="54" spans="1:7" ht="15.75" thickBot="1" x14ac:dyDescent="0.3">
      <c r="A54" s="914">
        <f>LARGE('Commodity Prices'!C$161:C$904,17)</f>
        <v>45505</v>
      </c>
      <c r="B54" s="433">
        <f>SUMIF('Commodity Prices'!C$161:C$904,A54,'Commodity Prices'!M$161:M$904)</f>
        <v>16245.95</v>
      </c>
      <c r="C54" s="434">
        <f>SUMIF('Commodity Prices'!C$161:C$904,A54,'Commodity Prices'!N$161:N$904)</f>
        <v>24388.958787575506</v>
      </c>
      <c r="D54" s="573"/>
      <c r="E54" s="1400" t="s">
        <v>551</v>
      </c>
      <c r="F54" s="1395"/>
      <c r="G54" s="1401"/>
    </row>
    <row r="55" spans="1:7" x14ac:dyDescent="0.25">
      <c r="A55" s="916">
        <f>LARGE('Commodity Prices'!C$161:C$904,16)</f>
        <v>45536</v>
      </c>
      <c r="B55" s="917">
        <f>SUMIF('Commodity Prices'!C$161:C$904,A55,'Commodity Prices'!M$161:M$904)</f>
        <v>16113.33</v>
      </c>
      <c r="C55" s="918">
        <f>SUMIF('Commodity Prices'!C$161:C$904,A55,'Commodity Prices'!N$161:N$904)</f>
        <v>23805.599290854989</v>
      </c>
      <c r="D55" s="573"/>
      <c r="E55" s="1394" t="s">
        <v>554</v>
      </c>
      <c r="F55" s="1394"/>
      <c r="G55" s="1394"/>
    </row>
    <row r="56" spans="1:7" x14ac:dyDescent="0.25">
      <c r="A56" s="914">
        <f>LARGE('Commodity Prices'!C$161:C$904,15)</f>
        <v>45566</v>
      </c>
      <c r="B56" s="433">
        <f>SUMIF('Commodity Prices'!C$161:C$904,A56,'Commodity Prices'!M$161:M$904)</f>
        <v>16799.57</v>
      </c>
      <c r="C56" s="434">
        <f>SUMIF('Commodity Prices'!C$161:C$904,A56,'Commodity Prices'!N$161:N$904)</f>
        <v>25035.260248733306</v>
      </c>
      <c r="D56" s="573"/>
    </row>
    <row r="57" spans="1:7" x14ac:dyDescent="0.25">
      <c r="A57" s="916">
        <f>LARGE('Commodity Prices'!C$161:C$904,14)</f>
        <v>45597</v>
      </c>
      <c r="B57" s="917">
        <f>SUMIF('Commodity Prices'!C$161:C$904,A57,'Commodity Prices'!M$161:M$904)</f>
        <v>15736.9</v>
      </c>
      <c r="C57" s="918">
        <f>SUMIF('Commodity Prices'!C$161:C$904,A57,'Commodity Prices'!N$161:N$904)</f>
        <v>24077.790649384715</v>
      </c>
      <c r="D57" s="573"/>
    </row>
    <row r="58" spans="1:7" x14ac:dyDescent="0.25">
      <c r="A58" s="914">
        <f>LARGE('Commodity Prices'!C$161:C$904,13)</f>
        <v>45627</v>
      </c>
      <c r="B58" s="433">
        <f>SUMIF('Commodity Prices'!C$161:C$904,A58,'Commodity Prices'!M$161:M$904)</f>
        <v>15465.75</v>
      </c>
      <c r="C58" s="434">
        <f>SUMIF('Commodity Prices'!C$161:C$904,A58,'Commodity Prices'!N$161:N$904)</f>
        <v>24382.966647484958</v>
      </c>
      <c r="D58" s="573"/>
    </row>
    <row r="59" spans="1:7" x14ac:dyDescent="0.25">
      <c r="A59" s="916">
        <f>LARGE('Commodity Prices'!C$161:C$904,12)</f>
        <v>45658</v>
      </c>
      <c r="B59" s="917">
        <f>SUMIF('Commodity Prices'!C$161:C$904,A59,'Commodity Prices'!M$161:M$904)</f>
        <v>15373.64</v>
      </c>
      <c r="C59" s="918">
        <f>SUMIF('Commodity Prices'!C$161:C$904,A59,'Commodity Prices'!N$161:N$904)</f>
        <v>24697.555079559363</v>
      </c>
      <c r="D59" s="573"/>
    </row>
    <row r="60" spans="1:7" x14ac:dyDescent="0.25">
      <c r="A60" s="914">
        <f>LARGE('Commodity Prices'!C$161:C$904,11)</f>
        <v>45689</v>
      </c>
      <c r="B60" s="433">
        <f>SUMIF('Commodity Prices'!C$161:C$904,A60,'Commodity Prices'!M$161:M$904)</f>
        <v>15269.13</v>
      </c>
      <c r="C60" s="434">
        <f>SUMIF('Commodity Prices'!C$161:C$904,A60,'Commodity Prices'!N$161:N$904)</f>
        <v>24243.641040297232</v>
      </c>
      <c r="D60" s="573"/>
    </row>
    <row r="61" spans="1:7" x14ac:dyDescent="0.25">
      <c r="A61" s="916">
        <f>LARGE('Commodity Prices'!C$161:C$904,10)</f>
        <v>45717</v>
      </c>
      <c r="B61" s="917">
        <f>SUMIF('Commodity Prices'!C$161:C$904,A61,'Commodity Prices'!M$161:M$904)</f>
        <v>16049.29</v>
      </c>
      <c r="C61" s="918">
        <f>SUMIF('Commodity Prices'!C$161:C$904,A61,'Commodity Prices'!N$161:N$904)</f>
        <v>25487.585737512763</v>
      </c>
      <c r="D61" s="573"/>
    </row>
    <row r="62" spans="1:7" x14ac:dyDescent="0.25">
      <c r="A62" s="914">
        <f>LARGE('Commodity Prices'!C$161:C$904,9)</f>
        <v>45748</v>
      </c>
      <c r="B62" s="433">
        <f>SUMIF('Commodity Prices'!C$161:C$904,A62,'Commodity Prices'!M$161:M$904)</f>
        <v>15201.5</v>
      </c>
      <c r="C62" s="434">
        <f>SUMIF('Commodity Prices'!C$161:C$904,A62,'Commodity Prices'!N$161:N$904)</f>
        <v>24212.50073351273</v>
      </c>
      <c r="D62" s="573"/>
    </row>
    <row r="63" spans="1:7" x14ac:dyDescent="0.25">
      <c r="A63" s="916">
        <f>LARGE('Commodity Prices'!C$161:C$904,8)</f>
        <v>45778</v>
      </c>
      <c r="B63" s="917">
        <f>SUMIF('Commodity Prices'!C$161:C$904,A63,'Commodity Prices'!M$161:M$904)</f>
        <v>15317.5</v>
      </c>
      <c r="C63" s="918">
        <f>SUMIF('Commodity Prices'!C$161:C$904,A63,'Commodity Prices'!N$161:N$904)</f>
        <v>23779.734812399889</v>
      </c>
      <c r="D63" s="573"/>
    </row>
    <row r="64" spans="1:7" x14ac:dyDescent="0.25">
      <c r="A64" s="914">
        <f>LARGE('Commodity Prices'!C$161:C$904,7)</f>
        <v>45809</v>
      </c>
      <c r="B64" s="433">
        <f>SUMIF('Commodity Prices'!C$161:C$904,A64,'Commodity Prices'!M$161:M$904)</f>
        <v>14985.12</v>
      </c>
      <c r="C64" s="434">
        <f>SUMIF('Commodity Prices'!C$161:C$904,A64,'Commodity Prices'!N$161:N$904)</f>
        <v>23072.488760238961</v>
      </c>
      <c r="D64" s="573"/>
    </row>
    <row r="65" spans="1:4" x14ac:dyDescent="0.25">
      <c r="A65" s="916">
        <f>LARGE('Commodity Prices'!C$161:C$904,6)</f>
        <v>45839</v>
      </c>
      <c r="B65" s="917">
        <f>SUMIF('Commodity Prices'!C$161:C$904,A65,'Commodity Prices'!M$161:M$904)</f>
        <v>15016.52</v>
      </c>
      <c r="C65" s="918">
        <f>SUMIF('Commodity Prices'!C$161:C$904,A65,'Commodity Prices'!N$161:N$904)</f>
        <v>22947.157350625534</v>
      </c>
      <c r="D65" s="573"/>
    </row>
    <row r="66" spans="1:4" x14ac:dyDescent="0.25">
      <c r="A66" s="914">
        <f>LARGE('Commodity Prices'!C$161:C$904,5)</f>
        <v>45870</v>
      </c>
      <c r="B66" s="433">
        <f>SUMIF('Commodity Prices'!C$161:C$904,A66,'Commodity Prices'!M$161:M$904)</f>
        <v>14904.13</v>
      </c>
      <c r="C66" s="434">
        <f>SUMIF('Commodity Prices'!C$161:C$904,A66,'Commodity Prices'!N$161:N$904)</f>
        <v>22959.454671493495</v>
      </c>
    </row>
    <row r="67" spans="1:4" x14ac:dyDescent="0.25">
      <c r="A67" s="916">
        <f>LARGE('Commodity Prices'!C$161:C$904,4)</f>
        <v>45901</v>
      </c>
      <c r="B67" s="917">
        <f>SUMIF('Commodity Prices'!C$161:C$904,A67,'Commodity Prices'!M$161:M$904)</f>
        <v>15097.61</v>
      </c>
      <c r="C67" s="918">
        <f>SUMIF('Commodity Prices'!C$161:C$904,A67,'Commodity Prices'!N$161:N$904)</f>
        <v>22898.664607620769</v>
      </c>
    </row>
    <row r="68" spans="1:4" x14ac:dyDescent="0.25">
      <c r="A68" s="914">
        <f>LARGE('Commodity Prices'!C$161:C$904,3)</f>
        <v>45931</v>
      </c>
      <c r="B68" s="433">
        <f>SUMIF('Commodity Prices'!C$161:C$904,A68,'Commodity Prices'!M$161:M$904)</f>
        <v>15075.98</v>
      </c>
      <c r="C68" s="434">
        <f>SUMIF('Commodity Prices'!C$161:C$904,A68,'Commodity Prices'!N$161:N$904)</f>
        <v>23035.146716671879</v>
      </c>
    </row>
    <row r="69" spans="1:4" x14ac:dyDescent="0.25">
      <c r="A69" s="916">
        <f>LARGE('Commodity Prices'!C$161:C$904,2)</f>
        <v>45962</v>
      </c>
      <c r="B69" s="917">
        <f>SUMIF('Commodity Prices'!C$161:C$904,A69,'Commodity Prices'!M$161:M$904)</f>
        <v>14685.75</v>
      </c>
      <c r="C69" s="918">
        <f>SUMIF('Commodity Prices'!C$161:C$904,A69,'Commodity Prices'!N$161:N$904)</f>
        <v>22569.850003073701</v>
      </c>
    </row>
    <row r="70" spans="1:4" ht="15.75" thickBot="1" x14ac:dyDescent="0.3">
      <c r="A70" s="921">
        <f>LARGE('Commodity Prices'!C$161:C$904,1)</f>
        <v>45992</v>
      </c>
      <c r="B70" s="446">
        <f>SUMIF('Commodity Prices'!C$161:C$904,A70,'Commodity Prices'!M$161:M$904)</f>
        <v>14875.36</v>
      </c>
      <c r="C70" s="447">
        <f>SUMIF('Commodity Prices'!C$161:C$904,A70,'Commodity Prices'!N$161:N$904)</f>
        <v>22411.6512655685</v>
      </c>
    </row>
  </sheetData>
  <mergeCells count="7">
    <mergeCell ref="E55:G55"/>
    <mergeCell ref="A7:C7"/>
    <mergeCell ref="E7:G7"/>
    <mergeCell ref="A8:C8"/>
    <mergeCell ref="E8:G8"/>
    <mergeCell ref="E53:G53"/>
    <mergeCell ref="E54:G54"/>
  </mergeCells>
  <dataValidations count="1">
    <dataValidation type="list" allowBlank="1" showInputMessage="1" showErrorMessage="1" promptTitle="Select a Period:" prompt="Select Financial or Calendar years." sqref="E54:G54" xr:uid="{5915FCA9-0ADA-4163-9E42-42C2FC0115E6}">
      <formula1>$W$1:$W$2</formula1>
    </dataValidation>
  </dataValidation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6F17B-BC53-429E-8F40-9180E457588B}">
  <sheetPr>
    <tabColor theme="4" tint="0.39997558519241921"/>
  </sheetPr>
  <dimension ref="A1:T251"/>
  <sheetViews>
    <sheetView showGridLines="0" zoomScale="85" zoomScaleNormal="85" workbookViewId="0">
      <pane ySplit="8" topLeftCell="A9" activePane="bottomLeft" state="frozen"/>
      <selection pane="bottomLeft"/>
    </sheetView>
  </sheetViews>
  <sheetFormatPr defaultColWidth="9.140625" defaultRowHeight="15" x14ac:dyDescent="0.25"/>
  <cols>
    <col min="1" max="1" width="12.7109375" customWidth="1"/>
    <col min="2" max="3" width="15.7109375" customWidth="1"/>
    <col min="4" max="4" width="6.140625" hidden="1" customWidth="1"/>
    <col min="5" max="5" width="5.5703125" hidden="1" customWidth="1"/>
    <col min="6" max="6" width="8.7109375" customWidth="1"/>
    <col min="7" max="14" width="9.7109375" customWidth="1"/>
    <col min="15" max="15" width="3.5703125" customWidth="1"/>
    <col min="16" max="16" width="0" hidden="1" customWidth="1"/>
    <col min="17" max="17" width="8.7109375" customWidth="1"/>
    <col min="18" max="18" width="12.7109375" customWidth="1"/>
    <col min="19" max="20" width="15.7109375" customWidth="1"/>
  </cols>
  <sheetData>
    <row r="1" spans="1:20" x14ac:dyDescent="0.25">
      <c r="A1" s="64" t="s">
        <v>178</v>
      </c>
    </row>
    <row r="2" spans="1:20" x14ac:dyDescent="0.25">
      <c r="A2" s="64" t="s">
        <v>179</v>
      </c>
    </row>
    <row r="5" spans="1:20" x14ac:dyDescent="0.25">
      <c r="A5" s="1407"/>
      <c r="B5" s="1407"/>
      <c r="C5" s="1407"/>
      <c r="D5" s="145"/>
      <c r="E5" s="145"/>
      <c r="F5" s="145"/>
    </row>
    <row r="6" spans="1:20" x14ac:dyDescent="0.25">
      <c r="A6" s="145"/>
      <c r="B6" s="145"/>
      <c r="C6" s="145"/>
      <c r="D6" s="145"/>
      <c r="E6" s="145"/>
      <c r="F6" s="145"/>
    </row>
    <row r="7" spans="1:20" ht="15.75" thickBot="1" x14ac:dyDescent="0.3">
      <c r="A7" s="1408" t="s">
        <v>555</v>
      </c>
      <c r="B7" s="1408"/>
      <c r="C7" s="1408"/>
      <c r="D7" s="145"/>
      <c r="E7" s="145"/>
      <c r="F7" s="145"/>
    </row>
    <row r="8" spans="1:20" x14ac:dyDescent="0.25">
      <c r="A8" s="922" t="s">
        <v>557</v>
      </c>
      <c r="B8" s="923" t="s">
        <v>571</v>
      </c>
      <c r="C8" s="924" t="s">
        <v>559</v>
      </c>
      <c r="D8" s="146"/>
      <c r="E8" s="146"/>
      <c r="F8" s="146"/>
    </row>
    <row r="9" spans="1:20" x14ac:dyDescent="0.25">
      <c r="A9" s="925">
        <v>36220</v>
      </c>
      <c r="B9" s="462">
        <v>17.222999999999999</v>
      </c>
      <c r="C9" s="463">
        <v>119.60600000000001</v>
      </c>
      <c r="D9" s="29">
        <f>YEAR(A9)</f>
        <v>1999</v>
      </c>
      <c r="E9" s="29" t="str">
        <f>IF(MONTH(A9)=3,"1",IF(MONTH(A9)=6,"2",IF(MONTH(A9)=9,"3","4")))</f>
        <v>1</v>
      </c>
      <c r="F9" s="29"/>
      <c r="R9" s="1393" t="s">
        <v>570</v>
      </c>
      <c r="S9" s="1393"/>
      <c r="T9" s="1393"/>
    </row>
    <row r="10" spans="1:20" ht="15.75" thickBot="1" x14ac:dyDescent="0.3">
      <c r="A10" s="925">
        <v>36312</v>
      </c>
      <c r="B10" s="926">
        <v>34.822000000000003</v>
      </c>
      <c r="C10" s="927">
        <v>271.36399999999998</v>
      </c>
      <c r="D10" s="29">
        <f t="shared" ref="D10:D73" si="0">YEAR(A10)</f>
        <v>1999</v>
      </c>
      <c r="E10" s="29" t="str">
        <f t="shared" ref="E10:E73" si="1">IF(MONTH(A10)=3,"1",IF(MONTH(A10)=6,"2",IF(MONTH(A10)=9,"3","4")))</f>
        <v>2</v>
      </c>
      <c r="F10" s="29"/>
      <c r="R10" s="1393" t="s">
        <v>561</v>
      </c>
      <c r="S10" s="1393"/>
      <c r="T10" s="1393"/>
    </row>
    <row r="11" spans="1:20" x14ac:dyDescent="0.25">
      <c r="A11" s="925">
        <v>36404</v>
      </c>
      <c r="B11" s="462">
        <v>34.843999999999994</v>
      </c>
      <c r="C11" s="463">
        <v>295.02716299999997</v>
      </c>
      <c r="D11" s="29">
        <f t="shared" si="0"/>
        <v>1999</v>
      </c>
      <c r="E11" s="29" t="str">
        <f t="shared" si="1"/>
        <v>3</v>
      </c>
      <c r="F11" s="29"/>
      <c r="R11" s="913" t="s">
        <v>557</v>
      </c>
      <c r="S11" s="911" t="str">
        <f>B8</f>
        <v>Quantity (Kt)</v>
      </c>
      <c r="T11" s="912" t="str">
        <f>C8</f>
        <v>Value ($ Million)</v>
      </c>
    </row>
    <row r="12" spans="1:20" x14ac:dyDescent="0.25">
      <c r="A12" s="925">
        <v>36495</v>
      </c>
      <c r="B12" s="926">
        <v>35.907000000000004</v>
      </c>
      <c r="C12" s="927">
        <v>410.636033</v>
      </c>
      <c r="D12" s="29">
        <f t="shared" si="0"/>
        <v>1999</v>
      </c>
      <c r="E12" s="29" t="str">
        <f t="shared" si="1"/>
        <v>4</v>
      </c>
      <c r="F12" s="29"/>
      <c r="R12" s="925">
        <f>LARGE($A:$A, 9)</f>
        <v>45261</v>
      </c>
      <c r="S12" s="455">
        <f t="shared" ref="S12:T20" si="2">SUMIF($A$9:$A$739,$R12,B$9:B$751)</f>
        <v>35.651142999999998</v>
      </c>
      <c r="T12" s="456">
        <f t="shared" si="2"/>
        <v>922.48674599999993</v>
      </c>
    </row>
    <row r="13" spans="1:20" x14ac:dyDescent="0.25">
      <c r="A13" s="925">
        <v>36586</v>
      </c>
      <c r="B13" s="462">
        <v>38.5</v>
      </c>
      <c r="C13" s="463">
        <v>528.45242100000007</v>
      </c>
      <c r="D13" s="29">
        <f t="shared" si="0"/>
        <v>2000</v>
      </c>
      <c r="E13" s="29" t="str">
        <f t="shared" si="1"/>
        <v>1</v>
      </c>
      <c r="F13" s="29"/>
      <c r="R13" s="925">
        <f>LARGE($A:$A, 8)</f>
        <v>45352</v>
      </c>
      <c r="S13" s="928">
        <f t="shared" si="2"/>
        <v>30.649360000000001</v>
      </c>
      <c r="T13" s="929">
        <f t="shared" si="2"/>
        <v>792.52913100000001</v>
      </c>
    </row>
    <row r="14" spans="1:20" x14ac:dyDescent="0.25">
      <c r="A14" s="925">
        <v>36678</v>
      </c>
      <c r="B14" s="926">
        <v>34.683</v>
      </c>
      <c r="C14" s="927">
        <v>572.169444</v>
      </c>
      <c r="D14" s="29">
        <f t="shared" si="0"/>
        <v>2000</v>
      </c>
      <c r="E14" s="29" t="str">
        <f t="shared" si="1"/>
        <v>2</v>
      </c>
      <c r="F14" s="29"/>
      <c r="R14" s="925">
        <f>LARGE($A:$A, 7)</f>
        <v>45444</v>
      </c>
      <c r="S14" s="455">
        <f t="shared" si="2"/>
        <v>37.944377000000003</v>
      </c>
      <c r="T14" s="456">
        <f t="shared" si="2"/>
        <v>1037.7322589999999</v>
      </c>
    </row>
    <row r="15" spans="1:20" x14ac:dyDescent="0.25">
      <c r="A15" s="925">
        <v>36770</v>
      </c>
      <c r="B15" s="462">
        <v>38.913999999999994</v>
      </c>
      <c r="C15" s="463">
        <v>552.074479</v>
      </c>
      <c r="D15" s="29">
        <f t="shared" si="0"/>
        <v>2000</v>
      </c>
      <c r="E15" s="29" t="str">
        <f t="shared" si="1"/>
        <v>3</v>
      </c>
      <c r="F15" s="29"/>
      <c r="R15" s="925">
        <f>LARGE($A:$A, 6)</f>
        <v>45536</v>
      </c>
      <c r="S15" s="928">
        <f t="shared" si="2"/>
        <v>34.027381000000005</v>
      </c>
      <c r="T15" s="929">
        <f t="shared" si="2"/>
        <v>826.30189322077081</v>
      </c>
    </row>
    <row r="16" spans="1:20" x14ac:dyDescent="0.25">
      <c r="A16" s="925">
        <v>36861</v>
      </c>
      <c r="B16" s="926">
        <v>41.976999999999997</v>
      </c>
      <c r="C16" s="927">
        <v>598.97182499999997</v>
      </c>
      <c r="D16" s="29">
        <f t="shared" si="0"/>
        <v>2000</v>
      </c>
      <c r="E16" s="29" t="str">
        <f t="shared" si="1"/>
        <v>4</v>
      </c>
      <c r="F16" s="29"/>
      <c r="R16" s="925">
        <f>LARGE($A:$A, 5)</f>
        <v>45627</v>
      </c>
      <c r="S16" s="455">
        <f t="shared" si="2"/>
        <v>25.744800999999999</v>
      </c>
      <c r="T16" s="456">
        <f t="shared" si="2"/>
        <v>627.51869299999998</v>
      </c>
    </row>
    <row r="17" spans="1:20" x14ac:dyDescent="0.25">
      <c r="A17" s="925">
        <v>36951</v>
      </c>
      <c r="B17" s="462">
        <v>43.210999999999999</v>
      </c>
      <c r="C17" s="463">
        <v>556.122838</v>
      </c>
      <c r="D17" s="29">
        <f t="shared" si="0"/>
        <v>2001</v>
      </c>
      <c r="E17" s="29" t="str">
        <f t="shared" si="1"/>
        <v>1</v>
      </c>
      <c r="F17" s="29"/>
      <c r="R17" s="925">
        <f>LARGE($A:$A, 4)</f>
        <v>45717</v>
      </c>
      <c r="S17" s="928">
        <f t="shared" si="2"/>
        <v>16.151738000000002</v>
      </c>
      <c r="T17" s="929">
        <f t="shared" si="2"/>
        <v>397.51782800000001</v>
      </c>
    </row>
    <row r="18" spans="1:20" x14ac:dyDescent="0.25">
      <c r="A18" s="925">
        <v>37043</v>
      </c>
      <c r="B18" s="926">
        <v>43.347999999999999</v>
      </c>
      <c r="C18" s="927">
        <v>531.56001000000003</v>
      </c>
      <c r="D18" s="29">
        <f t="shared" si="0"/>
        <v>2001</v>
      </c>
      <c r="E18" s="29" t="str">
        <f t="shared" si="1"/>
        <v>2</v>
      </c>
      <c r="F18" s="29"/>
      <c r="R18" s="925">
        <f>LARGE($A:$A, 3)</f>
        <v>45809</v>
      </c>
      <c r="S18" s="455">
        <f t="shared" si="2"/>
        <v>12.253017</v>
      </c>
      <c r="T18" s="456">
        <f t="shared" si="2"/>
        <v>289.93599699999999</v>
      </c>
    </row>
    <row r="19" spans="1:20" x14ac:dyDescent="0.25">
      <c r="A19" s="925">
        <v>37135</v>
      </c>
      <c r="B19" s="462">
        <v>47.738</v>
      </c>
      <c r="C19" s="463">
        <v>532.50429900000006</v>
      </c>
      <c r="D19" s="29">
        <f t="shared" si="0"/>
        <v>2001</v>
      </c>
      <c r="E19" s="29" t="str">
        <f t="shared" si="1"/>
        <v>3</v>
      </c>
      <c r="F19" s="29"/>
      <c r="R19" s="925">
        <f>LARGE($A:$A, 2)</f>
        <v>45901</v>
      </c>
      <c r="S19" s="928">
        <f t="shared" si="2"/>
        <v>14.519672999999999</v>
      </c>
      <c r="T19" s="929">
        <f t="shared" si="2"/>
        <v>333.25113999999996</v>
      </c>
    </row>
    <row r="20" spans="1:20" ht="15.75" thickBot="1" x14ac:dyDescent="0.3">
      <c r="A20" s="925">
        <v>37226</v>
      </c>
      <c r="B20" s="926">
        <v>46.872</v>
      </c>
      <c r="C20" s="927">
        <v>454.29322500000001</v>
      </c>
      <c r="D20" s="29">
        <f t="shared" si="0"/>
        <v>2001</v>
      </c>
      <c r="E20" s="29" t="str">
        <f t="shared" si="1"/>
        <v>4</v>
      </c>
      <c r="F20" s="29"/>
      <c r="R20" s="930">
        <f>LARGE($A:$A, 1)</f>
        <v>45992</v>
      </c>
      <c r="S20" s="656">
        <f t="shared" si="2"/>
        <v>10.797129999999999</v>
      </c>
      <c r="T20" s="931">
        <f t="shared" si="2"/>
        <v>244.83115099999998</v>
      </c>
    </row>
    <row r="21" spans="1:20" x14ac:dyDescent="0.25">
      <c r="A21" s="925">
        <v>37316</v>
      </c>
      <c r="B21" s="462">
        <v>41.893000000000001</v>
      </c>
      <c r="C21" s="463">
        <v>471.177167</v>
      </c>
      <c r="D21" s="29">
        <f t="shared" si="0"/>
        <v>2002</v>
      </c>
      <c r="E21" s="29" t="str">
        <f t="shared" si="1"/>
        <v>1</v>
      </c>
      <c r="F21" s="29"/>
      <c r="R21" s="469"/>
    </row>
    <row r="22" spans="1:20" x14ac:dyDescent="0.25">
      <c r="A22" s="925">
        <v>37408</v>
      </c>
      <c r="B22" s="926">
        <v>42.975000000000001</v>
      </c>
      <c r="C22" s="927">
        <v>534.85670400000004</v>
      </c>
      <c r="D22" s="29">
        <f t="shared" si="0"/>
        <v>2002</v>
      </c>
      <c r="E22" s="29" t="str">
        <f t="shared" si="1"/>
        <v>2</v>
      </c>
      <c r="F22" s="29"/>
      <c r="R22" s="469"/>
    </row>
    <row r="23" spans="1:20" x14ac:dyDescent="0.25">
      <c r="A23" s="925">
        <v>37500</v>
      </c>
      <c r="B23" s="462">
        <v>53.133000000000003</v>
      </c>
      <c r="C23" s="463">
        <v>666.64412799999991</v>
      </c>
      <c r="D23" s="29">
        <f t="shared" si="0"/>
        <v>2002</v>
      </c>
      <c r="E23" s="29" t="str">
        <f t="shared" si="1"/>
        <v>3</v>
      </c>
      <c r="F23" s="29"/>
      <c r="R23" s="469"/>
    </row>
    <row r="24" spans="1:20" x14ac:dyDescent="0.25">
      <c r="A24" s="925">
        <v>37591</v>
      </c>
      <c r="B24" s="926">
        <v>45.000999999999998</v>
      </c>
      <c r="C24" s="927">
        <v>569.058988</v>
      </c>
      <c r="D24" s="29">
        <f t="shared" si="0"/>
        <v>2002</v>
      </c>
      <c r="E24" s="29" t="str">
        <f t="shared" si="1"/>
        <v>4</v>
      </c>
      <c r="F24" s="29"/>
      <c r="R24" s="469"/>
    </row>
    <row r="25" spans="1:20" x14ac:dyDescent="0.25">
      <c r="A25" s="925">
        <v>37681</v>
      </c>
      <c r="B25" s="462">
        <v>45.094999999999999</v>
      </c>
      <c r="C25" s="463">
        <v>605.23837300000002</v>
      </c>
      <c r="D25" s="29">
        <f t="shared" si="0"/>
        <v>2003</v>
      </c>
      <c r="E25" s="29" t="str">
        <f t="shared" si="1"/>
        <v>1</v>
      </c>
      <c r="F25" s="29"/>
      <c r="R25" s="469"/>
    </row>
    <row r="26" spans="1:20" ht="15.75" thickBot="1" x14ac:dyDescent="0.3">
      <c r="A26" s="925">
        <v>37773</v>
      </c>
      <c r="B26" s="926">
        <v>48.561999999999998</v>
      </c>
      <c r="C26" s="927">
        <v>616.64654700000006</v>
      </c>
      <c r="D26" s="29">
        <f t="shared" si="0"/>
        <v>2003</v>
      </c>
      <c r="E26" s="29" t="str">
        <f t="shared" si="1"/>
        <v>2</v>
      </c>
      <c r="F26" s="29"/>
    </row>
    <row r="27" spans="1:20" x14ac:dyDescent="0.25">
      <c r="A27" s="925">
        <v>37865</v>
      </c>
      <c r="B27" s="462">
        <v>48.596999999999994</v>
      </c>
      <c r="C27" s="463">
        <v>682.53408300000001</v>
      </c>
      <c r="D27" s="29">
        <f t="shared" si="0"/>
        <v>2003</v>
      </c>
      <c r="E27" s="29" t="str">
        <f t="shared" si="1"/>
        <v>3</v>
      </c>
      <c r="F27" s="29"/>
      <c r="G27" s="403"/>
      <c r="H27" s="933"/>
      <c r="I27" s="403"/>
      <c r="J27" s="403"/>
      <c r="R27" s="932" t="s">
        <v>158</v>
      </c>
      <c r="S27" s="1484" t="s">
        <v>178</v>
      </c>
      <c r="T27" s="1485"/>
    </row>
    <row r="28" spans="1:20" x14ac:dyDescent="0.25">
      <c r="A28" s="925">
        <v>37956</v>
      </c>
      <c r="B28" s="926">
        <v>47.955999999999996</v>
      </c>
      <c r="C28" s="927">
        <v>775.82492999999999</v>
      </c>
      <c r="D28" s="29">
        <f t="shared" si="0"/>
        <v>2003</v>
      </c>
      <c r="E28" s="29" t="str">
        <f t="shared" si="1"/>
        <v>4</v>
      </c>
      <c r="F28" s="29"/>
      <c r="G28" s="403"/>
      <c r="H28" s="933"/>
      <c r="I28" s="403"/>
      <c r="J28" s="403"/>
      <c r="R28" s="1404" t="str">
        <f>CONCATENATE(A5," Quantity And Value By Year")</f>
        <v xml:space="preserve"> Quantity And Value By Year</v>
      </c>
      <c r="S28" s="1405"/>
      <c r="T28" s="1406"/>
    </row>
    <row r="29" spans="1:20" x14ac:dyDescent="0.25">
      <c r="A29" s="925">
        <v>38047</v>
      </c>
      <c r="B29" s="462">
        <v>40.414000000000001</v>
      </c>
      <c r="C29" s="463">
        <v>756.27366199999994</v>
      </c>
      <c r="D29" s="29">
        <f t="shared" si="0"/>
        <v>2004</v>
      </c>
      <c r="E29" s="29" t="str">
        <f t="shared" si="1"/>
        <v>1</v>
      </c>
      <c r="F29" s="29"/>
      <c r="G29" s="403"/>
      <c r="H29" s="933"/>
      <c r="I29" s="403"/>
      <c r="J29" s="403"/>
      <c r="R29" s="934" t="s">
        <v>272</v>
      </c>
      <c r="S29" s="935" t="str">
        <f>B8</f>
        <v>Quantity (Kt)</v>
      </c>
      <c r="T29" s="936" t="str">
        <f>C8</f>
        <v>Value ($ Million)</v>
      </c>
    </row>
    <row r="30" spans="1:20" x14ac:dyDescent="0.25">
      <c r="A30" s="925">
        <v>38139</v>
      </c>
      <c r="B30" s="926">
        <v>45.637999999999998</v>
      </c>
      <c r="C30" s="927">
        <v>821.30489499999999</v>
      </c>
      <c r="D30" s="29">
        <f t="shared" si="0"/>
        <v>2004</v>
      </c>
      <c r="E30" s="29" t="str">
        <f t="shared" si="1"/>
        <v>2</v>
      </c>
      <c r="F30" s="29"/>
      <c r="G30" s="403"/>
      <c r="H30" s="933"/>
      <c r="I30" s="403"/>
      <c r="J30" s="403"/>
      <c r="R30" s="937">
        <f t="shared" ref="R30:R47" si="3">IF($S$27="Calendar Year", R31-1, LEFT(R31,4)-1 &amp; "-" &amp; MID(R31,3,2))</f>
        <v>2006</v>
      </c>
      <c r="S30" s="938">
        <f>IF($S$27="Calendar Year",SUMIF($D$9:$D$201,$R30,$B$9:$B$201),SUMIFS($B$9:$B$201,$D$9:$D$201,LEFT($R30,4),$E$9:$E$201,3)+SUMIFS($B$9:$B$201,$D$9:$D$201,LEFT($R30,4),$E$9:$E$201,4)+SUMIFS($B$9:$B$201,$D$9:$D$201,LEFT($R30,4)+1,$E$9:$E$201,1)+SUMIFS($B$9:$B$201,$D$9:$D$201,LEFT($R30,4)+1,$E$9:$E$201,2))</f>
        <v>175.08699999999999</v>
      </c>
      <c r="T30" s="879">
        <f>IF($S$27="Calendar Year",SUMIF($D$9:$D$201,$R30,$C$9:$C$201),SUMIFS($C$9:$C$201,$D$9:$D$201,LEFT($R30,4),$E$9:$E$201,3)+SUMIFS($C$9:$C$201,$D$9:$D$201,LEFT($R30,4),$E$9:$E$201,4)+SUMIFS($C$9:$C$201,$D$9:$D$201,LEFT($R30,4)+1,$E$9:$E$201,1)+SUMIFS($C$9:$C$201,$D$9:$D$201,LEFT($R30,4)+1,$E$9:$E$201,2))</f>
        <v>5844.1734319999996</v>
      </c>
    </row>
    <row r="31" spans="1:20" x14ac:dyDescent="0.25">
      <c r="A31" s="925">
        <v>38231</v>
      </c>
      <c r="B31" s="462">
        <v>42.868000000000002</v>
      </c>
      <c r="C31" s="463">
        <v>843.74164199999996</v>
      </c>
      <c r="D31" s="29">
        <f t="shared" si="0"/>
        <v>2004</v>
      </c>
      <c r="E31" s="29" t="str">
        <f t="shared" si="1"/>
        <v>3</v>
      </c>
      <c r="F31" s="29"/>
      <c r="G31" s="403"/>
      <c r="H31" s="933"/>
      <c r="I31" s="403"/>
      <c r="J31" s="403"/>
      <c r="R31" s="937">
        <f t="shared" si="3"/>
        <v>2007</v>
      </c>
      <c r="S31" s="939">
        <f t="shared" ref="S31:S49" si="4">IF(R31="","",IF($S$27="Calendar Year",SUMIF($D$9:$D$201,$R31,$B$9:$B$201),SUMIFS($B$9:$B$201,$D$9:$D$201,LEFT($R31,4),$E$9:$E$201,3)+SUMIFS($B$9:$B$201,$D$9:$D$201,LEFT($R31,4),$E$9:$E$201,4)+SUMIFS($B$9:$B$201,$D$9:$D$201,LEFT($R31,4)+1,$E$9:$E$201,1)+SUMIFS($B$9:$B$201,$D$9:$D$201,LEFT($R31,4)+1,$E$9:$E$201,2)))</f>
        <v>162.49200000000002</v>
      </c>
      <c r="T31" s="940">
        <f t="shared" ref="T31:T49" si="5">IF(R31="","",IF($S$27="Calendar Year",SUMIF($D$9:$D$201,$R31,$C$9:$C$201),SUMIFS($C$9:$C$201,$D$9:$D$201,LEFT($R31,4),$E$9:$E$201,3)+SUMIFS($C$9:$C$201,$D$9:$D$201,LEFT($R31,4),$E$9:$E$201,4)+SUMIFS($C$9:$C$201,$D$9:$D$201,LEFT($R31,4)+1,$E$9:$E$201,1)+SUMIFS($C$9:$C$201,$D$9:$D$201,LEFT($R31,4)+1,$E$9:$E$201,2)))</f>
        <v>6901.8563919999997</v>
      </c>
    </row>
    <row r="32" spans="1:20" x14ac:dyDescent="0.25">
      <c r="A32" s="925">
        <v>38322</v>
      </c>
      <c r="B32" s="926">
        <v>45.780999999999999</v>
      </c>
      <c r="C32" s="927">
        <v>848.88762299999996</v>
      </c>
      <c r="D32" s="29">
        <f t="shared" si="0"/>
        <v>2004</v>
      </c>
      <c r="E32" s="29" t="str">
        <f t="shared" si="1"/>
        <v>4</v>
      </c>
      <c r="F32" s="29"/>
      <c r="G32" s="403"/>
      <c r="H32" s="933"/>
      <c r="I32" s="403"/>
      <c r="J32" s="403"/>
      <c r="R32" s="937">
        <f t="shared" si="3"/>
        <v>2008</v>
      </c>
      <c r="S32" s="938">
        <f t="shared" si="4"/>
        <v>187.791</v>
      </c>
      <c r="T32" s="879">
        <f t="shared" si="5"/>
        <v>4059.1557379999999</v>
      </c>
    </row>
    <row r="33" spans="1:20" x14ac:dyDescent="0.25">
      <c r="A33" s="925">
        <v>38412</v>
      </c>
      <c r="B33" s="462">
        <v>49.765999999999998</v>
      </c>
      <c r="C33" s="463">
        <v>951.74659999999994</v>
      </c>
      <c r="D33" s="29">
        <f t="shared" si="0"/>
        <v>2005</v>
      </c>
      <c r="E33" s="29" t="str">
        <f t="shared" si="1"/>
        <v>1</v>
      </c>
      <c r="F33" s="29"/>
      <c r="G33" s="403"/>
      <c r="H33" s="933"/>
      <c r="I33" s="403"/>
      <c r="J33" s="403"/>
      <c r="R33" s="937">
        <f t="shared" si="3"/>
        <v>2009</v>
      </c>
      <c r="S33" s="939">
        <f t="shared" si="4"/>
        <v>171.178</v>
      </c>
      <c r="T33" s="940">
        <f t="shared" si="5"/>
        <v>3352.9418449999998</v>
      </c>
    </row>
    <row r="34" spans="1:20" x14ac:dyDescent="0.25">
      <c r="A34" s="925">
        <v>38504</v>
      </c>
      <c r="B34" s="926">
        <v>41.970999999999997</v>
      </c>
      <c r="C34" s="927">
        <v>857.09074399999997</v>
      </c>
      <c r="D34" s="29">
        <f t="shared" si="0"/>
        <v>2005</v>
      </c>
      <c r="E34" s="29" t="str">
        <f t="shared" si="1"/>
        <v>2</v>
      </c>
      <c r="F34" s="29"/>
      <c r="G34" s="403"/>
      <c r="H34" s="933"/>
      <c r="I34" s="403"/>
      <c r="J34" s="403"/>
      <c r="R34" s="937">
        <f t="shared" si="3"/>
        <v>2010</v>
      </c>
      <c r="S34" s="938">
        <f t="shared" si="4"/>
        <v>193.25899999999999</v>
      </c>
      <c r="T34" s="879">
        <f t="shared" si="5"/>
        <v>4550.3347899999999</v>
      </c>
    </row>
    <row r="35" spans="1:20" x14ac:dyDescent="0.25">
      <c r="A35" s="925">
        <v>38596</v>
      </c>
      <c r="B35" s="462">
        <v>42.753999999999998</v>
      </c>
      <c r="C35" s="463">
        <v>711.73360100000002</v>
      </c>
      <c r="D35" s="29">
        <f t="shared" si="0"/>
        <v>2005</v>
      </c>
      <c r="E35" s="29" t="str">
        <f t="shared" si="1"/>
        <v>3</v>
      </c>
      <c r="F35" s="29"/>
      <c r="G35" s="403"/>
      <c r="H35" s="933"/>
      <c r="I35" s="403"/>
      <c r="J35" s="403"/>
      <c r="R35" s="937">
        <f t="shared" si="3"/>
        <v>2011</v>
      </c>
      <c r="S35" s="939">
        <f t="shared" si="4"/>
        <v>185.13</v>
      </c>
      <c r="T35" s="940">
        <f t="shared" si="5"/>
        <v>3951.580226</v>
      </c>
    </row>
    <row r="36" spans="1:20" x14ac:dyDescent="0.25">
      <c r="A36" s="925">
        <v>38687</v>
      </c>
      <c r="B36" s="926">
        <v>53.871000000000002</v>
      </c>
      <c r="C36" s="927">
        <v>970.16752499999996</v>
      </c>
      <c r="D36" s="29">
        <f t="shared" si="0"/>
        <v>2005</v>
      </c>
      <c r="E36" s="29" t="str">
        <f t="shared" si="1"/>
        <v>4</v>
      </c>
      <c r="F36" s="29"/>
      <c r="G36" s="403"/>
      <c r="H36" s="933"/>
      <c r="I36" s="403"/>
      <c r="J36" s="403"/>
      <c r="R36" s="937">
        <f t="shared" si="3"/>
        <v>2012</v>
      </c>
      <c r="S36" s="938">
        <f t="shared" si="4"/>
        <v>230.76710035740911</v>
      </c>
      <c r="T36" s="879">
        <f t="shared" si="5"/>
        <v>3801.1945485400001</v>
      </c>
    </row>
    <row r="37" spans="1:20" x14ac:dyDescent="0.25">
      <c r="A37" s="925">
        <v>38777</v>
      </c>
      <c r="B37" s="462">
        <v>42.780999999999999</v>
      </c>
      <c r="C37" s="463">
        <v>871.43034999999998</v>
      </c>
      <c r="D37" s="29">
        <f t="shared" si="0"/>
        <v>2006</v>
      </c>
      <c r="E37" s="29" t="str">
        <f t="shared" si="1"/>
        <v>1</v>
      </c>
      <c r="F37" s="29"/>
      <c r="G37" s="403"/>
      <c r="H37" s="933"/>
      <c r="I37" s="403"/>
      <c r="J37" s="403"/>
      <c r="R37" s="937">
        <f t="shared" si="3"/>
        <v>2013</v>
      </c>
      <c r="S37" s="939">
        <f t="shared" si="4"/>
        <v>270.74436400000002</v>
      </c>
      <c r="T37" s="940">
        <f t="shared" si="5"/>
        <v>3380.5595159999998</v>
      </c>
    </row>
    <row r="38" spans="1:20" x14ac:dyDescent="0.25">
      <c r="A38" s="925">
        <v>38869</v>
      </c>
      <c r="B38" s="926">
        <v>44.165999999999997</v>
      </c>
      <c r="C38" s="927">
        <v>1258.120529</v>
      </c>
      <c r="D38" s="29">
        <f t="shared" si="0"/>
        <v>2006</v>
      </c>
      <c r="E38" s="29" t="str">
        <f t="shared" si="1"/>
        <v>2</v>
      </c>
      <c r="F38" s="29"/>
      <c r="G38" s="403"/>
      <c r="H38" s="933"/>
      <c r="I38" s="403"/>
      <c r="J38" s="403"/>
      <c r="R38" s="937">
        <f t="shared" si="3"/>
        <v>2014</v>
      </c>
      <c r="S38" s="938">
        <f t="shared" si="4"/>
        <v>218.56311600000001</v>
      </c>
      <c r="T38" s="879">
        <f t="shared" si="5"/>
        <v>3582.4981079999998</v>
      </c>
    </row>
    <row r="39" spans="1:20" x14ac:dyDescent="0.25">
      <c r="A39" s="925">
        <v>38961</v>
      </c>
      <c r="B39" s="462">
        <v>39.345999999999997</v>
      </c>
      <c r="C39" s="463">
        <v>1474.038761</v>
      </c>
      <c r="D39" s="29">
        <f t="shared" si="0"/>
        <v>2006</v>
      </c>
      <c r="E39" s="29" t="str">
        <f t="shared" si="1"/>
        <v>3</v>
      </c>
      <c r="F39" s="29"/>
      <c r="G39" s="403"/>
      <c r="H39" s="933"/>
      <c r="I39" s="403"/>
      <c r="J39" s="403"/>
      <c r="R39" s="937">
        <f t="shared" si="3"/>
        <v>2015</v>
      </c>
      <c r="S39" s="939">
        <f t="shared" si="4"/>
        <v>173.97419100000002</v>
      </c>
      <c r="T39" s="940">
        <f t="shared" si="5"/>
        <v>2557.2144789999998</v>
      </c>
    </row>
    <row r="40" spans="1:20" x14ac:dyDescent="0.25">
      <c r="A40" s="925">
        <v>39052</v>
      </c>
      <c r="B40" s="926">
        <v>48.793999999999997</v>
      </c>
      <c r="C40" s="927">
        <v>2240.5837919999999</v>
      </c>
      <c r="D40" s="29">
        <f t="shared" si="0"/>
        <v>2006</v>
      </c>
      <c r="E40" s="29" t="str">
        <f t="shared" si="1"/>
        <v>4</v>
      </c>
      <c r="F40" s="29"/>
      <c r="G40" s="403"/>
      <c r="H40" s="933"/>
      <c r="I40" s="403"/>
      <c r="J40" s="403"/>
      <c r="R40" s="937">
        <f t="shared" si="3"/>
        <v>2016</v>
      </c>
      <c r="S40" s="938">
        <f t="shared" si="4"/>
        <v>171.60430600000001</v>
      </c>
      <c r="T40" s="879">
        <f t="shared" si="5"/>
        <v>2209.8433130000003</v>
      </c>
    </row>
    <row r="41" spans="1:20" x14ac:dyDescent="0.25">
      <c r="A41" s="925">
        <v>39142</v>
      </c>
      <c r="B41" s="462">
        <v>43.481000000000002</v>
      </c>
      <c r="C41" s="463">
        <v>2182.6945040000001</v>
      </c>
      <c r="D41" s="29">
        <f t="shared" si="0"/>
        <v>2007</v>
      </c>
      <c r="E41" s="29" t="str">
        <f t="shared" si="1"/>
        <v>1</v>
      </c>
      <c r="F41" s="29"/>
      <c r="G41" s="403"/>
      <c r="H41" s="933"/>
      <c r="I41" s="403"/>
      <c r="J41" s="403"/>
      <c r="R41" s="937">
        <f t="shared" si="3"/>
        <v>2017</v>
      </c>
      <c r="S41" s="939">
        <f t="shared" si="4"/>
        <v>166.42021699999998</v>
      </c>
      <c r="T41" s="940">
        <f t="shared" si="5"/>
        <v>2275.8438569999998</v>
      </c>
    </row>
    <row r="42" spans="1:20" x14ac:dyDescent="0.25">
      <c r="A42" s="925">
        <v>39234</v>
      </c>
      <c r="B42" s="926">
        <v>41.948</v>
      </c>
      <c r="C42" s="927">
        <v>2162.0621139999998</v>
      </c>
      <c r="D42" s="29">
        <f t="shared" si="0"/>
        <v>2007</v>
      </c>
      <c r="E42" s="29" t="str">
        <f t="shared" si="1"/>
        <v>2</v>
      </c>
      <c r="F42" s="29"/>
      <c r="G42" s="403"/>
      <c r="H42" s="933"/>
      <c r="I42" s="403"/>
      <c r="J42" s="403"/>
      <c r="R42" s="937">
        <f t="shared" si="3"/>
        <v>2018</v>
      </c>
      <c r="S42" s="938">
        <f t="shared" si="4"/>
        <v>149.29546400000001</v>
      </c>
      <c r="T42" s="879">
        <f t="shared" si="5"/>
        <v>2609.3282049999998</v>
      </c>
    </row>
    <row r="43" spans="1:20" x14ac:dyDescent="0.25">
      <c r="A43" s="925">
        <v>39326</v>
      </c>
      <c r="B43" s="462">
        <v>37.274000000000001</v>
      </c>
      <c r="C43" s="463">
        <v>1284.4866919999999</v>
      </c>
      <c r="D43" s="29">
        <f t="shared" si="0"/>
        <v>2007</v>
      </c>
      <c r="E43" s="29" t="str">
        <f t="shared" si="1"/>
        <v>3</v>
      </c>
      <c r="F43" s="29"/>
      <c r="G43" s="403"/>
      <c r="H43" s="933"/>
      <c r="I43" s="403"/>
      <c r="J43" s="403"/>
      <c r="R43" s="937">
        <f t="shared" si="3"/>
        <v>2019</v>
      </c>
      <c r="S43" s="939">
        <f t="shared" si="4"/>
        <v>153.62417200000002</v>
      </c>
      <c r="T43" s="940">
        <f t="shared" si="5"/>
        <v>3082.1894289999996</v>
      </c>
    </row>
    <row r="44" spans="1:20" x14ac:dyDescent="0.25">
      <c r="A44" s="925">
        <v>39417</v>
      </c>
      <c r="B44" s="926">
        <v>39.789000000000001</v>
      </c>
      <c r="C44" s="927">
        <v>1272.6130820000001</v>
      </c>
      <c r="D44" s="29">
        <f t="shared" si="0"/>
        <v>2007</v>
      </c>
      <c r="E44" s="29" t="str">
        <f t="shared" si="1"/>
        <v>4</v>
      </c>
      <c r="F44" s="29"/>
      <c r="G44" s="403"/>
      <c r="H44" s="933"/>
      <c r="I44" s="403"/>
      <c r="J44" s="403"/>
      <c r="R44" s="937">
        <f t="shared" si="3"/>
        <v>2020</v>
      </c>
      <c r="S44" s="938">
        <f t="shared" si="4"/>
        <v>165.123107</v>
      </c>
      <c r="T44" s="879">
        <f t="shared" si="5"/>
        <v>3341.235021</v>
      </c>
    </row>
    <row r="45" spans="1:20" x14ac:dyDescent="0.25">
      <c r="A45" s="925">
        <v>39508</v>
      </c>
      <c r="B45" s="462">
        <v>47.405999999999999</v>
      </c>
      <c r="C45" s="463">
        <v>1400.58899</v>
      </c>
      <c r="D45" s="29">
        <f t="shared" si="0"/>
        <v>2008</v>
      </c>
      <c r="E45" s="29" t="str">
        <f t="shared" si="1"/>
        <v>1</v>
      </c>
      <c r="F45" s="29"/>
      <c r="G45" s="403"/>
      <c r="H45" s="933"/>
      <c r="I45" s="403"/>
      <c r="J45" s="403"/>
      <c r="R45" s="937">
        <f t="shared" si="3"/>
        <v>2021</v>
      </c>
      <c r="S45" s="939">
        <f t="shared" si="4"/>
        <v>150.02785600000001</v>
      </c>
      <c r="T45" s="940">
        <f t="shared" si="5"/>
        <v>3807.35922265</v>
      </c>
    </row>
    <row r="46" spans="1:20" x14ac:dyDescent="0.25">
      <c r="A46" s="925">
        <v>39600</v>
      </c>
      <c r="B46" s="926">
        <v>48.332000000000001</v>
      </c>
      <c r="C46" s="927">
        <v>1185.9159749999999</v>
      </c>
      <c r="D46" s="29">
        <f t="shared" si="0"/>
        <v>2008</v>
      </c>
      <c r="E46" s="29" t="str">
        <f t="shared" si="1"/>
        <v>2</v>
      </c>
      <c r="F46" s="29"/>
      <c r="G46" s="403"/>
      <c r="H46" s="933"/>
      <c r="I46" s="403"/>
      <c r="J46" s="403"/>
      <c r="R46" s="937">
        <f t="shared" si="3"/>
        <v>2022</v>
      </c>
      <c r="S46" s="938">
        <f t="shared" si="4"/>
        <v>154.272391</v>
      </c>
      <c r="T46" s="879">
        <f t="shared" si="5"/>
        <v>5738.1183019999999</v>
      </c>
    </row>
    <row r="47" spans="1:20" x14ac:dyDescent="0.25">
      <c r="A47" s="925">
        <v>39692</v>
      </c>
      <c r="B47" s="462">
        <v>39.192</v>
      </c>
      <c r="C47" s="463">
        <v>642.03748800000005</v>
      </c>
      <c r="D47" s="29">
        <f t="shared" si="0"/>
        <v>2008</v>
      </c>
      <c r="E47" s="29" t="str">
        <f t="shared" si="1"/>
        <v>3</v>
      </c>
      <c r="F47" s="29"/>
      <c r="G47" s="403"/>
      <c r="H47" s="933"/>
      <c r="I47" s="403"/>
      <c r="J47" s="403"/>
      <c r="R47" s="937">
        <f t="shared" si="3"/>
        <v>2023</v>
      </c>
      <c r="S47" s="939">
        <f t="shared" si="4"/>
        <v>148.19363199999998</v>
      </c>
      <c r="T47" s="940">
        <f t="shared" si="5"/>
        <v>4646.7536489999993</v>
      </c>
    </row>
    <row r="48" spans="1:20" x14ac:dyDescent="0.25">
      <c r="A48" s="925">
        <v>39783</v>
      </c>
      <c r="B48" s="926">
        <v>52.860999999999997</v>
      </c>
      <c r="C48" s="927">
        <v>830.61328500000002</v>
      </c>
      <c r="D48" s="29">
        <f t="shared" si="0"/>
        <v>2008</v>
      </c>
      <c r="E48" s="29" t="str">
        <f t="shared" si="1"/>
        <v>4</v>
      </c>
      <c r="F48" s="29"/>
      <c r="G48" s="403"/>
      <c r="H48" s="933"/>
      <c r="I48" s="403"/>
      <c r="J48" s="403"/>
      <c r="R48" s="937">
        <f>IF($S$27="Calendar Year", R49-1, LEFT(R49,4)-1 &amp; "-" &amp; MID(R49,3,2))</f>
        <v>2024</v>
      </c>
      <c r="S48" s="938">
        <f t="shared" si="4"/>
        <v>128.36591900000002</v>
      </c>
      <c r="T48" s="879">
        <f t="shared" si="5"/>
        <v>3284.0819762207707</v>
      </c>
    </row>
    <row r="49" spans="1:20" ht="15.75" thickBot="1" x14ac:dyDescent="0.3">
      <c r="A49" s="925">
        <v>39873</v>
      </c>
      <c r="B49" s="462">
        <v>42.557000000000002</v>
      </c>
      <c r="C49" s="463">
        <v>703.39529100000004</v>
      </c>
      <c r="D49" s="29">
        <f t="shared" si="0"/>
        <v>2009</v>
      </c>
      <c r="E49" s="29" t="str">
        <f t="shared" si="1"/>
        <v>1</v>
      </c>
      <c r="F49" s="29"/>
      <c r="G49" s="403"/>
      <c r="H49" s="933"/>
      <c r="I49" s="403"/>
      <c r="J49" s="403"/>
      <c r="R49" s="941">
        <f>IF($S$27="Calendar Year",
    YEAR(LARGE($A:$A, 4)),
    IF(MONTH(LARGE($A:$A, 4))&gt;6,
        YEAR(LARGE($A:$A, 4)) &amp; "-" &amp; RIGHT(YEAR(LARGE($A:$A, 4))+1, 2),
        YEAR(LARGE($A:$A, 4))-1 &amp; "-" &amp; RIGHT(YEAR(LARGE($A:$A, 4)), 2)
    ))</f>
        <v>2025</v>
      </c>
      <c r="S49" s="942">
        <f t="shared" si="4"/>
        <v>53.721558000000002</v>
      </c>
      <c r="T49" s="943">
        <f t="shared" si="5"/>
        <v>1265.536116</v>
      </c>
    </row>
    <row r="50" spans="1:20" x14ac:dyDescent="0.25">
      <c r="A50" s="925">
        <v>39965</v>
      </c>
      <c r="B50" s="926">
        <v>43.755000000000003</v>
      </c>
      <c r="C50" s="927">
        <v>820.86273000000006</v>
      </c>
      <c r="D50" s="29">
        <f t="shared" si="0"/>
        <v>2009</v>
      </c>
      <c r="E50" s="29" t="str">
        <f t="shared" si="1"/>
        <v>2</v>
      </c>
      <c r="F50" s="29"/>
      <c r="G50" s="403"/>
      <c r="H50" s="933"/>
      <c r="I50" s="403"/>
      <c r="J50" s="403"/>
      <c r="R50" s="588"/>
      <c r="S50" s="475"/>
      <c r="T50" s="573"/>
    </row>
    <row r="51" spans="1:20" x14ac:dyDescent="0.25">
      <c r="A51" s="925">
        <v>40057</v>
      </c>
      <c r="B51" s="462">
        <v>39.381</v>
      </c>
      <c r="C51" s="463">
        <v>899.558718</v>
      </c>
      <c r="D51" s="29">
        <f t="shared" si="0"/>
        <v>2009</v>
      </c>
      <c r="E51" s="29" t="str">
        <f t="shared" si="1"/>
        <v>3</v>
      </c>
      <c r="F51" s="29"/>
      <c r="G51" s="403"/>
      <c r="H51" s="933"/>
      <c r="I51" s="403"/>
      <c r="J51" s="403"/>
      <c r="R51" s="588"/>
      <c r="S51" s="475"/>
      <c r="T51" s="573"/>
    </row>
    <row r="52" spans="1:20" x14ac:dyDescent="0.25">
      <c r="A52" s="925">
        <v>40148</v>
      </c>
      <c r="B52" s="926">
        <v>45.484999999999999</v>
      </c>
      <c r="C52" s="927">
        <v>929.12510599999996</v>
      </c>
      <c r="D52" s="29">
        <f t="shared" si="0"/>
        <v>2009</v>
      </c>
      <c r="E52" s="29" t="str">
        <f t="shared" si="1"/>
        <v>4</v>
      </c>
      <c r="F52" s="29"/>
      <c r="G52" s="403"/>
      <c r="H52" s="933"/>
      <c r="I52" s="403"/>
      <c r="J52" s="403"/>
      <c r="R52" s="588"/>
      <c r="S52" s="475"/>
      <c r="T52" s="573"/>
    </row>
    <row r="53" spans="1:20" x14ac:dyDescent="0.25">
      <c r="A53" s="925">
        <v>40238</v>
      </c>
      <c r="B53" s="462">
        <v>47.448</v>
      </c>
      <c r="C53" s="463">
        <v>1047.5006519999999</v>
      </c>
      <c r="D53" s="29">
        <f t="shared" si="0"/>
        <v>2010</v>
      </c>
      <c r="E53" s="29" t="str">
        <f t="shared" si="1"/>
        <v>1</v>
      </c>
      <c r="F53" s="29"/>
      <c r="G53" s="403"/>
      <c r="H53" s="933"/>
      <c r="I53" s="403"/>
      <c r="J53" s="403"/>
      <c r="R53" s="588"/>
      <c r="S53" s="475"/>
      <c r="T53" s="573"/>
    </row>
    <row r="54" spans="1:20" x14ac:dyDescent="0.25">
      <c r="A54" s="925">
        <v>40330</v>
      </c>
      <c r="B54" s="926">
        <v>47.838000000000001</v>
      </c>
      <c r="C54" s="927">
        <v>1100.587053</v>
      </c>
      <c r="D54" s="29">
        <f t="shared" si="0"/>
        <v>2010</v>
      </c>
      <c r="E54" s="29" t="str">
        <f t="shared" si="1"/>
        <v>2</v>
      </c>
      <c r="F54" s="29"/>
      <c r="G54" s="403"/>
      <c r="H54" s="933"/>
      <c r="I54" s="403"/>
      <c r="J54" s="403"/>
      <c r="R54" s="589" t="str">
        <f>IFERROR(IF(YEAR(MAX('Commodity Prices'!$C$11:$C1516))=VALUE(RIGHT(R53,4)),"",IF($S$27="Calendar Year",R53+1,CONCATENATE(LEFT(R53,4)+1,"-",RIGHT(R53,4)+1))),"")</f>
        <v/>
      </c>
      <c r="S54" s="590" t="str">
        <f>IF(R54="","",IF($S$27="Calendar Year",SUMIF($D$9:$D$201,$R54,$B$9:$B$201),SUMIFS($B$9:$B$201,$D$9:$D$201,LEFT($R54,4),$E$9:$E$201,3)+SUMIFS($B$9:$B$201,$D$9:$D$201,LEFT($R54,4),$E$9:$E$201,4)+SUMIFS($B$9:$B$201,$D$9:$D$201,LEFT($R54,4)+1,$E$9:$E$201,1)+SUMIFS($B$9:$B$201,$D$9:$D$201,LEFT($R54,4)+1,$E$9:$E$201,2)))</f>
        <v/>
      </c>
      <c r="T54" s="64" t="str">
        <f>IF(R54="","",IF($S$27="Calendar Year",SUMIF($D$9:$D$201,$R54,$C$9:$C$201),SUMIFS($C$9:$C$201,$D$9:$D$201,LEFT($R54,4),$E$9:$E$201,3)+SUMIFS($C$9:$C$201,$D$9:$D$201,LEFT($R54,4),$E$9:$E$201,4)+SUMIFS($C$9:$C$201,$D$9:$D$201,LEFT($R54,4)+1,$E$9:$E$201,1)+SUMIFS($C$9:$C$201,$D$9:$D$201,LEFT($R54,4)+1,$E$9:$E$201,2)))</f>
        <v/>
      </c>
    </row>
    <row r="55" spans="1:20" x14ac:dyDescent="0.25">
      <c r="A55" s="925">
        <v>40422</v>
      </c>
      <c r="B55" s="462">
        <v>46.356000000000002</v>
      </c>
      <c r="C55" s="463">
        <v>1138.848252</v>
      </c>
      <c r="D55" s="29">
        <f t="shared" si="0"/>
        <v>2010</v>
      </c>
      <c r="E55" s="29" t="str">
        <f t="shared" si="1"/>
        <v>3</v>
      </c>
      <c r="F55" s="29"/>
      <c r="G55" s="403"/>
      <c r="H55" s="933"/>
      <c r="I55" s="403"/>
      <c r="J55" s="403"/>
      <c r="R55" s="589" t="str">
        <f>IFERROR(IF(YEAR(MAX('Commodity Prices'!$C$11:$C1516))=VALUE(RIGHT(R54,4)),"",IF($S$27="Calendar Year",R54+1,CONCATENATE(LEFT(R54,4)+1,"-",RIGHT(R54,4)+1))),"")</f>
        <v/>
      </c>
      <c r="S55" s="590" t="str">
        <f>IF(R55="","",IF($S$27="Calendar Year",SUMIF($D$9:$D$201,$R55,$B$9:$B$201),SUMIFS($B$9:$B$201,$D$9:$D$201,LEFT($R55,4),$E$9:$E$201,3)+SUMIFS($B$9:$B$201,$D$9:$D$201,LEFT($R55,4),$E$9:$E$201,4)+SUMIFS($B$9:$B$201,$D$9:$D$201,LEFT($R55,4)+1,$E$9:$E$201,1)+SUMIFS($B$9:$B$201,$D$9:$D$201,LEFT($R55,4)+1,$E$9:$E$201,2)))</f>
        <v/>
      </c>
      <c r="T55" s="64" t="str">
        <f>IF(R55="","",IF($S$27="Calendar Year",SUMIF($D$9:$D$201,$R55,$C$9:$C$201),SUMIFS($C$9:$C$201,$D$9:$D$201,LEFT($R55,4),$E$9:$E$201,3)+SUMIFS($C$9:$C$201,$D$9:$D$201,LEFT($R55,4),$E$9:$E$201,4)+SUMIFS($C$9:$C$201,$D$9:$D$201,LEFT($R55,4)+1,$E$9:$E$201,1)+SUMIFS($C$9:$C$201,$D$9:$D$201,LEFT($R55,4)+1,$E$9:$E$201,2)))</f>
        <v/>
      </c>
    </row>
    <row r="56" spans="1:20" x14ac:dyDescent="0.25">
      <c r="A56" s="925">
        <v>40513</v>
      </c>
      <c r="B56" s="926">
        <v>51.616999999999997</v>
      </c>
      <c r="C56" s="927">
        <v>1263.398833</v>
      </c>
      <c r="D56" s="29">
        <f t="shared" si="0"/>
        <v>2010</v>
      </c>
      <c r="E56" s="29" t="str">
        <f t="shared" si="1"/>
        <v>4</v>
      </c>
      <c r="F56" s="29"/>
      <c r="G56" s="403"/>
      <c r="H56" s="933"/>
      <c r="I56" s="403"/>
      <c r="J56" s="403"/>
    </row>
    <row r="57" spans="1:20" x14ac:dyDescent="0.25">
      <c r="A57" s="925">
        <v>40603</v>
      </c>
      <c r="B57" s="462">
        <v>47.896999999999998</v>
      </c>
      <c r="C57" s="463">
        <v>1231.1867629999999</v>
      </c>
      <c r="D57" s="29">
        <f t="shared" si="0"/>
        <v>2011</v>
      </c>
      <c r="E57" s="29" t="str">
        <f t="shared" si="1"/>
        <v>1</v>
      </c>
      <c r="F57" s="29"/>
      <c r="G57" s="403"/>
      <c r="H57" s="933"/>
      <c r="I57" s="403"/>
      <c r="J57" s="403"/>
    </row>
    <row r="58" spans="1:20" x14ac:dyDescent="0.25">
      <c r="A58" s="925">
        <v>40695</v>
      </c>
      <c r="B58" s="926">
        <v>48.307000000000002</v>
      </c>
      <c r="C58" s="927">
        <v>1052.7396189999999</v>
      </c>
      <c r="D58" s="29">
        <f t="shared" si="0"/>
        <v>2011</v>
      </c>
      <c r="E58" s="29" t="str">
        <f t="shared" si="1"/>
        <v>2</v>
      </c>
      <c r="F58" s="29"/>
      <c r="G58" s="403"/>
      <c r="H58" s="933"/>
      <c r="I58" s="403"/>
      <c r="J58" s="403"/>
    </row>
    <row r="59" spans="1:20" x14ac:dyDescent="0.25">
      <c r="A59" s="925">
        <v>40787</v>
      </c>
      <c r="B59" s="462">
        <v>36.536000000000001</v>
      </c>
      <c r="C59" s="463">
        <v>709.98296900000003</v>
      </c>
      <c r="D59" s="29">
        <f t="shared" si="0"/>
        <v>2011</v>
      </c>
      <c r="E59" s="29" t="str">
        <f t="shared" si="1"/>
        <v>3</v>
      </c>
      <c r="F59" s="29"/>
      <c r="G59" s="403"/>
      <c r="H59" s="933"/>
      <c r="I59" s="403"/>
      <c r="J59" s="403"/>
    </row>
    <row r="60" spans="1:20" x14ac:dyDescent="0.25">
      <c r="A60" s="925">
        <v>40878</v>
      </c>
      <c r="B60" s="926">
        <v>52.39</v>
      </c>
      <c r="C60" s="927">
        <v>957.67087500000002</v>
      </c>
      <c r="D60" s="29">
        <f t="shared" si="0"/>
        <v>2011</v>
      </c>
      <c r="E60" s="29" t="str">
        <f t="shared" si="1"/>
        <v>4</v>
      </c>
      <c r="F60" s="944"/>
      <c r="G60" s="944"/>
      <c r="H60" s="933"/>
      <c r="I60" s="403"/>
      <c r="J60" s="403"/>
    </row>
    <row r="61" spans="1:20" x14ac:dyDescent="0.25">
      <c r="A61" s="925">
        <v>40969</v>
      </c>
      <c r="B61" s="462">
        <v>53.831647400000001</v>
      </c>
      <c r="C61" s="463">
        <v>963.20574728999998</v>
      </c>
      <c r="D61" s="29">
        <f t="shared" si="0"/>
        <v>2012</v>
      </c>
      <c r="E61" s="29" t="str">
        <f t="shared" si="1"/>
        <v>1</v>
      </c>
      <c r="F61" s="944"/>
      <c r="G61" s="944"/>
      <c r="H61" s="933"/>
      <c r="I61" s="403"/>
      <c r="J61" s="403"/>
    </row>
    <row r="62" spans="1:20" x14ac:dyDescent="0.25">
      <c r="A62" s="925">
        <v>41061</v>
      </c>
      <c r="B62" s="926">
        <v>66.612116999999998</v>
      </c>
      <c r="C62" s="927">
        <v>1091.1048049400001</v>
      </c>
      <c r="D62" s="29">
        <f t="shared" si="0"/>
        <v>2012</v>
      </c>
      <c r="E62" s="29" t="str">
        <f t="shared" si="1"/>
        <v>2</v>
      </c>
      <c r="F62" s="944"/>
      <c r="G62" s="944"/>
      <c r="H62" s="933"/>
      <c r="I62" s="403"/>
      <c r="J62" s="403"/>
    </row>
    <row r="63" spans="1:20" x14ac:dyDescent="0.25">
      <c r="A63" s="925">
        <v>41153</v>
      </c>
      <c r="B63" s="462">
        <v>55.94000005327063</v>
      </c>
      <c r="C63" s="463">
        <v>864.43799043000001</v>
      </c>
      <c r="D63" s="29">
        <f t="shared" si="0"/>
        <v>2012</v>
      </c>
      <c r="E63" s="29" t="str">
        <f t="shared" si="1"/>
        <v>3</v>
      </c>
      <c r="F63" s="944"/>
      <c r="G63" s="944"/>
      <c r="H63" s="933"/>
      <c r="I63" s="403"/>
      <c r="J63" s="403"/>
    </row>
    <row r="64" spans="1:20" x14ac:dyDescent="0.25">
      <c r="A64" s="925">
        <v>41244</v>
      </c>
      <c r="B64" s="926">
        <v>54.38333590413847</v>
      </c>
      <c r="C64" s="927">
        <v>882.44600588000003</v>
      </c>
      <c r="D64" s="29">
        <f t="shared" si="0"/>
        <v>2012</v>
      </c>
      <c r="E64" s="29" t="str">
        <f t="shared" si="1"/>
        <v>4</v>
      </c>
      <c r="F64" s="944"/>
      <c r="G64" s="944"/>
      <c r="H64" s="933"/>
      <c r="I64" s="403"/>
      <c r="J64" s="403"/>
    </row>
    <row r="65" spans="1:10" x14ac:dyDescent="0.25">
      <c r="A65" s="925">
        <v>41334</v>
      </c>
      <c r="B65" s="462">
        <v>67.848984999999999</v>
      </c>
      <c r="C65" s="463">
        <v>928.90185699999995</v>
      </c>
      <c r="D65" s="29">
        <f t="shared" si="0"/>
        <v>2013</v>
      </c>
      <c r="E65" s="29" t="str">
        <f t="shared" si="1"/>
        <v>1</v>
      </c>
      <c r="F65" s="944"/>
      <c r="G65" s="944"/>
      <c r="H65" s="933"/>
      <c r="I65" s="403"/>
      <c r="J65" s="403"/>
    </row>
    <row r="66" spans="1:10" x14ac:dyDescent="0.25">
      <c r="A66" s="925">
        <v>41426</v>
      </c>
      <c r="B66" s="926">
        <v>70.702228000000005</v>
      </c>
      <c r="C66" s="927">
        <v>835.92591099999993</v>
      </c>
      <c r="D66" s="29">
        <f t="shared" si="0"/>
        <v>2013</v>
      </c>
      <c r="E66" s="29" t="str">
        <f t="shared" si="1"/>
        <v>2</v>
      </c>
    </row>
    <row r="67" spans="1:10" x14ac:dyDescent="0.25">
      <c r="A67" s="925">
        <v>41518</v>
      </c>
      <c r="B67" s="462">
        <v>68.284731999999991</v>
      </c>
      <c r="C67" s="463">
        <v>831.86759199999995</v>
      </c>
      <c r="D67" s="29">
        <f t="shared" si="0"/>
        <v>2013</v>
      </c>
      <c r="E67" s="29" t="str">
        <f t="shared" si="1"/>
        <v>3</v>
      </c>
    </row>
    <row r="68" spans="1:10" x14ac:dyDescent="0.25">
      <c r="A68" s="925">
        <v>41609</v>
      </c>
      <c r="B68" s="926">
        <v>63.908419000000002</v>
      </c>
      <c r="C68" s="927">
        <v>783.86415599999998</v>
      </c>
      <c r="D68" s="29">
        <f t="shared" si="0"/>
        <v>2013</v>
      </c>
      <c r="E68" s="29" t="str">
        <f t="shared" si="1"/>
        <v>4</v>
      </c>
    </row>
    <row r="69" spans="1:10" x14ac:dyDescent="0.25">
      <c r="A69" s="925">
        <v>41699</v>
      </c>
      <c r="B69" s="462">
        <v>59.844214000000008</v>
      </c>
      <c r="C69" s="463">
        <v>846.20660599999997</v>
      </c>
      <c r="D69" s="29">
        <f t="shared" si="0"/>
        <v>2014</v>
      </c>
      <c r="E69" s="29" t="str">
        <f t="shared" si="1"/>
        <v>1</v>
      </c>
    </row>
    <row r="70" spans="1:10" x14ac:dyDescent="0.25">
      <c r="A70" s="925">
        <v>41791</v>
      </c>
      <c r="B70" s="926">
        <v>60.238544000000005</v>
      </c>
      <c r="C70" s="927">
        <v>957.08476499999995</v>
      </c>
      <c r="D70" s="29">
        <f t="shared" si="0"/>
        <v>2014</v>
      </c>
      <c r="E70" s="29" t="str">
        <f t="shared" si="1"/>
        <v>2</v>
      </c>
    </row>
    <row r="71" spans="1:10" x14ac:dyDescent="0.25">
      <c r="A71" s="925">
        <v>41883</v>
      </c>
      <c r="B71" s="462">
        <v>46.894492</v>
      </c>
      <c r="C71" s="463">
        <v>867.60104799999999</v>
      </c>
      <c r="D71" s="29">
        <f t="shared" si="0"/>
        <v>2014</v>
      </c>
      <c r="E71" s="29" t="str">
        <f t="shared" si="1"/>
        <v>3</v>
      </c>
    </row>
    <row r="72" spans="1:10" x14ac:dyDescent="0.25">
      <c r="A72" s="925">
        <v>41974</v>
      </c>
      <c r="B72" s="926">
        <v>51.585865999999989</v>
      </c>
      <c r="C72" s="927">
        <v>911.60568899999998</v>
      </c>
      <c r="D72" s="29">
        <f t="shared" si="0"/>
        <v>2014</v>
      </c>
      <c r="E72" s="29" t="str">
        <f t="shared" si="1"/>
        <v>4</v>
      </c>
    </row>
    <row r="73" spans="1:10" x14ac:dyDescent="0.25">
      <c r="A73" s="925">
        <v>42064</v>
      </c>
      <c r="B73" s="462">
        <v>39.123604</v>
      </c>
      <c r="C73" s="463">
        <v>675.54155800000001</v>
      </c>
      <c r="D73" s="29">
        <f t="shared" si="0"/>
        <v>2015</v>
      </c>
      <c r="E73" s="29" t="str">
        <f t="shared" si="1"/>
        <v>1</v>
      </c>
    </row>
    <row r="74" spans="1:10" x14ac:dyDescent="0.25">
      <c r="A74" s="925">
        <v>42156</v>
      </c>
      <c r="B74" s="926">
        <v>45.715990000000005</v>
      </c>
      <c r="C74" s="927">
        <v>714.85670599999992</v>
      </c>
      <c r="D74" s="29">
        <f>YEAR(A74)</f>
        <v>2015</v>
      </c>
      <c r="E74" s="29" t="str">
        <f>IF(MONTH(A74)=3,"1",IF(MONTH(A74)=6,"2",IF(MONTH(A74)=9,"3","4")))</f>
        <v>2</v>
      </c>
    </row>
    <row r="75" spans="1:10" x14ac:dyDescent="0.25">
      <c r="A75" s="925">
        <v>42248</v>
      </c>
      <c r="B75" s="462">
        <v>46.322647000000011</v>
      </c>
      <c r="C75" s="463">
        <v>638.45772099999999</v>
      </c>
      <c r="D75" s="29">
        <f>YEAR(A75)</f>
        <v>2015</v>
      </c>
      <c r="E75" s="29" t="str">
        <f>IF(MONTH(A75)=3,"1",IF(MONTH(A75)=6,"2",IF(MONTH(A75)=9,"3","4")))</f>
        <v>3</v>
      </c>
    </row>
    <row r="76" spans="1:10" x14ac:dyDescent="0.25">
      <c r="A76" s="925">
        <v>42339</v>
      </c>
      <c r="B76" s="926">
        <v>42.811950000000003</v>
      </c>
      <c r="C76" s="927">
        <v>528.35849399999995</v>
      </c>
      <c r="D76" s="29">
        <f>YEAR(A76)</f>
        <v>2015</v>
      </c>
      <c r="E76" s="29" t="str">
        <f>IF(MONTH(A76)=3,"1",IF(MONTH(A76)=6,"2",IF(MONTH(A76)=9,"3","4")))</f>
        <v>4</v>
      </c>
    </row>
    <row r="77" spans="1:10" x14ac:dyDescent="0.25">
      <c r="A77" s="925">
        <v>42430</v>
      </c>
      <c r="B77" s="462">
        <v>43.988477000000003</v>
      </c>
      <c r="C77" s="463">
        <v>518.42369199999996</v>
      </c>
      <c r="D77" s="29">
        <f t="shared" ref="D77:D140" si="6">YEAR(A77)</f>
        <v>2016</v>
      </c>
      <c r="E77" s="29" t="str">
        <f t="shared" ref="E77:E140" si="7">IF(MONTH(A77)=3,"1",IF(MONTH(A77)=6,"2",IF(MONTH(A77)=9,"3","4")))</f>
        <v>1</v>
      </c>
    </row>
    <row r="78" spans="1:10" x14ac:dyDescent="0.25">
      <c r="A78" s="925">
        <v>42522</v>
      </c>
      <c r="B78" s="926">
        <v>42.628457000000004</v>
      </c>
      <c r="C78" s="927">
        <v>517.49454400000002</v>
      </c>
      <c r="D78" s="29">
        <f t="shared" si="6"/>
        <v>2016</v>
      </c>
      <c r="E78" s="29" t="str">
        <f t="shared" si="7"/>
        <v>2</v>
      </c>
    </row>
    <row r="79" spans="1:10" x14ac:dyDescent="0.25">
      <c r="A79" s="925">
        <v>42614</v>
      </c>
      <c r="B79" s="462">
        <v>36.742851000000002</v>
      </c>
      <c r="C79" s="463">
        <v>493.70277999999996</v>
      </c>
      <c r="D79" s="29">
        <f t="shared" si="6"/>
        <v>2016</v>
      </c>
      <c r="E79" s="29" t="str">
        <f t="shared" si="7"/>
        <v>3</v>
      </c>
    </row>
    <row r="80" spans="1:10" x14ac:dyDescent="0.25">
      <c r="A80" s="925">
        <v>42705</v>
      </c>
      <c r="B80" s="926">
        <v>48.244520999999999</v>
      </c>
      <c r="C80" s="927">
        <v>680.22229700000003</v>
      </c>
      <c r="D80" s="29">
        <f t="shared" si="6"/>
        <v>2016</v>
      </c>
      <c r="E80" s="29" t="str">
        <f t="shared" si="7"/>
        <v>4</v>
      </c>
    </row>
    <row r="81" spans="1:5" x14ac:dyDescent="0.25">
      <c r="A81" s="925">
        <v>42795</v>
      </c>
      <c r="B81" s="462">
        <v>36.610708999999993</v>
      </c>
      <c r="C81" s="463">
        <v>483.453688</v>
      </c>
      <c r="D81" s="29">
        <f t="shared" si="6"/>
        <v>2017</v>
      </c>
      <c r="E81" s="29" t="str">
        <f t="shared" si="7"/>
        <v>1</v>
      </c>
    </row>
    <row r="82" spans="1:5" x14ac:dyDescent="0.25">
      <c r="A82" s="925">
        <v>42887</v>
      </c>
      <c r="B82" s="926">
        <v>42.093862999999999</v>
      </c>
      <c r="C82" s="927">
        <v>519.34036700000001</v>
      </c>
      <c r="D82" s="29">
        <f t="shared" si="6"/>
        <v>2017</v>
      </c>
      <c r="E82" s="29" t="str">
        <f t="shared" si="7"/>
        <v>2</v>
      </c>
    </row>
    <row r="83" spans="1:5" x14ac:dyDescent="0.25">
      <c r="A83" s="925">
        <v>42979</v>
      </c>
      <c r="B83" s="462">
        <v>45.021073999999999</v>
      </c>
      <c r="C83" s="463">
        <v>609.47907799999996</v>
      </c>
      <c r="D83" s="29">
        <f t="shared" si="6"/>
        <v>2017</v>
      </c>
      <c r="E83" s="29" t="str">
        <f t="shared" si="7"/>
        <v>3</v>
      </c>
    </row>
    <row r="84" spans="1:5" x14ac:dyDescent="0.25">
      <c r="A84" s="925">
        <v>43070</v>
      </c>
      <c r="B84" s="926">
        <v>42.694571000000003</v>
      </c>
      <c r="C84" s="927">
        <v>663.57072399999993</v>
      </c>
      <c r="D84" s="29">
        <f t="shared" si="6"/>
        <v>2017</v>
      </c>
      <c r="E84" s="29" t="str">
        <f t="shared" si="7"/>
        <v>4</v>
      </c>
    </row>
    <row r="85" spans="1:5" x14ac:dyDescent="0.25">
      <c r="A85" s="925">
        <v>43160</v>
      </c>
      <c r="B85" s="462">
        <v>36.993086000000005</v>
      </c>
      <c r="C85" s="463">
        <v>641.27739999999994</v>
      </c>
      <c r="D85" s="29">
        <f t="shared" si="6"/>
        <v>2018</v>
      </c>
      <c r="E85" s="29" t="str">
        <f t="shared" si="7"/>
        <v>1</v>
      </c>
    </row>
    <row r="86" spans="1:5" x14ac:dyDescent="0.25">
      <c r="A86" s="925">
        <v>43252</v>
      </c>
      <c r="B86" s="926">
        <v>39.905166999999999</v>
      </c>
      <c r="C86" s="927">
        <v>743.41831200000001</v>
      </c>
      <c r="D86" s="29">
        <f t="shared" si="6"/>
        <v>2018</v>
      </c>
      <c r="E86" s="29" t="str">
        <f t="shared" si="7"/>
        <v>2</v>
      </c>
    </row>
    <row r="87" spans="1:5" x14ac:dyDescent="0.25">
      <c r="A87" s="925">
        <v>43344</v>
      </c>
      <c r="B87" s="462">
        <v>33.196140999999997</v>
      </c>
      <c r="C87" s="456">
        <v>586.79589199999998</v>
      </c>
      <c r="D87" s="29">
        <f t="shared" si="6"/>
        <v>2018</v>
      </c>
      <c r="E87" s="29" t="str">
        <f t="shared" si="7"/>
        <v>3</v>
      </c>
    </row>
    <row r="88" spans="1:5" x14ac:dyDescent="0.25">
      <c r="A88" s="925">
        <v>43435</v>
      </c>
      <c r="B88" s="926">
        <v>39.201070000000001</v>
      </c>
      <c r="C88" s="927">
        <v>637.83660099999997</v>
      </c>
      <c r="D88" s="29">
        <f t="shared" si="6"/>
        <v>2018</v>
      </c>
      <c r="E88" s="29" t="str">
        <f t="shared" si="7"/>
        <v>4</v>
      </c>
    </row>
    <row r="89" spans="1:5" x14ac:dyDescent="0.25">
      <c r="A89" s="925">
        <v>43525</v>
      </c>
      <c r="B89" s="462">
        <v>37.137700000000002</v>
      </c>
      <c r="C89" s="456">
        <v>651.67899599999998</v>
      </c>
      <c r="D89" s="29">
        <f t="shared" si="6"/>
        <v>2019</v>
      </c>
      <c r="E89" s="29" t="str">
        <f t="shared" si="7"/>
        <v>1</v>
      </c>
    </row>
    <row r="90" spans="1:5" x14ac:dyDescent="0.25">
      <c r="A90" s="925">
        <v>43617</v>
      </c>
      <c r="B90" s="926">
        <v>44.439292000000002</v>
      </c>
      <c r="C90" s="927">
        <v>816.91163699999993</v>
      </c>
      <c r="D90">
        <v>2019</v>
      </c>
      <c r="E90" s="29" t="str">
        <f t="shared" si="7"/>
        <v>2</v>
      </c>
    </row>
    <row r="91" spans="1:5" x14ac:dyDescent="0.25">
      <c r="A91" s="925">
        <v>43709</v>
      </c>
      <c r="B91" s="462">
        <v>40.476959999999998</v>
      </c>
      <c r="C91" s="456">
        <v>939.78325899999993</v>
      </c>
      <c r="D91" s="29">
        <f t="shared" si="6"/>
        <v>2019</v>
      </c>
      <c r="E91" s="29" t="str">
        <f t="shared" si="7"/>
        <v>3</v>
      </c>
    </row>
    <row r="92" spans="1:5" x14ac:dyDescent="0.25">
      <c r="A92" s="925">
        <v>43800</v>
      </c>
      <c r="B92" s="926">
        <v>31.570220000000003</v>
      </c>
      <c r="C92" s="927">
        <v>673.81553699999995</v>
      </c>
      <c r="D92" s="29">
        <f t="shared" si="6"/>
        <v>2019</v>
      </c>
      <c r="E92" s="29" t="str">
        <f t="shared" si="7"/>
        <v>4</v>
      </c>
    </row>
    <row r="93" spans="1:5" x14ac:dyDescent="0.25">
      <c r="A93" s="925">
        <v>43891</v>
      </c>
      <c r="B93" s="462">
        <v>37.243671000000006</v>
      </c>
      <c r="C93" s="463">
        <v>700.63279</v>
      </c>
      <c r="D93" s="29">
        <f t="shared" si="6"/>
        <v>2020</v>
      </c>
      <c r="E93" s="29" t="str">
        <f t="shared" si="7"/>
        <v>1</v>
      </c>
    </row>
    <row r="94" spans="1:5" x14ac:dyDescent="0.25">
      <c r="A94" s="925">
        <v>43983</v>
      </c>
      <c r="B94" s="926">
        <v>44.273423000000001</v>
      </c>
      <c r="C94" s="927">
        <v>853.91706399999998</v>
      </c>
      <c r="D94" s="29">
        <f t="shared" si="6"/>
        <v>2020</v>
      </c>
      <c r="E94" s="29" t="str">
        <f t="shared" si="7"/>
        <v>2</v>
      </c>
    </row>
    <row r="95" spans="1:5" x14ac:dyDescent="0.25">
      <c r="A95" s="925">
        <v>44075</v>
      </c>
      <c r="B95" s="462">
        <v>42.711554000000007</v>
      </c>
      <c r="C95" s="463">
        <v>869.14050399999996</v>
      </c>
      <c r="D95" s="29">
        <f t="shared" si="6"/>
        <v>2020</v>
      </c>
      <c r="E95" s="29" t="str">
        <f t="shared" si="7"/>
        <v>3</v>
      </c>
    </row>
    <row r="96" spans="1:5" x14ac:dyDescent="0.25">
      <c r="A96" s="925">
        <v>44166</v>
      </c>
      <c r="B96" s="926">
        <v>40.894458999999998</v>
      </c>
      <c r="C96" s="927">
        <v>917.54466300000001</v>
      </c>
      <c r="D96" s="29">
        <f t="shared" si="6"/>
        <v>2020</v>
      </c>
      <c r="E96" s="29" t="str">
        <f t="shared" si="7"/>
        <v>4</v>
      </c>
    </row>
    <row r="97" spans="1:5" x14ac:dyDescent="0.25">
      <c r="A97" s="925">
        <v>44256</v>
      </c>
      <c r="B97" s="462">
        <v>34.595630000000007</v>
      </c>
      <c r="C97" s="463">
        <v>783.50901499999998</v>
      </c>
      <c r="D97" s="29">
        <f t="shared" si="6"/>
        <v>2021</v>
      </c>
      <c r="E97" s="29" t="str">
        <f t="shared" si="7"/>
        <v>1</v>
      </c>
    </row>
    <row r="98" spans="1:5" x14ac:dyDescent="0.25">
      <c r="A98" s="925">
        <v>44348</v>
      </c>
      <c r="B98" s="926">
        <v>39.671388999999998</v>
      </c>
      <c r="C98" s="929">
        <v>908.60599999999999</v>
      </c>
      <c r="D98" s="29">
        <f t="shared" si="6"/>
        <v>2021</v>
      </c>
      <c r="E98" s="29" t="str">
        <f t="shared" si="7"/>
        <v>2</v>
      </c>
    </row>
    <row r="99" spans="1:5" x14ac:dyDescent="0.25">
      <c r="A99" s="925">
        <v>44440</v>
      </c>
      <c r="B99" s="462">
        <v>36.373874999999991</v>
      </c>
      <c r="C99" s="456">
        <v>948.02539899999999</v>
      </c>
      <c r="D99" s="29">
        <f t="shared" si="6"/>
        <v>2021</v>
      </c>
      <c r="E99" s="29" t="str">
        <f t="shared" si="7"/>
        <v>3</v>
      </c>
    </row>
    <row r="100" spans="1:5" x14ac:dyDescent="0.25">
      <c r="A100" s="925">
        <v>44531</v>
      </c>
      <c r="B100" s="926">
        <v>39.386962000000011</v>
      </c>
      <c r="C100" s="929">
        <v>1167.21880865</v>
      </c>
      <c r="D100" s="29">
        <f t="shared" si="6"/>
        <v>2021</v>
      </c>
      <c r="E100" s="29" t="str">
        <f t="shared" si="7"/>
        <v>4</v>
      </c>
    </row>
    <row r="101" spans="1:5" x14ac:dyDescent="0.25">
      <c r="A101" s="925">
        <v>44621</v>
      </c>
      <c r="B101" s="462">
        <v>36.557091999999997</v>
      </c>
      <c r="C101" s="456">
        <v>1506.9168199999999</v>
      </c>
      <c r="D101" s="29">
        <f t="shared" si="6"/>
        <v>2022</v>
      </c>
      <c r="E101" s="29" t="str">
        <f t="shared" si="7"/>
        <v>1</v>
      </c>
    </row>
    <row r="102" spans="1:5" x14ac:dyDescent="0.25">
      <c r="A102" s="925">
        <v>44713</v>
      </c>
      <c r="B102" s="926">
        <v>34.867345999999998</v>
      </c>
      <c r="C102" s="929">
        <v>1194.8579069999998</v>
      </c>
      <c r="D102" s="29">
        <f t="shared" si="6"/>
        <v>2022</v>
      </c>
      <c r="E102" s="29" t="str">
        <f t="shared" si="7"/>
        <v>2</v>
      </c>
    </row>
    <row r="103" spans="1:5" x14ac:dyDescent="0.25">
      <c r="A103" s="925">
        <v>44805</v>
      </c>
      <c r="B103" s="462">
        <v>43.282642000000003</v>
      </c>
      <c r="C103" s="456">
        <v>1416.422041</v>
      </c>
      <c r="D103" s="29">
        <f t="shared" si="6"/>
        <v>2022</v>
      </c>
      <c r="E103" s="29" t="str">
        <f t="shared" si="7"/>
        <v>3</v>
      </c>
    </row>
    <row r="104" spans="1:5" x14ac:dyDescent="0.25">
      <c r="A104" s="925">
        <v>44896</v>
      </c>
      <c r="B104" s="926">
        <v>39.565311000000001</v>
      </c>
      <c r="C104" s="929">
        <v>1619.9215339999998</v>
      </c>
      <c r="D104" s="29">
        <f t="shared" si="6"/>
        <v>2022</v>
      </c>
      <c r="E104" s="29" t="str">
        <f t="shared" si="7"/>
        <v>4</v>
      </c>
    </row>
    <row r="105" spans="1:5" x14ac:dyDescent="0.25">
      <c r="A105" s="925">
        <v>44986</v>
      </c>
      <c r="B105" s="462">
        <v>36.992675999999996</v>
      </c>
      <c r="C105" s="456">
        <v>1359.559256</v>
      </c>
      <c r="D105" s="29">
        <f t="shared" si="6"/>
        <v>2023</v>
      </c>
      <c r="E105" s="29" t="str">
        <f t="shared" si="7"/>
        <v>1</v>
      </c>
    </row>
    <row r="106" spans="1:5" x14ac:dyDescent="0.25">
      <c r="A106" s="925">
        <v>45078</v>
      </c>
      <c r="B106" s="926">
        <v>40.026238000000006</v>
      </c>
      <c r="C106" s="929">
        <v>1297.4209289999999</v>
      </c>
      <c r="D106" s="29">
        <f t="shared" si="6"/>
        <v>2023</v>
      </c>
      <c r="E106" s="29" t="str">
        <f t="shared" si="7"/>
        <v>2</v>
      </c>
    </row>
    <row r="107" spans="1:5" x14ac:dyDescent="0.25">
      <c r="A107" s="925">
        <v>45170</v>
      </c>
      <c r="B107" s="462">
        <v>35.523575000000001</v>
      </c>
      <c r="C107" s="456">
        <v>1067.2867180000001</v>
      </c>
      <c r="D107" s="29">
        <f t="shared" si="6"/>
        <v>2023</v>
      </c>
      <c r="E107" s="29" t="str">
        <f t="shared" si="7"/>
        <v>3</v>
      </c>
    </row>
    <row r="108" spans="1:5" x14ac:dyDescent="0.25">
      <c r="A108" s="925">
        <v>45261</v>
      </c>
      <c r="B108" s="926">
        <v>35.651142999999998</v>
      </c>
      <c r="C108" s="929">
        <v>922.48674599999993</v>
      </c>
      <c r="D108" s="29">
        <f t="shared" si="6"/>
        <v>2023</v>
      </c>
      <c r="E108" s="29" t="str">
        <f t="shared" si="7"/>
        <v>4</v>
      </c>
    </row>
    <row r="109" spans="1:5" x14ac:dyDescent="0.25">
      <c r="A109" s="925">
        <v>45352</v>
      </c>
      <c r="B109" s="462">
        <v>30.649360000000001</v>
      </c>
      <c r="C109" s="456">
        <v>792.52913100000001</v>
      </c>
      <c r="D109" s="29">
        <f t="shared" si="6"/>
        <v>2024</v>
      </c>
      <c r="E109" s="29" t="str">
        <f t="shared" si="7"/>
        <v>1</v>
      </c>
    </row>
    <row r="110" spans="1:5" x14ac:dyDescent="0.25">
      <c r="A110" s="925">
        <v>45444</v>
      </c>
      <c r="B110" s="926">
        <v>37.944377000000003</v>
      </c>
      <c r="C110" s="929">
        <v>1037.7322589999999</v>
      </c>
      <c r="D110" s="29">
        <f t="shared" si="6"/>
        <v>2024</v>
      </c>
      <c r="E110" s="29" t="str">
        <f t="shared" si="7"/>
        <v>2</v>
      </c>
    </row>
    <row r="111" spans="1:5" x14ac:dyDescent="0.25">
      <c r="A111" s="925">
        <v>45536</v>
      </c>
      <c r="B111" s="462">
        <v>34.027381000000005</v>
      </c>
      <c r="C111" s="456">
        <v>826.30189322077081</v>
      </c>
      <c r="D111" s="29">
        <f t="shared" si="6"/>
        <v>2024</v>
      </c>
      <c r="E111" s="29" t="str">
        <f t="shared" si="7"/>
        <v>3</v>
      </c>
    </row>
    <row r="112" spans="1:5" x14ac:dyDescent="0.25">
      <c r="A112" s="925">
        <v>45627</v>
      </c>
      <c r="B112" s="926">
        <v>25.744800999999999</v>
      </c>
      <c r="C112" s="929">
        <v>627.51869299999998</v>
      </c>
      <c r="D112" s="29">
        <f t="shared" si="6"/>
        <v>2024</v>
      </c>
      <c r="E112" s="29" t="str">
        <f t="shared" si="7"/>
        <v>4</v>
      </c>
    </row>
    <row r="113" spans="1:5" x14ac:dyDescent="0.25">
      <c r="A113" s="925">
        <v>45717</v>
      </c>
      <c r="B113" s="462">
        <v>16.151738000000002</v>
      </c>
      <c r="C113" s="456">
        <v>397.51782800000001</v>
      </c>
      <c r="D113" s="29">
        <f t="shared" si="6"/>
        <v>2025</v>
      </c>
      <c r="E113" s="29" t="str">
        <f t="shared" si="7"/>
        <v>1</v>
      </c>
    </row>
    <row r="114" spans="1:5" x14ac:dyDescent="0.25">
      <c r="A114" s="925">
        <v>45809</v>
      </c>
      <c r="B114" s="926">
        <v>12.253017</v>
      </c>
      <c r="C114" s="929">
        <v>289.93599699999999</v>
      </c>
      <c r="D114" s="29">
        <f t="shared" si="6"/>
        <v>2025</v>
      </c>
      <c r="E114" s="29" t="str">
        <f t="shared" si="7"/>
        <v>2</v>
      </c>
    </row>
    <row r="115" spans="1:5" x14ac:dyDescent="0.25">
      <c r="A115" s="925">
        <v>45901</v>
      </c>
      <c r="B115" s="462">
        <v>14.519672999999999</v>
      </c>
      <c r="C115" s="456">
        <v>333.25113999999996</v>
      </c>
      <c r="D115" s="29">
        <f t="shared" si="6"/>
        <v>2025</v>
      </c>
      <c r="E115" s="29" t="str">
        <f t="shared" si="7"/>
        <v>3</v>
      </c>
    </row>
    <row r="116" spans="1:5" ht="15.75" thickBot="1" x14ac:dyDescent="0.3">
      <c r="A116" s="930">
        <v>45992</v>
      </c>
      <c r="B116" s="945">
        <v>10.797129999999999</v>
      </c>
      <c r="C116" s="946">
        <v>244.83115099999998</v>
      </c>
      <c r="D116" s="29">
        <f t="shared" si="6"/>
        <v>2025</v>
      </c>
      <c r="E116" s="29" t="str">
        <f t="shared" si="7"/>
        <v>4</v>
      </c>
    </row>
    <row r="117" spans="1:5" x14ac:dyDescent="0.25">
      <c r="B117" s="403"/>
      <c r="C117" s="193"/>
      <c r="D117" s="29">
        <f t="shared" si="6"/>
        <v>1900</v>
      </c>
      <c r="E117" s="29" t="str">
        <f t="shared" si="7"/>
        <v>4</v>
      </c>
    </row>
    <row r="118" spans="1:5" x14ac:dyDescent="0.25">
      <c r="B118" s="403"/>
      <c r="C118" s="193"/>
      <c r="D118" s="29">
        <f t="shared" si="6"/>
        <v>1900</v>
      </c>
      <c r="E118" s="29" t="str">
        <f t="shared" si="7"/>
        <v>4</v>
      </c>
    </row>
    <row r="119" spans="1:5" x14ac:dyDescent="0.25">
      <c r="B119" s="403"/>
      <c r="C119" s="193"/>
      <c r="D119" s="29">
        <f t="shared" si="6"/>
        <v>1900</v>
      </c>
      <c r="E119" s="29" t="str">
        <f t="shared" si="7"/>
        <v>4</v>
      </c>
    </row>
    <row r="120" spans="1:5" x14ac:dyDescent="0.25">
      <c r="B120" s="403"/>
      <c r="C120" s="193"/>
      <c r="D120" s="29">
        <f t="shared" si="6"/>
        <v>1900</v>
      </c>
      <c r="E120" s="29" t="str">
        <f t="shared" si="7"/>
        <v>4</v>
      </c>
    </row>
    <row r="121" spans="1:5" x14ac:dyDescent="0.25">
      <c r="B121" s="403"/>
      <c r="C121" s="193"/>
      <c r="D121" s="29">
        <f t="shared" si="6"/>
        <v>1900</v>
      </c>
      <c r="E121" s="29" t="str">
        <f t="shared" si="7"/>
        <v>4</v>
      </c>
    </row>
    <row r="122" spans="1:5" x14ac:dyDescent="0.25">
      <c r="B122" s="403"/>
      <c r="C122" s="193"/>
      <c r="D122" s="29">
        <f t="shared" si="6"/>
        <v>1900</v>
      </c>
      <c r="E122" s="29" t="str">
        <f t="shared" si="7"/>
        <v>4</v>
      </c>
    </row>
    <row r="123" spans="1:5" x14ac:dyDescent="0.25">
      <c r="B123" s="403"/>
      <c r="C123" s="193"/>
      <c r="D123" s="29">
        <f t="shared" si="6"/>
        <v>1900</v>
      </c>
      <c r="E123" s="29" t="str">
        <f t="shared" si="7"/>
        <v>4</v>
      </c>
    </row>
    <row r="124" spans="1:5" x14ac:dyDescent="0.25">
      <c r="B124" s="403"/>
      <c r="C124" s="193"/>
      <c r="D124" s="29">
        <f t="shared" si="6"/>
        <v>1900</v>
      </c>
      <c r="E124" s="29" t="str">
        <f t="shared" si="7"/>
        <v>4</v>
      </c>
    </row>
    <row r="125" spans="1:5" x14ac:dyDescent="0.25">
      <c r="B125" s="403"/>
      <c r="C125" s="193"/>
      <c r="D125" s="29">
        <f t="shared" si="6"/>
        <v>1900</v>
      </c>
      <c r="E125" s="29" t="str">
        <f t="shared" si="7"/>
        <v>4</v>
      </c>
    </row>
    <row r="126" spans="1:5" x14ac:dyDescent="0.25">
      <c r="B126" s="403"/>
      <c r="C126" s="193"/>
      <c r="D126" s="29">
        <f t="shared" si="6"/>
        <v>1900</v>
      </c>
      <c r="E126" s="29" t="str">
        <f t="shared" si="7"/>
        <v>4</v>
      </c>
    </row>
    <row r="127" spans="1:5" x14ac:dyDescent="0.25">
      <c r="B127" s="403"/>
      <c r="C127" s="193"/>
      <c r="D127" s="29">
        <f t="shared" si="6"/>
        <v>1900</v>
      </c>
      <c r="E127" s="29" t="str">
        <f t="shared" si="7"/>
        <v>4</v>
      </c>
    </row>
    <row r="128" spans="1:5" x14ac:dyDescent="0.25">
      <c r="B128" s="403"/>
      <c r="C128" s="193"/>
      <c r="D128" s="29">
        <f t="shared" si="6"/>
        <v>1900</v>
      </c>
      <c r="E128" s="29" t="str">
        <f t="shared" si="7"/>
        <v>4</v>
      </c>
    </row>
    <row r="129" spans="2:5" x14ac:dyDescent="0.25">
      <c r="B129" s="403"/>
      <c r="C129" s="193"/>
      <c r="D129" s="29">
        <f t="shared" si="6"/>
        <v>1900</v>
      </c>
      <c r="E129" s="29" t="str">
        <f t="shared" si="7"/>
        <v>4</v>
      </c>
    </row>
    <row r="130" spans="2:5" x14ac:dyDescent="0.25">
      <c r="B130" s="403"/>
      <c r="C130" s="193"/>
      <c r="D130" s="29">
        <f t="shared" si="6"/>
        <v>1900</v>
      </c>
      <c r="E130" s="29" t="str">
        <f t="shared" si="7"/>
        <v>4</v>
      </c>
    </row>
    <row r="131" spans="2:5" x14ac:dyDescent="0.25">
      <c r="B131" s="403"/>
      <c r="C131" s="193"/>
      <c r="D131" s="29">
        <f t="shared" si="6"/>
        <v>1900</v>
      </c>
      <c r="E131" s="29" t="str">
        <f t="shared" si="7"/>
        <v>4</v>
      </c>
    </row>
    <row r="132" spans="2:5" x14ac:dyDescent="0.25">
      <c r="B132" s="403"/>
      <c r="C132" s="193"/>
      <c r="D132" s="29">
        <f t="shared" si="6"/>
        <v>1900</v>
      </c>
      <c r="E132" s="29" t="str">
        <f t="shared" si="7"/>
        <v>4</v>
      </c>
    </row>
    <row r="133" spans="2:5" x14ac:dyDescent="0.25">
      <c r="B133" s="403"/>
      <c r="C133" s="193"/>
      <c r="D133" s="29">
        <f t="shared" si="6"/>
        <v>1900</v>
      </c>
      <c r="E133" s="29" t="str">
        <f t="shared" si="7"/>
        <v>4</v>
      </c>
    </row>
    <row r="134" spans="2:5" x14ac:dyDescent="0.25">
      <c r="B134" s="403"/>
      <c r="C134" s="193"/>
      <c r="D134" s="29">
        <f t="shared" si="6"/>
        <v>1900</v>
      </c>
      <c r="E134" s="29" t="str">
        <f t="shared" si="7"/>
        <v>4</v>
      </c>
    </row>
    <row r="135" spans="2:5" x14ac:dyDescent="0.25">
      <c r="B135" s="403"/>
      <c r="C135" s="193"/>
      <c r="D135" s="29">
        <f t="shared" si="6"/>
        <v>1900</v>
      </c>
      <c r="E135" s="29" t="str">
        <f t="shared" si="7"/>
        <v>4</v>
      </c>
    </row>
    <row r="136" spans="2:5" x14ac:dyDescent="0.25">
      <c r="B136" s="403"/>
      <c r="C136" s="193"/>
      <c r="D136" s="29">
        <f t="shared" si="6"/>
        <v>1900</v>
      </c>
      <c r="E136" s="29" t="str">
        <f t="shared" si="7"/>
        <v>4</v>
      </c>
    </row>
    <row r="137" spans="2:5" x14ac:dyDescent="0.25">
      <c r="B137" s="403"/>
      <c r="C137" s="193"/>
      <c r="D137" s="29">
        <f t="shared" si="6"/>
        <v>1900</v>
      </c>
      <c r="E137" s="29" t="str">
        <f t="shared" si="7"/>
        <v>4</v>
      </c>
    </row>
    <row r="138" spans="2:5" x14ac:dyDescent="0.25">
      <c r="B138" s="403"/>
      <c r="C138" s="193"/>
      <c r="D138" s="29">
        <f t="shared" si="6"/>
        <v>1900</v>
      </c>
      <c r="E138" s="29" t="str">
        <f t="shared" si="7"/>
        <v>4</v>
      </c>
    </row>
    <row r="139" spans="2:5" x14ac:dyDescent="0.25">
      <c r="B139" s="403"/>
      <c r="C139" s="193"/>
      <c r="D139" s="29">
        <f t="shared" si="6"/>
        <v>1900</v>
      </c>
      <c r="E139" s="29" t="str">
        <f t="shared" si="7"/>
        <v>4</v>
      </c>
    </row>
    <row r="140" spans="2:5" x14ac:dyDescent="0.25">
      <c r="B140" s="403"/>
      <c r="C140" s="193"/>
      <c r="D140" s="29">
        <f t="shared" si="6"/>
        <v>1900</v>
      </c>
      <c r="E140" s="29" t="str">
        <f t="shared" si="7"/>
        <v>4</v>
      </c>
    </row>
    <row r="141" spans="2:5" x14ac:dyDescent="0.25">
      <c r="B141" s="403"/>
      <c r="C141" s="193"/>
      <c r="D141" s="29">
        <f t="shared" ref="D141:D204" si="8">YEAR(A141)</f>
        <v>1900</v>
      </c>
      <c r="E141" s="29" t="str">
        <f t="shared" ref="E141:E204" si="9">IF(MONTH(A141)=3,"1",IF(MONTH(A141)=6,"2",IF(MONTH(A141)=9,"3","4")))</f>
        <v>4</v>
      </c>
    </row>
    <row r="142" spans="2:5" x14ac:dyDescent="0.25">
      <c r="B142" s="403"/>
      <c r="C142" s="193"/>
      <c r="D142" s="29">
        <f t="shared" si="8"/>
        <v>1900</v>
      </c>
      <c r="E142" s="29" t="str">
        <f t="shared" si="9"/>
        <v>4</v>
      </c>
    </row>
    <row r="143" spans="2:5" x14ac:dyDescent="0.25">
      <c r="B143" s="403"/>
      <c r="C143" s="193"/>
      <c r="D143" s="29">
        <f t="shared" si="8"/>
        <v>1900</v>
      </c>
      <c r="E143" s="29" t="str">
        <f t="shared" si="9"/>
        <v>4</v>
      </c>
    </row>
    <row r="144" spans="2:5" x14ac:dyDescent="0.25">
      <c r="B144" s="403"/>
      <c r="C144" s="193"/>
      <c r="D144" s="29">
        <f t="shared" si="8"/>
        <v>1900</v>
      </c>
      <c r="E144" s="29" t="str">
        <f t="shared" si="9"/>
        <v>4</v>
      </c>
    </row>
    <row r="145" spans="2:5" x14ac:dyDescent="0.25">
      <c r="B145" s="403"/>
      <c r="C145" s="193"/>
      <c r="D145" s="29">
        <f t="shared" si="8"/>
        <v>1900</v>
      </c>
      <c r="E145" s="29" t="str">
        <f t="shared" si="9"/>
        <v>4</v>
      </c>
    </row>
    <row r="146" spans="2:5" x14ac:dyDescent="0.25">
      <c r="B146" s="403"/>
      <c r="C146" s="193"/>
      <c r="D146" s="29">
        <f t="shared" si="8"/>
        <v>1900</v>
      </c>
      <c r="E146" s="29" t="str">
        <f t="shared" si="9"/>
        <v>4</v>
      </c>
    </row>
    <row r="147" spans="2:5" x14ac:dyDescent="0.25">
      <c r="B147" s="403"/>
      <c r="C147" s="193"/>
      <c r="D147" s="29">
        <f t="shared" si="8"/>
        <v>1900</v>
      </c>
      <c r="E147" s="29" t="str">
        <f t="shared" si="9"/>
        <v>4</v>
      </c>
    </row>
    <row r="148" spans="2:5" x14ac:dyDescent="0.25">
      <c r="B148" s="403"/>
      <c r="C148" s="193"/>
      <c r="D148" s="29">
        <f t="shared" si="8"/>
        <v>1900</v>
      </c>
      <c r="E148" s="29" t="str">
        <f t="shared" si="9"/>
        <v>4</v>
      </c>
    </row>
    <row r="149" spans="2:5" x14ac:dyDescent="0.25">
      <c r="B149" s="403"/>
      <c r="C149" s="193"/>
      <c r="D149" s="29">
        <f t="shared" si="8"/>
        <v>1900</v>
      </c>
      <c r="E149" s="29" t="str">
        <f t="shared" si="9"/>
        <v>4</v>
      </c>
    </row>
    <row r="150" spans="2:5" x14ac:dyDescent="0.25">
      <c r="B150" s="403"/>
      <c r="C150" s="193"/>
      <c r="D150" s="29">
        <f t="shared" si="8"/>
        <v>1900</v>
      </c>
      <c r="E150" s="29" t="str">
        <f t="shared" si="9"/>
        <v>4</v>
      </c>
    </row>
    <row r="151" spans="2:5" x14ac:dyDescent="0.25">
      <c r="B151" s="403"/>
      <c r="C151" s="193"/>
      <c r="D151" s="29">
        <f t="shared" si="8"/>
        <v>1900</v>
      </c>
      <c r="E151" s="29" t="str">
        <f t="shared" si="9"/>
        <v>4</v>
      </c>
    </row>
    <row r="152" spans="2:5" x14ac:dyDescent="0.25">
      <c r="B152" s="403"/>
      <c r="C152" s="193"/>
      <c r="D152" s="29">
        <f t="shared" si="8"/>
        <v>1900</v>
      </c>
      <c r="E152" s="29" t="str">
        <f t="shared" si="9"/>
        <v>4</v>
      </c>
    </row>
    <row r="153" spans="2:5" x14ac:dyDescent="0.25">
      <c r="B153" s="403"/>
      <c r="C153" s="193"/>
      <c r="D153" s="29">
        <f t="shared" si="8"/>
        <v>1900</v>
      </c>
      <c r="E153" s="29" t="str">
        <f t="shared" si="9"/>
        <v>4</v>
      </c>
    </row>
    <row r="154" spans="2:5" x14ac:dyDescent="0.25">
      <c r="B154" s="403"/>
      <c r="C154" s="193"/>
      <c r="D154" s="29">
        <f t="shared" si="8"/>
        <v>1900</v>
      </c>
      <c r="E154" s="29" t="str">
        <f t="shared" si="9"/>
        <v>4</v>
      </c>
    </row>
    <row r="155" spans="2:5" x14ac:dyDescent="0.25">
      <c r="B155" s="403"/>
      <c r="C155" s="193"/>
      <c r="D155" s="29">
        <f t="shared" si="8"/>
        <v>1900</v>
      </c>
      <c r="E155" s="29" t="str">
        <f t="shared" si="9"/>
        <v>4</v>
      </c>
    </row>
    <row r="156" spans="2:5" x14ac:dyDescent="0.25">
      <c r="B156" s="403"/>
      <c r="C156" s="193"/>
      <c r="D156" s="29">
        <f t="shared" si="8"/>
        <v>1900</v>
      </c>
      <c r="E156" s="29" t="str">
        <f t="shared" si="9"/>
        <v>4</v>
      </c>
    </row>
    <row r="157" spans="2:5" x14ac:dyDescent="0.25">
      <c r="B157" s="403"/>
      <c r="C157" s="193"/>
      <c r="D157" s="29">
        <f t="shared" si="8"/>
        <v>1900</v>
      </c>
      <c r="E157" s="29" t="str">
        <f t="shared" si="9"/>
        <v>4</v>
      </c>
    </row>
    <row r="158" spans="2:5" x14ac:dyDescent="0.25">
      <c r="B158" s="403"/>
      <c r="C158" s="193"/>
      <c r="D158" s="29">
        <f t="shared" si="8"/>
        <v>1900</v>
      </c>
      <c r="E158" s="29" t="str">
        <f t="shared" si="9"/>
        <v>4</v>
      </c>
    </row>
    <row r="159" spans="2:5" x14ac:dyDescent="0.25">
      <c r="B159" s="403"/>
      <c r="C159" s="193"/>
      <c r="D159" s="29">
        <f t="shared" si="8"/>
        <v>1900</v>
      </c>
      <c r="E159" s="29" t="str">
        <f t="shared" si="9"/>
        <v>4</v>
      </c>
    </row>
    <row r="160" spans="2:5" x14ac:dyDescent="0.25">
      <c r="B160" s="403"/>
      <c r="C160" s="193"/>
      <c r="D160" s="29">
        <f t="shared" si="8"/>
        <v>1900</v>
      </c>
      <c r="E160" s="29" t="str">
        <f t="shared" si="9"/>
        <v>4</v>
      </c>
    </row>
    <row r="161" spans="2:5" x14ac:dyDescent="0.25">
      <c r="B161" s="403"/>
      <c r="C161" s="193"/>
      <c r="D161" s="29">
        <f t="shared" si="8"/>
        <v>1900</v>
      </c>
      <c r="E161" s="29" t="str">
        <f t="shared" si="9"/>
        <v>4</v>
      </c>
    </row>
    <row r="162" spans="2:5" x14ac:dyDescent="0.25">
      <c r="B162" s="403"/>
      <c r="C162" s="193"/>
      <c r="D162" s="29">
        <f t="shared" si="8"/>
        <v>1900</v>
      </c>
      <c r="E162" s="29" t="str">
        <f t="shared" si="9"/>
        <v>4</v>
      </c>
    </row>
    <row r="163" spans="2:5" x14ac:dyDescent="0.25">
      <c r="C163" s="193"/>
      <c r="D163" s="29">
        <f t="shared" si="8"/>
        <v>1900</v>
      </c>
      <c r="E163" s="29" t="str">
        <f t="shared" si="9"/>
        <v>4</v>
      </c>
    </row>
    <row r="164" spans="2:5" x14ac:dyDescent="0.25">
      <c r="C164" s="193"/>
      <c r="D164" s="29">
        <f t="shared" si="8"/>
        <v>1900</v>
      </c>
      <c r="E164" s="29" t="str">
        <f t="shared" si="9"/>
        <v>4</v>
      </c>
    </row>
    <row r="165" spans="2:5" x14ac:dyDescent="0.25">
      <c r="C165" s="193"/>
      <c r="D165" s="29">
        <f t="shared" si="8"/>
        <v>1900</v>
      </c>
      <c r="E165" s="29" t="str">
        <f t="shared" si="9"/>
        <v>4</v>
      </c>
    </row>
    <row r="166" spans="2:5" x14ac:dyDescent="0.25">
      <c r="C166" s="193"/>
      <c r="D166" s="29">
        <f t="shared" si="8"/>
        <v>1900</v>
      </c>
      <c r="E166" s="29" t="str">
        <f t="shared" si="9"/>
        <v>4</v>
      </c>
    </row>
    <row r="167" spans="2:5" x14ac:dyDescent="0.25">
      <c r="C167" s="193"/>
      <c r="D167" s="29">
        <f t="shared" si="8"/>
        <v>1900</v>
      </c>
      <c r="E167" s="29" t="str">
        <f t="shared" si="9"/>
        <v>4</v>
      </c>
    </row>
    <row r="168" spans="2:5" x14ac:dyDescent="0.25">
      <c r="C168" s="193"/>
      <c r="D168" s="29">
        <f t="shared" si="8"/>
        <v>1900</v>
      </c>
      <c r="E168" s="29" t="str">
        <f t="shared" si="9"/>
        <v>4</v>
      </c>
    </row>
    <row r="169" spans="2:5" x14ac:dyDescent="0.25">
      <c r="C169" s="193"/>
      <c r="D169" s="29">
        <f t="shared" si="8"/>
        <v>1900</v>
      </c>
      <c r="E169" s="29" t="str">
        <f t="shared" si="9"/>
        <v>4</v>
      </c>
    </row>
    <row r="170" spans="2:5" x14ac:dyDescent="0.25">
      <c r="C170" s="193"/>
      <c r="D170" s="29">
        <f t="shared" si="8"/>
        <v>1900</v>
      </c>
      <c r="E170" s="29" t="str">
        <f t="shared" si="9"/>
        <v>4</v>
      </c>
    </row>
    <row r="171" spans="2:5" x14ac:dyDescent="0.25">
      <c r="C171" s="193"/>
      <c r="D171" s="29">
        <f t="shared" si="8"/>
        <v>1900</v>
      </c>
      <c r="E171" s="29" t="str">
        <f t="shared" si="9"/>
        <v>4</v>
      </c>
    </row>
    <row r="172" spans="2:5" x14ac:dyDescent="0.25">
      <c r="C172" s="193"/>
      <c r="D172" s="29">
        <f t="shared" si="8"/>
        <v>1900</v>
      </c>
      <c r="E172" s="29" t="str">
        <f t="shared" si="9"/>
        <v>4</v>
      </c>
    </row>
    <row r="173" spans="2:5" x14ac:dyDescent="0.25">
      <c r="C173" s="193"/>
      <c r="D173" s="29">
        <f t="shared" si="8"/>
        <v>1900</v>
      </c>
      <c r="E173" s="29" t="str">
        <f t="shared" si="9"/>
        <v>4</v>
      </c>
    </row>
    <row r="174" spans="2:5" x14ac:dyDescent="0.25">
      <c r="C174" s="193"/>
      <c r="D174" s="29">
        <f t="shared" si="8"/>
        <v>1900</v>
      </c>
      <c r="E174" s="29" t="str">
        <f t="shared" si="9"/>
        <v>4</v>
      </c>
    </row>
    <row r="175" spans="2:5" x14ac:dyDescent="0.25">
      <c r="C175" s="193"/>
      <c r="D175" s="29">
        <f t="shared" si="8"/>
        <v>1900</v>
      </c>
      <c r="E175" s="29" t="str">
        <f t="shared" si="9"/>
        <v>4</v>
      </c>
    </row>
    <row r="176" spans="2:5" x14ac:dyDescent="0.25">
      <c r="C176" s="193"/>
      <c r="D176" s="29">
        <f t="shared" si="8"/>
        <v>1900</v>
      </c>
      <c r="E176" s="29" t="str">
        <f t="shared" si="9"/>
        <v>4</v>
      </c>
    </row>
    <row r="177" spans="3:5" x14ac:dyDescent="0.25">
      <c r="C177" s="193"/>
      <c r="D177" s="29">
        <f t="shared" si="8"/>
        <v>1900</v>
      </c>
      <c r="E177" s="29" t="str">
        <f t="shared" si="9"/>
        <v>4</v>
      </c>
    </row>
    <row r="178" spans="3:5" x14ac:dyDescent="0.25">
      <c r="C178" s="193"/>
      <c r="D178" s="29">
        <f t="shared" si="8"/>
        <v>1900</v>
      </c>
      <c r="E178" s="29" t="str">
        <f t="shared" si="9"/>
        <v>4</v>
      </c>
    </row>
    <row r="179" spans="3:5" x14ac:dyDescent="0.25">
      <c r="C179" s="193"/>
      <c r="D179" s="29">
        <f t="shared" si="8"/>
        <v>1900</v>
      </c>
      <c r="E179" s="29" t="str">
        <f t="shared" si="9"/>
        <v>4</v>
      </c>
    </row>
    <row r="180" spans="3:5" x14ac:dyDescent="0.25">
      <c r="C180" s="193"/>
      <c r="D180" s="29">
        <f t="shared" si="8"/>
        <v>1900</v>
      </c>
      <c r="E180" s="29" t="str">
        <f t="shared" si="9"/>
        <v>4</v>
      </c>
    </row>
    <row r="181" spans="3:5" x14ac:dyDescent="0.25">
      <c r="C181" s="193"/>
      <c r="D181" s="29">
        <f t="shared" si="8"/>
        <v>1900</v>
      </c>
      <c r="E181" s="29" t="str">
        <f t="shared" si="9"/>
        <v>4</v>
      </c>
    </row>
    <row r="182" spans="3:5" x14ac:dyDescent="0.25">
      <c r="C182" s="193"/>
      <c r="D182" s="29">
        <f t="shared" si="8"/>
        <v>1900</v>
      </c>
      <c r="E182" s="29" t="str">
        <f t="shared" si="9"/>
        <v>4</v>
      </c>
    </row>
    <row r="183" spans="3:5" x14ac:dyDescent="0.25">
      <c r="C183" s="193"/>
      <c r="D183" s="29">
        <f t="shared" si="8"/>
        <v>1900</v>
      </c>
      <c r="E183" s="29" t="str">
        <f t="shared" si="9"/>
        <v>4</v>
      </c>
    </row>
    <row r="184" spans="3:5" x14ac:dyDescent="0.25">
      <c r="C184" s="193"/>
      <c r="D184" s="29">
        <f t="shared" si="8"/>
        <v>1900</v>
      </c>
      <c r="E184" s="29" t="str">
        <f t="shared" si="9"/>
        <v>4</v>
      </c>
    </row>
    <row r="185" spans="3:5" x14ac:dyDescent="0.25">
      <c r="C185" s="193"/>
      <c r="D185" s="29">
        <f t="shared" si="8"/>
        <v>1900</v>
      </c>
      <c r="E185" s="29" t="str">
        <f t="shared" si="9"/>
        <v>4</v>
      </c>
    </row>
    <row r="186" spans="3:5" x14ac:dyDescent="0.25">
      <c r="C186" s="193"/>
      <c r="D186" s="29">
        <f t="shared" si="8"/>
        <v>1900</v>
      </c>
      <c r="E186" s="29" t="str">
        <f t="shared" si="9"/>
        <v>4</v>
      </c>
    </row>
    <row r="187" spans="3:5" x14ac:dyDescent="0.25">
      <c r="C187" s="193"/>
      <c r="D187" s="29">
        <f t="shared" si="8"/>
        <v>1900</v>
      </c>
      <c r="E187" s="29" t="str">
        <f t="shared" si="9"/>
        <v>4</v>
      </c>
    </row>
    <row r="188" spans="3:5" x14ac:dyDescent="0.25">
      <c r="C188" s="193"/>
      <c r="D188" s="29">
        <f t="shared" si="8"/>
        <v>1900</v>
      </c>
      <c r="E188" s="29" t="str">
        <f t="shared" si="9"/>
        <v>4</v>
      </c>
    </row>
    <row r="189" spans="3:5" x14ac:dyDescent="0.25">
      <c r="C189" s="193"/>
      <c r="D189" s="29">
        <f t="shared" si="8"/>
        <v>1900</v>
      </c>
      <c r="E189" s="29" t="str">
        <f t="shared" si="9"/>
        <v>4</v>
      </c>
    </row>
    <row r="190" spans="3:5" x14ac:dyDescent="0.25">
      <c r="C190" s="193"/>
      <c r="D190" s="29">
        <f t="shared" si="8"/>
        <v>1900</v>
      </c>
      <c r="E190" s="29" t="str">
        <f t="shared" si="9"/>
        <v>4</v>
      </c>
    </row>
    <row r="191" spans="3:5" x14ac:dyDescent="0.25">
      <c r="C191" s="193"/>
      <c r="D191" s="29">
        <f t="shared" si="8"/>
        <v>1900</v>
      </c>
      <c r="E191" s="29" t="str">
        <f t="shared" si="9"/>
        <v>4</v>
      </c>
    </row>
    <row r="192" spans="3:5" x14ac:dyDescent="0.25">
      <c r="C192" s="193"/>
      <c r="D192" s="29">
        <f t="shared" si="8"/>
        <v>1900</v>
      </c>
      <c r="E192" s="29" t="str">
        <f t="shared" si="9"/>
        <v>4</v>
      </c>
    </row>
    <row r="193" spans="3:5" x14ac:dyDescent="0.25">
      <c r="C193" s="193"/>
      <c r="D193" s="29">
        <f t="shared" si="8"/>
        <v>1900</v>
      </c>
      <c r="E193" s="29" t="str">
        <f t="shared" si="9"/>
        <v>4</v>
      </c>
    </row>
    <row r="194" spans="3:5" x14ac:dyDescent="0.25">
      <c r="C194" s="193"/>
      <c r="D194" s="29">
        <f t="shared" si="8"/>
        <v>1900</v>
      </c>
      <c r="E194" s="29" t="str">
        <f t="shared" si="9"/>
        <v>4</v>
      </c>
    </row>
    <row r="195" spans="3:5" x14ac:dyDescent="0.25">
      <c r="C195" s="193"/>
      <c r="D195" s="29">
        <f t="shared" si="8"/>
        <v>1900</v>
      </c>
      <c r="E195" s="29" t="str">
        <f t="shared" si="9"/>
        <v>4</v>
      </c>
    </row>
    <row r="196" spans="3:5" x14ac:dyDescent="0.25">
      <c r="C196" s="193"/>
      <c r="D196" s="29">
        <f t="shared" si="8"/>
        <v>1900</v>
      </c>
      <c r="E196" s="29" t="str">
        <f t="shared" si="9"/>
        <v>4</v>
      </c>
    </row>
    <row r="197" spans="3:5" x14ac:dyDescent="0.25">
      <c r="C197" s="193"/>
      <c r="D197" s="29">
        <f t="shared" si="8"/>
        <v>1900</v>
      </c>
      <c r="E197" s="29" t="str">
        <f t="shared" si="9"/>
        <v>4</v>
      </c>
    </row>
    <row r="198" spans="3:5" x14ac:dyDescent="0.25">
      <c r="C198" s="193"/>
      <c r="D198" s="29">
        <f t="shared" si="8"/>
        <v>1900</v>
      </c>
      <c r="E198" s="29" t="str">
        <f t="shared" si="9"/>
        <v>4</v>
      </c>
    </row>
    <row r="199" spans="3:5" x14ac:dyDescent="0.25">
      <c r="C199" s="193"/>
      <c r="D199" s="29">
        <f t="shared" si="8"/>
        <v>1900</v>
      </c>
      <c r="E199" s="29" t="str">
        <f t="shared" si="9"/>
        <v>4</v>
      </c>
    </row>
    <row r="200" spans="3:5" x14ac:dyDescent="0.25">
      <c r="C200" s="193"/>
      <c r="D200" s="29">
        <f t="shared" si="8"/>
        <v>1900</v>
      </c>
      <c r="E200" s="29" t="str">
        <f t="shared" si="9"/>
        <v>4</v>
      </c>
    </row>
    <row r="201" spans="3:5" x14ac:dyDescent="0.25">
      <c r="C201" s="193"/>
      <c r="D201" s="29">
        <f t="shared" si="8"/>
        <v>1900</v>
      </c>
      <c r="E201" s="29" t="str">
        <f t="shared" si="9"/>
        <v>4</v>
      </c>
    </row>
    <row r="202" spans="3:5" x14ac:dyDescent="0.25">
      <c r="C202" s="193"/>
      <c r="D202" s="29">
        <f t="shared" si="8"/>
        <v>1900</v>
      </c>
      <c r="E202" s="29" t="str">
        <f t="shared" si="9"/>
        <v>4</v>
      </c>
    </row>
    <row r="203" spans="3:5" x14ac:dyDescent="0.25">
      <c r="C203" s="193"/>
      <c r="D203" s="29">
        <f t="shared" si="8"/>
        <v>1900</v>
      </c>
      <c r="E203" s="29" t="str">
        <f t="shared" si="9"/>
        <v>4</v>
      </c>
    </row>
    <row r="204" spans="3:5" x14ac:dyDescent="0.25">
      <c r="C204" s="193"/>
      <c r="D204" s="29">
        <f t="shared" si="8"/>
        <v>1900</v>
      </c>
      <c r="E204" s="29" t="str">
        <f t="shared" si="9"/>
        <v>4</v>
      </c>
    </row>
    <row r="205" spans="3:5" x14ac:dyDescent="0.25">
      <c r="C205" s="193"/>
      <c r="D205" s="29">
        <f t="shared" ref="D205:D251" si="10">YEAR(A205)</f>
        <v>1900</v>
      </c>
      <c r="E205" s="29" t="str">
        <f t="shared" ref="E205:E251" si="11">IF(MONTH(A205)=3,"1",IF(MONTH(A205)=6,"2",IF(MONTH(A205)=9,"3","4")))</f>
        <v>4</v>
      </c>
    </row>
    <row r="206" spans="3:5" x14ac:dyDescent="0.25">
      <c r="C206" s="193"/>
      <c r="D206" s="29">
        <f t="shared" si="10"/>
        <v>1900</v>
      </c>
      <c r="E206" s="29" t="str">
        <f t="shared" si="11"/>
        <v>4</v>
      </c>
    </row>
    <row r="207" spans="3:5" x14ac:dyDescent="0.25">
      <c r="C207" s="193"/>
      <c r="D207" s="29">
        <f t="shared" si="10"/>
        <v>1900</v>
      </c>
      <c r="E207" s="29" t="str">
        <f t="shared" si="11"/>
        <v>4</v>
      </c>
    </row>
    <row r="208" spans="3:5" x14ac:dyDescent="0.25">
      <c r="C208" s="193"/>
      <c r="D208" s="29">
        <f t="shared" si="10"/>
        <v>1900</v>
      </c>
      <c r="E208" s="29" t="str">
        <f t="shared" si="11"/>
        <v>4</v>
      </c>
    </row>
    <row r="209" spans="3:5" x14ac:dyDescent="0.25">
      <c r="C209" s="193"/>
      <c r="D209" s="29">
        <f t="shared" si="10"/>
        <v>1900</v>
      </c>
      <c r="E209" s="29" t="str">
        <f t="shared" si="11"/>
        <v>4</v>
      </c>
    </row>
    <row r="210" spans="3:5" x14ac:dyDescent="0.25">
      <c r="C210" s="193"/>
      <c r="D210" s="29">
        <f t="shared" si="10"/>
        <v>1900</v>
      </c>
      <c r="E210" s="29" t="str">
        <f t="shared" si="11"/>
        <v>4</v>
      </c>
    </row>
    <row r="211" spans="3:5" x14ac:dyDescent="0.25">
      <c r="C211" s="193"/>
      <c r="D211" s="29">
        <f t="shared" si="10"/>
        <v>1900</v>
      </c>
      <c r="E211" s="29" t="str">
        <f t="shared" si="11"/>
        <v>4</v>
      </c>
    </row>
    <row r="212" spans="3:5" x14ac:dyDescent="0.25">
      <c r="C212" s="193"/>
      <c r="D212" s="29">
        <f t="shared" si="10"/>
        <v>1900</v>
      </c>
      <c r="E212" s="29" t="str">
        <f t="shared" si="11"/>
        <v>4</v>
      </c>
    </row>
    <row r="213" spans="3:5" x14ac:dyDescent="0.25">
      <c r="C213" s="193"/>
      <c r="D213" s="29">
        <f t="shared" si="10"/>
        <v>1900</v>
      </c>
      <c r="E213" s="29" t="str">
        <f t="shared" si="11"/>
        <v>4</v>
      </c>
    </row>
    <row r="214" spans="3:5" x14ac:dyDescent="0.25">
      <c r="C214" s="193"/>
      <c r="D214" s="29">
        <f t="shared" si="10"/>
        <v>1900</v>
      </c>
      <c r="E214" s="29" t="str">
        <f t="shared" si="11"/>
        <v>4</v>
      </c>
    </row>
    <row r="215" spans="3:5" x14ac:dyDescent="0.25">
      <c r="C215" s="193"/>
      <c r="D215" s="29">
        <f t="shared" si="10"/>
        <v>1900</v>
      </c>
      <c r="E215" s="29" t="str">
        <f t="shared" si="11"/>
        <v>4</v>
      </c>
    </row>
    <row r="216" spans="3:5" x14ac:dyDescent="0.25">
      <c r="C216" s="193"/>
      <c r="D216" s="29">
        <f t="shared" si="10"/>
        <v>1900</v>
      </c>
      <c r="E216" s="29" t="str">
        <f t="shared" si="11"/>
        <v>4</v>
      </c>
    </row>
    <row r="217" spans="3:5" x14ac:dyDescent="0.25">
      <c r="C217" s="193"/>
      <c r="D217" s="29">
        <f t="shared" si="10"/>
        <v>1900</v>
      </c>
      <c r="E217" s="29" t="str">
        <f t="shared" si="11"/>
        <v>4</v>
      </c>
    </row>
    <row r="218" spans="3:5" x14ac:dyDescent="0.25">
      <c r="C218" s="193"/>
      <c r="D218" s="29">
        <f t="shared" si="10"/>
        <v>1900</v>
      </c>
      <c r="E218" s="29" t="str">
        <f t="shared" si="11"/>
        <v>4</v>
      </c>
    </row>
    <row r="219" spans="3:5" x14ac:dyDescent="0.25">
      <c r="C219" s="193"/>
      <c r="D219" s="29">
        <f t="shared" si="10"/>
        <v>1900</v>
      </c>
      <c r="E219" s="29" t="str">
        <f t="shared" si="11"/>
        <v>4</v>
      </c>
    </row>
    <row r="220" spans="3:5" x14ac:dyDescent="0.25">
      <c r="C220" s="193"/>
      <c r="D220" s="29">
        <f t="shared" si="10"/>
        <v>1900</v>
      </c>
      <c r="E220" s="29" t="str">
        <f t="shared" si="11"/>
        <v>4</v>
      </c>
    </row>
    <row r="221" spans="3:5" x14ac:dyDescent="0.25">
      <c r="C221" s="193"/>
      <c r="D221" s="29">
        <f t="shared" si="10"/>
        <v>1900</v>
      </c>
      <c r="E221" s="29" t="str">
        <f t="shared" si="11"/>
        <v>4</v>
      </c>
    </row>
    <row r="222" spans="3:5" x14ac:dyDescent="0.25">
      <c r="C222" s="193"/>
      <c r="D222" s="29">
        <f t="shared" si="10"/>
        <v>1900</v>
      </c>
      <c r="E222" s="29" t="str">
        <f t="shared" si="11"/>
        <v>4</v>
      </c>
    </row>
    <row r="223" spans="3:5" x14ac:dyDescent="0.25">
      <c r="C223" s="193"/>
      <c r="D223" s="29">
        <f t="shared" si="10"/>
        <v>1900</v>
      </c>
      <c r="E223" s="29" t="str">
        <f t="shared" si="11"/>
        <v>4</v>
      </c>
    </row>
    <row r="224" spans="3:5" x14ac:dyDescent="0.25">
      <c r="C224" s="193"/>
      <c r="D224" s="29">
        <f t="shared" si="10"/>
        <v>1900</v>
      </c>
      <c r="E224" s="29" t="str">
        <f t="shared" si="11"/>
        <v>4</v>
      </c>
    </row>
    <row r="225" spans="3:5" x14ac:dyDescent="0.25">
      <c r="C225" s="193"/>
      <c r="D225" s="29">
        <f t="shared" si="10"/>
        <v>1900</v>
      </c>
      <c r="E225" s="29" t="str">
        <f t="shared" si="11"/>
        <v>4</v>
      </c>
    </row>
    <row r="226" spans="3:5" x14ac:dyDescent="0.25">
      <c r="C226" s="193"/>
      <c r="D226" s="29">
        <f t="shared" si="10"/>
        <v>1900</v>
      </c>
      <c r="E226" s="29" t="str">
        <f t="shared" si="11"/>
        <v>4</v>
      </c>
    </row>
    <row r="227" spans="3:5" x14ac:dyDescent="0.25">
      <c r="C227" s="193"/>
      <c r="D227" s="29">
        <f t="shared" si="10"/>
        <v>1900</v>
      </c>
      <c r="E227" s="29" t="str">
        <f t="shared" si="11"/>
        <v>4</v>
      </c>
    </row>
    <row r="228" spans="3:5" x14ac:dyDescent="0.25">
      <c r="C228" s="193"/>
      <c r="D228" s="29">
        <f t="shared" si="10"/>
        <v>1900</v>
      </c>
      <c r="E228" s="29" t="str">
        <f t="shared" si="11"/>
        <v>4</v>
      </c>
    </row>
    <row r="229" spans="3:5" x14ac:dyDescent="0.25">
      <c r="C229" s="193"/>
      <c r="D229" s="29">
        <f t="shared" si="10"/>
        <v>1900</v>
      </c>
      <c r="E229" s="29" t="str">
        <f t="shared" si="11"/>
        <v>4</v>
      </c>
    </row>
    <row r="230" spans="3:5" x14ac:dyDescent="0.25">
      <c r="C230" s="193"/>
      <c r="D230" s="29">
        <f t="shared" si="10"/>
        <v>1900</v>
      </c>
      <c r="E230" s="29" t="str">
        <f t="shared" si="11"/>
        <v>4</v>
      </c>
    </row>
    <row r="231" spans="3:5" x14ac:dyDescent="0.25">
      <c r="C231" s="193"/>
      <c r="D231" s="29">
        <f t="shared" si="10"/>
        <v>1900</v>
      </c>
      <c r="E231" s="29" t="str">
        <f t="shared" si="11"/>
        <v>4</v>
      </c>
    </row>
    <row r="232" spans="3:5" x14ac:dyDescent="0.25">
      <c r="C232" s="193"/>
      <c r="D232" s="29">
        <f t="shared" si="10"/>
        <v>1900</v>
      </c>
      <c r="E232" s="29" t="str">
        <f t="shared" si="11"/>
        <v>4</v>
      </c>
    </row>
    <row r="233" spans="3:5" x14ac:dyDescent="0.25">
      <c r="C233" s="193"/>
      <c r="D233" s="29">
        <f t="shared" si="10"/>
        <v>1900</v>
      </c>
      <c r="E233" s="29" t="str">
        <f t="shared" si="11"/>
        <v>4</v>
      </c>
    </row>
    <row r="234" spans="3:5" x14ac:dyDescent="0.25">
      <c r="C234" s="193"/>
      <c r="D234" s="29">
        <f t="shared" si="10"/>
        <v>1900</v>
      </c>
      <c r="E234" s="29" t="str">
        <f t="shared" si="11"/>
        <v>4</v>
      </c>
    </row>
    <row r="235" spans="3:5" x14ac:dyDescent="0.25">
      <c r="C235" s="193"/>
      <c r="D235" s="29">
        <f t="shared" si="10"/>
        <v>1900</v>
      </c>
      <c r="E235" s="29" t="str">
        <f t="shared" si="11"/>
        <v>4</v>
      </c>
    </row>
    <row r="236" spans="3:5" x14ac:dyDescent="0.25">
      <c r="C236" s="193"/>
      <c r="D236" s="29">
        <f t="shared" si="10"/>
        <v>1900</v>
      </c>
      <c r="E236" s="29" t="str">
        <f t="shared" si="11"/>
        <v>4</v>
      </c>
    </row>
    <row r="237" spans="3:5" x14ac:dyDescent="0.25">
      <c r="C237" s="193"/>
      <c r="D237" s="29">
        <f t="shared" si="10"/>
        <v>1900</v>
      </c>
      <c r="E237" s="29" t="str">
        <f t="shared" si="11"/>
        <v>4</v>
      </c>
    </row>
    <row r="238" spans="3:5" x14ac:dyDescent="0.25">
      <c r="C238" s="193"/>
      <c r="D238" s="29">
        <f t="shared" si="10"/>
        <v>1900</v>
      </c>
      <c r="E238" s="29" t="str">
        <f t="shared" si="11"/>
        <v>4</v>
      </c>
    </row>
    <row r="239" spans="3:5" x14ac:dyDescent="0.25">
      <c r="C239" s="193"/>
      <c r="D239" s="29">
        <f t="shared" si="10"/>
        <v>1900</v>
      </c>
      <c r="E239" s="29" t="str">
        <f t="shared" si="11"/>
        <v>4</v>
      </c>
    </row>
    <row r="240" spans="3:5" x14ac:dyDescent="0.25">
      <c r="C240" s="193"/>
      <c r="D240" s="29">
        <f t="shared" si="10"/>
        <v>1900</v>
      </c>
      <c r="E240" s="29" t="str">
        <f t="shared" si="11"/>
        <v>4</v>
      </c>
    </row>
    <row r="241" spans="3:5" x14ac:dyDescent="0.25">
      <c r="C241" s="193"/>
      <c r="D241" s="29">
        <f t="shared" si="10"/>
        <v>1900</v>
      </c>
      <c r="E241" s="29" t="str">
        <f t="shared" si="11"/>
        <v>4</v>
      </c>
    </row>
    <row r="242" spans="3:5" x14ac:dyDescent="0.25">
      <c r="C242" s="193"/>
      <c r="D242" s="29">
        <f t="shared" si="10"/>
        <v>1900</v>
      </c>
      <c r="E242" s="29" t="str">
        <f t="shared" si="11"/>
        <v>4</v>
      </c>
    </row>
    <row r="243" spans="3:5" x14ac:dyDescent="0.25">
      <c r="C243" s="193"/>
      <c r="D243" s="29">
        <f t="shared" si="10"/>
        <v>1900</v>
      </c>
      <c r="E243" s="29" t="str">
        <f t="shared" si="11"/>
        <v>4</v>
      </c>
    </row>
    <row r="244" spans="3:5" x14ac:dyDescent="0.25">
      <c r="C244" s="193"/>
      <c r="D244" s="29">
        <f t="shared" si="10"/>
        <v>1900</v>
      </c>
      <c r="E244" s="29" t="str">
        <f t="shared" si="11"/>
        <v>4</v>
      </c>
    </row>
    <row r="245" spans="3:5" x14ac:dyDescent="0.25">
      <c r="C245" s="193"/>
      <c r="D245" s="29">
        <f t="shared" si="10"/>
        <v>1900</v>
      </c>
      <c r="E245" s="29" t="str">
        <f t="shared" si="11"/>
        <v>4</v>
      </c>
    </row>
    <row r="246" spans="3:5" x14ac:dyDescent="0.25">
      <c r="C246" s="193"/>
      <c r="D246" s="29">
        <f t="shared" si="10"/>
        <v>1900</v>
      </c>
      <c r="E246" s="29" t="str">
        <f t="shared" si="11"/>
        <v>4</v>
      </c>
    </row>
    <row r="247" spans="3:5" x14ac:dyDescent="0.25">
      <c r="C247" s="193"/>
      <c r="D247" s="29">
        <f t="shared" si="10"/>
        <v>1900</v>
      </c>
      <c r="E247" s="29" t="str">
        <f t="shared" si="11"/>
        <v>4</v>
      </c>
    </row>
    <row r="248" spans="3:5" x14ac:dyDescent="0.25">
      <c r="C248" s="193"/>
      <c r="D248" s="29">
        <f t="shared" si="10"/>
        <v>1900</v>
      </c>
      <c r="E248" s="29" t="str">
        <f t="shared" si="11"/>
        <v>4</v>
      </c>
    </row>
    <row r="249" spans="3:5" x14ac:dyDescent="0.25">
      <c r="C249" s="193"/>
      <c r="D249" s="29">
        <f t="shared" si="10"/>
        <v>1900</v>
      </c>
      <c r="E249" s="29" t="str">
        <f t="shared" si="11"/>
        <v>4</v>
      </c>
    </row>
    <row r="250" spans="3:5" x14ac:dyDescent="0.25">
      <c r="C250" s="193"/>
      <c r="D250" s="29">
        <f t="shared" si="10"/>
        <v>1900</v>
      </c>
      <c r="E250" s="29" t="str">
        <f t="shared" si="11"/>
        <v>4</v>
      </c>
    </row>
    <row r="251" spans="3:5" x14ac:dyDescent="0.25">
      <c r="C251" s="193"/>
      <c r="D251" s="29">
        <f t="shared" si="10"/>
        <v>1900</v>
      </c>
      <c r="E251" s="29" t="str">
        <f t="shared" si="11"/>
        <v>4</v>
      </c>
    </row>
  </sheetData>
  <mergeCells count="6">
    <mergeCell ref="R28:T28"/>
    <mergeCell ref="A5:C5"/>
    <mergeCell ref="A7:C7"/>
    <mergeCell ref="R9:T9"/>
    <mergeCell ref="R10:T10"/>
    <mergeCell ref="S27:T27"/>
  </mergeCells>
  <conditionalFormatting sqref="F60:F80">
    <cfRule type="colorScale" priority="2">
      <colorScale>
        <cfvo type="min"/>
        <cfvo type="percentile" val="50"/>
        <cfvo type="max"/>
        <color rgb="FFF8696B"/>
        <color rgb="FFFCFCFF"/>
        <color rgb="FF5A8AC6"/>
      </colorScale>
    </cfRule>
  </conditionalFormatting>
  <conditionalFormatting sqref="G60:G80">
    <cfRule type="colorScale" priority="1">
      <colorScale>
        <cfvo type="min"/>
        <cfvo type="percentile" val="50"/>
        <cfvo type="max"/>
        <color rgb="FFF8696B"/>
        <color rgb="FFFCFCFF"/>
        <color rgb="FF5A8AC6"/>
      </colorScale>
    </cfRule>
  </conditionalFormatting>
  <dataValidations count="1">
    <dataValidation type="list" allowBlank="1" showInputMessage="1" showErrorMessage="1" promptTitle="Select a Period:" prompt="Select Financial or Calendar years." sqref="S27:T27" xr:uid="{CB058326-C620-4FD9-81CD-7BF0F249E227}">
      <formula1>A1:A2</formula1>
    </dataValidation>
  </dataValidation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1249E-E5BB-485C-B2F1-D0AA2D161BC4}">
  <sheetPr>
    <tabColor theme="4" tint="0.39997558519241921"/>
    <pageSetUpPr autoPageBreaks="0"/>
  </sheetPr>
  <dimension ref="A1:Y27"/>
  <sheetViews>
    <sheetView showGridLines="0" zoomScale="85" zoomScaleNormal="85" workbookViewId="0"/>
  </sheetViews>
  <sheetFormatPr defaultColWidth="9.140625" defaultRowHeight="15" x14ac:dyDescent="0.25"/>
  <cols>
    <col min="1" max="1" width="25.5703125" bestFit="1" customWidth="1"/>
    <col min="2" max="2" width="5.28515625" bestFit="1" customWidth="1"/>
    <col min="3" max="3" width="17.5703125" customWidth="1"/>
    <col min="4" max="4" width="19" customWidth="1"/>
    <col min="5" max="14" width="15.42578125" customWidth="1"/>
    <col min="23" max="23" width="17.85546875" customWidth="1"/>
  </cols>
  <sheetData>
    <row r="1" spans="1:25" x14ac:dyDescent="0.25">
      <c r="M1" s="2"/>
      <c r="N1" s="2"/>
      <c r="O1" s="2"/>
      <c r="P1" s="2"/>
      <c r="Q1" s="2"/>
      <c r="R1" s="2"/>
      <c r="S1" s="2"/>
      <c r="T1" s="2"/>
      <c r="U1" s="64"/>
      <c r="V1" s="58" t="s">
        <v>61</v>
      </c>
      <c r="W1" s="58" t="str">
        <f>"Nickel Exports "&amp;B8&amp;CHAR(10)&amp;"Total Value: $"&amp;TEXT(C23,"#,###")</f>
        <v>Nickel Exports 2023
Total Value: $</v>
      </c>
      <c r="X1" s="58" t="s">
        <v>178</v>
      </c>
      <c r="Y1" s="58" cm="1">
        <f t="array" ref="Y1:Y17">IF($B$7="Calendar Year",
_xlfn._xlws.SORT(_xlfn.UNIQUE(_xlfn._xlws.FILTER('Commodity Prices'!$BB:$BB, 'Commodity Prices'!$BA:$BA=$V$1))),
_xlfn._xlws.SORT(_xlfn.UNIQUE(_xlfn._xlws.FILTER('Commodity Prices'!$BI:$BI, 'Commodity Prices'!$BH:$BH=$V$1)))
)</f>
        <v>2007</v>
      </c>
    </row>
    <row r="2" spans="1:25" x14ac:dyDescent="0.25">
      <c r="M2" s="2"/>
      <c r="N2" s="2"/>
      <c r="O2" s="2"/>
      <c r="P2" s="2"/>
      <c r="Q2" s="2"/>
      <c r="R2" s="2"/>
      <c r="S2" s="2"/>
      <c r="T2" s="2"/>
      <c r="U2" s="64"/>
      <c r="V2" s="58"/>
      <c r="W2" s="58" t="str">
        <f>IF($B$7=X1,IF(RIGHT(LEFT(B8,5),1)="-","Mismatch Error",""),IF(LEN(B8)=4,"Mismatch Error",""))</f>
        <v/>
      </c>
      <c r="X2" s="58" t="s">
        <v>179</v>
      </c>
      <c r="Y2" s="58">
        <v>2008</v>
      </c>
    </row>
    <row r="3" spans="1:25" x14ac:dyDescent="0.25">
      <c r="M3" s="2"/>
      <c r="N3" s="2"/>
      <c r="O3" s="2"/>
      <c r="P3" s="2"/>
      <c r="Q3" s="2"/>
      <c r="R3" s="2"/>
      <c r="S3" s="2"/>
      <c r="T3" s="2"/>
      <c r="U3" s="64"/>
      <c r="V3" s="58"/>
      <c r="W3" s="58"/>
      <c r="X3" s="58"/>
      <c r="Y3" s="58">
        <v>2009</v>
      </c>
    </row>
    <row r="4" spans="1:25" ht="15" customHeight="1" x14ac:dyDescent="0.25">
      <c r="M4" s="2"/>
      <c r="N4" s="2"/>
      <c r="O4" s="2"/>
      <c r="P4" s="2"/>
      <c r="Q4" s="2"/>
      <c r="R4" s="2"/>
      <c r="S4" s="2"/>
      <c r="T4" s="2"/>
      <c r="U4" s="64"/>
      <c r="V4" s="58"/>
      <c r="W4" s="58"/>
      <c r="X4" s="58"/>
      <c r="Y4" s="58">
        <v>2010</v>
      </c>
    </row>
    <row r="5" spans="1:25" ht="15" customHeight="1" x14ac:dyDescent="0.25">
      <c r="M5" s="2"/>
      <c r="N5" s="2"/>
      <c r="O5" s="2"/>
      <c r="P5" s="2"/>
      <c r="Q5" s="2"/>
      <c r="R5" s="2"/>
      <c r="S5" s="2"/>
      <c r="T5" s="2"/>
      <c r="U5" s="64"/>
      <c r="V5" s="58"/>
      <c r="W5" s="58"/>
      <c r="X5" s="58"/>
      <c r="Y5" s="58">
        <v>2011</v>
      </c>
    </row>
    <row r="6" spans="1:25" ht="15" customHeight="1" thickBot="1" x14ac:dyDescent="0.3">
      <c r="M6" s="2"/>
      <c r="N6" s="2"/>
      <c r="O6" s="2"/>
      <c r="P6" s="2"/>
      <c r="Q6" s="2"/>
      <c r="R6" s="2"/>
      <c r="S6" s="2"/>
      <c r="T6" s="2"/>
      <c r="U6" s="64"/>
      <c r="V6" s="58"/>
      <c r="W6" s="58"/>
      <c r="X6" s="58"/>
      <c r="Y6" s="58">
        <v>2012</v>
      </c>
    </row>
    <row r="7" spans="1:25" x14ac:dyDescent="0.25">
      <c r="A7" s="947" t="s">
        <v>158</v>
      </c>
      <c r="B7" s="1486" t="s">
        <v>178</v>
      </c>
      <c r="C7" s="1486"/>
      <c r="D7" s="1487"/>
      <c r="E7" s="260"/>
      <c r="M7" s="2"/>
      <c r="N7" s="2"/>
      <c r="O7" s="2"/>
      <c r="P7" s="2"/>
      <c r="Q7" s="2"/>
      <c r="R7" s="2"/>
      <c r="S7" s="2"/>
      <c r="T7" s="2"/>
      <c r="U7" s="64"/>
      <c r="V7" s="58"/>
      <c r="W7" s="58"/>
      <c r="X7" s="58"/>
      <c r="Y7" s="58">
        <v>2013</v>
      </c>
    </row>
    <row r="8" spans="1:25" ht="15.75" thickBot="1" x14ac:dyDescent="0.3">
      <c r="A8" s="948" t="s">
        <v>158</v>
      </c>
      <c r="B8" s="1488">
        <v>2023</v>
      </c>
      <c r="C8" s="1488"/>
      <c r="D8" s="1489"/>
      <c r="E8" s="260"/>
      <c r="M8" s="2"/>
      <c r="N8" s="2"/>
      <c r="O8" s="2"/>
      <c r="P8" s="2"/>
      <c r="Q8" s="2"/>
      <c r="R8" s="2"/>
      <c r="S8" s="2"/>
      <c r="T8" s="2"/>
      <c r="U8" s="64"/>
      <c r="V8" s="58"/>
      <c r="W8" s="58"/>
      <c r="X8" s="58"/>
      <c r="Y8" s="58">
        <v>2014</v>
      </c>
    </row>
    <row r="9" spans="1:25" x14ac:dyDescent="0.25">
      <c r="M9" s="2"/>
      <c r="N9" s="2"/>
      <c r="O9" s="2"/>
      <c r="P9" s="2"/>
      <c r="Q9" s="2"/>
      <c r="R9" s="2"/>
      <c r="S9" s="2"/>
      <c r="T9" s="2"/>
      <c r="U9" s="64"/>
      <c r="V9" s="58"/>
      <c r="W9" s="58"/>
      <c r="X9" s="58"/>
      <c r="Y9" s="58">
        <v>2015</v>
      </c>
    </row>
    <row r="10" spans="1:25" ht="15.75" thickBot="1" x14ac:dyDescent="0.3">
      <c r="A10" s="1393" t="str">
        <f>IF($B$8="Click here to select an option","Select a year above for display.",CONCATENATE("Exports ",B8))</f>
        <v>Exports 2023</v>
      </c>
      <c r="B10" s="1393"/>
      <c r="C10" s="1393"/>
      <c r="D10" s="1393"/>
      <c r="M10" s="2"/>
      <c r="N10" s="2"/>
      <c r="O10" s="2"/>
      <c r="P10" s="2"/>
      <c r="Q10" s="2"/>
      <c r="R10" s="2"/>
      <c r="S10" s="2"/>
      <c r="T10" s="2"/>
      <c r="U10" s="64"/>
      <c r="V10" s="58"/>
      <c r="W10" s="58"/>
      <c r="X10" s="58"/>
      <c r="Y10" s="58">
        <v>2016</v>
      </c>
    </row>
    <row r="11" spans="1:25" x14ac:dyDescent="0.25">
      <c r="A11" s="947" t="s">
        <v>562</v>
      </c>
      <c r="B11" s="949" t="s">
        <v>274</v>
      </c>
      <c r="C11" s="950" t="s">
        <v>563</v>
      </c>
      <c r="D11" s="951" t="s">
        <v>276</v>
      </c>
      <c r="M11" s="2"/>
      <c r="N11" s="2"/>
      <c r="O11" s="2"/>
      <c r="P11" s="2"/>
      <c r="Q11" s="2"/>
      <c r="R11" s="2"/>
      <c r="S11" s="2"/>
      <c r="T11" s="2"/>
      <c r="U11" s="64"/>
      <c r="V11" s="64"/>
      <c r="W11" s="64"/>
      <c r="X11" s="64"/>
      <c r="Y11" s="58">
        <v>2017</v>
      </c>
    </row>
    <row r="12" spans="1:25" x14ac:dyDescent="0.25">
      <c r="A12" s="952" t="str" cm="1">
        <f t="array" ref="A12">IF($W$2="Mismatch Error","Mismatch Error",
IF($B$7="Calendar Year",
INDEX('Commodity Prices'!$BA:$BF,MATCH(1,(('Commodity Prices'!$BA:$BA)=$V$1)*(('Commodity Prices'!$BB:$BB)=$B$8)*(('Commodity Prices'!$BD:$BD)=$B12),0),3),
INDEX('Commodity Prices'!$BH:$BM,MATCH(1,(('Commodity Prices'!$BH:$BH)=$V$1)*(('Commodity Prices'!$BI:$BI)=$B$8)*(('Commodity Prices'!$BK:$BK)=$B12),0),3)
)
)</f>
        <v>China</v>
      </c>
      <c r="B12" s="953">
        <v>1</v>
      </c>
      <c r="C12" s="954" t="str" cm="1">
        <f t="array" ref="C12">IF($W$2="Mismatch Error","Mismatch Error",
IF($B$7="Calendar Year",
INDEX('Commodity Prices'!$BA:$BF, MATCH(1,(('Commodity Prices'!$BA:$BA)=$V$1)*(('Commodity Prices'!$BB:$BB)=$B$8)*(('Commodity Prices'!$BD:$BD)=$B12),0), 5),
INDEX('Commodity Prices'!$BH:$BM, MATCH(1,(('Commodity Prices'!$BH:$BH)=$V$1)*(('Commodity Prices'!$BI:$BI)=$B$8)*(('Commodity Prices'!$BK:$BK)=$B12),0), 5)
)
)</f>
        <v>n/a</v>
      </c>
      <c r="D12" s="955" cm="1">
        <f t="array" ref="D12">IF($W$2="Mismatch Error","Mismatch Error",
IF($B$7="Calendar Year",
INDEX('Commodity Prices'!$BA:$BF, MATCH(1,(('Commodity Prices'!$BA:$BA)=$V$1)*(('Commodity Prices'!$BB:$BB)=$B$8)*(('Commodity Prices'!$BD:$BD)=$B12),0), 6),
INDEX('Commodity Prices'!$BH:$BM, MATCH(1,(('Commodity Prices'!$BH:$BH)=$V$1)*(('Commodity Prices'!$BI:$BI)=$B$8)*(('Commodity Prices'!$BK:$BK)=$B12),0), 6)
)
)</f>
        <v>0.31812069234463508</v>
      </c>
      <c r="M12" s="2"/>
      <c r="N12" s="2"/>
      <c r="O12" s="2"/>
      <c r="P12" s="2"/>
      <c r="Q12" s="2"/>
      <c r="R12" s="2"/>
      <c r="S12" s="2"/>
      <c r="T12" s="2"/>
      <c r="U12" s="64"/>
      <c r="V12" s="64"/>
      <c r="W12" s="64"/>
      <c r="X12" s="64"/>
      <c r="Y12" s="58">
        <v>2018</v>
      </c>
    </row>
    <row r="13" spans="1:25" x14ac:dyDescent="0.25">
      <c r="A13" s="512" t="str" cm="1">
        <f t="array" ref="A13">IF($W$2="Mismatch Error","Mismatch Error",
IF($B$7="Calendar Year",
INDEX('Commodity Prices'!$BA:$BF,MATCH(1,(('Commodity Prices'!$BA:$BA)=$V$1)*(('Commodity Prices'!$BB:$BB)=$B$8)*(('Commodity Prices'!$BD:$BD)=B13),0),3),
INDEX('Commodity Prices'!$BH:$BM,MATCH(1,(('Commodity Prices'!$BH:$BH)=$V$1)*(('Commodity Prices'!$BI:$BI)=$B$8)*(('Commodity Prices'!$BK:$BK)=B13),0),3)
)
)</f>
        <v>Japan</v>
      </c>
      <c r="B13" s="761">
        <v>2</v>
      </c>
      <c r="C13" s="506" t="str" cm="1">
        <f t="array" ref="C13">IF($W$2="Mismatch Error","Mismatch Error",
IF($B$7="Calendar Year",
INDEX('Commodity Prices'!$BA:$BF, MATCH(1,(('Commodity Prices'!$BA:$BA)=$V$1)*(('Commodity Prices'!$BB:$BB)=$B$8)*(('Commodity Prices'!$BD:$BD)=$B13),0), 5),
INDEX('Commodity Prices'!$BH:$BM, MATCH(1,(('Commodity Prices'!$BH:$BH)=$V$1)*(('Commodity Prices'!$BI:$BI)=$B$8)*(('Commodity Prices'!$BK:$BK)=$B13),0), 5)
)
)</f>
        <v>n/a</v>
      </c>
      <c r="D13" s="956" cm="1">
        <f t="array" ref="D13">IF($W$2="Mismatch Error","Mismatch Error",
IF($B$7="Calendar Year",
INDEX('Commodity Prices'!$BA:$BF, MATCH(1,(('Commodity Prices'!$BA:$BA)=$V$1)*(('Commodity Prices'!$BB:$BB)=$B$8)*(('Commodity Prices'!$BD:$BD)=$B13),0), 6),
INDEX('Commodity Prices'!$BH:$BM, MATCH(1,(('Commodity Prices'!$BH:$BH)=$V$1)*(('Commodity Prices'!$BI:$BI)=$B$8)*(('Commodity Prices'!$BK:$BK)=$B13),0), 6)
)
)</f>
        <v>0.15735807940759852</v>
      </c>
      <c r="M13" s="2"/>
      <c r="N13" s="2"/>
      <c r="O13" s="2"/>
      <c r="P13" s="2"/>
      <c r="Q13" s="2"/>
      <c r="R13" s="2"/>
      <c r="S13" s="2"/>
      <c r="T13" s="2"/>
      <c r="U13" s="64"/>
      <c r="V13" s="64"/>
      <c r="W13" s="64"/>
      <c r="X13" s="64"/>
      <c r="Y13" s="58">
        <v>2019</v>
      </c>
    </row>
    <row r="14" spans="1:25" x14ac:dyDescent="0.25">
      <c r="A14" s="952" t="str" cm="1">
        <f t="array" ref="A14">IF($W$2="Mismatch Error","Mismatch Error",
IF($B$7="Calendar Year",
INDEX('Commodity Prices'!$BA:$BF,MATCH(1,(('Commodity Prices'!$BA:$BA)=$V$1)*(('Commodity Prices'!$BB:$BB)=$B$8)*(('Commodity Prices'!$BD:$BD)=B14),0),3),
INDEX('Commodity Prices'!$BH:$BM,MATCH(1,(('Commodity Prices'!$BH:$BH)=$V$1)*(('Commodity Prices'!$BI:$BI)=$B$8)*(('Commodity Prices'!$BK:$BK)=B14),0),3)
)
)</f>
        <v>Korea, Republic Of (South)</v>
      </c>
      <c r="B14" s="953">
        <v>3</v>
      </c>
      <c r="C14" s="954" t="str" cm="1">
        <f t="array" ref="C14">IF($W$2="Mismatch Error","Mismatch Error",
IF($B$7="Calendar Year",
INDEX('Commodity Prices'!$BA:$BF, MATCH(1,(('Commodity Prices'!$BA:$BA)=$V$1)*(('Commodity Prices'!$BB:$BB)=$B$8)*(('Commodity Prices'!$BD:$BD)=$B14),0), 5),
INDEX('Commodity Prices'!$BH:$BM, MATCH(1,(('Commodity Prices'!$BH:$BH)=$V$1)*(('Commodity Prices'!$BI:$BI)=$B$8)*(('Commodity Prices'!$BK:$BK)=$B14),0), 5)
)
)</f>
        <v>n/a</v>
      </c>
      <c r="D14" s="955" cm="1">
        <f t="array" ref="D14">IF($W$2="Mismatch Error","Mismatch Error",
IF($B$7="Calendar Year",
INDEX('Commodity Prices'!$BA:$BF, MATCH(1,(('Commodity Prices'!$BA:$BA)=$V$1)*(('Commodity Prices'!$BB:$BB)=$B$8)*(('Commodity Prices'!$BD:$BD)=$B14),0), 6),
INDEX('Commodity Prices'!$BH:$BM, MATCH(1,(('Commodity Prices'!$BH:$BH)=$V$1)*(('Commodity Prices'!$BI:$BI)=$B$8)*(('Commodity Prices'!$BK:$BK)=$B14),0), 6)
)
)</f>
        <v>0.12594909200058171</v>
      </c>
      <c r="T14" s="2"/>
      <c r="U14" s="64"/>
      <c r="V14" s="64"/>
      <c r="W14" s="64"/>
      <c r="X14" s="64"/>
      <c r="Y14" s="58">
        <v>2020</v>
      </c>
    </row>
    <row r="15" spans="1:25" x14ac:dyDescent="0.25">
      <c r="A15" s="512" t="str" cm="1">
        <f t="array" ref="A15">IF($W$2="Mismatch Error","Mismatch Error",
IF($B$7="Calendar Year",
INDEX('Commodity Prices'!$BA:$BF,MATCH(1,(('Commodity Prices'!$BA:$BA)=$V$1)*(('Commodity Prices'!$BB:$BB)=$B$8)*(('Commodity Prices'!$BD:$BD)=B15),0),3),
INDEX('Commodity Prices'!$BH:$BM,MATCH(1,(('Commodity Prices'!$BH:$BH)=$V$1)*(('Commodity Prices'!$BI:$BI)=$B$8)*(('Commodity Prices'!$BK:$BK)=B15),0),3)
)
)</f>
        <v>Norway</v>
      </c>
      <c r="B15" s="761">
        <v>4</v>
      </c>
      <c r="C15" s="506" t="str" cm="1">
        <f t="array" ref="C15">IF($W$2="Mismatch Error","Mismatch Error",
IF($B$7="Calendar Year",
INDEX('Commodity Prices'!$BA:$BF, MATCH(1,(('Commodity Prices'!$BA:$BA)=$V$1)*(('Commodity Prices'!$BB:$BB)=$B$8)*(('Commodity Prices'!$BD:$BD)=$B15),0), 5),
INDEX('Commodity Prices'!$BH:$BM, MATCH(1,(('Commodity Prices'!$BH:$BH)=$V$1)*(('Commodity Prices'!$BI:$BI)=$B$8)*(('Commodity Prices'!$BK:$BK)=$B15),0), 5)
)
)</f>
        <v>n/a</v>
      </c>
      <c r="D15" s="956" cm="1">
        <f t="array" ref="D15">IF($W$2="Mismatch Error","Mismatch Error",
IF($B$7="Calendar Year",
INDEX('Commodity Prices'!$BA:$BF, MATCH(1,(('Commodity Prices'!$BA:$BA)=$V$1)*(('Commodity Prices'!$BB:$BB)=$B$8)*(('Commodity Prices'!$BD:$BD)=$B15),0), 6),
INDEX('Commodity Prices'!$BH:$BM, MATCH(1,(('Commodity Prices'!$BH:$BH)=$V$1)*(('Commodity Prices'!$BI:$BI)=$B$8)*(('Commodity Prices'!$BK:$BK)=$B15),0), 6)
)
)</f>
        <v>0.11539728335016294</v>
      </c>
      <c r="U15" s="64"/>
      <c r="V15" s="64"/>
      <c r="W15" s="64"/>
      <c r="X15" s="64"/>
      <c r="Y15" s="58">
        <v>2021</v>
      </c>
    </row>
    <row r="16" spans="1:25" x14ac:dyDescent="0.25">
      <c r="A16" s="952" t="str" cm="1">
        <f t="array" ref="A16">IF($W$2="Mismatch Error","Mismatch Error",
IF($B$7="Calendar Year",
INDEX('Commodity Prices'!$BA:$BF,MATCH(1,(('Commodity Prices'!$BA:$BA)=$V$1)*(('Commodity Prices'!$BB:$BB)=$B$8)*(('Commodity Prices'!$BD:$BD)=B16),0),3),
INDEX('Commodity Prices'!$BH:$BM,MATCH(1,(('Commodity Prices'!$BH:$BH)=$V$1)*(('Commodity Prices'!$BI:$BI)=$B$8)*(('Commodity Prices'!$BK:$BK)=B16),0),3)
)
)</f>
        <v>Netherlands</v>
      </c>
      <c r="B16" s="953">
        <v>5</v>
      </c>
      <c r="C16" s="954" t="str" cm="1">
        <f t="array" ref="C16">IF($W$2="Mismatch Error","Mismatch Error",
IF($B$7="Calendar Year",
INDEX('Commodity Prices'!$BA:$BF, MATCH(1,(('Commodity Prices'!$BA:$BA)=$V$1)*(('Commodity Prices'!$BB:$BB)=$B$8)*(('Commodity Prices'!$BD:$BD)=$B16),0), 5),
INDEX('Commodity Prices'!$BH:$BM, MATCH(1,(('Commodity Prices'!$BH:$BH)=$V$1)*(('Commodity Prices'!$BI:$BI)=$B$8)*(('Commodity Prices'!$BK:$BK)=$B16),0), 5)
)
)</f>
        <v>n/a</v>
      </c>
      <c r="D16" s="955" cm="1">
        <f t="array" ref="D16">IF($W$2="Mismatch Error","Mismatch Error",
IF($B$7="Calendar Year",
INDEX('Commodity Prices'!$BA:$BF, MATCH(1,(('Commodity Prices'!$BA:$BA)=$V$1)*(('Commodity Prices'!$BB:$BB)=$B$8)*(('Commodity Prices'!$BD:$BD)=$B16),0), 6),
INDEX('Commodity Prices'!$BH:$BM, MATCH(1,(('Commodity Prices'!$BH:$BH)=$V$1)*(('Commodity Prices'!$BI:$BI)=$B$8)*(('Commodity Prices'!$BK:$BK)=$B16),0), 6)
)
)</f>
        <v>9.5426933898526481E-2</v>
      </c>
      <c r="U16" s="64"/>
      <c r="V16" s="64"/>
      <c r="W16" s="64"/>
      <c r="X16" s="64"/>
      <c r="Y16" s="58">
        <v>2022</v>
      </c>
    </row>
    <row r="17" spans="1:25" x14ac:dyDescent="0.25">
      <c r="A17" s="512" t="str" cm="1">
        <f t="array" ref="A17">IF($W$2="Mismatch Error","Mismatch Error",
IF($B$7="Calendar Year",
INDEX('Commodity Prices'!$BA:$BF,MATCH(1,(('Commodity Prices'!$BA:$BA)=$V$1)*(('Commodity Prices'!$BB:$BB)=$B$8)*(('Commodity Prices'!$BD:$BD)=B17),0),3),
INDEX('Commodity Prices'!$BH:$BM,MATCH(1,(('Commodity Prices'!$BH:$BH)=$V$1)*(('Commodity Prices'!$BI:$BI)=$B$8)*(('Commodity Prices'!$BK:$BK)=B17),0),3)
)
)</f>
        <v>Canada</v>
      </c>
      <c r="B17" s="761">
        <v>6</v>
      </c>
      <c r="C17" s="506" t="str" cm="1">
        <f t="array" ref="C17">IF($W$2="Mismatch Error","Mismatch Error",
IF($B$7="Calendar Year",
INDEX('Commodity Prices'!$BA:$BF, MATCH(1,(('Commodity Prices'!$BA:$BA)=$V$1)*(('Commodity Prices'!$BB:$BB)=$B$8)*(('Commodity Prices'!$BD:$BD)=$B17),0), 5),
INDEX('Commodity Prices'!$BH:$BM, MATCH(1,(('Commodity Prices'!$BH:$BH)=$V$1)*(('Commodity Prices'!$BI:$BI)=$B$8)*(('Commodity Prices'!$BK:$BK)=$B17),0), 5)
)
)</f>
        <v>n/a</v>
      </c>
      <c r="D17" s="956" cm="1">
        <f t="array" ref="D17">IF($W$2="Mismatch Error","Mismatch Error",
IF($B$7="Calendar Year",
INDEX('Commodity Prices'!$BA:$BF, MATCH(1,(('Commodity Prices'!$BA:$BA)=$V$1)*(('Commodity Prices'!$BB:$BB)=$B$8)*(('Commodity Prices'!$BD:$BD)=$B17),0), 6),
INDEX('Commodity Prices'!$BH:$BM, MATCH(1,(('Commodity Prices'!$BH:$BH)=$V$1)*(('Commodity Prices'!$BI:$BI)=$B$8)*(('Commodity Prices'!$BK:$BK)=$B17),0), 6)
)
)</f>
        <v>7.0257914107737351E-2</v>
      </c>
      <c r="Y17" s="58">
        <v>2023</v>
      </c>
    </row>
    <row r="18" spans="1:25" x14ac:dyDescent="0.25">
      <c r="A18" s="952" t="str" cm="1">
        <f t="array" ref="A18">IF($W$2="Mismatch Error","Mismatch Error",
IF($B$7="Calendar Year",
INDEX('Commodity Prices'!$BA:$BF,MATCH(1,(('Commodity Prices'!$BA:$BA)=$V$1)*(('Commodity Prices'!$BB:$BB)=$B$8)*(('Commodity Prices'!$BD:$BD)=B18),0),3),
INDEX('Commodity Prices'!$BH:$BM,MATCH(1,(('Commodity Prices'!$BH:$BH)=$V$1)*(('Commodity Prices'!$BI:$BI)=$B$8)*(('Commodity Prices'!$BK:$BK)=B18),0),3)
)
)</f>
        <v>Taiwan</v>
      </c>
      <c r="B18" s="953">
        <v>7</v>
      </c>
      <c r="C18" s="954" t="str" cm="1">
        <f t="array" ref="C18">IF($W$2="Mismatch Error","Mismatch Error",
IF($B$7="Calendar Year",
INDEX('Commodity Prices'!$BA:$BF, MATCH(1,(('Commodity Prices'!$BA:$BA)=$V$1)*(('Commodity Prices'!$BB:$BB)=$B$8)*(('Commodity Prices'!$BD:$BD)=$B18),0), 5),
INDEX('Commodity Prices'!$BH:$BM, MATCH(1,(('Commodity Prices'!$BH:$BH)=$V$1)*(('Commodity Prices'!$BI:$BI)=$B$8)*(('Commodity Prices'!$BK:$BK)=$B18),0), 5)
)
)</f>
        <v>n/a</v>
      </c>
      <c r="D18" s="955" cm="1">
        <f t="array" ref="D18">IF($W$2="Mismatch Error","Mismatch Error",
IF($B$7="Calendar Year",
INDEX('Commodity Prices'!$BA:$BF, MATCH(1,(('Commodity Prices'!$BA:$BA)=$V$1)*(('Commodity Prices'!$BB:$BB)=$B$8)*(('Commodity Prices'!$BD:$BD)=$B18),0), 6),
INDEX('Commodity Prices'!$BH:$BM, MATCH(1,(('Commodity Prices'!$BH:$BH)=$V$1)*(('Commodity Prices'!$BI:$BI)=$B$8)*(('Commodity Prices'!$BK:$BK)=$B18),0), 6)
)
)</f>
        <v>3.5076283841182242E-2</v>
      </c>
      <c r="Y18" s="58"/>
    </row>
    <row r="19" spans="1:25" x14ac:dyDescent="0.25">
      <c r="A19" s="512" t="str" cm="1">
        <f t="array" ref="A19">IF($W$2="Mismatch Error","Mismatch Error",
IF($B$7="Calendar Year",
INDEX('Commodity Prices'!$BA:$BF,MATCH(1,(('Commodity Prices'!$BA:$BA)=$V$1)*(('Commodity Prices'!$BB:$BB)=$B$8)*(('Commodity Prices'!$BD:$BD)=B19),0),3),
INDEX('Commodity Prices'!$BH:$BM,MATCH(1,(('Commodity Prices'!$BH:$BH)=$V$1)*(('Commodity Prices'!$BI:$BI)=$B$8)*(('Commodity Prices'!$BK:$BK)=B19),0),3)
)
)</f>
        <v>Sweden</v>
      </c>
      <c r="B19" s="761">
        <v>8</v>
      </c>
      <c r="C19" s="506" t="str" cm="1">
        <f t="array" ref="C19">IF($W$2="Mismatch Error","Mismatch Error",
IF($B$7="Calendar Year",
INDEX('Commodity Prices'!$BA:$BF, MATCH(1,(('Commodity Prices'!$BA:$BA)=$V$1)*(('Commodity Prices'!$BB:$BB)=$B$8)*(('Commodity Prices'!$BD:$BD)=$B19),0), 5),
INDEX('Commodity Prices'!$BH:$BM, MATCH(1,(('Commodity Prices'!$BH:$BH)=$V$1)*(('Commodity Prices'!$BI:$BI)=$B$8)*(('Commodity Prices'!$BK:$BK)=$B19),0), 5)
)
)</f>
        <v>n/a</v>
      </c>
      <c r="D19" s="956" cm="1">
        <f t="array" ref="D19">IF($W$2="Mismatch Error","Mismatch Error",
IF($B$7="Calendar Year",
INDEX('Commodity Prices'!$BA:$BF, MATCH(1,(('Commodity Prices'!$BA:$BA)=$V$1)*(('Commodity Prices'!$BB:$BB)=$B$8)*(('Commodity Prices'!$BD:$BD)=$B19),0), 6),
INDEX('Commodity Prices'!$BH:$BM, MATCH(1,(('Commodity Prices'!$BH:$BH)=$V$1)*(('Commodity Prices'!$BI:$BI)=$B$8)*(('Commodity Prices'!$BK:$BK)=$B19),0), 6)
)
)</f>
        <v>2.8001534011993973E-2</v>
      </c>
      <c r="Y19" s="58"/>
    </row>
    <row r="20" spans="1:25" x14ac:dyDescent="0.25">
      <c r="A20" s="952" t="str" cm="1">
        <f t="array" ref="A20">IF($W$2="Mismatch Error","Mismatch Error",
IF($B$7="Calendar Year",
INDEX('Commodity Prices'!$BA:$BF,MATCH(1,(('Commodity Prices'!$BA:$BA)=$V$1)*(('Commodity Prices'!$BB:$BB)=$B$8)*(('Commodity Prices'!$BD:$BD)=B20),0),3),
INDEX('Commodity Prices'!$BH:$BM,MATCH(1,(('Commodity Prices'!$BH:$BH)=$V$1)*(('Commodity Prices'!$BI:$BI)=$B$8)*(('Commodity Prices'!$BK:$BK)=B20),0),3)
)
)</f>
        <v>Singapore</v>
      </c>
      <c r="B20" s="953">
        <v>9</v>
      </c>
      <c r="C20" s="954" t="str" cm="1">
        <f t="array" ref="C20">IF($W$2="Mismatch Error","Mismatch Error",
IF($B$7="Calendar Year",
INDEX('Commodity Prices'!$BA:$BF, MATCH(1,(('Commodity Prices'!$BA:$BA)=$V$1)*(('Commodity Prices'!$BB:$BB)=$B$8)*(('Commodity Prices'!$BD:$BD)=$B20),0), 5),
INDEX('Commodity Prices'!$BH:$BM, MATCH(1,(('Commodity Prices'!$BH:$BH)=$V$1)*(('Commodity Prices'!$BI:$BI)=$B$8)*(('Commodity Prices'!$BK:$BK)=$B20),0), 5)
)
)</f>
        <v>n/a</v>
      </c>
      <c r="D20" s="955" cm="1">
        <f t="array" ref="D20">IF($W$2="Mismatch Error","Mismatch Error",
IF($B$7="Calendar Year",
INDEX('Commodity Prices'!$BA:$BF, MATCH(1,(('Commodity Prices'!$BA:$BA)=$V$1)*(('Commodity Prices'!$BB:$BB)=$B$8)*(('Commodity Prices'!$BD:$BD)=$B20),0), 6),
INDEX('Commodity Prices'!$BH:$BM, MATCH(1,(('Commodity Prices'!$BH:$BH)=$V$1)*(('Commodity Prices'!$BI:$BI)=$B$8)*(('Commodity Prices'!$BK:$BK)=$B20),0), 6)
)
)</f>
        <v>1.3087963497130855E-2</v>
      </c>
      <c r="Y20" s="58"/>
    </row>
    <row r="21" spans="1:25" x14ac:dyDescent="0.25">
      <c r="A21" s="512" t="str" cm="1">
        <f t="array" ref="A21">IF($W$2="Mismatch Error","Mismatch Error",
IF($B$7="Calendar Year",
INDEX('Commodity Prices'!$BA:$BF,MATCH(1,(('Commodity Prices'!$BA:$BA)=$V$1)*(('Commodity Prices'!$BB:$BB)=$B$8)*(('Commodity Prices'!$BD:$BD)=B21),0),3),
INDEX('Commodity Prices'!$BH:$BM,MATCH(1,(('Commodity Prices'!$BH:$BH)=$V$1)*(('Commodity Prices'!$BI:$BI)=$B$8)*(('Commodity Prices'!$BK:$BK)=B21),0),3)
)
)</f>
        <v>United States</v>
      </c>
      <c r="B21" s="761">
        <v>10</v>
      </c>
      <c r="C21" s="506" t="str" cm="1">
        <f t="array" ref="C21">IF($W$2="Mismatch Error","Mismatch Error",
IF($B$7="Calendar Year",
INDEX('Commodity Prices'!$BA:$BF, MATCH(1,(('Commodity Prices'!$BA:$BA)=$V$1)*(('Commodity Prices'!$BB:$BB)=$B$8)*(('Commodity Prices'!$BD:$BD)=$B21),0), 5),
INDEX('Commodity Prices'!$BH:$BM, MATCH(1,(('Commodity Prices'!$BH:$BH)=$V$1)*(('Commodity Prices'!$BI:$BI)=$B$8)*(('Commodity Prices'!$BK:$BK)=$B21),0), 5)
)
)</f>
        <v>n/a</v>
      </c>
      <c r="D21" s="956" cm="1">
        <f t="array" ref="D21">IF($W$2="Mismatch Error","Mismatch Error",
IF($B$7="Calendar Year",
INDEX('Commodity Prices'!$BA:$BF, MATCH(1,(('Commodity Prices'!$BA:$BA)=$V$1)*(('Commodity Prices'!$BB:$BB)=$B$8)*(('Commodity Prices'!$BD:$BD)=$B21),0), 6),
INDEX('Commodity Prices'!$BH:$BM, MATCH(1,(('Commodity Prices'!$BH:$BH)=$V$1)*(('Commodity Prices'!$BI:$BI)=$B$8)*(('Commodity Prices'!$BK:$BK)=$B21),0), 6)
)
)</f>
        <v>1.0015955844046475E-2</v>
      </c>
      <c r="Y21" s="58"/>
    </row>
    <row r="22" spans="1:25" x14ac:dyDescent="0.25">
      <c r="A22" s="952" t="str">
        <f>IF($W$2="Mismatch Error","","Other")</f>
        <v>Other</v>
      </c>
      <c r="B22" s="953"/>
      <c r="C22" s="954" t="str" cm="1">
        <f t="array" ref="C22">IF($W$2="Mismatch Error","Mismatch Error",
IF($B$7="Calendar Year",
INDEX('Commodity Prices'!$BA:$BF, MATCH(1,(('Commodity Prices'!$BA:$BA)=$V$1)*(('Commodity Prices'!$BB:$BB)=$B$8)*(('Commodity Prices'!$BD:$BD)=$B22),0), 5),
INDEX('Commodity Prices'!$BH:$BM, MATCH(1,(('Commodity Prices'!$BH:$BH)=$V$1)*(('Commodity Prices'!$BI:$BI)=$B$8)*(('Commodity Prices'!$BK:$BK)=$B22),0), 5)
)
)</f>
        <v>n/a</v>
      </c>
      <c r="D22" s="955" cm="1">
        <f t="array" ref="D22">IF($W$2="Mismatch Error","Mismatch Error",
IF($B$7="Calendar Year",
INDEX('Commodity Prices'!$BA:$BF, MATCH(1,(('Commodity Prices'!$BA:$BA)=$V$1)*(('Commodity Prices'!$BB:$BB)=$B$8)*(('Commodity Prices'!$BD:$BD)=$B22),0), 6),
INDEX('Commodity Prices'!$BH:$BM, MATCH(1,(('Commodity Prices'!$BH:$BH)=$V$1)*(('Commodity Prices'!$BI:$BI)=$B$8)*(('Commodity Prices'!$BK:$BK)=$B22),0), 6)
)
)</f>
        <v>3.1308267696404372E-2</v>
      </c>
      <c r="Y22" s="58"/>
    </row>
    <row r="23" spans="1:25" ht="15.75" thickBot="1" x14ac:dyDescent="0.3">
      <c r="A23" s="513" t="str">
        <f>IF($W$2="Mismatch Error","","Grand Total")</f>
        <v>Grand Total</v>
      </c>
      <c r="B23" s="514"/>
      <c r="C23" s="515">
        <f>SUM(C12:C22)</f>
        <v>0</v>
      </c>
      <c r="D23" s="516"/>
      <c r="Y23" s="58"/>
    </row>
    <row r="24" spans="1:25" x14ac:dyDescent="0.25">
      <c r="Y24" s="58"/>
    </row>
    <row r="25" spans="1:25" x14ac:dyDescent="0.25">
      <c r="A25" s="517" t="str">
        <f>IF(A12="Mismatch Error","You have selected an incompatible year or year type. Change one or the other to display data.","")</f>
        <v/>
      </c>
      <c r="B25" s="517"/>
      <c r="C25" s="517"/>
      <c r="D25" s="517"/>
      <c r="Y25" s="58"/>
    </row>
    <row r="26" spans="1:25" x14ac:dyDescent="0.25">
      <c r="A26" s="517"/>
      <c r="B26" s="517"/>
      <c r="C26" s="517"/>
      <c r="D26" s="517"/>
      <c r="Y26" s="58"/>
    </row>
    <row r="27" spans="1:25" ht="15" customHeight="1" x14ac:dyDescent="0.25">
      <c r="A27" s="517" t="str">
        <f>IF(OR(ISNA(A12),ISNA(A13),ISNA(A14),ISNA(A15),ISNA(A16),ISNA(A17),ISNA(A18),ISNA(A19),ISNA(A20),ISNA(A21),ISNA(C12),ISNA(C13),ISNA(C14),ISNA(C15),ISNA(C16),ISNA(C17),ISNA(C18),ISNA(C19),ISNA(C20),ISNA(C21)),"You have ecountered an NA Error. This is most likely caused by the accidental loss of an array formula in the table above. Click on the cell showing #N/A above, then click the formula bar and press Ctrl, Shift and Enter.","")</f>
        <v/>
      </c>
      <c r="B27" s="517"/>
      <c r="C27" s="517"/>
      <c r="D27" s="517"/>
      <c r="Y27" s="58"/>
    </row>
  </sheetData>
  <mergeCells count="3">
    <mergeCell ref="B7:D7"/>
    <mergeCell ref="B8:D8"/>
    <mergeCell ref="A10:D10"/>
  </mergeCells>
  <dataValidations count="2">
    <dataValidation type="list" allowBlank="1" showInputMessage="1" showErrorMessage="1" promptTitle="Select a Display Factor:" prompt="Clicking here will bring up a message describing the selections you can make." sqref="B7:D7" xr:uid="{6FE368B8-AD26-45D1-B39C-EDF0BB2D8B88}">
      <formula1>$X$1:$X$2</formula1>
    </dataValidation>
    <dataValidation type="list" allowBlank="1" showInputMessage="1" showErrorMessage="1" promptTitle="Select a Display Factor:" prompt="Clicking here will bring up a message describing the selections you can make." sqref="B8:D8" xr:uid="{2BD2F944-0407-442B-96E4-70F72C30DE85}">
      <formula1>$Y$1:$Y$27</formula1>
    </dataValidation>
  </dataValidation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541F6-9E71-4F8B-ABFA-A5E9EF6F1A4D}">
  <sheetPr>
    <tabColor theme="4" tint="0.39997558519241921"/>
  </sheetPr>
  <dimension ref="A7:R66"/>
  <sheetViews>
    <sheetView showGridLines="0" zoomScale="85" zoomScaleNormal="85" workbookViewId="0">
      <pane ySplit="8" topLeftCell="A9" activePane="bottomLeft" state="frozen"/>
      <selection pane="bottomLeft"/>
    </sheetView>
  </sheetViews>
  <sheetFormatPr defaultColWidth="9.140625" defaultRowHeight="15" x14ac:dyDescent="0.25"/>
  <cols>
    <col min="1" max="1" width="12.7109375" customWidth="1"/>
    <col min="2" max="3" width="20.7109375" customWidth="1"/>
    <col min="4" max="4" width="1.7109375" customWidth="1"/>
    <col min="5" max="5" width="8.7109375" customWidth="1"/>
    <col min="8" max="8" width="21" bestFit="1" customWidth="1"/>
    <col min="9" max="9" width="19.42578125" bestFit="1" customWidth="1"/>
    <col min="14" max="14" width="9.28515625" customWidth="1"/>
    <col min="15" max="15" width="14.5703125" customWidth="1"/>
    <col min="16" max="16" width="12.7109375" customWidth="1"/>
    <col min="17" max="18" width="20.7109375" customWidth="1"/>
    <col min="19" max="19" width="10.85546875" customWidth="1"/>
    <col min="20" max="21" width="23.5703125" customWidth="1"/>
  </cols>
  <sheetData>
    <row r="7" spans="1:18" ht="15.75" thickBot="1" x14ac:dyDescent="0.3">
      <c r="A7" s="1407" t="s">
        <v>587</v>
      </c>
      <c r="B7" s="1407"/>
      <c r="C7" s="1407"/>
    </row>
    <row r="8" spans="1:18" x14ac:dyDescent="0.25">
      <c r="A8" s="922" t="s">
        <v>272</v>
      </c>
      <c r="B8" s="950" t="s">
        <v>573</v>
      </c>
      <c r="C8" s="951" t="s">
        <v>574</v>
      </c>
    </row>
    <row r="9" spans="1:18" x14ac:dyDescent="0.25">
      <c r="A9" s="957">
        <v>1967</v>
      </c>
      <c r="B9" s="462">
        <v>0.29668549999999999</v>
      </c>
      <c r="C9" s="463">
        <v>0</v>
      </c>
      <c r="P9" s="1393" t="s">
        <v>564</v>
      </c>
      <c r="Q9" s="1393"/>
      <c r="R9" s="1393"/>
    </row>
    <row r="10" spans="1:18" ht="15.75" thickBot="1" x14ac:dyDescent="0.3">
      <c r="A10" s="957">
        <v>1968</v>
      </c>
      <c r="B10" s="926">
        <v>0.54866499999999996</v>
      </c>
      <c r="C10" s="927">
        <v>0</v>
      </c>
      <c r="P10" s="1393" t="s">
        <v>567</v>
      </c>
      <c r="Q10" s="1393"/>
      <c r="R10" s="1393"/>
    </row>
    <row r="11" spans="1:18" x14ac:dyDescent="0.25">
      <c r="A11" s="957">
        <v>1969</v>
      </c>
      <c r="B11" s="462">
        <v>7.877408</v>
      </c>
      <c r="C11" s="463">
        <v>0</v>
      </c>
      <c r="P11" s="913" t="s">
        <v>272</v>
      </c>
      <c r="Q11" s="911" t="str">
        <f>B8</f>
        <v>Western Australia (Kt)</v>
      </c>
      <c r="R11" s="912" t="str">
        <f>C8</f>
        <v>Rest of Australia (Kt)</v>
      </c>
    </row>
    <row r="12" spans="1:18" x14ac:dyDescent="0.25">
      <c r="A12" s="957">
        <v>1970</v>
      </c>
      <c r="B12" s="926">
        <v>31.609000000000002</v>
      </c>
      <c r="C12" s="927">
        <v>0</v>
      </c>
      <c r="P12" s="957">
        <f>LARGE(A$9:A$86,10)</f>
        <v>2015</v>
      </c>
      <c r="Q12" s="958">
        <f t="shared" ref="Q12:R21" si="0">SUMIF($A$9:$A$91,$P12,B$9:B$91)</f>
        <v>173.97419100000002</v>
      </c>
      <c r="R12" s="959">
        <f t="shared" si="0"/>
        <v>0</v>
      </c>
    </row>
    <row r="13" spans="1:18" x14ac:dyDescent="0.25">
      <c r="A13" s="957">
        <v>1971</v>
      </c>
      <c r="B13" s="462">
        <v>35.768999999999998</v>
      </c>
      <c r="C13" s="463">
        <v>0</v>
      </c>
      <c r="P13" s="957">
        <f>LARGE(A$9:A$86,9)</f>
        <v>2016</v>
      </c>
      <c r="Q13" s="525">
        <f t="shared" si="0"/>
        <v>171.60430600000001</v>
      </c>
      <c r="R13" s="960">
        <f t="shared" si="0"/>
        <v>0</v>
      </c>
    </row>
    <row r="14" spans="1:18" x14ac:dyDescent="0.25">
      <c r="A14" s="957">
        <v>1972</v>
      </c>
      <c r="B14" s="926">
        <v>31.37</v>
      </c>
      <c r="C14" s="927">
        <v>0</v>
      </c>
      <c r="P14" s="957">
        <f>LARGE(A$9:A$86,8)</f>
        <v>2017</v>
      </c>
      <c r="Q14" s="958">
        <f t="shared" si="0"/>
        <v>166.42021699999998</v>
      </c>
      <c r="R14" s="959">
        <f t="shared" si="0"/>
        <v>0</v>
      </c>
    </row>
    <row r="15" spans="1:18" x14ac:dyDescent="0.25">
      <c r="A15" s="957">
        <v>1973</v>
      </c>
      <c r="B15" s="462">
        <v>40.228000000000002</v>
      </c>
      <c r="C15" s="463">
        <v>0</v>
      </c>
      <c r="P15" s="957">
        <f>LARGE(A$9:A$86,7)</f>
        <v>2018</v>
      </c>
      <c r="Q15" s="525">
        <f t="shared" si="0"/>
        <v>149.29546400000001</v>
      </c>
      <c r="R15" s="960">
        <f t="shared" si="0"/>
        <v>0</v>
      </c>
    </row>
    <row r="16" spans="1:18" x14ac:dyDescent="0.25">
      <c r="A16" s="957">
        <v>1974</v>
      </c>
      <c r="B16" s="926">
        <v>45.93</v>
      </c>
      <c r="C16" s="927">
        <v>1.897</v>
      </c>
      <c r="P16" s="957">
        <f>LARGE(A$9:A$86,6)</f>
        <v>2019</v>
      </c>
      <c r="Q16" s="958">
        <f t="shared" si="0"/>
        <v>153.62417200000002</v>
      </c>
      <c r="R16" s="959">
        <f t="shared" si="0"/>
        <v>0</v>
      </c>
    </row>
    <row r="17" spans="1:18" x14ac:dyDescent="0.25">
      <c r="A17" s="957">
        <v>1975</v>
      </c>
      <c r="B17" s="462">
        <v>53.432000000000002</v>
      </c>
      <c r="C17" s="463">
        <v>22.393000000000001</v>
      </c>
      <c r="P17" s="957">
        <f>LARGE(A$9:A$86,5)</f>
        <v>2020</v>
      </c>
      <c r="Q17" s="525">
        <f t="shared" si="0"/>
        <v>165.123107</v>
      </c>
      <c r="R17" s="960">
        <f t="shared" si="0"/>
        <v>0</v>
      </c>
    </row>
    <row r="18" spans="1:18" x14ac:dyDescent="0.25">
      <c r="A18" s="957">
        <v>1976</v>
      </c>
      <c r="B18" s="926">
        <v>58.000999999999998</v>
      </c>
      <c r="C18" s="927">
        <v>24.530999999999999</v>
      </c>
      <c r="P18" s="957">
        <f>LARGE(A$9:A$86,4)</f>
        <v>2021</v>
      </c>
      <c r="Q18" s="958">
        <f t="shared" si="0"/>
        <v>150.02785600000001</v>
      </c>
      <c r="R18" s="959">
        <f t="shared" si="0"/>
        <v>0</v>
      </c>
    </row>
    <row r="19" spans="1:18" x14ac:dyDescent="0.25">
      <c r="A19" s="957">
        <v>1977</v>
      </c>
      <c r="B19" s="462">
        <v>56.569000000000003</v>
      </c>
      <c r="C19" s="463">
        <v>29.298999999999999</v>
      </c>
      <c r="P19" s="957">
        <f>LARGE(A$9:A$86,3)</f>
        <v>2022</v>
      </c>
      <c r="Q19" s="525">
        <f t="shared" si="0"/>
        <v>154.272391</v>
      </c>
      <c r="R19" s="960">
        <f t="shared" si="0"/>
        <v>1.653</v>
      </c>
    </row>
    <row r="20" spans="1:18" x14ac:dyDescent="0.25">
      <c r="A20" s="957">
        <v>1978</v>
      </c>
      <c r="B20" s="926">
        <v>50.723999999999997</v>
      </c>
      <c r="C20" s="927">
        <v>31.635000000000002</v>
      </c>
      <c r="P20" s="957">
        <f>LARGE(A$9:A$86,2)</f>
        <v>2023</v>
      </c>
      <c r="Q20" s="958">
        <f t="shared" si="0"/>
        <v>148.19363199999998</v>
      </c>
      <c r="R20" s="959">
        <f t="shared" si="0"/>
        <v>3.6059999999999999</v>
      </c>
    </row>
    <row r="21" spans="1:18" ht="15.75" thickBot="1" x14ac:dyDescent="0.3">
      <c r="A21" s="957">
        <v>1979</v>
      </c>
      <c r="B21" s="462">
        <v>43.688000000000002</v>
      </c>
      <c r="C21" s="463">
        <v>26.021000000000001</v>
      </c>
      <c r="P21" s="961">
        <f>LARGE(A$9:A$86,1)</f>
        <v>2024</v>
      </c>
      <c r="Q21" s="667">
        <f t="shared" si="0"/>
        <v>128.36591900000002</v>
      </c>
      <c r="R21" s="962">
        <f t="shared" si="0"/>
        <v>0</v>
      </c>
    </row>
    <row r="22" spans="1:18" x14ac:dyDescent="0.25">
      <c r="A22" s="957">
        <v>1980</v>
      </c>
      <c r="B22" s="926">
        <v>43.597000000000001</v>
      </c>
      <c r="C22" s="927">
        <v>30.725999999999999</v>
      </c>
    </row>
    <row r="23" spans="1:18" x14ac:dyDescent="0.25">
      <c r="A23" s="957">
        <v>1981</v>
      </c>
      <c r="B23" s="462">
        <v>47.768999999999998</v>
      </c>
      <c r="C23" s="463">
        <v>26.585999999999999</v>
      </c>
    </row>
    <row r="24" spans="1:18" x14ac:dyDescent="0.25">
      <c r="A24" s="957">
        <v>1982</v>
      </c>
      <c r="B24" s="926">
        <v>57.545999999999999</v>
      </c>
      <c r="C24" s="927">
        <v>30.006</v>
      </c>
    </row>
    <row r="25" spans="1:18" x14ac:dyDescent="0.25">
      <c r="A25" s="957">
        <v>1983</v>
      </c>
      <c r="B25" s="462">
        <v>57.973999999999997</v>
      </c>
      <c r="C25" s="463">
        <v>18.651</v>
      </c>
    </row>
    <row r="26" spans="1:18" x14ac:dyDescent="0.25">
      <c r="A26" s="957">
        <v>1984</v>
      </c>
      <c r="B26" s="926">
        <v>58.837000000000003</v>
      </c>
      <c r="C26" s="927">
        <v>18.085999999999999</v>
      </c>
    </row>
    <row r="27" spans="1:18" x14ac:dyDescent="0.25">
      <c r="A27" s="957">
        <v>1985</v>
      </c>
      <c r="B27" s="462">
        <v>55.936999999999998</v>
      </c>
      <c r="C27" s="463">
        <v>29.82</v>
      </c>
    </row>
    <row r="28" spans="1:18" x14ac:dyDescent="0.25">
      <c r="A28" s="957">
        <v>1986</v>
      </c>
      <c r="B28" s="926">
        <v>49.228999999999999</v>
      </c>
      <c r="C28" s="927">
        <v>27.51</v>
      </c>
    </row>
    <row r="29" spans="1:18" x14ac:dyDescent="0.25">
      <c r="A29" s="957">
        <v>1987</v>
      </c>
      <c r="B29" s="462">
        <v>47.588999999999999</v>
      </c>
      <c r="C29" s="463">
        <v>26.965</v>
      </c>
    </row>
    <row r="30" spans="1:18" x14ac:dyDescent="0.25">
      <c r="A30" s="957">
        <v>1988</v>
      </c>
      <c r="B30" s="926">
        <v>36.302</v>
      </c>
      <c r="C30" s="927">
        <v>26.337</v>
      </c>
    </row>
    <row r="31" spans="1:18" x14ac:dyDescent="0.25">
      <c r="A31" s="957">
        <v>1989</v>
      </c>
      <c r="B31" s="462">
        <v>39</v>
      </c>
      <c r="C31" s="463">
        <v>26</v>
      </c>
    </row>
    <row r="32" spans="1:18" x14ac:dyDescent="0.25">
      <c r="A32" s="957">
        <v>1990</v>
      </c>
      <c r="B32" s="926">
        <v>51</v>
      </c>
      <c r="C32" s="927">
        <v>16</v>
      </c>
    </row>
    <row r="33" spans="1:3" x14ac:dyDescent="0.25">
      <c r="A33" s="957">
        <v>1991</v>
      </c>
      <c r="B33" s="462">
        <v>56</v>
      </c>
      <c r="C33" s="463">
        <v>13</v>
      </c>
    </row>
    <row r="34" spans="1:3" x14ac:dyDescent="0.25">
      <c r="A34" s="957">
        <v>1992</v>
      </c>
      <c r="B34" s="926">
        <v>48</v>
      </c>
      <c r="C34" s="927">
        <v>10</v>
      </c>
    </row>
    <row r="35" spans="1:3" x14ac:dyDescent="0.25">
      <c r="A35" s="957">
        <v>1993</v>
      </c>
      <c r="B35" s="462">
        <v>55.463000000000001</v>
      </c>
      <c r="C35" s="463">
        <v>14.537000000000001</v>
      </c>
    </row>
    <row r="36" spans="1:3" x14ac:dyDescent="0.25">
      <c r="A36" s="957">
        <v>1994</v>
      </c>
      <c r="B36" s="926">
        <v>77</v>
      </c>
      <c r="C36" s="927">
        <v>2</v>
      </c>
    </row>
    <row r="37" spans="1:3" x14ac:dyDescent="0.25">
      <c r="A37" s="957">
        <v>1995</v>
      </c>
      <c r="B37" s="462">
        <v>101.358</v>
      </c>
      <c r="C37" s="463">
        <v>0.64200000000000002</v>
      </c>
    </row>
    <row r="38" spans="1:3" x14ac:dyDescent="0.25">
      <c r="A38" s="957">
        <v>1996</v>
      </c>
      <c r="B38" s="926">
        <v>112.108</v>
      </c>
      <c r="C38" s="927">
        <v>4</v>
      </c>
    </row>
    <row r="39" spans="1:3" x14ac:dyDescent="0.25">
      <c r="A39" s="957">
        <v>1997</v>
      </c>
      <c r="B39" s="462">
        <v>122.991</v>
      </c>
      <c r="C39" s="463">
        <v>0</v>
      </c>
    </row>
    <row r="40" spans="1:3" x14ac:dyDescent="0.25">
      <c r="A40" s="957">
        <v>1998</v>
      </c>
      <c r="B40" s="926">
        <v>143.08199999999999</v>
      </c>
      <c r="C40" s="927">
        <v>0</v>
      </c>
    </row>
    <row r="41" spans="1:3" x14ac:dyDescent="0.25">
      <c r="A41" s="957">
        <v>1999</v>
      </c>
      <c r="B41" s="462">
        <f>SUMIF('Nickel - Q&amp;V'!$D$9:$D$201,'Nickel - WA vs Aus'!A41,'Nickel - Q&amp;V'!$B$9:$B$201)</f>
        <v>122.79599999999999</v>
      </c>
      <c r="C41" s="463">
        <v>0</v>
      </c>
    </row>
    <row r="42" spans="1:3" x14ac:dyDescent="0.25">
      <c r="A42" s="957">
        <v>2000</v>
      </c>
      <c r="B42" s="926">
        <f>SUMIF('Nickel - Q&amp;V'!$D$9:$D$201,'Nickel - WA vs Aus'!A42,'Nickel - Q&amp;V'!$B$9:$B$201)</f>
        <v>154.07399999999998</v>
      </c>
      <c r="C42" s="927">
        <v>0</v>
      </c>
    </row>
    <row r="43" spans="1:3" x14ac:dyDescent="0.25">
      <c r="A43" s="957">
        <v>2001</v>
      </c>
      <c r="B43" s="462">
        <f>SUMIF('Nickel - Q&amp;V'!$D$9:$D$201,'Nickel - WA vs Aus'!A43,'Nickel - Q&amp;V'!$B$9:$B$201)</f>
        <v>181.16899999999998</v>
      </c>
      <c r="C43" s="463">
        <v>0</v>
      </c>
    </row>
    <row r="44" spans="1:3" x14ac:dyDescent="0.25">
      <c r="A44" s="957">
        <v>2002</v>
      </c>
      <c r="B44" s="926">
        <f>SUMIF('Nickel - Q&amp;V'!$D$9:$D$201,'Nickel - WA vs Aus'!A44,'Nickel - Q&amp;V'!$B$9:$B$201)</f>
        <v>183.00200000000001</v>
      </c>
      <c r="C44" s="927">
        <v>0</v>
      </c>
    </row>
    <row r="45" spans="1:3" x14ac:dyDescent="0.25">
      <c r="A45" s="957">
        <v>2003</v>
      </c>
      <c r="B45" s="462">
        <f>SUMIF('Nickel - Q&amp;V'!$D$9:$D$201,'Nickel - WA vs Aus'!A45,'Nickel - Q&amp;V'!$B$9:$B$201)</f>
        <v>190.20999999999998</v>
      </c>
      <c r="C45" s="463">
        <v>0</v>
      </c>
    </row>
    <row r="46" spans="1:3" x14ac:dyDescent="0.25">
      <c r="A46" s="957">
        <v>2004</v>
      </c>
      <c r="B46" s="926">
        <f>SUMIF('Nickel - Q&amp;V'!$D$9:$D$201,'Nickel - WA vs Aus'!A46,'Nickel - Q&amp;V'!$B$9:$B$201)</f>
        <v>174.70099999999999</v>
      </c>
      <c r="C46" s="927">
        <v>0</v>
      </c>
    </row>
    <row r="47" spans="1:3" x14ac:dyDescent="0.25">
      <c r="A47" s="957">
        <v>2005</v>
      </c>
      <c r="B47" s="462">
        <f>SUMIF('Nickel - Q&amp;V'!$D$9:$D$201,'Nickel - WA vs Aus'!A47,'Nickel - Q&amp;V'!$B$9:$B$201)</f>
        <v>188.36199999999999</v>
      </c>
      <c r="C47" s="463">
        <v>0</v>
      </c>
    </row>
    <row r="48" spans="1:3" x14ac:dyDescent="0.25">
      <c r="A48" s="957">
        <v>2006</v>
      </c>
      <c r="B48" s="926">
        <f>SUMIF('Nickel - Q&amp;V'!$D$9:$D$201,'Nickel - WA vs Aus'!A48,'Nickel - Q&amp;V'!$B$9:$B$201)</f>
        <v>175.08699999999999</v>
      </c>
      <c r="C48" s="927">
        <v>0</v>
      </c>
    </row>
    <row r="49" spans="1:3" x14ac:dyDescent="0.25">
      <c r="A49" s="957">
        <v>2007</v>
      </c>
      <c r="B49" s="462">
        <f>SUMIF('Nickel - Q&amp;V'!$D$9:$D$201,'Nickel - WA vs Aus'!A49,'Nickel - Q&amp;V'!$B$9:$B$201)</f>
        <v>162.49200000000002</v>
      </c>
      <c r="C49" s="463">
        <v>0</v>
      </c>
    </row>
    <row r="50" spans="1:3" x14ac:dyDescent="0.25">
      <c r="A50" s="957">
        <v>2008</v>
      </c>
      <c r="B50" s="926">
        <f>SUMIF('Nickel - Q&amp;V'!$D$9:$D$201,'Nickel - WA vs Aus'!A50,'Nickel - Q&amp;V'!$B$9:$B$201)</f>
        <v>187.791</v>
      </c>
      <c r="C50" s="927">
        <v>0</v>
      </c>
    </row>
    <row r="51" spans="1:3" x14ac:dyDescent="0.25">
      <c r="A51" s="957">
        <v>2009</v>
      </c>
      <c r="B51" s="462">
        <f>SUMIF('Nickel - Q&amp;V'!$D$9:$D$201,'Nickel - WA vs Aus'!A51,'Nickel - Q&amp;V'!$B$9:$B$201)</f>
        <v>171.178</v>
      </c>
      <c r="C51" s="463">
        <v>0</v>
      </c>
    </row>
    <row r="52" spans="1:3" x14ac:dyDescent="0.25">
      <c r="A52" s="957">
        <v>2010</v>
      </c>
      <c r="B52" s="926">
        <f>SUMIF('Nickel - Q&amp;V'!$D$9:$D$201,'Nickel - WA vs Aus'!A52,'Nickel - Q&amp;V'!$B$9:$B$201)</f>
        <v>193.25899999999999</v>
      </c>
      <c r="C52" s="927">
        <v>0</v>
      </c>
    </row>
    <row r="53" spans="1:3" x14ac:dyDescent="0.25">
      <c r="A53" s="957">
        <v>2011</v>
      </c>
      <c r="B53" s="462">
        <f>SUMIF('Nickel - Q&amp;V'!$D$9:$D$201,'Nickel - WA vs Aus'!A53,'Nickel - Q&amp;V'!$B$9:$B$201)</f>
        <v>185.13</v>
      </c>
      <c r="C53" s="463">
        <v>0</v>
      </c>
    </row>
    <row r="54" spans="1:3" x14ac:dyDescent="0.25">
      <c r="A54" s="957">
        <v>2012</v>
      </c>
      <c r="B54" s="926">
        <f>SUMIF('Nickel - Q&amp;V'!$D$9:$D$201,'Nickel - WA vs Aus'!A54,'Nickel - Q&amp;V'!$B$9:$B$201)</f>
        <v>230.76710035740911</v>
      </c>
      <c r="C54" s="927">
        <v>0</v>
      </c>
    </row>
    <row r="55" spans="1:3" x14ac:dyDescent="0.25">
      <c r="A55" s="957">
        <v>2013</v>
      </c>
      <c r="B55" s="462">
        <f>SUMIF('Nickel - Q&amp;V'!$D$9:$D$201,'Nickel - WA vs Aus'!A55,'Nickel - Q&amp;V'!$B$9:$B$201)</f>
        <v>270.74436400000002</v>
      </c>
      <c r="C55" s="463">
        <v>0</v>
      </c>
    </row>
    <row r="56" spans="1:3" x14ac:dyDescent="0.25">
      <c r="A56" s="957">
        <v>2014</v>
      </c>
      <c r="B56" s="926">
        <f>SUMIF('Nickel - Q&amp;V'!$D$9:$D$201,'Nickel - WA vs Aus'!A56,'Nickel - Q&amp;V'!$B$9:$B$201)</f>
        <v>218.56311600000001</v>
      </c>
      <c r="C56" s="927">
        <v>0</v>
      </c>
    </row>
    <row r="57" spans="1:3" x14ac:dyDescent="0.25">
      <c r="A57" s="957">
        <v>2015</v>
      </c>
      <c r="B57" s="462">
        <f>SUMIF('Nickel - Q&amp;V'!$D$9:$D$201,'Nickel - WA vs Aus'!A57,'Nickel - Q&amp;V'!$B$9:$B$201)</f>
        <v>173.97419100000002</v>
      </c>
      <c r="C57" s="463">
        <v>0</v>
      </c>
    </row>
    <row r="58" spans="1:3" x14ac:dyDescent="0.25">
      <c r="A58" s="957">
        <v>2016</v>
      </c>
      <c r="B58" s="926">
        <f>SUMIF('Nickel - Q&amp;V'!$D$9:$D$201,'Nickel - WA vs Aus'!A58,'Nickel - Q&amp;V'!$B$9:$B$201)</f>
        <v>171.60430600000001</v>
      </c>
      <c r="C58" s="927">
        <v>0</v>
      </c>
    </row>
    <row r="59" spans="1:3" x14ac:dyDescent="0.25">
      <c r="A59" s="957">
        <v>2017</v>
      </c>
      <c r="B59" s="462">
        <f>SUMIF('Nickel - Q&amp;V'!$D$9:$D$201,'Nickel - WA vs Aus'!A59,'Nickel - Q&amp;V'!$B$9:$B$201)</f>
        <v>166.42021699999998</v>
      </c>
      <c r="C59" s="638">
        <v>0</v>
      </c>
    </row>
    <row r="60" spans="1:3" x14ac:dyDescent="0.25">
      <c r="A60" s="957">
        <v>2018</v>
      </c>
      <c r="B60" s="926">
        <f>SUMIF('Nickel - Q&amp;V'!$D$9:$D$201,'Nickel - WA vs Aus'!A60,'Nickel - Q&amp;V'!$B$9:$B$201)</f>
        <v>149.29546400000001</v>
      </c>
      <c r="C60" s="927">
        <v>0</v>
      </c>
    </row>
    <row r="61" spans="1:3" x14ac:dyDescent="0.25">
      <c r="A61" s="957">
        <v>2019</v>
      </c>
      <c r="B61" s="462">
        <f>SUMIF('Nickel - Q&amp;V'!$D$9:$D$201,'Nickel - WA vs Aus'!A61,'Nickel - Q&amp;V'!$B$9:$B$201)</f>
        <v>153.62417200000002</v>
      </c>
      <c r="C61" s="638">
        <v>0</v>
      </c>
    </row>
    <row r="62" spans="1:3" x14ac:dyDescent="0.25">
      <c r="A62" s="957">
        <v>2020</v>
      </c>
      <c r="B62" s="963">
        <f>SUMIF('Nickel - Q&amp;V'!$D$9:$D$201,'Nickel - WA vs Aus'!A62,'Nickel - Q&amp;V'!$B$9:$B$201)</f>
        <v>165.123107</v>
      </c>
      <c r="C62" s="940">
        <v>0</v>
      </c>
    </row>
    <row r="63" spans="1:3" x14ac:dyDescent="0.25">
      <c r="A63" s="957">
        <v>2021</v>
      </c>
      <c r="B63" s="569">
        <f>SUMIF('Nickel - Q&amp;V'!$D$9:$D$201,'Nickel - WA vs Aus'!A63,'Nickel - Q&amp;V'!$B$9:$B$201)</f>
        <v>150.02785600000001</v>
      </c>
      <c r="C63" s="434">
        <v>0</v>
      </c>
    </row>
    <row r="64" spans="1:3" x14ac:dyDescent="0.25">
      <c r="A64" s="957">
        <v>2022</v>
      </c>
      <c r="B64" s="963">
        <f>SUMIF('Nickel - Q&amp;V'!$D$9:$D$201,'Nickel - WA vs Aus'!A64,'Nickel - Q&amp;V'!$B$9:$B$201)</f>
        <v>154.272391</v>
      </c>
      <c r="C64" s="964">
        <v>1.653</v>
      </c>
    </row>
    <row r="65" spans="1:3" x14ac:dyDescent="0.25">
      <c r="A65" s="957">
        <v>2023</v>
      </c>
      <c r="B65" s="569">
        <f>SUMIF('Nickel - Q&amp;V'!$D$9:$D$201,'Nickel - WA vs Aus'!A65,'Nickel - Q&amp;V'!$B$9:$B$201)</f>
        <v>148.19363199999998</v>
      </c>
      <c r="C65" s="434">
        <v>3.6059999999999999</v>
      </c>
    </row>
    <row r="66" spans="1:3" ht="15.75" thickBot="1" x14ac:dyDescent="0.3">
      <c r="A66" s="961">
        <v>2024</v>
      </c>
      <c r="B66" s="1186">
        <f>SUMIF('Nickel - Q&amp;V'!$D$9:$D$201,'Nickel - WA vs Aus'!A66,'Nickel - Q&amp;V'!$B$9:$B$201)</f>
        <v>128.36591900000002</v>
      </c>
      <c r="C66" s="943">
        <v>0</v>
      </c>
    </row>
  </sheetData>
  <mergeCells count="3">
    <mergeCell ref="A7:C7"/>
    <mergeCell ref="P9:R9"/>
    <mergeCell ref="P10:R10"/>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51274-8A89-40DA-812D-844F814D598E}">
  <sheetPr>
    <tabColor theme="1" tint="0.499984740745262"/>
  </sheetPr>
  <dimension ref="A1:AA253"/>
  <sheetViews>
    <sheetView showGridLines="0" zoomScale="85" zoomScaleNormal="85" workbookViewId="0">
      <pane ySplit="10" topLeftCell="A11" activePane="bottomLeft" state="frozen"/>
      <selection pane="bottomLeft"/>
    </sheetView>
  </sheetViews>
  <sheetFormatPr defaultColWidth="9.140625" defaultRowHeight="15" x14ac:dyDescent="0.25"/>
  <cols>
    <col min="1" max="1" width="12.7109375" customWidth="1"/>
    <col min="2" max="13" width="15.7109375" customWidth="1"/>
    <col min="14" max="14" width="8.7109375" customWidth="1"/>
    <col min="15" max="15" width="20.7109375" customWidth="1"/>
    <col min="16" max="17" width="15.7109375" customWidth="1"/>
    <col min="18" max="18" width="8.7109375" customWidth="1"/>
    <col min="25" max="27" width="9.140625" style="64"/>
  </cols>
  <sheetData>
    <row r="1" spans="1:27" x14ac:dyDescent="0.25">
      <c r="A1" s="64" t="s">
        <v>178</v>
      </c>
      <c r="E1" s="726"/>
      <c r="Z1" s="64" t="str">
        <f>IF(P35=AA1,"B",IF(P35=AA2,"D",IF(P35=AA3,"F",IF(P35=AA4,"H",IF(P35=AA5,"J",IF(P35=AA6,"L","N"))))))</f>
        <v>B</v>
      </c>
      <c r="AA1" s="64" t="s">
        <v>113</v>
      </c>
    </row>
    <row r="2" spans="1:27" ht="21" x14ac:dyDescent="0.35">
      <c r="A2" s="64" t="s">
        <v>179</v>
      </c>
      <c r="H2" s="965"/>
      <c r="Z2" s="64" t="str">
        <f>IF(Z1="B","C",IF(Z1="F","G",IF(Z1="H","I",IF(Z1="J","K",IF(Z1="L","M","E")))))</f>
        <v>C</v>
      </c>
      <c r="AA2" s="64" t="s">
        <v>588</v>
      </c>
    </row>
    <row r="3" spans="1:27" x14ac:dyDescent="0.25">
      <c r="AA3" s="64" t="s">
        <v>549</v>
      </c>
    </row>
    <row r="4" spans="1:27" x14ac:dyDescent="0.25">
      <c r="AA4" s="64" t="s">
        <v>546</v>
      </c>
    </row>
    <row r="5" spans="1:27" x14ac:dyDescent="0.25">
      <c r="AA5" s="64" t="s">
        <v>114</v>
      </c>
    </row>
    <row r="6" spans="1:27" x14ac:dyDescent="0.25">
      <c r="AA6" s="64" t="s">
        <v>589</v>
      </c>
    </row>
    <row r="7" spans="1:27" x14ac:dyDescent="0.25">
      <c r="A7" s="1407" t="s">
        <v>68</v>
      </c>
      <c r="B7" s="1407"/>
      <c r="C7" s="1407"/>
      <c r="D7" s="1407"/>
      <c r="E7" s="1407"/>
      <c r="F7" s="1407"/>
      <c r="G7" s="1407"/>
      <c r="H7" s="1407"/>
      <c r="I7" s="1407"/>
      <c r="J7" s="1407"/>
      <c r="K7" s="1407"/>
      <c r="L7" s="1407"/>
      <c r="M7" s="1407"/>
    </row>
    <row r="8" spans="1:27" ht="15.75" thickBot="1" x14ac:dyDescent="0.3">
      <c r="A8" s="1408" t="s">
        <v>555</v>
      </c>
      <c r="B8" s="1408"/>
      <c r="C8" s="1408"/>
      <c r="D8" s="1408"/>
      <c r="E8" s="1408"/>
      <c r="F8" s="1408"/>
      <c r="G8" s="1408"/>
      <c r="H8" s="1408"/>
      <c r="I8" s="1408"/>
      <c r="J8" s="1408"/>
      <c r="K8" s="1408"/>
      <c r="L8" s="1408"/>
      <c r="M8" s="1408"/>
    </row>
    <row r="9" spans="1:27" x14ac:dyDescent="0.25">
      <c r="A9" s="966"/>
      <c r="B9" s="1490" t="s">
        <v>113</v>
      </c>
      <c r="C9" s="1490"/>
      <c r="D9" s="1490" t="s">
        <v>588</v>
      </c>
      <c r="E9" s="1490"/>
      <c r="F9" s="1490" t="s">
        <v>549</v>
      </c>
      <c r="G9" s="1490"/>
      <c r="H9" s="1490" t="s">
        <v>546</v>
      </c>
      <c r="I9" s="1490"/>
      <c r="J9" s="1490" t="s">
        <v>114</v>
      </c>
      <c r="K9" s="1490"/>
      <c r="L9" s="1490" t="s">
        <v>589</v>
      </c>
      <c r="M9" s="1491"/>
    </row>
    <row r="10" spans="1:27" ht="30" x14ac:dyDescent="0.25">
      <c r="A10" s="967" t="s">
        <v>557</v>
      </c>
      <c r="B10" s="968" t="s">
        <v>577</v>
      </c>
      <c r="C10" s="968" t="s">
        <v>559</v>
      </c>
      <c r="D10" s="968" t="s">
        <v>558</v>
      </c>
      <c r="E10" s="968" t="s">
        <v>559</v>
      </c>
      <c r="F10" s="968" t="s">
        <v>558</v>
      </c>
      <c r="G10" s="968" t="s">
        <v>559</v>
      </c>
      <c r="H10" s="968" t="s">
        <v>590</v>
      </c>
      <c r="I10" s="968" t="s">
        <v>559</v>
      </c>
      <c r="J10" s="968" t="s">
        <v>571</v>
      </c>
      <c r="K10" s="968" t="s">
        <v>559</v>
      </c>
      <c r="L10" s="968" t="s">
        <v>591</v>
      </c>
      <c r="M10" s="969" t="s">
        <v>559</v>
      </c>
      <c r="N10" s="970"/>
      <c r="O10" s="152"/>
      <c r="P10" s="152"/>
      <c r="Q10" s="152"/>
    </row>
    <row r="11" spans="1:27" x14ac:dyDescent="0.25">
      <c r="A11" s="971">
        <v>36220</v>
      </c>
      <c r="B11" s="455">
        <v>30.273350000000001</v>
      </c>
      <c r="C11" s="455">
        <v>6.3547880000000001</v>
      </c>
      <c r="D11" s="455">
        <v>1.5795699999999999</v>
      </c>
      <c r="E11" s="455">
        <v>69.80547</v>
      </c>
      <c r="F11" s="455">
        <v>1.893567</v>
      </c>
      <c r="G11" s="455">
        <v>46.45391</v>
      </c>
      <c r="H11" s="455">
        <v>18.484000000000002</v>
      </c>
      <c r="I11" s="455">
        <v>219.48088999999999</v>
      </c>
      <c r="J11" s="455">
        <v>0.17065884000000003</v>
      </c>
      <c r="K11" s="455">
        <v>5.3259227641147149</v>
      </c>
      <c r="L11" s="455">
        <v>69.267070000000004</v>
      </c>
      <c r="M11" s="456">
        <v>0.95002500000000001</v>
      </c>
      <c r="O11" s="1492" t="str">
        <f>CONCATENATE(P35," Quantity And Value By Quarter")</f>
        <v>Silver Quantity And Value By Quarter</v>
      </c>
      <c r="P11" s="1492"/>
      <c r="Q11" s="1492"/>
    </row>
    <row r="12" spans="1:27" ht="15.75" thickBot="1" x14ac:dyDescent="0.3">
      <c r="A12" s="971">
        <v>36312</v>
      </c>
      <c r="B12" s="975">
        <v>14.806039999999999</v>
      </c>
      <c r="C12" s="975">
        <v>3.7642370000000001</v>
      </c>
      <c r="D12" s="975">
        <v>1.3721159999999999</v>
      </c>
      <c r="E12" s="975">
        <v>61.922820000000002</v>
      </c>
      <c r="F12" s="975">
        <v>2.1109450000000001</v>
      </c>
      <c r="G12" s="975">
        <v>49.146189999999997</v>
      </c>
      <c r="H12" s="975">
        <v>10.177709999999999</v>
      </c>
      <c r="I12" s="975">
        <v>106.01584</v>
      </c>
      <c r="J12" s="975">
        <v>0.31939600000000001</v>
      </c>
      <c r="K12" s="975">
        <v>13.42855</v>
      </c>
      <c r="L12" s="975">
        <v>355.79199999999997</v>
      </c>
      <c r="M12" s="976">
        <v>3.5388470000000001</v>
      </c>
      <c r="O12" s="1493" t="s">
        <v>561</v>
      </c>
      <c r="P12" s="1493"/>
      <c r="Q12" s="1493"/>
    </row>
    <row r="13" spans="1:27" x14ac:dyDescent="0.25">
      <c r="A13" s="971">
        <v>36404</v>
      </c>
      <c r="B13" s="455">
        <v>16.44342</v>
      </c>
      <c r="C13" s="455">
        <v>3.7416930000000002</v>
      </c>
      <c r="D13" s="455">
        <v>1.610838</v>
      </c>
      <c r="E13" s="455">
        <v>67.613169999999997</v>
      </c>
      <c r="F13" s="455">
        <v>2.2822930000000001</v>
      </c>
      <c r="G13" s="455">
        <v>53.361289999999997</v>
      </c>
      <c r="H13" s="455">
        <v>17.68383</v>
      </c>
      <c r="I13" s="455">
        <v>198.37900999999999</v>
      </c>
      <c r="J13" s="455">
        <v>0.15714699999999998</v>
      </c>
      <c r="K13" s="455">
        <v>7.2140009999999997</v>
      </c>
      <c r="L13" s="455">
        <v>198.84700000000001</v>
      </c>
      <c r="M13" s="456">
        <v>2.9512670000000001</v>
      </c>
      <c r="O13" s="972" t="s">
        <v>557</v>
      </c>
      <c r="P13" s="973" t="str">
        <f>HLOOKUP($P$35, $B$9:$M$10, 2, FALSE)</f>
        <v>Quantity (t)</v>
      </c>
      <c r="Q13" s="974" t="s">
        <v>559</v>
      </c>
    </row>
    <row r="14" spans="1:27" x14ac:dyDescent="0.25">
      <c r="A14" s="971">
        <v>36495</v>
      </c>
      <c r="B14" s="975">
        <v>20.329879999999999</v>
      </c>
      <c r="C14" s="975">
        <v>4.9106420000000002</v>
      </c>
      <c r="D14" s="975">
        <v>1.66896</v>
      </c>
      <c r="E14" s="975">
        <v>68.676630000000003</v>
      </c>
      <c r="F14" s="975">
        <v>2.729635</v>
      </c>
      <c r="G14" s="975">
        <v>63.780630000000002</v>
      </c>
      <c r="H14" s="975">
        <v>5.2963899999999997</v>
      </c>
      <c r="I14" s="975">
        <v>116.18223999999999</v>
      </c>
      <c r="J14" s="975">
        <v>0.36314299999999999</v>
      </c>
      <c r="K14" s="975">
        <v>11.712628</v>
      </c>
      <c r="L14" s="975">
        <v>293.99200000000002</v>
      </c>
      <c r="M14" s="976">
        <v>5.0616390000000004</v>
      </c>
      <c r="O14" s="971">
        <f>LARGE($A:$A, 9)</f>
        <v>45261</v>
      </c>
      <c r="P14" s="525">
        <f t="shared" ref="P14:P22" si="0">IF($P$35=$B$9,SUMIF($A$11:$A$743,$O14,B$11:B$743),
IF($P$35=$D$9,SUMIF($A$11:$A$743,$O14,D$11:D$735),
IF($P$35=$F$9,SUMIF($A$11:$A$743,$O14,F$11:F$735),
IF($P$35=$H$9,SUMIF($A$11:$A$743,$O14,H$11:H$735),
IF($P$35=$J$9,SUMIF($A$11:$A$743,$O14,J$11:J$743),
IF($P$35=$L$9,SUMIF($A$11:$A$743,$O14,L$11:L$743),
""))))))</f>
        <v>22.996452832651947</v>
      </c>
      <c r="Q14" s="960">
        <f t="shared" ref="Q14:Q22" si="1">IF($P$35=$B$9,SUMIF($A$11:$A$743,$O14,C$11:C$743),
IF($P$35=$D$9,SUMIF($A$11:$A$743,$O14,E$11:E$735),
IF($P$35=$F$9,SUMIF($A$11:$A$743,$O14,G$11:G$735),
IF($P$35=$H$9,SUMIF($A$11:$A$743,$O14,I$11:I$735),
IF($P$35=$J$9,SUMIF($A$11:$A$743,$O14,K$11:K$743),
IF($P$35=$L$9,SUMIF($A$11:$A$743,$O14,M$11:M$743),
""))))))</f>
        <v>26.630289999999999</v>
      </c>
    </row>
    <row r="15" spans="1:27" x14ac:dyDescent="0.25">
      <c r="A15" s="971">
        <v>36586</v>
      </c>
      <c r="B15" s="455">
        <v>20.281870000000001</v>
      </c>
      <c r="C15" s="455">
        <v>5.3519800000000002</v>
      </c>
      <c r="D15" s="455">
        <v>1.626428</v>
      </c>
      <c r="E15" s="455">
        <v>67.772890000000004</v>
      </c>
      <c r="F15" s="455">
        <v>2.1116389999999998</v>
      </c>
      <c r="G15" s="455">
        <v>49.039890999999997</v>
      </c>
      <c r="H15" s="455">
        <v>17.765540000000001</v>
      </c>
      <c r="I15" s="455">
        <v>226.41005999999999</v>
      </c>
      <c r="J15" s="455">
        <v>0.56810000000000005</v>
      </c>
      <c r="K15" s="455">
        <v>19.984059999999999</v>
      </c>
      <c r="L15" s="455">
        <v>240.303</v>
      </c>
      <c r="M15" s="456">
        <v>6.2399279999999999</v>
      </c>
      <c r="O15" s="971">
        <f>LARGE($A:$A, 8)</f>
        <v>45352</v>
      </c>
      <c r="P15" s="977">
        <f t="shared" si="0"/>
        <v>18.880131275411177</v>
      </c>
      <c r="Q15" s="978">
        <f t="shared" si="1"/>
        <v>23.142346</v>
      </c>
    </row>
    <row r="16" spans="1:27" x14ac:dyDescent="0.25">
      <c r="A16" s="971">
        <v>36678</v>
      </c>
      <c r="B16" s="975">
        <v>53.063160000000003</v>
      </c>
      <c r="C16" s="975">
        <v>10.98086</v>
      </c>
      <c r="D16" s="975">
        <v>1.5982799999999999</v>
      </c>
      <c r="E16" s="975">
        <v>67.468779999999995</v>
      </c>
      <c r="F16" s="975">
        <v>1.686202</v>
      </c>
      <c r="G16" s="975">
        <v>42.396659999999997</v>
      </c>
      <c r="H16" s="975">
        <v>10.23887</v>
      </c>
      <c r="I16" s="975">
        <v>162.69863000000001</v>
      </c>
      <c r="J16" s="975">
        <v>0.82822000000000007</v>
      </c>
      <c r="K16" s="975">
        <v>37.767986999999998</v>
      </c>
      <c r="L16" s="975">
        <v>179.32599999999999</v>
      </c>
      <c r="M16" s="976">
        <v>5.5992490000000004</v>
      </c>
      <c r="O16" s="971">
        <f>LARGE($A:$A, 7)</f>
        <v>45444</v>
      </c>
      <c r="P16" s="525">
        <f t="shared" si="0"/>
        <v>23.086618546030092</v>
      </c>
      <c r="Q16" s="960">
        <f t="shared" si="1"/>
        <v>32.779145</v>
      </c>
    </row>
    <row r="17" spans="1:17" x14ac:dyDescent="0.25">
      <c r="A17" s="971">
        <v>36770</v>
      </c>
      <c r="B17" s="455">
        <v>48.170050000000003</v>
      </c>
      <c r="C17" s="455">
        <v>12.125999999999999</v>
      </c>
      <c r="D17" s="455">
        <v>1.5842620000000001</v>
      </c>
      <c r="E17" s="455">
        <v>64.46011</v>
      </c>
      <c r="F17" s="455">
        <v>1.5742499999999999</v>
      </c>
      <c r="G17" s="455">
        <v>40.654631999999999</v>
      </c>
      <c r="H17" s="455">
        <v>7.151688</v>
      </c>
      <c r="I17" s="455">
        <v>186.05951999999999</v>
      </c>
      <c r="J17" s="455">
        <v>0.99601100000000009</v>
      </c>
      <c r="K17" s="455">
        <v>43.441274999999997</v>
      </c>
      <c r="L17" s="455">
        <v>314.51</v>
      </c>
      <c r="M17" s="456">
        <v>10.692036999999999</v>
      </c>
      <c r="O17" s="971">
        <f>LARGE($A:$A, 6)</f>
        <v>45536</v>
      </c>
      <c r="P17" s="977">
        <f t="shared" si="0"/>
        <v>24.889869580224481</v>
      </c>
      <c r="Q17" s="978">
        <f t="shared" si="1"/>
        <v>35.321360999999996</v>
      </c>
    </row>
    <row r="18" spans="1:17" x14ac:dyDescent="0.25">
      <c r="A18" s="971">
        <v>36861</v>
      </c>
      <c r="B18" s="975">
        <v>36.123550000000002</v>
      </c>
      <c r="C18" s="975">
        <v>8.9040750000000006</v>
      </c>
      <c r="D18" s="975">
        <v>1.395618</v>
      </c>
      <c r="E18" s="975">
        <v>58.137219999999999</v>
      </c>
      <c r="F18" s="975">
        <v>2.3333339999999998</v>
      </c>
      <c r="G18" s="975">
        <v>65.224576999999996</v>
      </c>
      <c r="H18" s="975">
        <v>7.1440130000000002</v>
      </c>
      <c r="I18" s="975">
        <v>138.51633000000001</v>
      </c>
      <c r="J18" s="975">
        <v>1.2061489999999999</v>
      </c>
      <c r="K18" s="975">
        <v>56.461489999999998</v>
      </c>
      <c r="L18" s="975">
        <v>248.636</v>
      </c>
      <c r="M18" s="976">
        <v>10.725585000000001</v>
      </c>
      <c r="O18" s="971">
        <f>LARGE($A:$A, 5)</f>
        <v>45627</v>
      </c>
      <c r="P18" s="525">
        <f t="shared" si="0"/>
        <v>26.55078802632999</v>
      </c>
      <c r="Q18" s="960">
        <f t="shared" si="1"/>
        <v>41.264378999999998</v>
      </c>
    </row>
    <row r="19" spans="1:17" x14ac:dyDescent="0.25">
      <c r="A19" s="971">
        <v>36951</v>
      </c>
      <c r="B19" s="455">
        <v>54.526189000000002</v>
      </c>
      <c r="C19" s="455">
        <v>14.99315</v>
      </c>
      <c r="D19" s="455">
        <v>1.5618970000000001</v>
      </c>
      <c r="E19" s="455">
        <v>64.973159999999993</v>
      </c>
      <c r="F19" s="455">
        <v>2.2834430000000001</v>
      </c>
      <c r="G19" s="455">
        <v>64.993669999999995</v>
      </c>
      <c r="H19" s="455">
        <v>7.5364909999999998</v>
      </c>
      <c r="I19" s="455">
        <v>192.1585</v>
      </c>
      <c r="J19" s="455">
        <v>1.0214529999999999</v>
      </c>
      <c r="K19" s="455">
        <v>37.440311000000001</v>
      </c>
      <c r="L19" s="455">
        <v>259.02</v>
      </c>
      <c r="M19" s="456">
        <v>14.713063</v>
      </c>
      <c r="O19" s="971">
        <f>LARGE($A:$A, 4)</f>
        <v>45717</v>
      </c>
      <c r="P19" s="977">
        <f t="shared" si="0"/>
        <v>20.892301775629139</v>
      </c>
      <c r="Q19" s="978">
        <f t="shared" si="1"/>
        <v>34.297964</v>
      </c>
    </row>
    <row r="20" spans="1:17" x14ac:dyDescent="0.25">
      <c r="A20" s="971">
        <v>37043</v>
      </c>
      <c r="B20" s="975">
        <v>15.433811</v>
      </c>
      <c r="C20" s="975">
        <v>3.898466</v>
      </c>
      <c r="D20" s="975">
        <v>1.5610360000000001</v>
      </c>
      <c r="E20" s="975">
        <v>64.711269999999999</v>
      </c>
      <c r="F20" s="975">
        <v>2.1126010000000002</v>
      </c>
      <c r="G20" s="975">
        <v>62.208860000000001</v>
      </c>
      <c r="H20" s="975">
        <v>3.5872389999999998</v>
      </c>
      <c r="I20" s="975">
        <v>97.719009999999997</v>
      </c>
      <c r="J20" s="975">
        <v>0.96547000000000005</v>
      </c>
      <c r="K20" s="975">
        <v>37.037523999999998</v>
      </c>
      <c r="L20" s="975">
        <v>229</v>
      </c>
      <c r="M20" s="976">
        <v>9.1052979999999994</v>
      </c>
      <c r="O20" s="971">
        <f>LARGE($A:$A, 3)</f>
        <v>45809</v>
      </c>
      <c r="P20" s="525">
        <f t="shared" si="0"/>
        <v>27.27256359522044</v>
      </c>
      <c r="Q20" s="960">
        <f t="shared" si="1"/>
        <v>46.856969999999997</v>
      </c>
    </row>
    <row r="21" spans="1:17" x14ac:dyDescent="0.25">
      <c r="A21" s="971">
        <v>37135</v>
      </c>
      <c r="B21" s="455">
        <v>10.779284799999999</v>
      </c>
      <c r="C21" s="455">
        <v>2.9351850000000002</v>
      </c>
      <c r="D21" s="455">
        <v>1.6005370000000001</v>
      </c>
      <c r="E21" s="455">
        <v>66.351070000000007</v>
      </c>
      <c r="F21" s="455">
        <v>1.954604</v>
      </c>
      <c r="G21" s="455">
        <v>56.981020000000001</v>
      </c>
      <c r="H21" s="455">
        <v>8.3431879999999996</v>
      </c>
      <c r="I21" s="455">
        <v>163.57499999999999</v>
      </c>
      <c r="J21" s="455">
        <v>1.0345039999999999</v>
      </c>
      <c r="K21" s="455">
        <v>35.395420999999999</v>
      </c>
      <c r="L21" s="455">
        <v>268.209</v>
      </c>
      <c r="M21" s="456">
        <v>8.3445169999999997</v>
      </c>
      <c r="O21" s="971">
        <f>LARGE($A:$A, 2)</f>
        <v>45901</v>
      </c>
      <c r="P21" s="977">
        <f t="shared" si="0"/>
        <v>31.433344572520031</v>
      </c>
      <c r="Q21" s="978">
        <f t="shared" si="1"/>
        <v>65.754684999999995</v>
      </c>
    </row>
    <row r="22" spans="1:17" ht="15.75" thickBot="1" x14ac:dyDescent="0.3">
      <c r="A22" s="971">
        <v>37226</v>
      </c>
      <c r="B22" s="975">
        <v>42.040999999999997</v>
      </c>
      <c r="C22" s="975">
        <v>8.8894350000000006</v>
      </c>
      <c r="D22" s="975">
        <v>1.481225</v>
      </c>
      <c r="E22" s="975">
        <v>62.176290000000002</v>
      </c>
      <c r="F22" s="975">
        <v>2.2257669999999998</v>
      </c>
      <c r="G22" s="975">
        <v>65.056740000000005</v>
      </c>
      <c r="H22" s="975">
        <v>2.213012</v>
      </c>
      <c r="I22" s="975">
        <v>46.081600000000002</v>
      </c>
      <c r="J22" s="975">
        <v>1.290513</v>
      </c>
      <c r="K22" s="975">
        <v>34.973458999999998</v>
      </c>
      <c r="L22" s="975">
        <v>245.17</v>
      </c>
      <c r="M22" s="976">
        <v>5.4069849999999997</v>
      </c>
      <c r="O22" s="979">
        <f>LARGE($A:$A, 1)</f>
        <v>45992</v>
      </c>
      <c r="P22" s="667">
        <f t="shared" si="0"/>
        <v>28.545853212402896</v>
      </c>
      <c r="Q22" s="962">
        <f t="shared" si="1"/>
        <v>76.601443000000003</v>
      </c>
    </row>
    <row r="23" spans="1:17" x14ac:dyDescent="0.25">
      <c r="A23" s="971">
        <v>37316</v>
      </c>
      <c r="B23" s="455">
        <v>8.5067913884426201</v>
      </c>
      <c r="C23" s="455">
        <v>2.7064270000000001</v>
      </c>
      <c r="D23" s="455">
        <v>1.505015</v>
      </c>
      <c r="E23" s="455">
        <v>64.021928000000003</v>
      </c>
      <c r="F23" s="455">
        <v>2.3002959999999999</v>
      </c>
      <c r="G23" s="455">
        <v>68.604766999999995</v>
      </c>
      <c r="H23" s="455">
        <v>12.646680999999999</v>
      </c>
      <c r="I23" s="455">
        <v>253.815437</v>
      </c>
      <c r="J23" s="455">
        <v>1.0311630000000001</v>
      </c>
      <c r="K23" s="455">
        <v>27.725504999999998</v>
      </c>
      <c r="L23" s="455">
        <v>225.58</v>
      </c>
      <c r="M23" s="456">
        <v>5.3030109999999997</v>
      </c>
      <c r="O23" s="469"/>
    </row>
    <row r="24" spans="1:17" x14ac:dyDescent="0.25">
      <c r="A24" s="971">
        <v>37408</v>
      </c>
      <c r="B24" s="975">
        <v>41.200089999999996</v>
      </c>
      <c r="C24" s="975">
        <v>10.031777999999999</v>
      </c>
      <c r="D24" s="975">
        <v>1.5774170000000001</v>
      </c>
      <c r="E24" s="975">
        <v>65.576620000000005</v>
      </c>
      <c r="F24" s="975">
        <v>2.1654870000000002</v>
      </c>
      <c r="G24" s="975">
        <v>60.399329999999999</v>
      </c>
      <c r="H24" s="975">
        <v>7.0153869999999996</v>
      </c>
      <c r="I24" s="975">
        <v>146.80247900000001</v>
      </c>
      <c r="J24" s="975">
        <v>1.19547</v>
      </c>
      <c r="K24" s="975">
        <v>32.521793000000002</v>
      </c>
      <c r="L24" s="975">
        <v>232.72</v>
      </c>
      <c r="M24" s="976">
        <v>4.9676169999999997</v>
      </c>
      <c r="O24" s="469"/>
    </row>
    <row r="25" spans="1:17" x14ac:dyDescent="0.25">
      <c r="A25" s="971">
        <v>37500</v>
      </c>
      <c r="B25" s="455">
        <v>15.169086724195569</v>
      </c>
      <c r="C25" s="455">
        <v>3.9290959999999999</v>
      </c>
      <c r="D25" s="455">
        <v>1.626439</v>
      </c>
      <c r="E25" s="455">
        <v>69.443230999999997</v>
      </c>
      <c r="F25" s="455">
        <v>2.092015</v>
      </c>
      <c r="G25" s="455">
        <v>56.626885999999999</v>
      </c>
      <c r="H25" s="455">
        <v>7.9505169999999996</v>
      </c>
      <c r="I25" s="455">
        <v>147.228297</v>
      </c>
      <c r="J25" s="455">
        <v>1.2979349999999998</v>
      </c>
      <c r="K25" s="455">
        <v>31.53819</v>
      </c>
      <c r="L25" s="455">
        <v>189.24100000000001</v>
      </c>
      <c r="M25" s="456">
        <v>3.459381</v>
      </c>
      <c r="O25" s="469"/>
    </row>
    <row r="26" spans="1:17" x14ac:dyDescent="0.25">
      <c r="A26" s="971">
        <v>37591</v>
      </c>
      <c r="B26" s="975">
        <v>34.019711772046264</v>
      </c>
      <c r="C26" s="975">
        <v>8.2505400000000009</v>
      </c>
      <c r="D26" s="975">
        <v>1.5536669999999999</v>
      </c>
      <c r="E26" s="975">
        <v>67.360894000000002</v>
      </c>
      <c r="F26" s="975">
        <v>2.6136650000000001</v>
      </c>
      <c r="G26" s="975">
        <v>64.895644000000004</v>
      </c>
      <c r="H26" s="975">
        <v>7.8663959999999999</v>
      </c>
      <c r="I26" s="975">
        <v>114.01141699999999</v>
      </c>
      <c r="J26" s="975">
        <v>1.175405</v>
      </c>
      <c r="K26" s="975">
        <v>27.168202999999998</v>
      </c>
      <c r="L26" s="975">
        <v>165.81700000000001</v>
      </c>
      <c r="M26" s="976">
        <v>3.1514899999999999</v>
      </c>
      <c r="O26" s="469"/>
    </row>
    <row r="27" spans="1:17" x14ac:dyDescent="0.25">
      <c r="A27" s="971">
        <v>37681</v>
      </c>
      <c r="B27" s="455">
        <v>10.363415549847053</v>
      </c>
      <c r="C27" s="455">
        <v>2.3356549392733785</v>
      </c>
      <c r="D27" s="455">
        <v>1.59413</v>
      </c>
      <c r="E27" s="455">
        <v>69.661443000000006</v>
      </c>
      <c r="F27" s="455">
        <v>2.4200170000000001</v>
      </c>
      <c r="G27" s="455">
        <v>54.355421999999997</v>
      </c>
      <c r="H27" s="455">
        <v>12.646680999999999</v>
      </c>
      <c r="I27" s="455">
        <v>253.86191199999999</v>
      </c>
      <c r="J27" s="455">
        <v>1.1724480000000002</v>
      </c>
      <c r="K27" s="455">
        <v>30.158299</v>
      </c>
      <c r="L27" s="455">
        <v>161.61000000000001</v>
      </c>
      <c r="M27" s="456">
        <v>2.9535019999999998</v>
      </c>
      <c r="O27" s="469"/>
    </row>
    <row r="28" spans="1:17" x14ac:dyDescent="0.25">
      <c r="A28" s="971">
        <v>37773</v>
      </c>
      <c r="B28" s="975">
        <v>23.004932622460245</v>
      </c>
      <c r="C28" s="975">
        <v>5.7236078169604818</v>
      </c>
      <c r="D28" s="975">
        <v>1.548961</v>
      </c>
      <c r="E28" s="975">
        <v>66.421180000000007</v>
      </c>
      <c r="F28" s="975">
        <v>2.481233</v>
      </c>
      <c r="G28" s="975">
        <v>52.071703999999997</v>
      </c>
      <c r="H28" s="975">
        <v>7.0153879999999997</v>
      </c>
      <c r="I28" s="975">
        <v>146.84101100000001</v>
      </c>
      <c r="J28" s="975">
        <v>1.2773699999999999</v>
      </c>
      <c r="K28" s="975">
        <v>33.387242000000001</v>
      </c>
      <c r="L28" s="975">
        <v>152.66999999999999</v>
      </c>
      <c r="M28" s="976">
        <v>2.2418100000000001</v>
      </c>
      <c r="O28" s="469"/>
    </row>
    <row r="29" spans="1:17" x14ac:dyDescent="0.25">
      <c r="A29" s="971">
        <v>37865</v>
      </c>
      <c r="B29" s="455">
        <v>27.48</v>
      </c>
      <c r="C29" s="455">
        <v>4.6400335400000001</v>
      </c>
      <c r="D29" s="455">
        <v>1.494164</v>
      </c>
      <c r="E29" s="455">
        <v>65.080843000000002</v>
      </c>
      <c r="F29" s="455">
        <v>2.1555275300000001</v>
      </c>
      <c r="G29" s="455">
        <v>42.955953039999997</v>
      </c>
      <c r="H29" s="455">
        <v>7.9505169999999996</v>
      </c>
      <c r="I29" s="455">
        <v>147.25605200000001</v>
      </c>
      <c r="J29" s="455">
        <v>1.152933</v>
      </c>
      <c r="K29" s="455">
        <v>34.490805999999999</v>
      </c>
      <c r="L29" s="455">
        <v>150.25200000000001</v>
      </c>
      <c r="M29" s="456">
        <v>1.3383670000000001</v>
      </c>
      <c r="O29" s="469"/>
    </row>
    <row r="30" spans="1:17" x14ac:dyDescent="0.25">
      <c r="A30" s="971">
        <v>37956</v>
      </c>
      <c r="B30" s="975">
        <v>11.35</v>
      </c>
      <c r="C30" s="975">
        <v>2.5258398899999999</v>
      </c>
      <c r="D30" s="975">
        <v>1.3893260000000001</v>
      </c>
      <c r="E30" s="975">
        <v>60.2582825</v>
      </c>
      <c r="F30" s="975">
        <v>2.6791669300000001</v>
      </c>
      <c r="G30" s="975">
        <v>47.156611499999997</v>
      </c>
      <c r="H30" s="975">
        <v>7.8663959999999999</v>
      </c>
      <c r="I30" s="975">
        <v>114.102937</v>
      </c>
      <c r="J30" s="975">
        <v>1.3972260000000001</v>
      </c>
      <c r="K30" s="975">
        <v>47.001964000000001</v>
      </c>
      <c r="L30" s="975">
        <v>145.874</v>
      </c>
      <c r="M30" s="976">
        <v>1.775582</v>
      </c>
    </row>
    <row r="31" spans="1:17" x14ac:dyDescent="0.25">
      <c r="A31" s="971">
        <v>38047</v>
      </c>
      <c r="B31" s="455">
        <v>13.29</v>
      </c>
      <c r="C31" s="455">
        <v>3.1044165100000001</v>
      </c>
      <c r="D31" s="455">
        <v>1.5455429999999999</v>
      </c>
      <c r="E31" s="455">
        <v>74.215363999999994</v>
      </c>
      <c r="F31" s="455">
        <v>2.4372070799999999</v>
      </c>
      <c r="G31" s="455">
        <v>41.628523899999998</v>
      </c>
      <c r="H31" s="455">
        <v>10.401199</v>
      </c>
      <c r="I31" s="455">
        <v>150.60917900000001</v>
      </c>
      <c r="J31" s="455">
        <v>0.98941699999999999</v>
      </c>
      <c r="K31" s="455">
        <v>60.842170000000003</v>
      </c>
      <c r="L31" s="455">
        <v>163.95</v>
      </c>
      <c r="M31" s="456">
        <v>1.946752</v>
      </c>
    </row>
    <row r="32" spans="1:17" x14ac:dyDescent="0.25">
      <c r="A32" s="971">
        <v>38139</v>
      </c>
      <c r="B32" s="975">
        <v>45.94</v>
      </c>
      <c r="C32" s="975">
        <v>2.8316377400000001</v>
      </c>
      <c r="D32" s="975">
        <v>1.5439799999999999</v>
      </c>
      <c r="E32" s="975">
        <v>69.288295000000005</v>
      </c>
      <c r="F32" s="975">
        <v>2.6841794399999999</v>
      </c>
      <c r="G32" s="975">
        <v>49.179690200000003</v>
      </c>
      <c r="H32" s="975">
        <v>6.2809999999999997</v>
      </c>
      <c r="I32" s="975">
        <v>107.897165</v>
      </c>
      <c r="J32" s="975">
        <v>1.1341509999999999</v>
      </c>
      <c r="K32" s="975">
        <v>72.180019999999999</v>
      </c>
      <c r="L32" s="975">
        <v>206.61</v>
      </c>
      <c r="M32" s="976">
        <v>3.1444960000000002</v>
      </c>
    </row>
    <row r="33" spans="1:17" x14ac:dyDescent="0.25">
      <c r="A33" s="971">
        <v>38231</v>
      </c>
      <c r="B33" s="455">
        <v>34.18</v>
      </c>
      <c r="C33" s="455">
        <v>10.586493279999999</v>
      </c>
      <c r="D33" s="455">
        <v>1.5242880000000001</v>
      </c>
      <c r="E33" s="455">
        <v>65.108678999999995</v>
      </c>
      <c r="F33" s="455">
        <v>2.5136058600000002</v>
      </c>
      <c r="G33" s="455">
        <v>46.099858400000002</v>
      </c>
      <c r="H33" s="455">
        <v>2.9031189999999998</v>
      </c>
      <c r="I33" s="455">
        <v>68.935257000000007</v>
      </c>
      <c r="J33" s="455">
        <v>1.2430099999999999</v>
      </c>
      <c r="K33" s="455">
        <v>73.460751000000002</v>
      </c>
      <c r="L33" s="455">
        <v>342.62</v>
      </c>
      <c r="M33" s="456">
        <v>3.0398429999999999</v>
      </c>
    </row>
    <row r="34" spans="1:17" ht="15.75" thickBot="1" x14ac:dyDescent="0.3">
      <c r="A34" s="971">
        <v>38322</v>
      </c>
      <c r="B34" s="975">
        <v>28.13</v>
      </c>
      <c r="C34" s="975">
        <v>8.1323652699999993</v>
      </c>
      <c r="D34" s="975">
        <v>1.6876340000000001</v>
      </c>
      <c r="E34" s="975">
        <v>72.845381000000003</v>
      </c>
      <c r="F34" s="975">
        <v>2.851439536</v>
      </c>
      <c r="G34" s="975">
        <v>49.721344600000002</v>
      </c>
      <c r="H34" s="975">
        <v>4.639805</v>
      </c>
      <c r="I34" s="975">
        <v>93.302954</v>
      </c>
      <c r="J34" s="975">
        <v>1.0302899999999999</v>
      </c>
      <c r="K34" s="975">
        <v>54.704602000000001</v>
      </c>
      <c r="L34" s="975">
        <v>328.83</v>
      </c>
      <c r="M34" s="976">
        <v>2.4366889999999999</v>
      </c>
    </row>
    <row r="35" spans="1:17" x14ac:dyDescent="0.25">
      <c r="A35" s="971">
        <v>38412</v>
      </c>
      <c r="B35" s="455">
        <v>69.63</v>
      </c>
      <c r="C35" s="455">
        <v>18.353739430000001</v>
      </c>
      <c r="D35" s="455">
        <v>1.542613</v>
      </c>
      <c r="E35" s="455">
        <v>66.680474000000004</v>
      </c>
      <c r="F35" s="455">
        <v>3.0537117500000002</v>
      </c>
      <c r="G35" s="455">
        <v>55.3390998</v>
      </c>
      <c r="H35" s="455">
        <v>9.3064780000000003</v>
      </c>
      <c r="I35" s="455">
        <v>175.62052700000001</v>
      </c>
      <c r="J35" s="455">
        <v>1.0505500000000001</v>
      </c>
      <c r="K35" s="455">
        <v>40.748783000000003</v>
      </c>
      <c r="L35" s="455">
        <v>212.22</v>
      </c>
      <c r="M35" s="456">
        <v>2.0615700000000001</v>
      </c>
      <c r="O35" s="980" t="s">
        <v>592</v>
      </c>
      <c r="P35" s="1494" t="s">
        <v>113</v>
      </c>
      <c r="Q35" s="1495"/>
    </row>
    <row r="36" spans="1:17" ht="16.5" customHeight="1" x14ac:dyDescent="0.25">
      <c r="A36" s="982">
        <v>38504</v>
      </c>
      <c r="B36" s="983">
        <v>10.46</v>
      </c>
      <c r="C36" s="983">
        <v>2.9647892699999998</v>
      </c>
      <c r="D36" s="983">
        <v>1.44953</v>
      </c>
      <c r="E36" s="983">
        <v>64.003716999999995</v>
      </c>
      <c r="F36" s="983">
        <v>3.0877919999999999</v>
      </c>
      <c r="G36" s="983">
        <v>52.637320799999998</v>
      </c>
      <c r="H36" s="983">
        <v>5.9503709999999996</v>
      </c>
      <c r="I36" s="983">
        <v>141.983859</v>
      </c>
      <c r="J36" s="983">
        <v>1.01464</v>
      </c>
      <c r="K36" s="983">
        <v>34.349407999999997</v>
      </c>
      <c r="L36" s="983">
        <v>167.33</v>
      </c>
      <c r="M36" s="984">
        <v>1.6127419999999999</v>
      </c>
      <c r="O36" s="981" t="s">
        <v>593</v>
      </c>
      <c r="P36" s="1496" t="s">
        <v>178</v>
      </c>
      <c r="Q36" s="1497"/>
    </row>
    <row r="37" spans="1:17" x14ac:dyDescent="0.25">
      <c r="A37" s="971">
        <v>38596</v>
      </c>
      <c r="B37" s="455">
        <v>8.11</v>
      </c>
      <c r="C37" s="455">
        <v>2.3440821299999999</v>
      </c>
      <c r="D37" s="455">
        <v>1.659041</v>
      </c>
      <c r="E37" s="455">
        <v>73.671881999999997</v>
      </c>
      <c r="F37" s="455">
        <v>2.5908350000000002</v>
      </c>
      <c r="G37" s="455">
        <v>50.711830509999999</v>
      </c>
      <c r="H37" s="455">
        <v>12.544718</v>
      </c>
      <c r="I37" s="455">
        <v>273.347419</v>
      </c>
      <c r="J37" s="455">
        <v>1.304505</v>
      </c>
      <c r="K37" s="455">
        <v>47.096665999999999</v>
      </c>
      <c r="L37" s="455">
        <v>211.44</v>
      </c>
      <c r="M37" s="456">
        <v>1.719373</v>
      </c>
      <c r="O37" s="1404" t="str">
        <f>CONCATENATE(P35," Quantity and Value by ", P36)</f>
        <v>Silver Quantity and Value by Calendar Year</v>
      </c>
      <c r="P37" s="1405"/>
      <c r="Q37" s="1406"/>
    </row>
    <row r="38" spans="1:17" x14ac:dyDescent="0.25">
      <c r="A38" s="971">
        <v>38687</v>
      </c>
      <c r="B38" s="975">
        <v>39.32</v>
      </c>
      <c r="C38" s="975">
        <v>15.440655530000001</v>
      </c>
      <c r="D38" s="975">
        <v>1.6833</v>
      </c>
      <c r="E38" s="975">
        <v>75.830461999999997</v>
      </c>
      <c r="F38" s="975">
        <v>2.7428681699999999</v>
      </c>
      <c r="G38" s="975">
        <v>55.094403900000003</v>
      </c>
      <c r="H38" s="975">
        <v>6.505312</v>
      </c>
      <c r="I38" s="975">
        <v>149.196808</v>
      </c>
      <c r="J38" s="975">
        <v>1.197765</v>
      </c>
      <c r="K38" s="975">
        <v>44.737943000000001</v>
      </c>
      <c r="L38" s="975">
        <v>70.22</v>
      </c>
      <c r="M38" s="976">
        <v>0.62642600000000004</v>
      </c>
      <c r="O38" s="985" t="s">
        <v>272</v>
      </c>
      <c r="P38" s="986" t="str">
        <f>P13</f>
        <v>Quantity (t)</v>
      </c>
      <c r="Q38" s="987" t="str">
        <f>Q13</f>
        <v>Value ($ Million)</v>
      </c>
    </row>
    <row r="39" spans="1:17" x14ac:dyDescent="0.25">
      <c r="A39" s="971">
        <v>38777</v>
      </c>
      <c r="B39" s="455">
        <v>22.42</v>
      </c>
      <c r="C39" s="455">
        <v>9.8991357999999998</v>
      </c>
      <c r="D39" s="455">
        <v>1.7069209999999999</v>
      </c>
      <c r="E39" s="455">
        <v>76.768270000000001</v>
      </c>
      <c r="F39" s="455">
        <v>2.6257728199999999</v>
      </c>
      <c r="G39" s="455">
        <v>58.0638668</v>
      </c>
      <c r="H39" s="455">
        <v>5.6266639999999999</v>
      </c>
      <c r="I39" s="455">
        <v>146.639973</v>
      </c>
      <c r="J39" s="455">
        <v>1.377065</v>
      </c>
      <c r="K39" s="455">
        <v>45.229629000000003</v>
      </c>
      <c r="L39" s="455">
        <v>228.24</v>
      </c>
      <c r="M39" s="456">
        <v>2.6912660000000002</v>
      </c>
      <c r="O39" s="988">
        <f t="shared" ref="O39:O57" si="2">IF($P$36="Calendar Year", O40-1, LEFT(O40,4)-1 &amp; "-" &amp; MID(O40,3,2))</f>
        <v>2006</v>
      </c>
      <c r="P39" s="573">
        <f t="shared" ref="P39:P58" si="3">IF($P$35=$B$9,SUMIFS(B$11:B$743, $A$11:$A$743, "&gt;=" &amp; DATE(LEFT($O39, 4), IF($P$36="Calendar Year", 1, 7), 1), $A$11:$A$743, "&lt;" &amp; DATE(LEFT($O39, 4)+1, IF($P$36="Calendar Year", 1, 7), 1)),
IF($P$35=$D$9,SUMIFS(D$11:D$743, $A$11:$A$743, "&gt;=" &amp; DATE(LEFT($O39, 4), IF($P$36="Calendar Year", 1, 7), 1), $A$11:$A$743, "&lt;" &amp; DATE(LEFT($O39, 4)+1, IF($P$36="Calendar Year", 1, 7), 1)),
IF($P$35=$F$9,SUMIFS(F$11:F$743, $A$11:$A$743, "&gt;=" &amp; DATE(LEFT($O39, 4), IF($P$36="Calendar Year", 1, 7), 1), $A$11:$A$743, "&lt;" &amp; DATE(LEFT($O39, 4)+1, IF($P$36="Calendar Year", 1, 7), 1)),
IF($P$35=$H$9,SUMIFS(H$11:H$743, $A$11:$A$743, "&gt;=" &amp; DATE(LEFT($O39, 4), IF($P$36="Calendar Year", 1, 7), 1), $A$11:$A$743, "&lt;" &amp; DATE(LEFT($O39, 4)+1, IF($P$36="Calendar Year", 1, 7), 1)),
IF($P$35=$J$9,SUMIFS(J$11:J$743, $A$11:$A$743, "&gt;=" &amp; DATE(LEFT($O39, 4), IF($P$36="Calendar Year", 1, 7), 1), $A$11:$A$743, "&lt;" &amp; DATE(LEFT($O39, 4)+1, IF($P$36="Calendar Year", 1, 7), 1)),
IF($P$35=$L$9,SUMIFS(L$11:L$743, $A$11:$A$743, "&gt;=" &amp; DATE(LEFT($O39, 4), IF($P$36="Calendar Year", 1, 7), 1), $A$11:$A$743, "&lt;" &amp; DATE(LEFT($O39, 4)+1, IF($P$36="Calendar Year", 1, 7), 1)),
""))))))</f>
        <v>103.02000000000001</v>
      </c>
      <c r="Q39" s="434">
        <f t="shared" ref="Q39:Q58" si="4">IF($P$35=$B$9,SUMIFS(C$11:C$743, $A$11:$A$743, "&gt;=" &amp; DATE(LEFT($O39, 4), IF($P$36="Calendar Year", 1, 7), 1), $A$11:$A$743, "&lt;" &amp; DATE(LEFT($O39, 4)+1, IF($P$36="Calendar Year", 1, 7), 1)),
IF($P$35=$D$9,SUMIFS(E$11:E$743, $A$11:$A$743, "&gt;=" &amp; DATE(LEFT($O39, 4), IF($P$36="Calendar Year", 1, 7), 1), $A$11:$A$743, "&lt;" &amp; DATE(LEFT($O39, 4)+1, IF($P$36="Calendar Year", 1, 7), 1)),
IF($P$35=$F$9,SUMIFS(G$11:G$743, $A$11:$A$743, "&gt;=" &amp; DATE(LEFT($O39, 4), IF($P$36="Calendar Year", 1, 7), 1), $A$11:$A$743, "&lt;" &amp; DATE(LEFT($O39, 4)+1, IF($P$36="Calendar Year", 1, 7), 1)),
IF($P$35=$H$9,SUMIFS(I$11:I$743, $A$11:$A$743, "&gt;=" &amp; DATE(LEFT($O39, 4), IF($P$36="Calendar Year", 1, 7), 1), $A$11:$A$743, "&lt;" &amp; DATE(LEFT($O39, 4)+1, IF($P$36="Calendar Year", 1, 7), 1)),
IF($P$35=$J$9,SUMIFS(K$11:K$743, $A$11:$A$743, "&gt;=" &amp; DATE(LEFT($O39, 4), IF($P$36="Calendar Year", 1, 7), 1), $A$11:$A$743, "&lt;" &amp; DATE(LEFT($O39, 4)+1, IF($P$36="Calendar Year", 1, 7), 1)),
IF($P$35=$L$9,SUMIFS(M$11:M$743, $A$11:$A$743, "&gt;=" &amp; DATE(LEFT($O39, 4), IF($P$36="Calendar Year", 1, 7), 1), $A$11:$A$743, "&lt;" &amp; DATE(LEFT($O39, 4)+1, IF($P$36="Calendar Year", 1, 7), 1)),
""))))))</f>
        <v>49.870901419999996</v>
      </c>
    </row>
    <row r="40" spans="1:17" x14ac:dyDescent="0.25">
      <c r="A40" s="971">
        <v>38869</v>
      </c>
      <c r="B40" s="975">
        <v>24.65</v>
      </c>
      <c r="C40" s="975">
        <v>11.868411</v>
      </c>
      <c r="D40" s="975">
        <v>1.6514359999999999</v>
      </c>
      <c r="E40" s="975">
        <v>70.647069000000002</v>
      </c>
      <c r="F40" s="975">
        <v>2.8747203899999998</v>
      </c>
      <c r="G40" s="975">
        <v>65.980252629999995</v>
      </c>
      <c r="H40" s="975">
        <v>4.5871750000000002</v>
      </c>
      <c r="I40" s="975">
        <v>127.02534799999999</v>
      </c>
      <c r="J40" s="975">
        <v>1.15002</v>
      </c>
      <c r="K40" s="975">
        <v>47.843569000000002</v>
      </c>
      <c r="L40" s="975">
        <v>349.73</v>
      </c>
      <c r="M40" s="976">
        <v>4.7056250000000004</v>
      </c>
      <c r="O40" s="988">
        <f t="shared" si="2"/>
        <v>2007</v>
      </c>
      <c r="P40" s="989">
        <f t="shared" si="3"/>
        <v>120.33</v>
      </c>
      <c r="Q40" s="990">
        <f t="shared" si="4"/>
        <v>63.222478219999999</v>
      </c>
    </row>
    <row r="41" spans="1:17" x14ac:dyDescent="0.25">
      <c r="A41" s="971">
        <v>38961</v>
      </c>
      <c r="B41" s="455">
        <v>36.42</v>
      </c>
      <c r="C41" s="455">
        <v>17.337604290000002</v>
      </c>
      <c r="D41" s="455">
        <v>1.7047909999999999</v>
      </c>
      <c r="E41" s="455">
        <v>73.083579</v>
      </c>
      <c r="F41" s="455">
        <v>2.30997195</v>
      </c>
      <c r="G41" s="455">
        <v>52.865980049999997</v>
      </c>
      <c r="H41" s="455">
        <v>1.761682</v>
      </c>
      <c r="I41" s="455">
        <v>73.637056999999999</v>
      </c>
      <c r="J41" s="455">
        <v>1.1085940000000001</v>
      </c>
      <c r="K41" s="455">
        <v>50.308590000000002</v>
      </c>
      <c r="L41" s="455">
        <v>170.28</v>
      </c>
      <c r="M41" s="456">
        <v>2.322508</v>
      </c>
      <c r="O41" s="988">
        <f t="shared" si="2"/>
        <v>2008</v>
      </c>
      <c r="P41" s="573">
        <f t="shared" si="3"/>
        <v>88.06</v>
      </c>
      <c r="Q41" s="434">
        <f t="shared" si="4"/>
        <v>51.411615130000001</v>
      </c>
    </row>
    <row r="42" spans="1:17" x14ac:dyDescent="0.25">
      <c r="A42" s="971">
        <v>39052</v>
      </c>
      <c r="B42" s="975">
        <v>19.53</v>
      </c>
      <c r="C42" s="975">
        <v>10.765750329999999</v>
      </c>
      <c r="D42" s="975">
        <v>1.5482750000000001</v>
      </c>
      <c r="E42" s="975">
        <v>69.227222999999995</v>
      </c>
      <c r="F42" s="975">
        <v>2.9054620600000001</v>
      </c>
      <c r="G42" s="975">
        <v>64.732898629999994</v>
      </c>
      <c r="H42" s="975">
        <v>5.0948669999999998</v>
      </c>
      <c r="I42" s="975">
        <v>115.15518299999999</v>
      </c>
      <c r="J42" s="975">
        <v>1.4931460000000001</v>
      </c>
      <c r="K42" s="975">
        <v>77.043387999999993</v>
      </c>
      <c r="L42" s="975">
        <v>210.83</v>
      </c>
      <c r="M42" s="976">
        <v>2.785895</v>
      </c>
      <c r="O42" s="988">
        <f t="shared" si="2"/>
        <v>2009</v>
      </c>
      <c r="P42" s="989">
        <f t="shared" si="3"/>
        <v>124.14</v>
      </c>
      <c r="Q42" s="990">
        <f t="shared" si="4"/>
        <v>74.044649460000002</v>
      </c>
    </row>
    <row r="43" spans="1:17" x14ac:dyDescent="0.25">
      <c r="A43" s="971">
        <v>39142</v>
      </c>
      <c r="B43" s="455">
        <v>47.54</v>
      </c>
      <c r="C43" s="455">
        <v>25.048839940000001</v>
      </c>
      <c r="D43" s="455">
        <v>1.5245740000000001</v>
      </c>
      <c r="E43" s="455">
        <v>67.910944000000001</v>
      </c>
      <c r="F43" s="455">
        <v>2.4805410000000001</v>
      </c>
      <c r="G43" s="455">
        <v>56.473620269999998</v>
      </c>
      <c r="H43" s="455">
        <v>6.8600599999999998</v>
      </c>
      <c r="I43" s="455">
        <v>158.19950399999999</v>
      </c>
      <c r="J43" s="455">
        <v>1.122004</v>
      </c>
      <c r="K43" s="455">
        <v>80.026346000000004</v>
      </c>
      <c r="L43" s="455">
        <v>185.07</v>
      </c>
      <c r="M43" s="456">
        <v>2.497878</v>
      </c>
      <c r="O43" s="988">
        <f t="shared" si="2"/>
        <v>2010</v>
      </c>
      <c r="P43" s="573">
        <f t="shared" si="3"/>
        <v>112.99000000000001</v>
      </c>
      <c r="Q43" s="434">
        <f t="shared" si="4"/>
        <v>80.654205189999999</v>
      </c>
    </row>
    <row r="44" spans="1:17" x14ac:dyDescent="0.25">
      <c r="A44" s="971">
        <v>39234</v>
      </c>
      <c r="B44" s="975">
        <v>16.77</v>
      </c>
      <c r="C44" s="975">
        <v>8.61645854</v>
      </c>
      <c r="D44" s="975">
        <v>1.239987</v>
      </c>
      <c r="E44" s="975">
        <v>61.301450000000003</v>
      </c>
      <c r="F44" s="975">
        <v>2.7276129930000002</v>
      </c>
      <c r="G44" s="975">
        <v>62.079069779999998</v>
      </c>
      <c r="H44" s="975">
        <v>4.50671</v>
      </c>
      <c r="I44" s="975">
        <v>114.932017</v>
      </c>
      <c r="J44" s="975">
        <v>0.93303400000000003</v>
      </c>
      <c r="K44" s="975">
        <v>70.114502999999999</v>
      </c>
      <c r="L44" s="975">
        <v>147.41</v>
      </c>
      <c r="M44" s="976">
        <v>2.0869070000000001</v>
      </c>
      <c r="O44" s="988">
        <f t="shared" si="2"/>
        <v>2011</v>
      </c>
      <c r="P44" s="989">
        <f t="shared" si="3"/>
        <v>91.47</v>
      </c>
      <c r="Q44" s="990">
        <f t="shared" si="4"/>
        <v>96.223977849999997</v>
      </c>
    </row>
    <row r="45" spans="1:17" x14ac:dyDescent="0.25">
      <c r="A45" s="971">
        <v>39326</v>
      </c>
      <c r="B45" s="455">
        <v>18.52</v>
      </c>
      <c r="C45" s="455">
        <v>9.3160715599999993</v>
      </c>
      <c r="D45" s="455">
        <v>1.5507040000000001</v>
      </c>
      <c r="E45" s="455">
        <v>68.732557999999997</v>
      </c>
      <c r="F45" s="455">
        <v>2.4074020159999998</v>
      </c>
      <c r="G45" s="455">
        <v>52.282478830000002</v>
      </c>
      <c r="H45" s="455">
        <v>7.3817740000000001</v>
      </c>
      <c r="I45" s="455">
        <v>178.80596</v>
      </c>
      <c r="J45" s="455">
        <v>1.3634200000000001</v>
      </c>
      <c r="K45" s="455">
        <v>88.325033000000005</v>
      </c>
      <c r="L45" s="455">
        <v>195.93</v>
      </c>
      <c r="M45" s="456">
        <v>2.6050979999999999</v>
      </c>
      <c r="O45" s="988">
        <f t="shared" si="2"/>
        <v>2012</v>
      </c>
      <c r="P45" s="573">
        <f t="shared" si="3"/>
        <v>134.67000000000002</v>
      </c>
      <c r="Q45" s="434">
        <f t="shared" si="4"/>
        <v>120.73252181000001</v>
      </c>
    </row>
    <row r="46" spans="1:17" x14ac:dyDescent="0.25">
      <c r="A46" s="971">
        <v>39417</v>
      </c>
      <c r="B46" s="975">
        <v>37.5</v>
      </c>
      <c r="C46" s="975">
        <v>20.241108180000001</v>
      </c>
      <c r="D46" s="975">
        <v>1.4948269999999999</v>
      </c>
      <c r="E46" s="975">
        <v>66.016675000000006</v>
      </c>
      <c r="F46" s="975">
        <v>2.7701297199999999</v>
      </c>
      <c r="G46" s="975">
        <v>58.769180030000001</v>
      </c>
      <c r="H46" s="975">
        <v>4.788233</v>
      </c>
      <c r="I46" s="975">
        <v>108.79293800000001</v>
      </c>
      <c r="J46" s="975">
        <v>1.3118879999999999</v>
      </c>
      <c r="K46" s="975">
        <v>110.52490299999999</v>
      </c>
      <c r="L46" s="975">
        <v>213.29</v>
      </c>
      <c r="M46" s="976">
        <v>2.9729890000000001</v>
      </c>
      <c r="O46" s="988">
        <f t="shared" si="2"/>
        <v>2013</v>
      </c>
      <c r="P46" s="989">
        <f t="shared" si="3"/>
        <v>126.34974535751053</v>
      </c>
      <c r="Q46" s="990">
        <f t="shared" si="4"/>
        <v>88.37571299999999</v>
      </c>
    </row>
    <row r="47" spans="1:17" x14ac:dyDescent="0.25">
      <c r="A47" s="971">
        <v>39508</v>
      </c>
      <c r="B47" s="455">
        <v>27.14</v>
      </c>
      <c r="C47" s="455">
        <v>19.41808911</v>
      </c>
      <c r="D47" s="455">
        <v>1.770068</v>
      </c>
      <c r="E47" s="455">
        <v>66.554670000000002</v>
      </c>
      <c r="F47" s="455">
        <v>2.6357444330000002</v>
      </c>
      <c r="G47" s="455">
        <v>59.606044660000002</v>
      </c>
      <c r="H47" s="455">
        <v>7.8271360000000003</v>
      </c>
      <c r="I47" s="455">
        <v>165.86742699999999</v>
      </c>
      <c r="J47" s="455">
        <v>1.342203</v>
      </c>
      <c r="K47" s="455">
        <v>142.59106600000001</v>
      </c>
      <c r="L47" s="455">
        <v>268.24</v>
      </c>
      <c r="M47" s="456">
        <v>3.4054549999999999</v>
      </c>
      <c r="O47" s="988">
        <f t="shared" si="2"/>
        <v>2014</v>
      </c>
      <c r="P47" s="573">
        <f t="shared" si="3"/>
        <v>146.42199262624757</v>
      </c>
      <c r="Q47" s="434">
        <f t="shared" si="4"/>
        <v>94.039155999999991</v>
      </c>
    </row>
    <row r="48" spans="1:17" x14ac:dyDescent="0.25">
      <c r="A48" s="971">
        <v>39600</v>
      </c>
      <c r="B48" s="975">
        <v>12.21</v>
      </c>
      <c r="C48" s="975">
        <v>7.2493447</v>
      </c>
      <c r="D48" s="975">
        <v>1.4158269999999999</v>
      </c>
      <c r="E48" s="975">
        <v>69.120554999999996</v>
      </c>
      <c r="F48" s="975">
        <v>2.7758882429999998</v>
      </c>
      <c r="G48" s="975">
        <v>62.27136514</v>
      </c>
      <c r="H48" s="975">
        <v>7.970955</v>
      </c>
      <c r="I48" s="975">
        <v>159.51923300000001</v>
      </c>
      <c r="J48" s="975">
        <v>1.05532</v>
      </c>
      <c r="K48" s="975">
        <v>101.614395</v>
      </c>
      <c r="L48" s="975">
        <v>270.3</v>
      </c>
      <c r="M48" s="976">
        <v>4.2303030000000001</v>
      </c>
      <c r="O48" s="988">
        <f t="shared" si="2"/>
        <v>2015</v>
      </c>
      <c r="P48" s="989">
        <f t="shared" si="3"/>
        <v>149.89510942500206</v>
      </c>
      <c r="Q48" s="990">
        <f t="shared" si="4"/>
        <v>96.075521999999992</v>
      </c>
    </row>
    <row r="49" spans="1:17" x14ac:dyDescent="0.25">
      <c r="A49" s="971">
        <v>39692</v>
      </c>
      <c r="B49" s="455">
        <v>10.3</v>
      </c>
      <c r="C49" s="455">
        <v>4.4101695699999999</v>
      </c>
      <c r="D49" s="455">
        <v>1.7424539999999999</v>
      </c>
      <c r="E49" s="455">
        <v>79.352620999999999</v>
      </c>
      <c r="F49" s="455">
        <v>2.863122529</v>
      </c>
      <c r="G49" s="455">
        <v>66.936909240000006</v>
      </c>
      <c r="H49" s="455">
        <v>3.7200730000000002</v>
      </c>
      <c r="I49" s="455">
        <v>96.447017000000002</v>
      </c>
      <c r="J49" s="455">
        <v>1.0820959999999999</v>
      </c>
      <c r="K49" s="455">
        <v>65.441090000000003</v>
      </c>
      <c r="L49" s="455">
        <v>0</v>
      </c>
      <c r="M49" s="456">
        <v>0</v>
      </c>
      <c r="O49" s="988">
        <f t="shared" si="2"/>
        <v>2016</v>
      </c>
      <c r="P49" s="573">
        <f t="shared" si="3"/>
        <v>158.40792496891339</v>
      </c>
      <c r="Q49" s="434">
        <f t="shared" si="4"/>
        <v>111.61316399999998</v>
      </c>
    </row>
    <row r="50" spans="1:17" x14ac:dyDescent="0.25">
      <c r="A50" s="971">
        <v>39783</v>
      </c>
      <c r="B50" s="975">
        <v>38.409999999999997</v>
      </c>
      <c r="C50" s="975">
        <v>20.334011749999998</v>
      </c>
      <c r="D50" s="975">
        <v>1.8029170000000001</v>
      </c>
      <c r="E50" s="975">
        <v>90.471787000000006</v>
      </c>
      <c r="F50" s="975">
        <v>3.2138775800000001</v>
      </c>
      <c r="G50" s="975">
        <v>102.13609687</v>
      </c>
      <c r="H50" s="975">
        <v>15.722381</v>
      </c>
      <c r="I50" s="975">
        <v>80.908032000000006</v>
      </c>
      <c r="J50" s="975">
        <v>1.305056</v>
      </c>
      <c r="K50" s="975">
        <v>68.013240999999994</v>
      </c>
      <c r="L50" s="975">
        <v>171.21</v>
      </c>
      <c r="M50" s="976">
        <v>1.1179429999999999</v>
      </c>
      <c r="O50" s="988">
        <f t="shared" si="2"/>
        <v>2017</v>
      </c>
      <c r="P50" s="989">
        <f t="shared" si="3"/>
        <v>138.2463860524181</v>
      </c>
      <c r="Q50" s="990">
        <f t="shared" si="4"/>
        <v>92.242777999999987</v>
      </c>
    </row>
    <row r="51" spans="1:17" x14ac:dyDescent="0.25">
      <c r="A51" s="971">
        <v>39873</v>
      </c>
      <c r="B51" s="455">
        <v>62.38</v>
      </c>
      <c r="C51" s="455">
        <v>37.984293219999998</v>
      </c>
      <c r="D51" s="455">
        <v>1.8383700000000001</v>
      </c>
      <c r="E51" s="455">
        <v>86.200013999999996</v>
      </c>
      <c r="F51" s="455">
        <v>2.0130125520000002</v>
      </c>
      <c r="G51" s="455">
        <v>101.59605414000001</v>
      </c>
      <c r="H51" s="455">
        <v>1.3585210000000001</v>
      </c>
      <c r="I51" s="455">
        <v>45.526029999999999</v>
      </c>
      <c r="J51" s="455">
        <v>1.2589349999999999</v>
      </c>
      <c r="K51" s="455">
        <v>43.519669999999998</v>
      </c>
      <c r="L51" s="455">
        <v>304.72000000000003</v>
      </c>
      <c r="M51" s="456">
        <v>2.8010679999999999</v>
      </c>
      <c r="O51" s="988">
        <f t="shared" si="2"/>
        <v>2018</v>
      </c>
      <c r="P51" s="573">
        <f t="shared" si="3"/>
        <v>143.84184143682091</v>
      </c>
      <c r="Q51" s="434">
        <f t="shared" si="4"/>
        <v>94.14244298108926</v>
      </c>
    </row>
    <row r="52" spans="1:17" x14ac:dyDescent="0.25">
      <c r="A52" s="971">
        <v>39965</v>
      </c>
      <c r="B52" s="975">
        <v>25.98</v>
      </c>
      <c r="C52" s="975">
        <v>14.67079275</v>
      </c>
      <c r="D52" s="975">
        <v>1.5954680000000001</v>
      </c>
      <c r="E52" s="975">
        <v>76.548077000000006</v>
      </c>
      <c r="F52" s="975">
        <v>2.4294787229999999</v>
      </c>
      <c r="G52" s="975">
        <v>115.58531923</v>
      </c>
      <c r="H52" s="975">
        <v>2.3868670000000001</v>
      </c>
      <c r="I52" s="975">
        <v>49.811923999999998</v>
      </c>
      <c r="J52" s="975">
        <v>1.0288809999999999</v>
      </c>
      <c r="K52" s="975">
        <v>42.097343000000002</v>
      </c>
      <c r="L52" s="975">
        <v>166.26</v>
      </c>
      <c r="M52" s="976">
        <v>1.5335909999999999</v>
      </c>
      <c r="O52" s="988">
        <f t="shared" si="2"/>
        <v>2019</v>
      </c>
      <c r="P52" s="989">
        <f t="shared" si="3"/>
        <v>130.58794712707569</v>
      </c>
      <c r="Q52" s="990">
        <f t="shared" si="4"/>
        <v>96.195312999999985</v>
      </c>
    </row>
    <row r="53" spans="1:17" x14ac:dyDescent="0.25">
      <c r="A53" s="971">
        <v>40057</v>
      </c>
      <c r="B53" s="455">
        <v>9.17</v>
      </c>
      <c r="C53" s="455">
        <v>5.1613192699999999</v>
      </c>
      <c r="D53" s="455">
        <v>1.484505</v>
      </c>
      <c r="E53" s="455">
        <v>70.118567999999996</v>
      </c>
      <c r="F53" s="455">
        <v>2.4854636719999998</v>
      </c>
      <c r="G53" s="455">
        <v>105.69789523999999</v>
      </c>
      <c r="H53" s="455">
        <v>4.6985549999999998</v>
      </c>
      <c r="I53" s="455">
        <v>73.393354000000002</v>
      </c>
      <c r="J53" s="455">
        <v>1.229719</v>
      </c>
      <c r="K53" s="455">
        <v>52.648847000000004</v>
      </c>
      <c r="L53" s="455">
        <v>329.54</v>
      </c>
      <c r="M53" s="456">
        <v>3.1176499999999998</v>
      </c>
      <c r="O53" s="988">
        <f t="shared" si="2"/>
        <v>2020</v>
      </c>
      <c r="P53" s="573">
        <f t="shared" si="3"/>
        <v>127.20884998798617</v>
      </c>
      <c r="Q53" s="434">
        <f t="shared" si="4"/>
        <v>123.66181400000001</v>
      </c>
    </row>
    <row r="54" spans="1:17" x14ac:dyDescent="0.25">
      <c r="A54" s="971">
        <v>40148</v>
      </c>
      <c r="B54" s="975">
        <v>26.61</v>
      </c>
      <c r="C54" s="975">
        <v>16.228244220000001</v>
      </c>
      <c r="D54" s="975">
        <v>1.640514</v>
      </c>
      <c r="E54" s="975">
        <v>75.290215000000003</v>
      </c>
      <c r="F54" s="975">
        <v>3.135597985</v>
      </c>
      <c r="G54" s="975">
        <v>124.71293206999999</v>
      </c>
      <c r="H54" s="975">
        <v>3.45566</v>
      </c>
      <c r="I54" s="975">
        <v>62.770829999999997</v>
      </c>
      <c r="J54" s="975">
        <v>1.1528529999999999</v>
      </c>
      <c r="K54" s="975">
        <v>45.606217000000001</v>
      </c>
      <c r="L54" s="975">
        <v>233.53</v>
      </c>
      <c r="M54" s="976">
        <v>2.5488360000000001</v>
      </c>
      <c r="O54" s="988">
        <f t="shared" si="2"/>
        <v>2021</v>
      </c>
      <c r="P54" s="989">
        <f t="shared" si="3"/>
        <v>155.38476093261991</v>
      </c>
      <c r="Q54" s="990">
        <f t="shared" si="4"/>
        <v>161.068904</v>
      </c>
    </row>
    <row r="55" spans="1:17" x14ac:dyDescent="0.25">
      <c r="A55" s="971">
        <v>40238</v>
      </c>
      <c r="B55" s="455">
        <v>37.049999999999997</v>
      </c>
      <c r="C55" s="455">
        <v>23.140494889999999</v>
      </c>
      <c r="D55" s="455">
        <v>1.9090879999999999</v>
      </c>
      <c r="E55" s="455">
        <v>87.708416</v>
      </c>
      <c r="F55" s="455">
        <v>2.56266522</v>
      </c>
      <c r="G55" s="455">
        <v>92.637926379999996</v>
      </c>
      <c r="H55" s="455">
        <v>4.8594660000000003</v>
      </c>
      <c r="I55" s="455">
        <v>90.533727999999996</v>
      </c>
      <c r="J55" s="455">
        <v>1.04125</v>
      </c>
      <c r="K55" s="455">
        <v>50.073636999999998</v>
      </c>
      <c r="L55" s="455">
        <v>278.91000000000003</v>
      </c>
      <c r="M55" s="456">
        <v>3.0311279999999998</v>
      </c>
      <c r="O55" s="988">
        <f t="shared" si="2"/>
        <v>2022</v>
      </c>
      <c r="P55" s="573">
        <f t="shared" si="3"/>
        <v>129.11325136125456</v>
      </c>
      <c r="Q55" s="434">
        <f t="shared" si="4"/>
        <v>129.925375</v>
      </c>
    </row>
    <row r="56" spans="1:17" x14ac:dyDescent="0.25">
      <c r="A56" s="971">
        <v>40330</v>
      </c>
      <c r="B56" s="975">
        <v>27.2</v>
      </c>
      <c r="C56" s="975">
        <v>19.315009280000002</v>
      </c>
      <c r="D56" s="975">
        <v>1.6779120000000001</v>
      </c>
      <c r="E56" s="975">
        <v>92.738175999999996</v>
      </c>
      <c r="F56" s="975">
        <v>2.7857517700000001</v>
      </c>
      <c r="G56" s="975">
        <v>94.411674640000001</v>
      </c>
      <c r="H56" s="975">
        <v>3.2670759999999999</v>
      </c>
      <c r="I56" s="975">
        <v>77.634621999999993</v>
      </c>
      <c r="J56" s="975">
        <v>0.97460999999999998</v>
      </c>
      <c r="K56" s="975">
        <v>44.997244999999999</v>
      </c>
      <c r="L56" s="975">
        <v>247.37</v>
      </c>
      <c r="M56" s="976">
        <v>2.4043049999999999</v>
      </c>
      <c r="O56" s="988">
        <f t="shared" si="2"/>
        <v>2023</v>
      </c>
      <c r="P56" s="989">
        <f t="shared" si="3"/>
        <v>108.60699626778987</v>
      </c>
      <c r="Q56" s="990">
        <f t="shared" si="4"/>
        <v>124.351067</v>
      </c>
    </row>
    <row r="57" spans="1:17" x14ac:dyDescent="0.25">
      <c r="A57" s="971">
        <v>40422</v>
      </c>
      <c r="B57" s="455">
        <v>23.34</v>
      </c>
      <c r="C57" s="455">
        <v>17.1025399</v>
      </c>
      <c r="D57" s="455">
        <v>1.701068</v>
      </c>
      <c r="E57" s="455">
        <v>69.848280000000003</v>
      </c>
      <c r="F57" s="455">
        <v>2.60718396</v>
      </c>
      <c r="G57" s="455">
        <v>96.228769650000004</v>
      </c>
      <c r="H57" s="455">
        <v>4.0734579999999996</v>
      </c>
      <c r="I57" s="455">
        <v>98.612891000000005</v>
      </c>
      <c r="J57" s="455">
        <v>1.1013010000000001</v>
      </c>
      <c r="K57" s="455">
        <v>47.525984000000001</v>
      </c>
      <c r="L57" s="455">
        <v>183.61</v>
      </c>
      <c r="M57" s="456">
        <v>1.5646549999999999</v>
      </c>
      <c r="O57" s="988">
        <f t="shared" si="2"/>
        <v>2024</v>
      </c>
      <c r="P57" s="573">
        <f t="shared" si="3"/>
        <v>93.407407427995736</v>
      </c>
      <c r="Q57" s="434">
        <f t="shared" si="4"/>
        <v>132.50723099999999</v>
      </c>
    </row>
    <row r="58" spans="1:17" ht="15.75" thickBot="1" x14ac:dyDescent="0.3">
      <c r="A58" s="971">
        <v>40513</v>
      </c>
      <c r="B58" s="975">
        <v>25.4</v>
      </c>
      <c r="C58" s="975">
        <v>21.096161120000001</v>
      </c>
      <c r="D58" s="975">
        <v>1.710453</v>
      </c>
      <c r="E58" s="975">
        <v>67.973329000000007</v>
      </c>
      <c r="F58" s="975">
        <v>3.5870354600000001</v>
      </c>
      <c r="G58" s="975">
        <v>103.39044622999999</v>
      </c>
      <c r="H58" s="975">
        <v>2.216656</v>
      </c>
      <c r="I58" s="975">
        <v>78.762479999999996</v>
      </c>
      <c r="J58" s="975">
        <v>0.825851</v>
      </c>
      <c r="K58" s="975">
        <v>31.190370000000001</v>
      </c>
      <c r="L58" s="975">
        <v>71.14</v>
      </c>
      <c r="M58" s="976">
        <v>1.225393</v>
      </c>
      <c r="O58" s="991">
        <f>IF($P$36="Calendar Year",
    YEAR(LARGE($A:$A, 4)),
    IF(MONTH(LARGE($A:$A, 4))&gt;6,
        YEAR(LARGE($A:$A, 4)) &amp; "-" &amp; RIGHT(YEAR(LARGE($A:$A, 4))+1, 2),
        YEAR(LARGE($A:$A, 4))-1 &amp; "-" &amp; RIGHT(YEAR(LARGE($A:$A, 4)), 2)
    ))</f>
        <v>2025</v>
      </c>
      <c r="P58" s="992">
        <f t="shared" si="3"/>
        <v>108.1440631557725</v>
      </c>
      <c r="Q58" s="993">
        <f t="shared" si="4"/>
        <v>223.51106199999998</v>
      </c>
    </row>
    <row r="59" spans="1:17" x14ac:dyDescent="0.25">
      <c r="A59" s="971">
        <v>40603</v>
      </c>
      <c r="B59" s="455">
        <v>21.82</v>
      </c>
      <c r="C59" s="455">
        <v>23.41780352</v>
      </c>
      <c r="D59" s="455">
        <v>2.0381130000000001</v>
      </c>
      <c r="E59" s="455">
        <v>82.415342999999993</v>
      </c>
      <c r="F59" s="455">
        <v>2.9696917300000001</v>
      </c>
      <c r="G59" s="455">
        <v>85.056352700000005</v>
      </c>
      <c r="H59" s="455">
        <v>2.6453880000000001</v>
      </c>
      <c r="I59" s="455">
        <v>76.294087000000005</v>
      </c>
      <c r="J59" s="455">
        <v>0.95</v>
      </c>
      <c r="K59" s="455">
        <v>35.871651</v>
      </c>
      <c r="L59" s="455">
        <v>98.93</v>
      </c>
      <c r="M59" s="456">
        <v>2.3594650000000001</v>
      </c>
    </row>
    <row r="60" spans="1:17" x14ac:dyDescent="0.25">
      <c r="A60" s="971">
        <v>40695</v>
      </c>
      <c r="B60" s="975">
        <v>12.99</v>
      </c>
      <c r="C60" s="975">
        <v>14.448582829999999</v>
      </c>
      <c r="D60" s="975">
        <v>1.784821</v>
      </c>
      <c r="E60" s="975">
        <v>76.022599</v>
      </c>
      <c r="F60" s="975">
        <v>3.0825931400000002</v>
      </c>
      <c r="G60" s="975">
        <v>82.260321869999999</v>
      </c>
      <c r="H60" s="975">
        <v>1.1860850000000001</v>
      </c>
      <c r="I60" s="975">
        <v>49.423012999999997</v>
      </c>
      <c r="J60" s="975">
        <v>0.89</v>
      </c>
      <c r="K60" s="975">
        <v>31.892309999999998</v>
      </c>
      <c r="L60" s="975">
        <v>86.55</v>
      </c>
      <c r="M60" s="976">
        <v>1.886584</v>
      </c>
    </row>
    <row r="61" spans="1:17" x14ac:dyDescent="0.25">
      <c r="A61" s="971">
        <v>40787</v>
      </c>
      <c r="B61" s="455">
        <v>14.88</v>
      </c>
      <c r="C61" s="455">
        <v>15.980396170000001</v>
      </c>
      <c r="D61" s="455">
        <v>1.5109030000000001</v>
      </c>
      <c r="E61" s="455">
        <v>59.122332</v>
      </c>
      <c r="F61" s="455">
        <v>2.7683849500000002</v>
      </c>
      <c r="G61" s="455">
        <v>72.734708470000001</v>
      </c>
      <c r="H61" s="455">
        <v>2.0016669999999999</v>
      </c>
      <c r="I61" s="455">
        <v>80.265319000000005</v>
      </c>
      <c r="J61" s="455">
        <v>0.91</v>
      </c>
      <c r="K61" s="455">
        <v>28.49305</v>
      </c>
      <c r="L61" s="455">
        <v>135.39346800000001</v>
      </c>
      <c r="M61" s="456">
        <v>3.548203</v>
      </c>
    </row>
    <row r="62" spans="1:17" x14ac:dyDescent="0.25">
      <c r="A62" s="971">
        <v>40878</v>
      </c>
      <c r="B62" s="975">
        <v>41.78</v>
      </c>
      <c r="C62" s="975">
        <v>42.377195329999999</v>
      </c>
      <c r="D62" s="975">
        <v>1.6480699999999999</v>
      </c>
      <c r="E62" s="975">
        <v>65.935260999999997</v>
      </c>
      <c r="F62" s="975">
        <v>3.4319052800000001</v>
      </c>
      <c r="G62" s="975">
        <v>95.719509610000003</v>
      </c>
      <c r="H62" s="975">
        <v>1.801585</v>
      </c>
      <c r="I62" s="975">
        <v>85.195436999999998</v>
      </c>
      <c r="J62" s="975">
        <v>1.1299999999999999</v>
      </c>
      <c r="K62" s="975">
        <v>31.738264999999998</v>
      </c>
      <c r="L62" s="975">
        <v>117.733437</v>
      </c>
      <c r="M62" s="976">
        <v>2.8119420000000002</v>
      </c>
    </row>
    <row r="63" spans="1:17" x14ac:dyDescent="0.25">
      <c r="A63" s="971">
        <v>40969</v>
      </c>
      <c r="B63" s="455">
        <v>27.45</v>
      </c>
      <c r="C63" s="455">
        <v>26.347134390000001</v>
      </c>
      <c r="D63" s="455">
        <v>2.0367510000000002</v>
      </c>
      <c r="E63" s="455">
        <v>85.819766999999999</v>
      </c>
      <c r="F63" s="455">
        <v>3.3678653700000001</v>
      </c>
      <c r="G63" s="455">
        <v>91.287571049999997</v>
      </c>
      <c r="H63" s="455">
        <v>2.9122300000000001</v>
      </c>
      <c r="I63" s="455">
        <v>93.107989000000003</v>
      </c>
      <c r="J63" s="455">
        <v>1.34</v>
      </c>
      <c r="K63" s="455">
        <v>38.508535999999999</v>
      </c>
      <c r="L63" s="455">
        <v>174.24354588</v>
      </c>
      <c r="M63" s="456">
        <v>4.0192905300000001</v>
      </c>
      <c r="O63" s="589" t="str">
        <f>IFERROR(IF(YEAR(MAX('Commodity Prices'!$C$11:$C1516))=VALUE(RIGHT(O62,4)),"",IF($P$36="Calendar Year",O62+1,CONCATENATE(LEFT(O62,4)+1,"-",RIGHT(O62,4)+1))),"")</f>
        <v/>
      </c>
      <c r="P63" s="590" t="str">
        <f ca="1">IF(O63="","",IF($P$36="Calendar Year",SUMIF(#REF!,$O63,INDIRECT(CONCATENATE($Z$1,"9:",$Z$1,"201"),TRUE)),SUMIFS(INDIRECT(CONCATENATE($Z$1,"9:",$Z$1,"201"),TRUE),#REF!,LEFT($O63,4),#REF!,3)+SUMIFS(INDIRECT(CONCATENATE($Z$1,"9:",$Z$1,"201"),TRUE),#REF!,LEFT($O63,4),#REF!,4)+SUMIFS(INDIRECT(CONCATENATE($Z$1,"9:",$Z$1,"201"),TRUE),#REF!,LEFT($O63,4)+1,#REF!,1)+SUMIFS(INDIRECT(CONCATENATE($Z$1,"9:",$Z$1,"201"),TRUE),#REF!,LEFT($O63,4)+1,#REF!,2)))</f>
        <v/>
      </c>
      <c r="Q63" s="64" t="str">
        <f ca="1">IF(O63="","",IF($P$36="Calendar Year",SUMIF(#REF!,$O63,INDIRECT(CONCATENATE($Z$2,"9:",$Z$2,"201"),TRUE)),SUMIFS(INDIRECT(CONCATENATE($Z$2,"9:",$Z$2,"201"),TRUE),#REF!,LEFT($O63,4),#REF!,3)+SUMIFS(INDIRECT(CONCATENATE($Z$2,"9:",$Z$2,"201"),TRUE),#REF!,LEFT($O63,4),#REF!,4)+SUMIFS(INDIRECT(CONCATENATE($Z$2,"9:",$Z$2,"201"),TRUE),#REF!,LEFT($O63,4)+1,#REF!,1)+SUMIFS(INDIRECT(CONCATENATE($Z$2,"9:",$Z$2,"201"),TRUE),#REF!,LEFT($O63,4)+1,#REF!,2)))</f>
        <v/>
      </c>
    </row>
    <row r="64" spans="1:17" x14ac:dyDescent="0.25">
      <c r="A64" s="971">
        <v>41061</v>
      </c>
      <c r="B64" s="975">
        <v>35.97</v>
      </c>
      <c r="C64" s="975">
        <v>31.000170000000001</v>
      </c>
      <c r="D64" s="975">
        <v>1.7907090000000001</v>
      </c>
      <c r="E64" s="975">
        <v>78.751891999999998</v>
      </c>
      <c r="F64" s="975">
        <v>3.2393057500000002</v>
      </c>
      <c r="G64" s="975">
        <v>94.034657839999994</v>
      </c>
      <c r="H64" s="975">
        <v>1.974019</v>
      </c>
      <c r="I64" s="975">
        <v>84.724648999999999</v>
      </c>
      <c r="J64" s="975">
        <v>1.57</v>
      </c>
      <c r="K64" s="975">
        <v>44.887745000000002</v>
      </c>
      <c r="L64" s="975">
        <v>198.71228615999999</v>
      </c>
      <c r="M64" s="976">
        <v>4.5300076300000001</v>
      </c>
      <c r="O64" s="589" t="str">
        <f>IFERROR(IF(YEAR(MAX('Commodity Prices'!$C$11:$C1516))=VALUE(RIGHT(O63,4)),"",IF($P$36="Calendar Year",O63+1,CONCATENATE(LEFT(O63,4)+1,"-",RIGHT(O63,4)+1))),"")</f>
        <v/>
      </c>
      <c r="P64" s="590" t="str">
        <f ca="1">IF(O64="","",IF($P$36="Calendar Year",SUMIF(#REF!,$O64,INDIRECT(CONCATENATE($Z$1,"9:",$Z$1,"201"),TRUE)),SUMIFS(INDIRECT(CONCATENATE($Z$1,"9:",$Z$1,"201"),TRUE),#REF!,LEFT($O64,4),#REF!,3)+SUMIFS(INDIRECT(CONCATENATE($Z$1,"9:",$Z$1,"201"),TRUE),#REF!,LEFT($O64,4),#REF!,4)+SUMIFS(INDIRECT(CONCATENATE($Z$1,"9:",$Z$1,"201"),TRUE),#REF!,LEFT($O64,4)+1,#REF!,1)+SUMIFS(INDIRECT(CONCATENATE($Z$1,"9:",$Z$1,"201"),TRUE),#REF!,LEFT($O64,4)+1,#REF!,2)))</f>
        <v/>
      </c>
      <c r="Q64" s="64" t="str">
        <f ca="1">IF(O64="","",IF($P$36="Calendar Year",SUMIF(#REF!,$O64,INDIRECT(CONCATENATE($Z$2,"9:",$Z$2,"201"),TRUE)),SUMIFS(INDIRECT(CONCATENATE($Z$2,"9:",$Z$2,"201"),TRUE),#REF!,LEFT($O64,4),#REF!,3)+SUMIFS(INDIRECT(CONCATENATE($Z$2,"9:",$Z$2,"201"),TRUE),#REF!,LEFT($O64,4),#REF!,4)+SUMIFS(INDIRECT(CONCATENATE($Z$2,"9:",$Z$2,"201"),TRUE),#REF!,LEFT($O64,4)+1,#REF!,1)+SUMIFS(INDIRECT(CONCATENATE($Z$2,"9:",$Z$2,"201"),TRUE),#REF!,LEFT($O64,4)+1,#REF!,2)))</f>
        <v/>
      </c>
    </row>
    <row r="65" spans="1:13" x14ac:dyDescent="0.25">
      <c r="A65" s="971">
        <v>41153</v>
      </c>
      <c r="B65" s="455">
        <v>29.33</v>
      </c>
      <c r="C65" s="455">
        <v>25.6647666</v>
      </c>
      <c r="D65" s="455">
        <v>1.801199</v>
      </c>
      <c r="E65" s="455">
        <v>75.452189000000004</v>
      </c>
      <c r="F65" s="455">
        <v>2.9870367999999998</v>
      </c>
      <c r="G65" s="455">
        <v>91.389328610000007</v>
      </c>
      <c r="H65" s="455">
        <v>1.6756359999999999</v>
      </c>
      <c r="I65" s="455">
        <v>65.373769999999993</v>
      </c>
      <c r="J65" s="455">
        <v>1.44</v>
      </c>
      <c r="K65" s="455">
        <v>36.547936999999997</v>
      </c>
      <c r="L65" s="455">
        <v>206.58351500000001</v>
      </c>
      <c r="M65" s="456">
        <v>4.3636460000000001</v>
      </c>
    </row>
    <row r="66" spans="1:13" x14ac:dyDescent="0.25">
      <c r="A66" s="971">
        <v>41244</v>
      </c>
      <c r="B66" s="975">
        <v>41.92</v>
      </c>
      <c r="C66" s="975">
        <v>37.720450820000003</v>
      </c>
      <c r="D66" s="975">
        <v>1.8295969999999999</v>
      </c>
      <c r="E66" s="975">
        <v>75.062442000000004</v>
      </c>
      <c r="F66" s="975">
        <v>2.9106186200000002</v>
      </c>
      <c r="G66" s="975">
        <v>87.797827339999998</v>
      </c>
      <c r="H66" s="975">
        <v>3.3162400000000001</v>
      </c>
      <c r="I66" s="975">
        <v>107.196268</v>
      </c>
      <c r="J66" s="975">
        <v>1.56</v>
      </c>
      <c r="K66" s="975">
        <v>35.505099999999999</v>
      </c>
      <c r="L66" s="975">
        <v>126.793468</v>
      </c>
      <c r="M66" s="976">
        <v>2.7670539999999999</v>
      </c>
    </row>
    <row r="67" spans="1:13" x14ac:dyDescent="0.25">
      <c r="A67" s="971">
        <v>41334</v>
      </c>
      <c r="B67" s="455">
        <v>27.32991260792042</v>
      </c>
      <c r="C67" s="455">
        <v>21.169591999999998</v>
      </c>
      <c r="D67" s="455">
        <v>1.78598601</v>
      </c>
      <c r="E67" s="455">
        <v>73.053190000000001</v>
      </c>
      <c r="F67" s="455">
        <v>3.4895649259999999</v>
      </c>
      <c r="G67" s="455">
        <v>104.78751</v>
      </c>
      <c r="H67" s="455">
        <v>1.7367958799999998</v>
      </c>
      <c r="I67" s="455">
        <v>80.414827000000002</v>
      </c>
      <c r="J67" s="455">
        <v>1.459028</v>
      </c>
      <c r="K67" s="455">
        <v>40.403044000000001</v>
      </c>
      <c r="L67" s="455">
        <v>146.04357600148802</v>
      </c>
      <c r="M67" s="456">
        <v>3.6246429999999998</v>
      </c>
    </row>
    <row r="68" spans="1:13" x14ac:dyDescent="0.25">
      <c r="A68" s="971">
        <v>41426</v>
      </c>
      <c r="B68" s="975">
        <v>25.162540044696811</v>
      </c>
      <c r="C68" s="975">
        <v>16.005869999999998</v>
      </c>
      <c r="D68" s="975">
        <v>2.08946853</v>
      </c>
      <c r="E68" s="975">
        <v>87.513813999999996</v>
      </c>
      <c r="F68" s="975">
        <v>3.002422336</v>
      </c>
      <c r="G68" s="975">
        <v>97.678223000000003</v>
      </c>
      <c r="H68" s="975">
        <v>2.88001255</v>
      </c>
      <c r="I68" s="975">
        <v>101.48938099999999</v>
      </c>
      <c r="J68" s="975">
        <v>1.7442010000000001</v>
      </c>
      <c r="K68" s="975">
        <v>46.691724000000001</v>
      </c>
      <c r="L68" s="975">
        <v>178.31001179904001</v>
      </c>
      <c r="M68" s="976">
        <v>2.3138190000000001</v>
      </c>
    </row>
    <row r="69" spans="1:13" x14ac:dyDescent="0.25">
      <c r="A69" s="971">
        <v>41518</v>
      </c>
      <c r="B69" s="455">
        <v>43.247082211047271</v>
      </c>
      <c r="C69" s="455">
        <v>30.699013999999998</v>
      </c>
      <c r="D69" s="455">
        <v>1.6358574299999999</v>
      </c>
      <c r="E69" s="455">
        <v>69.008971000000003</v>
      </c>
      <c r="F69" s="455">
        <v>3.1063484999999993</v>
      </c>
      <c r="G69" s="455">
        <v>100.59023107685624</v>
      </c>
      <c r="H69" s="455">
        <v>2.6419771300000003</v>
      </c>
      <c r="I69" s="455">
        <v>93.623330999999993</v>
      </c>
      <c r="J69" s="455">
        <v>1.6525340000000002</v>
      </c>
      <c r="K69" s="455">
        <v>44.131679999999996</v>
      </c>
      <c r="L69" s="455">
        <v>228.28987763419201</v>
      </c>
      <c r="M69" s="456">
        <v>3.0196229999999997</v>
      </c>
    </row>
    <row r="70" spans="1:13" x14ac:dyDescent="0.25">
      <c r="A70" s="971">
        <v>41609</v>
      </c>
      <c r="B70" s="975">
        <v>30.610210493846022</v>
      </c>
      <c r="C70" s="975">
        <v>20.501237</v>
      </c>
      <c r="D70" s="975">
        <v>1.5989654999999996</v>
      </c>
      <c r="E70" s="975">
        <v>67.551316</v>
      </c>
      <c r="F70" s="975">
        <v>3.3018478500000001</v>
      </c>
      <c r="G70" s="975">
        <v>110.55089599999999</v>
      </c>
      <c r="H70" s="975">
        <v>3.4355797099999998</v>
      </c>
      <c r="I70" s="975">
        <v>114.12297199999999</v>
      </c>
      <c r="J70" s="975">
        <v>1.5491159999999999</v>
      </c>
      <c r="K70" s="975">
        <v>40.523434999999999</v>
      </c>
      <c r="L70" s="975">
        <v>233.52770312731201</v>
      </c>
      <c r="M70" s="976">
        <v>3.7031079999999998</v>
      </c>
    </row>
    <row r="71" spans="1:13" x14ac:dyDescent="0.25">
      <c r="A71" s="971">
        <v>41699</v>
      </c>
      <c r="B71" s="455">
        <v>28.932178822486847</v>
      </c>
      <c r="C71" s="455">
        <v>19.760438000000001</v>
      </c>
      <c r="D71" s="455">
        <v>1.4758260599999999</v>
      </c>
      <c r="E71" s="455">
        <v>60.254691999999999</v>
      </c>
      <c r="F71" s="455">
        <v>3.7093536500000002</v>
      </c>
      <c r="G71" s="455">
        <v>119.5505384471135</v>
      </c>
      <c r="H71" s="455">
        <v>3.6040654600000002</v>
      </c>
      <c r="I71" s="455">
        <v>116.37214299999999</v>
      </c>
      <c r="J71" s="455">
        <v>1.5272220000000001</v>
      </c>
      <c r="K71" s="455">
        <v>46.557541000000001</v>
      </c>
      <c r="L71" s="455">
        <v>264.22123610308802</v>
      </c>
      <c r="M71" s="456">
        <v>3.0281029999999998</v>
      </c>
    </row>
    <row r="72" spans="1:13" x14ac:dyDescent="0.25">
      <c r="A72" s="971">
        <v>41791</v>
      </c>
      <c r="B72" s="975">
        <v>34.015088628365547</v>
      </c>
      <c r="C72" s="975">
        <v>22.239303</v>
      </c>
      <c r="D72" s="975">
        <v>1.5888354499999997</v>
      </c>
      <c r="E72" s="975">
        <v>67.444104999999993</v>
      </c>
      <c r="F72" s="975">
        <v>2.8744915499999997</v>
      </c>
      <c r="G72" s="975">
        <v>81.649990000000003</v>
      </c>
      <c r="H72" s="975">
        <v>1.9290085299999999</v>
      </c>
      <c r="I72" s="975">
        <v>76.137878999999998</v>
      </c>
      <c r="J72" s="975">
        <v>1.5086619999999999</v>
      </c>
      <c r="K72" s="975">
        <v>43.90513</v>
      </c>
      <c r="L72" s="975">
        <v>288.98178087926402</v>
      </c>
      <c r="M72" s="976">
        <v>3.3002639999999999</v>
      </c>
    </row>
    <row r="73" spans="1:13" x14ac:dyDescent="0.25">
      <c r="A73" s="971">
        <v>41883</v>
      </c>
      <c r="B73" s="455">
        <v>31.212910806220965</v>
      </c>
      <c r="C73" s="455">
        <v>19.682471</v>
      </c>
      <c r="D73" s="455">
        <v>1.5316976699999998</v>
      </c>
      <c r="E73" s="455">
        <v>63.946494999999999</v>
      </c>
      <c r="F73" s="455">
        <v>3.1389231900000003</v>
      </c>
      <c r="G73" s="455">
        <v>102.10412799999999</v>
      </c>
      <c r="H73" s="455">
        <v>2.97988937</v>
      </c>
      <c r="I73" s="455">
        <v>91.957121999999998</v>
      </c>
      <c r="J73" s="455">
        <v>1.5784660000000001</v>
      </c>
      <c r="K73" s="455">
        <v>52.481674999999996</v>
      </c>
      <c r="L73" s="455">
        <v>86.258961174671995</v>
      </c>
      <c r="M73" s="456">
        <v>2.4103119999999998</v>
      </c>
    </row>
    <row r="74" spans="1:13" x14ac:dyDescent="0.25">
      <c r="A74" s="971">
        <v>41974</v>
      </c>
      <c r="B74" s="975">
        <v>52.261814369174211</v>
      </c>
      <c r="C74" s="975">
        <v>32.356943999999999</v>
      </c>
      <c r="D74" s="975">
        <v>1.6277688299999999</v>
      </c>
      <c r="E74" s="975">
        <v>75.543021999999993</v>
      </c>
      <c r="F74" s="975">
        <v>3.2751842099999999</v>
      </c>
      <c r="G74" s="975">
        <v>104.173846</v>
      </c>
      <c r="H74" s="975">
        <v>2.11641842</v>
      </c>
      <c r="I74" s="975">
        <v>86.153610999999998</v>
      </c>
      <c r="J74" s="975">
        <v>1.5869059999999999</v>
      </c>
      <c r="K74" s="975">
        <v>54.631795999999994</v>
      </c>
      <c r="L74" s="975">
        <v>126.04155214094401</v>
      </c>
      <c r="M74" s="976">
        <v>3.4722389999999996</v>
      </c>
    </row>
    <row r="75" spans="1:13" x14ac:dyDescent="0.25">
      <c r="A75" s="971">
        <v>42064</v>
      </c>
      <c r="B75" s="455">
        <v>20.220822729957014</v>
      </c>
      <c r="C75" s="455">
        <v>13.192782999999999</v>
      </c>
      <c r="D75" s="455">
        <v>1.73593022</v>
      </c>
      <c r="E75" s="455">
        <v>85.775346999999996</v>
      </c>
      <c r="F75" s="455">
        <v>2.7974106699999997</v>
      </c>
      <c r="G75" s="455">
        <v>94.308602999999991</v>
      </c>
      <c r="H75" s="455">
        <v>2.3001332400000001</v>
      </c>
      <c r="I75" s="455">
        <v>80.105302999999992</v>
      </c>
      <c r="J75" s="455">
        <v>1.1466620000000001</v>
      </c>
      <c r="K75" s="455">
        <v>41.786538999999998</v>
      </c>
      <c r="L75" s="455">
        <v>118.11887453044801</v>
      </c>
      <c r="M75" s="456">
        <v>3.5442749999999998</v>
      </c>
    </row>
    <row r="76" spans="1:13" x14ac:dyDescent="0.25">
      <c r="A76" s="971">
        <v>42156</v>
      </c>
      <c r="B76" s="975">
        <v>46.344352060984974</v>
      </c>
      <c r="C76" s="975">
        <v>30.384001999999999</v>
      </c>
      <c r="D76" s="975">
        <v>1.6576670299999998</v>
      </c>
      <c r="E76" s="975">
        <v>81.469047000000003</v>
      </c>
      <c r="F76" s="975">
        <v>2.5150882299999999</v>
      </c>
      <c r="G76" s="975">
        <v>74.035737999999995</v>
      </c>
      <c r="H76" s="975">
        <v>2.9914851899999997</v>
      </c>
      <c r="I76" s="975">
        <v>84.097628</v>
      </c>
      <c r="J76" s="975">
        <v>1.7243069999999998</v>
      </c>
      <c r="K76" s="975">
        <v>61.667501999999999</v>
      </c>
      <c r="L76" s="975">
        <v>133.167358675824</v>
      </c>
      <c r="M76" s="976">
        <v>3.9539039999999996</v>
      </c>
    </row>
    <row r="77" spans="1:13" x14ac:dyDescent="0.25">
      <c r="A77" s="971">
        <v>42248</v>
      </c>
      <c r="B77" s="455">
        <v>46.272672263594266</v>
      </c>
      <c r="C77" s="455">
        <v>29.063519999999997</v>
      </c>
      <c r="D77" s="455">
        <v>1.7817292199999999</v>
      </c>
      <c r="E77" s="455">
        <v>87.926783999999998</v>
      </c>
      <c r="F77" s="455">
        <v>2.8467047499999998</v>
      </c>
      <c r="G77" s="455">
        <v>88.280248999999998</v>
      </c>
      <c r="H77" s="455">
        <v>3.71488218</v>
      </c>
      <c r="I77" s="455">
        <v>89.720455999999999</v>
      </c>
      <c r="J77" s="455">
        <v>1.3063420000000001</v>
      </c>
      <c r="K77" s="455">
        <v>49.770592000000001</v>
      </c>
      <c r="L77" s="455">
        <v>161.00901386380804</v>
      </c>
      <c r="M77" s="456">
        <v>4.2429069999999998</v>
      </c>
    </row>
    <row r="78" spans="1:13" x14ac:dyDescent="0.25">
      <c r="A78" s="971">
        <v>42339</v>
      </c>
      <c r="B78" s="975">
        <v>37.057262370465793</v>
      </c>
      <c r="C78" s="975">
        <v>23.435216999999998</v>
      </c>
      <c r="D78" s="975">
        <v>1.7704526699999998</v>
      </c>
      <c r="E78" s="975">
        <v>86.281213999999991</v>
      </c>
      <c r="F78" s="975">
        <v>3.2308495499999998</v>
      </c>
      <c r="G78" s="975">
        <v>98.521816000000001</v>
      </c>
      <c r="H78" s="975">
        <v>3.6368174599999996</v>
      </c>
      <c r="I78" s="975">
        <v>96.563993999999994</v>
      </c>
      <c r="J78" s="975">
        <v>1.543371</v>
      </c>
      <c r="K78" s="975">
        <v>46.247318</v>
      </c>
      <c r="L78" s="975">
        <v>120.89921432160001</v>
      </c>
      <c r="M78" s="976">
        <v>2.9649739999999998</v>
      </c>
    </row>
    <row r="79" spans="1:13" x14ac:dyDescent="0.25">
      <c r="A79" s="971">
        <v>42430</v>
      </c>
      <c r="B79" s="455">
        <v>32.492979094835114</v>
      </c>
      <c r="C79" s="455">
        <v>22.150397999999999</v>
      </c>
      <c r="D79" s="455">
        <v>1.7477521699999998</v>
      </c>
      <c r="E79" s="455">
        <v>84.967208999999997</v>
      </c>
      <c r="F79" s="455">
        <v>2.7306515</v>
      </c>
      <c r="G79" s="455">
        <v>86.755505999999997</v>
      </c>
      <c r="H79" s="455">
        <v>4.0032909399999994</v>
      </c>
      <c r="I79" s="455">
        <v>95.502229999999997</v>
      </c>
      <c r="J79" s="455">
        <v>1.3560670000000001</v>
      </c>
      <c r="K79" s="455">
        <v>40.263104999999996</v>
      </c>
      <c r="L79" s="455">
        <v>167.73296347843203</v>
      </c>
      <c r="M79" s="456">
        <v>3.5041919999999998</v>
      </c>
    </row>
    <row r="80" spans="1:13" x14ac:dyDescent="0.25">
      <c r="A80" s="971">
        <v>42522</v>
      </c>
      <c r="B80" s="975">
        <v>39.829370439861812</v>
      </c>
      <c r="C80" s="975">
        <v>30.137411</v>
      </c>
      <c r="D80" s="975">
        <v>1.5910167000000002</v>
      </c>
      <c r="E80" s="975">
        <v>77.291618</v>
      </c>
      <c r="F80" s="975">
        <v>2.1665156900000002</v>
      </c>
      <c r="G80" s="975">
        <v>63.713469152236442</v>
      </c>
      <c r="H80" s="975">
        <v>2.5145565199999997</v>
      </c>
      <c r="I80" s="975">
        <v>72.260983999999993</v>
      </c>
      <c r="J80" s="975">
        <v>1.2730859999999999</v>
      </c>
      <c r="K80" s="975">
        <v>38.565810999999997</v>
      </c>
      <c r="L80" s="975">
        <v>237.27256173403202</v>
      </c>
      <c r="M80" s="976">
        <v>5.9443679999999999</v>
      </c>
    </row>
    <row r="81" spans="1:13" x14ac:dyDescent="0.25">
      <c r="A81" s="971">
        <v>42614</v>
      </c>
      <c r="B81" s="455">
        <v>36.425656632892817</v>
      </c>
      <c r="C81" s="455">
        <v>26.293773999999999</v>
      </c>
      <c r="D81" s="455">
        <v>1.6530690309999998</v>
      </c>
      <c r="E81" s="455">
        <v>81.075592999999998</v>
      </c>
      <c r="F81" s="455">
        <v>2.7557906299999999</v>
      </c>
      <c r="G81" s="455">
        <v>81.550015000000002</v>
      </c>
      <c r="H81" s="455">
        <v>1.56046624</v>
      </c>
      <c r="I81" s="455">
        <v>50.855892999999995</v>
      </c>
      <c r="J81" s="455">
        <v>1.25075</v>
      </c>
      <c r="K81" s="455">
        <v>41.809353000000002</v>
      </c>
      <c r="L81" s="455">
        <v>159.83532416676002</v>
      </c>
      <c r="M81" s="456">
        <v>4.2244070000000002</v>
      </c>
    </row>
    <row r="82" spans="1:13" x14ac:dyDescent="0.25">
      <c r="A82" s="971">
        <v>42705</v>
      </c>
      <c r="B82" s="975">
        <v>49.659918801323641</v>
      </c>
      <c r="C82" s="975">
        <v>33.031580999999996</v>
      </c>
      <c r="D82" s="975">
        <v>1.7466794999999999</v>
      </c>
      <c r="E82" s="975">
        <v>86.068100999999999</v>
      </c>
      <c r="F82" s="975">
        <v>2.7572323500000002</v>
      </c>
      <c r="G82" s="975">
        <v>81.741233999999992</v>
      </c>
      <c r="H82" s="975">
        <v>1.9179383299999999</v>
      </c>
      <c r="I82" s="975">
        <v>58.440087999999996</v>
      </c>
      <c r="J82" s="975">
        <v>1.259846</v>
      </c>
      <c r="K82" s="975">
        <v>48.740401999999996</v>
      </c>
      <c r="L82" s="975">
        <v>197.37072003770882</v>
      </c>
      <c r="M82" s="976">
        <v>4.572336</v>
      </c>
    </row>
    <row r="83" spans="1:13" x14ac:dyDescent="0.25">
      <c r="A83" s="971">
        <v>42795</v>
      </c>
      <c r="B83" s="455">
        <v>26.809393093256034</v>
      </c>
      <c r="C83" s="455">
        <v>18.715737000000001</v>
      </c>
      <c r="D83" s="455">
        <v>1.7377971400000001</v>
      </c>
      <c r="E83" s="455">
        <v>87.505555000000001</v>
      </c>
      <c r="F83" s="455">
        <v>2.5023846199999999</v>
      </c>
      <c r="G83" s="455">
        <v>64.982561000000004</v>
      </c>
      <c r="H83" s="455">
        <v>5.18799075</v>
      </c>
      <c r="I83" s="455">
        <v>87.443330000000003</v>
      </c>
      <c r="J83" s="455">
        <v>1.013927</v>
      </c>
      <c r="K83" s="455">
        <v>57.565624</v>
      </c>
      <c r="L83" s="455">
        <v>159.4990022721216</v>
      </c>
      <c r="M83" s="456">
        <v>4.4570039999999995</v>
      </c>
    </row>
    <row r="84" spans="1:13" x14ac:dyDescent="0.25">
      <c r="A84" s="971">
        <v>42887</v>
      </c>
      <c r="B84" s="975">
        <v>29.030403695531678</v>
      </c>
      <c r="C84" s="975">
        <v>20.424388</v>
      </c>
      <c r="D84" s="975">
        <v>1.6688435500000001</v>
      </c>
      <c r="E84" s="975">
        <v>83.785795999999991</v>
      </c>
      <c r="F84" s="975">
        <v>2.8588712200000002</v>
      </c>
      <c r="G84" s="975">
        <v>64.944693585667338</v>
      </c>
      <c r="H84" s="975">
        <v>3.9406371199999999</v>
      </c>
      <c r="I84" s="975">
        <v>71.643782999999999</v>
      </c>
      <c r="J84" s="975">
        <v>1.234326</v>
      </c>
      <c r="K84" s="975">
        <v>91.52455599999999</v>
      </c>
      <c r="L84" s="975">
        <v>266.37512076801124</v>
      </c>
      <c r="M84" s="976">
        <v>8.5546340000000001</v>
      </c>
    </row>
    <row r="85" spans="1:13" x14ac:dyDescent="0.25">
      <c r="A85" s="971">
        <v>42979</v>
      </c>
      <c r="B85" s="455">
        <v>36.04664073744577</v>
      </c>
      <c r="C85" s="455">
        <v>25.170453999999999</v>
      </c>
      <c r="D85" s="455">
        <v>1.74735079</v>
      </c>
      <c r="E85" s="455">
        <v>84.514028999999994</v>
      </c>
      <c r="F85" s="455">
        <v>2.9615462299999997</v>
      </c>
      <c r="G85" s="455">
        <v>66.401518999999993</v>
      </c>
      <c r="H85" s="455">
        <v>2.2960930499999996</v>
      </c>
      <c r="I85" s="455">
        <v>43.130328999999996</v>
      </c>
      <c r="J85" s="455">
        <v>1.437778</v>
      </c>
      <c r="K85" s="455">
        <v>112.477273</v>
      </c>
      <c r="L85" s="455">
        <v>168.03892837971361</v>
      </c>
      <c r="M85" s="456">
        <v>5.9075479999999994</v>
      </c>
    </row>
    <row r="86" spans="1:13" x14ac:dyDescent="0.25">
      <c r="A86" s="971">
        <v>43070</v>
      </c>
      <c r="B86" s="975">
        <v>46.359948526184624</v>
      </c>
      <c r="C86" s="975">
        <v>27.932198999999997</v>
      </c>
      <c r="D86" s="975">
        <v>1.6606736999999998</v>
      </c>
      <c r="E86" s="975">
        <v>83.14025199999999</v>
      </c>
      <c r="F86" s="975">
        <v>3.3521844499999998</v>
      </c>
      <c r="G86" s="975">
        <v>78.665258999999992</v>
      </c>
      <c r="H86" s="975">
        <v>4.0531889699999999</v>
      </c>
      <c r="I86" s="975">
        <v>64.845235000000002</v>
      </c>
      <c r="J86" s="975">
        <v>1.3477970000000001</v>
      </c>
      <c r="K86" s="975">
        <v>121.121916</v>
      </c>
      <c r="L86" s="975">
        <v>171.2367390364752</v>
      </c>
      <c r="M86" s="976">
        <v>6.5911859999999995</v>
      </c>
    </row>
    <row r="87" spans="1:13" x14ac:dyDescent="0.25">
      <c r="A87" s="971">
        <v>43160</v>
      </c>
      <c r="B87" s="455">
        <v>26.355213935430552</v>
      </c>
      <c r="C87" s="455">
        <v>17.711662</v>
      </c>
      <c r="D87" s="455">
        <v>1.7157082399999999</v>
      </c>
      <c r="E87" s="455">
        <v>86.83162999999999</v>
      </c>
      <c r="F87" s="455">
        <v>3.0873070799999995</v>
      </c>
      <c r="G87" s="455">
        <v>71.361187515012915</v>
      </c>
      <c r="H87" s="455">
        <v>4.40610166</v>
      </c>
      <c r="I87" s="455">
        <v>74.533694999999994</v>
      </c>
      <c r="J87" s="455">
        <v>1.0993470000000001</v>
      </c>
      <c r="K87" s="455">
        <v>123.55183699999999</v>
      </c>
      <c r="L87" s="455">
        <v>156.47919681308639</v>
      </c>
      <c r="M87" s="456">
        <v>8.2516499999999997</v>
      </c>
    </row>
    <row r="88" spans="1:13" x14ac:dyDescent="0.25">
      <c r="A88" s="971">
        <v>43252</v>
      </c>
      <c r="B88" s="975">
        <v>42.788790955864485</v>
      </c>
      <c r="C88" s="975">
        <v>28.279785981089251</v>
      </c>
      <c r="D88" s="975">
        <v>1.5562021099999999</v>
      </c>
      <c r="E88" s="975">
        <v>77.473710999999994</v>
      </c>
      <c r="F88" s="975">
        <v>3.56273989</v>
      </c>
      <c r="G88" s="975">
        <v>86.517061999999996</v>
      </c>
      <c r="H88" s="975">
        <v>4.5259190499999997</v>
      </c>
      <c r="I88" s="975">
        <v>67.250491999999994</v>
      </c>
      <c r="J88" s="975">
        <v>1.315563</v>
      </c>
      <c r="K88" s="975">
        <v>154.56547899999998</v>
      </c>
      <c r="L88" s="975">
        <v>149.71832737150081</v>
      </c>
      <c r="M88" s="976">
        <v>5.4695239999999998</v>
      </c>
    </row>
    <row r="89" spans="1:13" x14ac:dyDescent="0.25">
      <c r="A89" s="971">
        <v>43344</v>
      </c>
      <c r="B89" s="455">
        <v>31.811328263150997</v>
      </c>
      <c r="C89" s="455">
        <v>20.453320999999999</v>
      </c>
      <c r="D89" s="455">
        <v>1.62737708</v>
      </c>
      <c r="E89" s="455">
        <v>82.302030999999999</v>
      </c>
      <c r="F89" s="455">
        <v>2.8697717200000001</v>
      </c>
      <c r="G89" s="455">
        <v>64.291879965490693</v>
      </c>
      <c r="H89" s="455">
        <v>2.3033010499999995</v>
      </c>
      <c r="I89" s="455">
        <v>42.755680999999996</v>
      </c>
      <c r="J89" s="455">
        <v>1.2339010000000001</v>
      </c>
      <c r="K89" s="455">
        <v>119.26661899999999</v>
      </c>
      <c r="L89" s="455">
        <v>110.3981828982912</v>
      </c>
      <c r="M89" s="456">
        <v>4.2562609999999994</v>
      </c>
    </row>
    <row r="90" spans="1:13" x14ac:dyDescent="0.25">
      <c r="A90" s="971">
        <v>43435</v>
      </c>
      <c r="B90" s="975">
        <v>42.886508282374876</v>
      </c>
      <c r="C90" s="975">
        <v>27.697673999999999</v>
      </c>
      <c r="D90" s="975">
        <v>1.5663788399999998</v>
      </c>
      <c r="E90" s="975">
        <v>80.768991999999997</v>
      </c>
      <c r="F90" s="975">
        <v>3.3746347999999999</v>
      </c>
      <c r="G90" s="975">
        <v>81.504491000000002</v>
      </c>
      <c r="H90" s="975">
        <v>4.7420326199999998</v>
      </c>
      <c r="I90" s="975">
        <v>74.245384000000001</v>
      </c>
      <c r="J90" s="975">
        <v>1.229287</v>
      </c>
      <c r="K90" s="975">
        <v>105.83277299999999</v>
      </c>
      <c r="L90" s="975">
        <v>124.16728773245279</v>
      </c>
      <c r="M90" s="976">
        <v>5.8479939999999999</v>
      </c>
    </row>
    <row r="91" spans="1:13" x14ac:dyDescent="0.25">
      <c r="A91" s="971">
        <v>43525</v>
      </c>
      <c r="B91" s="455">
        <v>32.162695376069713</v>
      </c>
      <c r="C91" s="455">
        <v>21.278261000000001</v>
      </c>
      <c r="D91" s="455">
        <v>1.5415049599999999</v>
      </c>
      <c r="E91" s="455">
        <v>78.712603000000001</v>
      </c>
      <c r="F91" s="455">
        <v>2.5285080199999999</v>
      </c>
      <c r="G91" s="455">
        <v>72.185452999999995</v>
      </c>
      <c r="H91" s="455">
        <v>1.9863081799999998</v>
      </c>
      <c r="I91" s="455">
        <v>55.170575999999997</v>
      </c>
      <c r="J91" s="455">
        <v>1.3442499999999997</v>
      </c>
      <c r="K91" s="455">
        <v>51.695200999999997</v>
      </c>
      <c r="L91" s="455">
        <v>129.42716559062399</v>
      </c>
      <c r="M91" s="456">
        <v>7.7773759999999994</v>
      </c>
    </row>
    <row r="92" spans="1:13" x14ac:dyDescent="0.25">
      <c r="A92" s="971">
        <v>43617</v>
      </c>
      <c r="B92" s="975">
        <v>22.551060718057251</v>
      </c>
      <c r="C92" s="975">
        <v>15.411465999999999</v>
      </c>
      <c r="D92" s="975">
        <v>1.5399295799999999</v>
      </c>
      <c r="E92" s="975">
        <v>77.586529999999996</v>
      </c>
      <c r="F92" s="975">
        <v>2.9565678399999995</v>
      </c>
      <c r="G92" s="975">
        <v>85.336044999999999</v>
      </c>
      <c r="H92" s="975">
        <v>2.1182529999999997</v>
      </c>
      <c r="I92" s="975">
        <v>47.049543</v>
      </c>
      <c r="J92" s="975">
        <v>1.41947</v>
      </c>
      <c r="K92" s="975">
        <v>55.857832999999999</v>
      </c>
      <c r="L92" s="975">
        <v>148.37913607440001</v>
      </c>
      <c r="M92" s="976">
        <v>10.194182</v>
      </c>
    </row>
    <row r="93" spans="1:13" x14ac:dyDescent="0.25">
      <c r="A93" s="971">
        <v>43709</v>
      </c>
      <c r="B93" s="455">
        <v>41.834602009286982</v>
      </c>
      <c r="C93" s="455">
        <v>31.539327</v>
      </c>
      <c r="D93" s="455">
        <v>1.5846551469999999</v>
      </c>
      <c r="E93" s="455">
        <v>82.282777999999993</v>
      </c>
      <c r="F93" s="455">
        <v>2.8121460319999994</v>
      </c>
      <c r="G93" s="455">
        <v>78.885829000000001</v>
      </c>
      <c r="H93" s="455">
        <v>5.7299032199999997</v>
      </c>
      <c r="I93" s="455">
        <v>76.779437999999999</v>
      </c>
      <c r="J93" s="455">
        <v>1.4453900000000002</v>
      </c>
      <c r="K93" s="455">
        <v>70.839694999999992</v>
      </c>
      <c r="L93" s="455">
        <v>139.03285233076801</v>
      </c>
      <c r="M93" s="456">
        <v>8.4347909999999988</v>
      </c>
    </row>
    <row r="94" spans="1:13" x14ac:dyDescent="0.25">
      <c r="A94" s="971">
        <v>43800</v>
      </c>
      <c r="B94" s="975">
        <v>34.039589023661755</v>
      </c>
      <c r="C94" s="975">
        <v>27.966258999999997</v>
      </c>
      <c r="D94" s="975">
        <v>1.57316126</v>
      </c>
      <c r="E94" s="975">
        <v>84.787373000000002</v>
      </c>
      <c r="F94" s="975">
        <v>3.1765463109999996</v>
      </c>
      <c r="G94" s="975">
        <v>96.980530000000002</v>
      </c>
      <c r="H94" s="975">
        <v>5.9292972099999997</v>
      </c>
      <c r="I94" s="975">
        <v>125.27854599999999</v>
      </c>
      <c r="J94" s="975">
        <v>1.5366069999999998</v>
      </c>
      <c r="K94" s="975">
        <v>82.655339999999995</v>
      </c>
      <c r="L94" s="975">
        <v>66.386327777616003</v>
      </c>
      <c r="M94" s="976">
        <v>6.2005219999999994</v>
      </c>
    </row>
    <row r="95" spans="1:13" x14ac:dyDescent="0.25">
      <c r="A95" s="971">
        <v>43891</v>
      </c>
      <c r="B95" s="455">
        <v>31.406201714773236</v>
      </c>
      <c r="C95" s="455">
        <v>24.779443000000001</v>
      </c>
      <c r="D95" s="455">
        <v>1.5964380499999997</v>
      </c>
      <c r="E95" s="455">
        <v>84.167677999999995</v>
      </c>
      <c r="F95" s="455">
        <v>2.5249831170000001</v>
      </c>
      <c r="G95" s="455">
        <v>94.675094000000001</v>
      </c>
      <c r="H95" s="455">
        <v>2.91525246</v>
      </c>
      <c r="I95" s="455">
        <v>43.605328999999998</v>
      </c>
      <c r="J95" s="455">
        <v>1.2211120000000002</v>
      </c>
      <c r="K95" s="455">
        <v>63.596278999999996</v>
      </c>
      <c r="L95" s="455">
        <v>110.18935415505601</v>
      </c>
      <c r="M95" s="456">
        <v>10.764702999999999</v>
      </c>
    </row>
    <row r="96" spans="1:13" x14ac:dyDescent="0.25">
      <c r="A96" s="971">
        <v>43983</v>
      </c>
      <c r="B96" s="975">
        <v>29.31222047840858</v>
      </c>
      <c r="C96" s="975">
        <v>24.937386</v>
      </c>
      <c r="D96" s="975">
        <v>1.4413593</v>
      </c>
      <c r="E96" s="975">
        <v>75.743397000000002</v>
      </c>
      <c r="F96" s="975">
        <v>2.7527097600000001</v>
      </c>
      <c r="G96" s="975">
        <v>104.58248599999999</v>
      </c>
      <c r="H96" s="975">
        <v>2.9154670699999996</v>
      </c>
      <c r="I96" s="975">
        <v>35.602719999999998</v>
      </c>
      <c r="J96" s="975">
        <v>1.5930059999999999</v>
      </c>
      <c r="K96" s="975">
        <v>78.072977999999992</v>
      </c>
      <c r="L96" s="975">
        <v>166.29816009364799</v>
      </c>
      <c r="M96" s="976">
        <v>14.218786</v>
      </c>
    </row>
    <row r="97" spans="1:13" x14ac:dyDescent="0.25">
      <c r="A97" s="971">
        <v>44075</v>
      </c>
      <c r="B97" s="455">
        <v>41.691413017075746</v>
      </c>
      <c r="C97" s="455">
        <v>46.856549999999999</v>
      </c>
      <c r="D97" s="455">
        <v>1.41177917</v>
      </c>
      <c r="E97" s="455">
        <v>81.802660000000003</v>
      </c>
      <c r="F97" s="455">
        <v>2.5471324769999999</v>
      </c>
      <c r="G97" s="455">
        <v>87.410006999999993</v>
      </c>
      <c r="H97" s="455">
        <v>3.6299270699999995</v>
      </c>
      <c r="I97" s="455">
        <v>43.648039999999995</v>
      </c>
      <c r="J97" s="455">
        <v>1.507558</v>
      </c>
      <c r="K97" s="455">
        <v>70.955322999999993</v>
      </c>
      <c r="L97" s="455">
        <v>118.833010357776</v>
      </c>
      <c r="M97" s="456">
        <v>9.2489889999999999</v>
      </c>
    </row>
    <row r="98" spans="1:13" x14ac:dyDescent="0.25">
      <c r="A98" s="971">
        <v>44166</v>
      </c>
      <c r="B98" s="994">
        <v>24.799014777728605</v>
      </c>
      <c r="C98" s="994">
        <v>27.088435</v>
      </c>
      <c r="D98" s="994">
        <v>1.1699307399999999</v>
      </c>
      <c r="E98" s="994">
        <v>67.683903999999998</v>
      </c>
      <c r="F98" s="994">
        <v>3.717483359</v>
      </c>
      <c r="G98" s="994">
        <v>144.018429</v>
      </c>
      <c r="H98" s="994">
        <v>4.4506945700000005</v>
      </c>
      <c r="I98" s="994">
        <v>67.525081999999998</v>
      </c>
      <c r="J98" s="994">
        <v>1.309472</v>
      </c>
      <c r="K98" s="994">
        <v>68.535090999999994</v>
      </c>
      <c r="L98" s="994">
        <v>126.33081447518401</v>
      </c>
      <c r="M98" s="995">
        <v>11.077496999999999</v>
      </c>
    </row>
    <row r="99" spans="1:13" x14ac:dyDescent="0.25">
      <c r="A99" s="971">
        <v>44256</v>
      </c>
      <c r="B99" s="455">
        <v>32.090822176255138</v>
      </c>
      <c r="C99" s="455">
        <v>34.563525999999996</v>
      </c>
      <c r="D99" s="455">
        <v>1.3174095299999999</v>
      </c>
      <c r="E99" s="455">
        <v>76.591329999999999</v>
      </c>
      <c r="F99" s="455">
        <v>3.0874519250000003</v>
      </c>
      <c r="G99" s="455">
        <v>190.24223999999998</v>
      </c>
      <c r="H99" s="455">
        <v>2.4338899999999998E-3</v>
      </c>
      <c r="I99" s="455">
        <v>0.92711299999999996</v>
      </c>
      <c r="J99" s="455">
        <v>1.175333</v>
      </c>
      <c r="K99" s="455">
        <v>72.859732999999991</v>
      </c>
      <c r="L99" s="455">
        <v>108.27773447092801</v>
      </c>
      <c r="M99" s="456">
        <v>8.9768489999999996</v>
      </c>
    </row>
    <row r="100" spans="1:13" x14ac:dyDescent="0.25">
      <c r="A100" s="971">
        <v>44348</v>
      </c>
      <c r="B100" s="994">
        <v>38.573647095651992</v>
      </c>
      <c r="C100" s="994">
        <v>40.414541999999997</v>
      </c>
      <c r="D100" s="994">
        <v>1.3733146000000001</v>
      </c>
      <c r="E100" s="994">
        <v>79.985511000000002</v>
      </c>
      <c r="F100" s="994">
        <v>3.1465455839999996</v>
      </c>
      <c r="G100" s="994">
        <v>131.689211</v>
      </c>
      <c r="H100" s="994">
        <v>0</v>
      </c>
      <c r="I100" s="994">
        <v>0</v>
      </c>
      <c r="J100" s="994">
        <v>1.3800860000000001</v>
      </c>
      <c r="K100" s="994">
        <v>87.277779999999993</v>
      </c>
      <c r="L100" s="994">
        <v>116.89059823161601</v>
      </c>
      <c r="M100" s="995">
        <v>10.982543</v>
      </c>
    </row>
    <row r="101" spans="1:13" x14ac:dyDescent="0.25">
      <c r="A101" s="971">
        <v>44440</v>
      </c>
      <c r="B101" s="455">
        <v>38.404541038086762</v>
      </c>
      <c r="C101" s="455">
        <v>39.663637999999999</v>
      </c>
      <c r="D101" s="455">
        <v>1.3325048799999999</v>
      </c>
      <c r="E101" s="455">
        <v>84.332038999999995</v>
      </c>
      <c r="F101" s="455">
        <v>2.7480873289999996</v>
      </c>
      <c r="G101" s="455">
        <v>122.471008</v>
      </c>
      <c r="H101" s="455">
        <v>4.3072919999999994E-2</v>
      </c>
      <c r="I101" s="455">
        <v>1.195627</v>
      </c>
      <c r="J101" s="455">
        <v>1.2264710000000001</v>
      </c>
      <c r="K101" s="455">
        <v>91.269767999999999</v>
      </c>
      <c r="L101" s="455">
        <v>104.12293203998401</v>
      </c>
      <c r="M101" s="456">
        <v>10.599755999999999</v>
      </c>
    </row>
    <row r="102" spans="1:13" x14ac:dyDescent="0.25">
      <c r="A102" s="971">
        <v>44531</v>
      </c>
      <c r="B102" s="994">
        <v>46.315750622626005</v>
      </c>
      <c r="C102" s="994">
        <v>46.427197999999997</v>
      </c>
      <c r="D102" s="994">
        <v>1.2499509499999999</v>
      </c>
      <c r="E102" s="994">
        <v>77.157381999999998</v>
      </c>
      <c r="F102" s="994">
        <v>3.2310897660000002</v>
      </c>
      <c r="G102" s="994">
        <v>155.51976299999998</v>
      </c>
      <c r="H102" s="994">
        <v>0</v>
      </c>
      <c r="I102" s="994">
        <v>0</v>
      </c>
      <c r="J102" s="994">
        <v>1.450277</v>
      </c>
      <c r="K102" s="994">
        <v>137.27249399999999</v>
      </c>
      <c r="L102" s="994">
        <v>141.05675556614403</v>
      </c>
      <c r="M102" s="995">
        <v>11.077971</v>
      </c>
    </row>
    <row r="103" spans="1:13" x14ac:dyDescent="0.25">
      <c r="A103" s="971">
        <v>44621</v>
      </c>
      <c r="B103" s="455">
        <v>38.749103270144197</v>
      </c>
      <c r="C103" s="455">
        <v>41.464129</v>
      </c>
      <c r="D103" s="455">
        <v>1.4480187499999999</v>
      </c>
      <c r="E103" s="455">
        <v>90.865843999999996</v>
      </c>
      <c r="F103" s="455">
        <v>2.946874207</v>
      </c>
      <c r="G103" s="455">
        <v>144.05978199999998</v>
      </c>
      <c r="H103" s="455">
        <v>0</v>
      </c>
      <c r="I103" s="455">
        <v>0</v>
      </c>
      <c r="J103" s="455">
        <v>1.3757750000000002</v>
      </c>
      <c r="K103" s="455">
        <v>152.23187799999999</v>
      </c>
      <c r="L103" s="455">
        <v>134.416163269344</v>
      </c>
      <c r="M103" s="456">
        <v>10.415823999999999</v>
      </c>
    </row>
    <row r="104" spans="1:13" x14ac:dyDescent="0.25">
      <c r="A104" s="971">
        <v>44713</v>
      </c>
      <c r="B104" s="994">
        <v>32.893021558383367</v>
      </c>
      <c r="C104" s="994">
        <v>30.408784999999998</v>
      </c>
      <c r="D104" s="994">
        <v>1.16391814</v>
      </c>
      <c r="E104" s="994">
        <v>72.292997</v>
      </c>
      <c r="F104" s="994">
        <v>2.7199882369999999</v>
      </c>
      <c r="G104" s="994">
        <v>135.494846</v>
      </c>
      <c r="H104" s="994">
        <v>0</v>
      </c>
      <c r="I104" s="994">
        <v>0</v>
      </c>
      <c r="J104" s="994">
        <v>1.2867120000000001</v>
      </c>
      <c r="K104" s="994">
        <v>136.04802699999999</v>
      </c>
      <c r="L104" s="994">
        <v>79.315109979072005</v>
      </c>
      <c r="M104" s="995">
        <v>6.8922840000000001</v>
      </c>
    </row>
    <row r="105" spans="1:13" x14ac:dyDescent="0.25">
      <c r="A105" s="971">
        <v>44805</v>
      </c>
      <c r="B105" s="455">
        <v>27.650683199607496</v>
      </c>
      <c r="C105" s="455">
        <v>25.852041</v>
      </c>
      <c r="D105" s="455">
        <v>1.0285277799999999</v>
      </c>
      <c r="E105" s="455">
        <v>66.986105999999992</v>
      </c>
      <c r="F105" s="455">
        <v>2.8528641799999996</v>
      </c>
      <c r="G105" s="455">
        <v>155.28125199999999</v>
      </c>
      <c r="H105" s="455">
        <v>0</v>
      </c>
      <c r="I105" s="455">
        <v>0</v>
      </c>
      <c r="J105" s="455">
        <v>1.6037910000000002</v>
      </c>
      <c r="K105" s="455">
        <v>127.82659799999999</v>
      </c>
      <c r="L105" s="455">
        <v>172.21777379822402</v>
      </c>
      <c r="M105" s="456">
        <v>14.151306</v>
      </c>
    </row>
    <row r="106" spans="1:13" x14ac:dyDescent="0.25">
      <c r="A106" s="971">
        <v>44896</v>
      </c>
      <c r="B106" s="994">
        <v>29.820443333119492</v>
      </c>
      <c r="C106" s="994">
        <v>32.200420000000001</v>
      </c>
      <c r="D106" s="994">
        <v>1.14889679</v>
      </c>
      <c r="E106" s="994">
        <v>83.778390999999999</v>
      </c>
      <c r="F106" s="994">
        <v>3.1612564719999998</v>
      </c>
      <c r="G106" s="994">
        <v>190.66559599999999</v>
      </c>
      <c r="H106" s="994">
        <v>0</v>
      </c>
      <c r="I106" s="994">
        <v>0</v>
      </c>
      <c r="J106" s="994">
        <v>1.5909739999999999</v>
      </c>
      <c r="K106" s="994">
        <v>108.537109</v>
      </c>
      <c r="L106" s="994">
        <v>105.62180858697602</v>
      </c>
      <c r="M106" s="995">
        <v>8.543080999999999</v>
      </c>
    </row>
    <row r="107" spans="1:13" x14ac:dyDescent="0.25">
      <c r="A107" s="971">
        <v>44986</v>
      </c>
      <c r="B107" s="455">
        <v>24.214639448284768</v>
      </c>
      <c r="C107" s="455">
        <v>26.927002999999999</v>
      </c>
      <c r="D107" s="455">
        <v>1.3415252199999999</v>
      </c>
      <c r="E107" s="455">
        <v>116.32028299999999</v>
      </c>
      <c r="F107" s="455">
        <v>2.6316265699999999</v>
      </c>
      <c r="G107" s="455">
        <v>170.96093199999999</v>
      </c>
      <c r="H107" s="455">
        <v>0</v>
      </c>
      <c r="I107" s="455">
        <v>0</v>
      </c>
      <c r="J107" s="455">
        <v>1.4530339999999999</v>
      </c>
      <c r="K107" s="455">
        <v>74.624940999999993</v>
      </c>
      <c r="L107" s="455">
        <v>150.00335963289604</v>
      </c>
      <c r="M107" s="456">
        <v>9.9598870000000002</v>
      </c>
    </row>
    <row r="108" spans="1:13" x14ac:dyDescent="0.25">
      <c r="A108" s="971">
        <v>45078</v>
      </c>
      <c r="B108" s="994">
        <v>31.627871385896899</v>
      </c>
      <c r="C108" s="994">
        <v>36.676192999999998</v>
      </c>
      <c r="D108" s="994">
        <v>1.25394377</v>
      </c>
      <c r="E108" s="994">
        <v>108.742921</v>
      </c>
      <c r="F108" s="994">
        <v>2.9481108479999998</v>
      </c>
      <c r="G108" s="994">
        <v>198.51294999999999</v>
      </c>
      <c r="H108" s="994">
        <v>0</v>
      </c>
      <c r="I108" s="994">
        <v>0</v>
      </c>
      <c r="J108" s="994">
        <v>1.2302149999999998</v>
      </c>
      <c r="K108" s="994">
        <v>58.909860999999999</v>
      </c>
      <c r="L108" s="994">
        <v>140.49907022712</v>
      </c>
      <c r="M108" s="995">
        <v>8.6669099999999997</v>
      </c>
    </row>
    <row r="109" spans="1:13" x14ac:dyDescent="0.25">
      <c r="A109" s="971">
        <v>45170</v>
      </c>
      <c r="B109" s="455">
        <v>29.76803260095625</v>
      </c>
      <c r="C109" s="455">
        <v>34.117581000000001</v>
      </c>
      <c r="D109" s="455">
        <v>1.22165641</v>
      </c>
      <c r="E109" s="455">
        <v>103.83120699999999</v>
      </c>
      <c r="F109" s="455">
        <v>2.7971083239999999</v>
      </c>
      <c r="G109" s="455">
        <v>185.97877800000001</v>
      </c>
      <c r="H109" s="455">
        <v>0</v>
      </c>
      <c r="I109" s="455">
        <v>0</v>
      </c>
      <c r="J109" s="455">
        <v>1.1837869999999999</v>
      </c>
      <c r="K109" s="455">
        <v>59.163267999999995</v>
      </c>
      <c r="L109" s="455">
        <v>114.88877846476802</v>
      </c>
      <c r="M109" s="456">
        <v>6.4273229999999995</v>
      </c>
    </row>
    <row r="110" spans="1:13" x14ac:dyDescent="0.25">
      <c r="A110" s="971">
        <v>45261</v>
      </c>
      <c r="B110" s="994">
        <v>22.996452832651947</v>
      </c>
      <c r="C110" s="994">
        <v>26.630289999999999</v>
      </c>
      <c r="D110" s="994">
        <v>1.4430569899999999</v>
      </c>
      <c r="E110" s="994">
        <v>127.27826499999999</v>
      </c>
      <c r="F110" s="994">
        <v>3.2438243230000001</v>
      </c>
      <c r="G110" s="994">
        <v>236.177841</v>
      </c>
      <c r="H110" s="994">
        <v>0</v>
      </c>
      <c r="I110" s="994">
        <v>0</v>
      </c>
      <c r="J110" s="994">
        <v>1.2696729999999998</v>
      </c>
      <c r="K110" s="994">
        <v>61.342171</v>
      </c>
      <c r="L110" s="994">
        <v>106.71043027497601</v>
      </c>
      <c r="M110" s="995">
        <v>5.2564060000000001</v>
      </c>
    </row>
    <row r="111" spans="1:13" x14ac:dyDescent="0.25">
      <c r="A111" s="971">
        <v>45352</v>
      </c>
      <c r="B111" s="455">
        <v>18.880131275411177</v>
      </c>
      <c r="C111" s="455">
        <v>23.142346</v>
      </c>
      <c r="D111" s="455">
        <v>1.4057876200000001</v>
      </c>
      <c r="E111" s="455">
        <v>119.741918</v>
      </c>
      <c r="F111" s="455">
        <v>2.9003270040000002</v>
      </c>
      <c r="G111" s="455">
        <v>194.984295</v>
      </c>
      <c r="H111" s="455">
        <v>0</v>
      </c>
      <c r="I111" s="455">
        <v>0</v>
      </c>
      <c r="J111" s="455">
        <v>1.1829179999999999</v>
      </c>
      <c r="K111" s="455">
        <v>49.758250372558429</v>
      </c>
      <c r="L111" s="455">
        <v>110.44906818633599</v>
      </c>
      <c r="M111" s="456">
        <v>4.6258919999999994</v>
      </c>
    </row>
    <row r="112" spans="1:13" x14ac:dyDescent="0.25">
      <c r="A112" s="971">
        <v>45444</v>
      </c>
      <c r="B112" s="994">
        <v>23.086618546030092</v>
      </c>
      <c r="C112" s="994">
        <v>32.779145</v>
      </c>
      <c r="D112" s="994">
        <v>1.2706316</v>
      </c>
      <c r="E112" s="994">
        <v>112.14107</v>
      </c>
      <c r="F112" s="994">
        <v>2.9308160619999999</v>
      </c>
      <c r="G112" s="994">
        <v>197.673359</v>
      </c>
      <c r="H112" s="994">
        <v>0</v>
      </c>
      <c r="I112" s="994">
        <v>0</v>
      </c>
      <c r="J112" s="994">
        <v>1.2508509999999999</v>
      </c>
      <c r="K112" s="994">
        <v>48.861489152968176</v>
      </c>
      <c r="L112" s="994">
        <v>186.68151257976001</v>
      </c>
      <c r="M112" s="995">
        <v>8.1409729999999989</v>
      </c>
    </row>
    <row r="113" spans="1:13" x14ac:dyDescent="0.25">
      <c r="A113" s="971">
        <v>45536</v>
      </c>
      <c r="B113" s="455">
        <v>24.889869580224481</v>
      </c>
      <c r="C113" s="455">
        <v>35.321360999999996</v>
      </c>
      <c r="D113" s="455">
        <v>1.1705731699999999</v>
      </c>
      <c r="E113" s="455">
        <v>107.447919</v>
      </c>
      <c r="F113" s="455">
        <v>3.1598487359999998</v>
      </c>
      <c r="G113" s="455">
        <v>205.97863699999999</v>
      </c>
      <c r="H113" s="455">
        <v>6.6582899999999999E-3</v>
      </c>
      <c r="I113" s="455">
        <v>1.760119</v>
      </c>
      <c r="J113" s="455">
        <v>1.1968619999999999</v>
      </c>
      <c r="K113" s="455">
        <v>42.440585999999996</v>
      </c>
      <c r="L113" s="455">
        <v>190.803656360064</v>
      </c>
      <c r="M113" s="456">
        <v>7.67523</v>
      </c>
    </row>
    <row r="114" spans="1:13" x14ac:dyDescent="0.25">
      <c r="A114" s="971">
        <v>45627</v>
      </c>
      <c r="B114" s="994">
        <v>26.55078802632999</v>
      </c>
      <c r="C114" s="994">
        <v>41.264378999999998</v>
      </c>
      <c r="D114" s="994">
        <v>1.1917044699999999</v>
      </c>
      <c r="E114" s="994">
        <v>122.333074</v>
      </c>
      <c r="F114" s="994">
        <v>3.0223080229999999</v>
      </c>
      <c r="G114" s="994">
        <v>203.96503338622429</v>
      </c>
      <c r="H114" s="994">
        <v>0</v>
      </c>
      <c r="I114" s="994">
        <v>0</v>
      </c>
      <c r="J114" s="994">
        <v>1.130301</v>
      </c>
      <c r="K114" s="994">
        <v>37.815801</v>
      </c>
      <c r="L114" s="994">
        <v>87.439027084464016</v>
      </c>
      <c r="M114" s="995">
        <v>3.8101989999999999</v>
      </c>
    </row>
    <row r="115" spans="1:13" x14ac:dyDescent="0.25">
      <c r="A115" s="971">
        <v>45717</v>
      </c>
      <c r="B115" s="455">
        <v>20.892301775629139</v>
      </c>
      <c r="C115" s="455">
        <v>34.297964</v>
      </c>
      <c r="D115" s="455">
        <v>1.4317318399999999</v>
      </c>
      <c r="E115" s="455">
        <v>139.78142</v>
      </c>
      <c r="F115" s="455">
        <v>2.830956483</v>
      </c>
      <c r="G115" s="455">
        <v>186.54607779299852</v>
      </c>
      <c r="H115" s="455">
        <v>1.8211999999999999E-2</v>
      </c>
      <c r="I115" s="455">
        <v>3.3601389999999998</v>
      </c>
      <c r="J115" s="455">
        <v>0.91966100000000006</v>
      </c>
      <c r="K115" s="455">
        <v>41.247762000000002</v>
      </c>
      <c r="L115" s="455">
        <v>0</v>
      </c>
      <c r="M115" s="456">
        <v>0</v>
      </c>
    </row>
    <row r="116" spans="1:13" x14ac:dyDescent="0.25">
      <c r="A116" s="971">
        <v>45809</v>
      </c>
      <c r="B116" s="994">
        <v>27.27256359522044</v>
      </c>
      <c r="C116" s="994">
        <v>46.856969999999997</v>
      </c>
      <c r="D116" s="994">
        <v>1.5014202599999997</v>
      </c>
      <c r="E116" s="994">
        <v>134.058896</v>
      </c>
      <c r="F116" s="994">
        <v>2.6712400510000003</v>
      </c>
      <c r="G116" s="994">
        <v>163.623244</v>
      </c>
      <c r="H116" s="994">
        <v>0</v>
      </c>
      <c r="I116" s="994">
        <v>0</v>
      </c>
      <c r="J116" s="994">
        <v>0.62975000000000003</v>
      </c>
      <c r="K116" s="994">
        <v>32.987166999999999</v>
      </c>
      <c r="L116" s="994">
        <v>0</v>
      </c>
      <c r="M116" s="995">
        <v>0</v>
      </c>
    </row>
    <row r="117" spans="1:13" x14ac:dyDescent="0.25">
      <c r="A117" s="971">
        <v>45901</v>
      </c>
      <c r="B117" s="455">
        <v>31.433344572520031</v>
      </c>
      <c r="C117" s="455">
        <v>65.754684999999995</v>
      </c>
      <c r="D117" s="455">
        <v>1.4143385899999998</v>
      </c>
      <c r="E117" s="455">
        <v>136.339157</v>
      </c>
      <c r="F117" s="455">
        <v>3.3403000199999999</v>
      </c>
      <c r="G117" s="455">
        <v>203.96060700836537</v>
      </c>
      <c r="H117" s="455">
        <v>0</v>
      </c>
      <c r="I117" s="455">
        <v>0</v>
      </c>
      <c r="J117" s="455">
        <v>0.88282300000000002</v>
      </c>
      <c r="K117" s="455">
        <v>47.157435999999997</v>
      </c>
      <c r="L117" s="455">
        <v>0</v>
      </c>
      <c r="M117" s="456">
        <v>0</v>
      </c>
    </row>
    <row r="118" spans="1:13" ht="15.75" thickBot="1" x14ac:dyDescent="0.3">
      <c r="A118" s="979">
        <v>45992</v>
      </c>
      <c r="B118" s="996">
        <v>28.545853212402896</v>
      </c>
      <c r="C118" s="996">
        <v>76.601443000000003</v>
      </c>
      <c r="D118" s="996">
        <v>1.24013431</v>
      </c>
      <c r="E118" s="996">
        <v>119.152996</v>
      </c>
      <c r="F118" s="996">
        <v>3.5825949269999997</v>
      </c>
      <c r="G118" s="996">
        <v>200.50454022817812</v>
      </c>
      <c r="H118" s="996">
        <v>0</v>
      </c>
      <c r="I118" s="996">
        <v>0</v>
      </c>
      <c r="J118" s="996">
        <v>0.61780600000000008</v>
      </c>
      <c r="K118" s="996">
        <v>46.469108999999996</v>
      </c>
      <c r="L118" s="996">
        <v>0</v>
      </c>
      <c r="M118" s="997">
        <v>0</v>
      </c>
    </row>
    <row r="119" spans="1:13" x14ac:dyDescent="0.25">
      <c r="C119" s="193"/>
    </row>
    <row r="120" spans="1:13" x14ac:dyDescent="0.25">
      <c r="C120" s="193"/>
    </row>
    <row r="121" spans="1:13" x14ac:dyDescent="0.25">
      <c r="C121" s="193"/>
    </row>
    <row r="122" spans="1:13" x14ac:dyDescent="0.25">
      <c r="C122" s="193"/>
    </row>
    <row r="123" spans="1:13" x14ac:dyDescent="0.25">
      <c r="C123" s="193"/>
    </row>
    <row r="124" spans="1:13" x14ac:dyDescent="0.25">
      <c r="C124" s="193"/>
    </row>
    <row r="125" spans="1:13" x14ac:dyDescent="0.25">
      <c r="C125" s="193"/>
    </row>
    <row r="126" spans="1:13" x14ac:dyDescent="0.25">
      <c r="C126" s="193"/>
    </row>
    <row r="127" spans="1:13" x14ac:dyDescent="0.25">
      <c r="C127" s="193"/>
    </row>
    <row r="128" spans="1:13" x14ac:dyDescent="0.25">
      <c r="C128" s="193"/>
    </row>
    <row r="129" spans="3:3" x14ac:dyDescent="0.25">
      <c r="C129" s="193"/>
    </row>
    <row r="130" spans="3:3" x14ac:dyDescent="0.25">
      <c r="C130" s="193"/>
    </row>
    <row r="131" spans="3:3" x14ac:dyDescent="0.25">
      <c r="C131" s="193"/>
    </row>
    <row r="132" spans="3:3" x14ac:dyDescent="0.25">
      <c r="C132" s="193"/>
    </row>
    <row r="133" spans="3:3" x14ac:dyDescent="0.25">
      <c r="C133" s="193"/>
    </row>
    <row r="134" spans="3:3" x14ac:dyDescent="0.25">
      <c r="C134" s="193"/>
    </row>
    <row r="135" spans="3:3" x14ac:dyDescent="0.25">
      <c r="C135" s="193"/>
    </row>
    <row r="136" spans="3:3" x14ac:dyDescent="0.25">
      <c r="C136" s="193"/>
    </row>
    <row r="137" spans="3:3" x14ac:dyDescent="0.25">
      <c r="C137" s="193"/>
    </row>
    <row r="138" spans="3:3" x14ac:dyDescent="0.25">
      <c r="C138" s="193"/>
    </row>
    <row r="139" spans="3:3" x14ac:dyDescent="0.25">
      <c r="C139" s="193"/>
    </row>
    <row r="140" spans="3:3" x14ac:dyDescent="0.25">
      <c r="C140" s="193"/>
    </row>
    <row r="141" spans="3:3" x14ac:dyDescent="0.25">
      <c r="C141" s="193"/>
    </row>
    <row r="142" spans="3:3" x14ac:dyDescent="0.25">
      <c r="C142" s="193"/>
    </row>
    <row r="143" spans="3:3" x14ac:dyDescent="0.25">
      <c r="C143" s="193"/>
    </row>
    <row r="144" spans="3:3" x14ac:dyDescent="0.25">
      <c r="C144" s="193"/>
    </row>
    <row r="145" spans="3:3" x14ac:dyDescent="0.25">
      <c r="C145" s="193"/>
    </row>
    <row r="146" spans="3:3" x14ac:dyDescent="0.25">
      <c r="C146" s="193"/>
    </row>
    <row r="147" spans="3:3" x14ac:dyDescent="0.25">
      <c r="C147" s="193"/>
    </row>
    <row r="148" spans="3:3" x14ac:dyDescent="0.25">
      <c r="C148" s="193"/>
    </row>
    <row r="149" spans="3:3" x14ac:dyDescent="0.25">
      <c r="C149" s="193"/>
    </row>
    <row r="150" spans="3:3" x14ac:dyDescent="0.25">
      <c r="C150" s="193"/>
    </row>
    <row r="151" spans="3:3" x14ac:dyDescent="0.25">
      <c r="C151" s="193"/>
    </row>
    <row r="152" spans="3:3" x14ac:dyDescent="0.25">
      <c r="C152" s="193"/>
    </row>
    <row r="153" spans="3:3" x14ac:dyDescent="0.25">
      <c r="C153" s="193"/>
    </row>
    <row r="154" spans="3:3" x14ac:dyDescent="0.25">
      <c r="C154" s="193"/>
    </row>
    <row r="155" spans="3:3" x14ac:dyDescent="0.25">
      <c r="C155" s="193"/>
    </row>
    <row r="156" spans="3:3" x14ac:dyDescent="0.25">
      <c r="C156" s="193"/>
    </row>
    <row r="157" spans="3:3" x14ac:dyDescent="0.25">
      <c r="C157" s="193"/>
    </row>
    <row r="158" spans="3:3" x14ac:dyDescent="0.25">
      <c r="C158" s="193"/>
    </row>
    <row r="159" spans="3:3" x14ac:dyDescent="0.25">
      <c r="C159" s="193"/>
    </row>
    <row r="160" spans="3:3" x14ac:dyDescent="0.25">
      <c r="C160" s="193"/>
    </row>
    <row r="161" spans="3:3" x14ac:dyDescent="0.25">
      <c r="C161" s="193"/>
    </row>
    <row r="162" spans="3:3" x14ac:dyDescent="0.25">
      <c r="C162" s="193"/>
    </row>
    <row r="163" spans="3:3" x14ac:dyDescent="0.25">
      <c r="C163" s="193"/>
    </row>
    <row r="164" spans="3:3" x14ac:dyDescent="0.25">
      <c r="C164" s="193"/>
    </row>
    <row r="165" spans="3:3" x14ac:dyDescent="0.25">
      <c r="C165" s="193"/>
    </row>
    <row r="166" spans="3:3" x14ac:dyDescent="0.25">
      <c r="C166" s="193"/>
    </row>
    <row r="167" spans="3:3" x14ac:dyDescent="0.25">
      <c r="C167" s="193"/>
    </row>
    <row r="168" spans="3:3" x14ac:dyDescent="0.25">
      <c r="C168" s="193"/>
    </row>
    <row r="169" spans="3:3" x14ac:dyDescent="0.25">
      <c r="C169" s="193"/>
    </row>
    <row r="170" spans="3:3" x14ac:dyDescent="0.25">
      <c r="C170" s="193"/>
    </row>
    <row r="171" spans="3:3" x14ac:dyDescent="0.25">
      <c r="C171" s="193"/>
    </row>
    <row r="172" spans="3:3" x14ac:dyDescent="0.25">
      <c r="C172" s="193"/>
    </row>
    <row r="173" spans="3:3" x14ac:dyDescent="0.25">
      <c r="C173" s="193"/>
    </row>
    <row r="174" spans="3:3" x14ac:dyDescent="0.25">
      <c r="C174" s="193"/>
    </row>
    <row r="175" spans="3:3" x14ac:dyDescent="0.25">
      <c r="C175" s="193"/>
    </row>
    <row r="176" spans="3:3" x14ac:dyDescent="0.25">
      <c r="C176" s="193"/>
    </row>
    <row r="177" spans="3:3" x14ac:dyDescent="0.25">
      <c r="C177" s="193"/>
    </row>
    <row r="178" spans="3:3" x14ac:dyDescent="0.25">
      <c r="C178" s="193"/>
    </row>
    <row r="179" spans="3:3" x14ac:dyDescent="0.25">
      <c r="C179" s="193"/>
    </row>
    <row r="180" spans="3:3" x14ac:dyDescent="0.25">
      <c r="C180" s="193"/>
    </row>
    <row r="181" spans="3:3" x14ac:dyDescent="0.25">
      <c r="C181" s="193"/>
    </row>
    <row r="182" spans="3:3" x14ac:dyDescent="0.25">
      <c r="C182" s="193"/>
    </row>
    <row r="183" spans="3:3" x14ac:dyDescent="0.25">
      <c r="C183" s="193"/>
    </row>
    <row r="184" spans="3:3" x14ac:dyDescent="0.25">
      <c r="C184" s="193"/>
    </row>
    <row r="185" spans="3:3" x14ac:dyDescent="0.25">
      <c r="C185" s="193"/>
    </row>
    <row r="186" spans="3:3" x14ac:dyDescent="0.25">
      <c r="C186" s="193"/>
    </row>
    <row r="187" spans="3:3" x14ac:dyDescent="0.25">
      <c r="C187" s="193"/>
    </row>
    <row r="188" spans="3:3" x14ac:dyDescent="0.25">
      <c r="C188" s="193"/>
    </row>
    <row r="189" spans="3:3" x14ac:dyDescent="0.25">
      <c r="C189" s="193"/>
    </row>
    <row r="190" spans="3:3" x14ac:dyDescent="0.25">
      <c r="C190" s="193"/>
    </row>
    <row r="191" spans="3:3" x14ac:dyDescent="0.25">
      <c r="C191" s="193"/>
    </row>
    <row r="192" spans="3:3" x14ac:dyDescent="0.25">
      <c r="C192" s="193"/>
    </row>
    <row r="193" spans="3:3" x14ac:dyDescent="0.25">
      <c r="C193" s="193"/>
    </row>
    <row r="194" spans="3:3" x14ac:dyDescent="0.25">
      <c r="C194" s="193"/>
    </row>
    <row r="195" spans="3:3" x14ac:dyDescent="0.25">
      <c r="C195" s="193"/>
    </row>
    <row r="196" spans="3:3" x14ac:dyDescent="0.25">
      <c r="C196" s="193"/>
    </row>
    <row r="197" spans="3:3" x14ac:dyDescent="0.25">
      <c r="C197" s="193"/>
    </row>
    <row r="198" spans="3:3" x14ac:dyDescent="0.25">
      <c r="C198" s="193"/>
    </row>
    <row r="199" spans="3:3" x14ac:dyDescent="0.25">
      <c r="C199" s="193"/>
    </row>
    <row r="200" spans="3:3" x14ac:dyDescent="0.25">
      <c r="C200" s="193"/>
    </row>
    <row r="201" spans="3:3" x14ac:dyDescent="0.25">
      <c r="C201" s="193"/>
    </row>
    <row r="202" spans="3:3" x14ac:dyDescent="0.25">
      <c r="C202" s="193"/>
    </row>
    <row r="203" spans="3:3" x14ac:dyDescent="0.25">
      <c r="C203" s="193"/>
    </row>
    <row r="204" spans="3:3" x14ac:dyDescent="0.25">
      <c r="C204" s="193"/>
    </row>
    <row r="205" spans="3:3" x14ac:dyDescent="0.25">
      <c r="C205" s="193"/>
    </row>
    <row r="206" spans="3:3" x14ac:dyDescent="0.25">
      <c r="C206" s="193"/>
    </row>
    <row r="207" spans="3:3" x14ac:dyDescent="0.25">
      <c r="C207" s="193"/>
    </row>
    <row r="208" spans="3:3" x14ac:dyDescent="0.25">
      <c r="C208" s="193"/>
    </row>
    <row r="209" spans="3:3" x14ac:dyDescent="0.25">
      <c r="C209" s="193"/>
    </row>
    <row r="210" spans="3:3" x14ac:dyDescent="0.25">
      <c r="C210" s="193"/>
    </row>
    <row r="211" spans="3:3" x14ac:dyDescent="0.25">
      <c r="C211" s="193"/>
    </row>
    <row r="212" spans="3:3" x14ac:dyDescent="0.25">
      <c r="C212" s="193"/>
    </row>
    <row r="213" spans="3:3" x14ac:dyDescent="0.25">
      <c r="C213" s="193"/>
    </row>
    <row r="214" spans="3:3" x14ac:dyDescent="0.25">
      <c r="C214" s="193"/>
    </row>
    <row r="215" spans="3:3" x14ac:dyDescent="0.25">
      <c r="C215" s="193"/>
    </row>
    <row r="216" spans="3:3" x14ac:dyDescent="0.25">
      <c r="C216" s="193"/>
    </row>
    <row r="217" spans="3:3" x14ac:dyDescent="0.25">
      <c r="C217" s="193"/>
    </row>
    <row r="218" spans="3:3" x14ac:dyDescent="0.25">
      <c r="C218" s="193"/>
    </row>
    <row r="219" spans="3:3" x14ac:dyDescent="0.25">
      <c r="C219" s="193"/>
    </row>
    <row r="220" spans="3:3" x14ac:dyDescent="0.25">
      <c r="C220" s="193"/>
    </row>
    <row r="221" spans="3:3" x14ac:dyDescent="0.25">
      <c r="C221" s="193"/>
    </row>
    <row r="222" spans="3:3" x14ac:dyDescent="0.25">
      <c r="C222" s="193"/>
    </row>
    <row r="223" spans="3:3" x14ac:dyDescent="0.25">
      <c r="C223" s="193"/>
    </row>
    <row r="224" spans="3:3" x14ac:dyDescent="0.25">
      <c r="C224" s="193"/>
    </row>
    <row r="225" spans="3:3" x14ac:dyDescent="0.25">
      <c r="C225" s="193"/>
    </row>
    <row r="226" spans="3:3" x14ac:dyDescent="0.25">
      <c r="C226" s="193"/>
    </row>
    <row r="227" spans="3:3" x14ac:dyDescent="0.25">
      <c r="C227" s="193"/>
    </row>
    <row r="228" spans="3:3" x14ac:dyDescent="0.25">
      <c r="C228" s="193"/>
    </row>
    <row r="229" spans="3:3" x14ac:dyDescent="0.25">
      <c r="C229" s="193"/>
    </row>
    <row r="230" spans="3:3" x14ac:dyDescent="0.25">
      <c r="C230" s="193"/>
    </row>
    <row r="231" spans="3:3" x14ac:dyDescent="0.25">
      <c r="C231" s="193"/>
    </row>
    <row r="232" spans="3:3" x14ac:dyDescent="0.25">
      <c r="C232" s="193"/>
    </row>
    <row r="233" spans="3:3" x14ac:dyDescent="0.25">
      <c r="C233" s="193"/>
    </row>
    <row r="234" spans="3:3" x14ac:dyDescent="0.25">
      <c r="C234" s="193"/>
    </row>
    <row r="235" spans="3:3" x14ac:dyDescent="0.25">
      <c r="C235" s="193"/>
    </row>
    <row r="236" spans="3:3" x14ac:dyDescent="0.25">
      <c r="C236" s="193"/>
    </row>
    <row r="237" spans="3:3" x14ac:dyDescent="0.25">
      <c r="C237" s="193"/>
    </row>
    <row r="238" spans="3:3" x14ac:dyDescent="0.25">
      <c r="C238" s="193"/>
    </row>
    <row r="239" spans="3:3" x14ac:dyDescent="0.25">
      <c r="C239" s="193"/>
    </row>
    <row r="240" spans="3:3" x14ac:dyDescent="0.25">
      <c r="C240" s="193"/>
    </row>
    <row r="241" spans="3:3" x14ac:dyDescent="0.25">
      <c r="C241" s="193"/>
    </row>
    <row r="242" spans="3:3" x14ac:dyDescent="0.25">
      <c r="C242" s="193"/>
    </row>
    <row r="243" spans="3:3" x14ac:dyDescent="0.25">
      <c r="C243" s="193"/>
    </row>
    <row r="244" spans="3:3" x14ac:dyDescent="0.25">
      <c r="C244" s="193"/>
    </row>
    <row r="245" spans="3:3" x14ac:dyDescent="0.25">
      <c r="C245" s="193"/>
    </row>
    <row r="246" spans="3:3" x14ac:dyDescent="0.25">
      <c r="C246" s="193"/>
    </row>
    <row r="247" spans="3:3" x14ac:dyDescent="0.25">
      <c r="C247" s="193"/>
    </row>
    <row r="248" spans="3:3" x14ac:dyDescent="0.25">
      <c r="C248" s="193"/>
    </row>
    <row r="249" spans="3:3" x14ac:dyDescent="0.25">
      <c r="C249" s="193"/>
    </row>
    <row r="250" spans="3:3" x14ac:dyDescent="0.25">
      <c r="C250" s="193"/>
    </row>
    <row r="251" spans="3:3" x14ac:dyDescent="0.25">
      <c r="C251" s="193"/>
    </row>
    <row r="252" spans="3:3" x14ac:dyDescent="0.25">
      <c r="C252" s="193"/>
    </row>
    <row r="253" spans="3:3" x14ac:dyDescent="0.25">
      <c r="C253" s="193"/>
    </row>
  </sheetData>
  <mergeCells count="13">
    <mergeCell ref="O11:Q11"/>
    <mergeCell ref="O12:Q12"/>
    <mergeCell ref="P35:Q35"/>
    <mergeCell ref="P36:Q36"/>
    <mergeCell ref="O37:Q37"/>
    <mergeCell ref="A7:M7"/>
    <mergeCell ref="A8:M8"/>
    <mergeCell ref="B9:C9"/>
    <mergeCell ref="D9:E9"/>
    <mergeCell ref="F9:G9"/>
    <mergeCell ref="H9:I9"/>
    <mergeCell ref="J9:K9"/>
    <mergeCell ref="L9:M9"/>
  </mergeCells>
  <dataValidations count="2">
    <dataValidation type="list" allowBlank="1" showInputMessage="1" showErrorMessage="1" promptTitle="Select a Period:" prompt="Select Financial or Calendar years." sqref="P36:Q36" xr:uid="{B4AF91B2-F5B9-4336-9DA3-86DE094B4F06}">
      <formula1>A1:A2</formula1>
    </dataValidation>
    <dataValidation type="list" allowBlank="1" showInputMessage="1" showErrorMessage="1" promptTitle="Select a Commodity:" prompt="Select a Commodity for graphical display." sqref="P35:Q35" xr:uid="{A36DA852-6736-414A-B87C-04644607E1EB}">
      <formula1>$AA$1:$AA$6</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61A02-F1C4-4559-93F8-869E21E6F3B2}">
  <sheetPr>
    <pageSetUpPr fitToPage="1"/>
  </sheetPr>
  <dimension ref="A1:AW39"/>
  <sheetViews>
    <sheetView showGridLines="0" zoomScale="85" zoomScaleNormal="85" workbookViewId="0"/>
  </sheetViews>
  <sheetFormatPr defaultColWidth="9.140625" defaultRowHeight="12.75" x14ac:dyDescent="0.2"/>
  <cols>
    <col min="1" max="1" width="28.5703125" style="60" bestFit="1" customWidth="1"/>
    <col min="2" max="2" width="7.140625" style="60" bestFit="1" customWidth="1"/>
    <col min="3" max="6" width="14.7109375" style="60" customWidth="1"/>
    <col min="7" max="8" width="12.7109375" style="60" customWidth="1"/>
    <col min="9" max="9" width="9.140625" style="60" customWidth="1"/>
    <col min="10" max="10" width="24.140625" style="60" bestFit="1" customWidth="1"/>
    <col min="11" max="11" width="9.140625" style="60"/>
    <col min="12" max="12" width="9.140625" style="60" customWidth="1"/>
    <col min="13" max="17" width="9.140625" style="60"/>
    <col min="18" max="18" width="7" style="60" bestFit="1" customWidth="1"/>
    <col min="19" max="19" width="9.140625" style="60"/>
    <col min="20" max="22" width="9.140625" style="62"/>
    <col min="23" max="23" width="9.140625" style="62" customWidth="1"/>
    <col min="24" max="49" width="9.140625" style="62"/>
    <col min="50" max="16384" width="9.140625" style="60"/>
  </cols>
  <sheetData>
    <row r="1" spans="1:27" ht="15" customHeight="1" x14ac:dyDescent="0.25">
      <c r="H1" s="61"/>
      <c r="I1" s="62"/>
      <c r="J1" s="63"/>
      <c r="K1" s="63"/>
      <c r="L1" s="64"/>
      <c r="M1"/>
      <c r="N1"/>
      <c r="O1"/>
      <c r="P1"/>
      <c r="Q1"/>
      <c r="R1"/>
      <c r="S1" s="65"/>
      <c r="T1" s="66" t="str">
        <f>RIGHT(K1,3)</f>
        <v/>
      </c>
      <c r="U1" s="66" t="str">
        <f>LEFT(T1,1)</f>
        <v/>
      </c>
      <c r="V1" s="66"/>
      <c r="W1" s="64"/>
    </row>
    <row r="2" spans="1:27" ht="15" customHeight="1" x14ac:dyDescent="0.25">
      <c r="I2" s="62"/>
      <c r="J2" s="63"/>
      <c r="K2" s="63"/>
      <c r="L2" s="64"/>
      <c r="M2"/>
      <c r="N2"/>
      <c r="O2"/>
      <c r="P2"/>
      <c r="Q2"/>
      <c r="R2"/>
      <c r="S2" s="65"/>
      <c r="T2" s="66" t="str">
        <f>RIGHT(K2,3)</f>
        <v/>
      </c>
      <c r="U2" s="66" t="str">
        <f>LEFT(T2,1)</f>
        <v/>
      </c>
      <c r="V2" s="66"/>
      <c r="W2" s="64"/>
    </row>
    <row r="3" spans="1:27" ht="15" customHeight="1" x14ac:dyDescent="0.2">
      <c r="I3" s="62"/>
      <c r="J3" s="62"/>
      <c r="K3" s="62"/>
      <c r="L3" s="62"/>
      <c r="S3" s="67"/>
      <c r="T3" s="68" t="str">
        <f>CONCATENATE("Comparison ", K1, " and ",K2)</f>
        <v xml:space="preserve">Comparison  and </v>
      </c>
      <c r="U3" s="68"/>
      <c r="V3" s="68"/>
    </row>
    <row r="4" spans="1:27" ht="15" customHeight="1" x14ac:dyDescent="0.2">
      <c r="S4" s="67"/>
      <c r="T4" s="68"/>
      <c r="U4" s="68"/>
      <c r="V4" s="68"/>
    </row>
    <row r="5" spans="1:27" ht="15" customHeight="1" x14ac:dyDescent="0.2">
      <c r="S5" s="67"/>
      <c r="T5" s="68"/>
      <c r="U5" s="68"/>
      <c r="V5" s="68"/>
    </row>
    <row r="6" spans="1:27" ht="15" customHeight="1" x14ac:dyDescent="0.2">
      <c r="S6" s="67"/>
      <c r="T6" s="68"/>
      <c r="U6" s="68"/>
      <c r="V6" s="68"/>
    </row>
    <row r="7" spans="1:27" ht="15" customHeight="1" x14ac:dyDescent="0.25">
      <c r="A7" s="1369" t="str">
        <f>$C$9 &amp; " versus " &amp; $D$9 &amp; " Exchange Rate and Commodity Prices"</f>
        <v>2024 versus 2025 Exchange Rate and Commodity Prices</v>
      </c>
      <c r="B7" s="1370"/>
      <c r="C7" s="1370"/>
      <c r="D7" s="1370"/>
      <c r="E7" s="1370"/>
      <c r="F7" s="1370"/>
      <c r="G7" s="1370"/>
      <c r="H7" s="1370"/>
      <c r="I7"/>
      <c r="J7"/>
      <c r="K7"/>
      <c r="L7"/>
      <c r="S7" s="67"/>
      <c r="T7" s="68"/>
      <c r="U7" s="68"/>
      <c r="V7" s="68"/>
    </row>
    <row r="8" spans="1:27" ht="14.25" customHeight="1" x14ac:dyDescent="0.25">
      <c r="A8" s="69"/>
      <c r="B8"/>
      <c r="C8"/>
      <c r="D8"/>
      <c r="E8"/>
      <c r="F8"/>
      <c r="G8"/>
      <c r="H8"/>
      <c r="I8"/>
      <c r="J8"/>
      <c r="K8"/>
      <c r="L8"/>
      <c r="S8" s="67"/>
      <c r="T8" s="68"/>
      <c r="U8" s="68"/>
      <c r="V8" s="68"/>
    </row>
    <row r="9" spans="1:27" ht="14.25" customHeight="1" x14ac:dyDescent="0.25">
      <c r="A9"/>
      <c r="B9"/>
      <c r="C9" s="70">
        <v>2024</v>
      </c>
      <c r="D9" s="70">
        <v>2025</v>
      </c>
      <c r="E9" s="70" t="s">
        <v>159</v>
      </c>
      <c r="F9"/>
      <c r="G9"/>
      <c r="H9"/>
      <c r="I9"/>
      <c r="J9"/>
      <c r="K9"/>
      <c r="L9"/>
    </row>
    <row r="10" spans="1:27" ht="14.25" customHeight="1" x14ac:dyDescent="0.25">
      <c r="A10" s="28" t="s">
        <v>160</v>
      </c>
      <c r="B10" s="28"/>
      <c r="C10" s="72">
        <f>IF(LEN(C$9)&gt;4,
AVERAGEIFS('Commodity Prices'!$D:$D, 'Commodity Prices'!$C:$C, "&gt;=" &amp; DATE(LEFT(C$9, 4), 7, 1),'Commodity Prices'!$C:$C, "&lt;" &amp; DATE(LEFT(C$9, 4)+1, 7, 1)),
AVERAGEIFS('Commodity Prices'!$D:$D, 'Commodity Prices'!$C:$C, "&gt;=" &amp; DATE(C$9, 1, 1),'Commodity Prices'!$C:$C, "&lt;" &amp; DATE(C$9+1, 7, 1))
)</f>
        <v>0.6513616335332183</v>
      </c>
      <c r="D10" s="72">
        <f>IF(LEN(D$9)&gt;4,
AVERAGEIFS('Commodity Prices'!$D:$D, 'Commodity Prices'!$C:$C, "&gt;=" &amp; DATE(LEFT(D$9, 4), 7, 1),'Commodity Prices'!$C:$C, "&lt;" &amp; DATE(LEFT(D$9, 4)+1, 7, 1)),
AVERAGEIFS('Commodity Prices'!$D:$D, 'Commodity Prices'!$C:$C, "&gt;=" &amp; DATE(D$9, 1, 1),'Commodity Prices'!$C:$C, "&lt;" &amp; DATE(D$9+1, 7, 1))
)</f>
        <v>0.64460028361417365</v>
      </c>
      <c r="E10" s="73">
        <f>D10/C10-1</f>
        <v>-1.0380331863221182E-2</v>
      </c>
      <c r="F10"/>
      <c r="G10"/>
      <c r="H10"/>
      <c r="I10"/>
      <c r="J10"/>
      <c r="K10"/>
      <c r="L10"/>
      <c r="R10" s="74"/>
      <c r="S10" s="74"/>
      <c r="AA10" s="68" t="str">
        <f>CONCATENATE("Average price change of selected commodities "&amp;CHAR(10)&amp;'Commodity Prices Comparison'!$C$12&amp;" to "&amp;'Commodity Prices Comparison'!$E$12)</f>
        <v>Average price change of selected commodities 
2024 to 2025</v>
      </c>
    </row>
    <row r="11" spans="1:27" ht="14.25" customHeight="1" thickBot="1" x14ac:dyDescent="0.3">
      <c r="A11" s="28"/>
      <c r="B11" s="28"/>
      <c r="C11" s="72"/>
      <c r="D11" s="72"/>
      <c r="E11" s="73"/>
      <c r="F11"/>
      <c r="G11"/>
      <c r="H11"/>
      <c r="I11"/>
      <c r="J11"/>
      <c r="K11"/>
      <c r="L11"/>
      <c r="R11" s="74"/>
      <c r="S11" s="74"/>
      <c r="AA11" s="68"/>
    </row>
    <row r="12" spans="1:27" ht="14.25" customHeight="1" x14ac:dyDescent="0.2">
      <c r="A12" s="75"/>
      <c r="B12" s="76"/>
      <c r="C12" s="1371">
        <f>$C$9</f>
        <v>2024</v>
      </c>
      <c r="D12" s="1372"/>
      <c r="E12" s="1371">
        <f>$D$9</f>
        <v>2025</v>
      </c>
      <c r="F12" s="1372"/>
      <c r="G12" s="1373" t="s">
        <v>161</v>
      </c>
      <c r="H12" s="1374"/>
      <c r="I12" s="71"/>
      <c r="J12" s="1375"/>
      <c r="K12" s="1368"/>
      <c r="L12" s="1368"/>
      <c r="P12" s="77"/>
      <c r="Q12" s="77"/>
      <c r="R12" s="74"/>
      <c r="S12" s="74"/>
    </row>
    <row r="13" spans="1:27" ht="14.25" customHeight="1" x14ac:dyDescent="0.25">
      <c r="A13" s="78"/>
      <c r="B13" s="79" t="s">
        <v>162</v>
      </c>
      <c r="C13" s="80" t="s">
        <v>163</v>
      </c>
      <c r="D13" s="81" t="s">
        <v>164</v>
      </c>
      <c r="E13" s="80" t="s">
        <v>163</v>
      </c>
      <c r="F13" s="81" t="s">
        <v>164</v>
      </c>
      <c r="G13" s="82" t="s">
        <v>163</v>
      </c>
      <c r="H13" s="83" t="s">
        <v>164</v>
      </c>
      <c r="I13"/>
      <c r="J13" s="1375"/>
      <c r="K13" s="84"/>
      <c r="L13" s="84"/>
      <c r="R13" s="74"/>
      <c r="S13" s="74"/>
    </row>
    <row r="14" spans="1:27" ht="14.25" customHeight="1" x14ac:dyDescent="0.25">
      <c r="A14" s="85" t="s">
        <v>165</v>
      </c>
      <c r="B14" s="86" t="s">
        <v>166</v>
      </c>
      <c r="C14" s="1194">
        <f>IF(LEN(C$12)&gt;4,
AVERAGEIFS('Commodity Prices'!$E:$E, 'Commodity Prices'!$C:$C, "&gt;=" &amp; DATE(LEFT(C$12, 4), 7, 1),'Commodity Prices'!$C:$C, "&lt;" &amp; DATE(LEFT(C$12, 4)+1, 7, 1)),
AVERAGEIFS('Commodity Prices'!$E:$E, 'Commodity Prices'!$C:$C, "&gt;=" &amp; DATE(C$12, 1, 1),'Commodity Prices'!$C:$C, "&lt;" &amp; DATE(C$12+1, 7, 1))
)</f>
        <v>478.54921755962368</v>
      </c>
      <c r="D14" s="1195">
        <f>IF(LEN(C$12)&gt;4,
AVERAGEIFS('Commodity Prices'!$F:$F, 'Commodity Prices'!$C:$C, "&gt;=" &amp; DATE(LEFT(C$12, 4), 7, 1),'Commodity Prices'!$C:$C, "&lt;" &amp; DATE(LEFT(C$12, 4)+1, 7, 1)),
AVERAGEIFS('Commodity Prices'!$F:$F, 'Commodity Prices'!$C:$C, "&gt;=" &amp; DATE(C$12, 1, 1),'Commodity Prices'!$C:$C, "&lt;" &amp; DATE(C$12+1, 7, 1))
)</f>
        <v>737.27599445464023</v>
      </c>
      <c r="E14" s="1196">
        <f>IF(LEN(E$12)&gt;4,
AVERAGEIFS('Commodity Prices'!$E:$E, 'Commodity Prices'!$C:$C, "&gt;=" &amp; DATE(LEFT(E$12, 4), 7, 1),'Commodity Prices'!$C:$C, "&lt;" &amp; DATE(LEFT(E$12, 4)+1, 7, 1)),
AVERAGEIFS('Commodity Prices'!$E:$E, 'Commodity Prices'!$C:$C, "&gt;=" &amp; DATE(E$12, 1, 1),'Commodity Prices'!$C:$C, "&lt;" &amp; DATE(E$12+1, 7, 1))
)</f>
        <v>425.10926678815321</v>
      </c>
      <c r="F14" s="1195">
        <f>IF(LEN(E$12)&gt;4,
AVERAGEIFS('Commodity Prices'!$F:$F, 'Commodity Prices'!$C:$C, "&gt;=" &amp; DATE(LEFT(E$12, 4), 7, 1),'Commodity Prices'!$C:$C, "&lt;" &amp; DATE(LEFT(E$12, 4)+1, 7, 1)),
AVERAGEIFS('Commodity Prices'!$F:$F, 'Commodity Prices'!$C:$C, "&gt;=" &amp; DATE(E$12, 1, 1),'Commodity Prices'!$C:$C, "&lt;" &amp; DATE(E$12+1, 7, 1))
)</f>
        <v>663.15575455092562</v>
      </c>
      <c r="G14" s="1197">
        <f>IFERROR(E14/C14-1, "n/a")</f>
        <v>-0.11167075153521122</v>
      </c>
      <c r="H14" s="1198">
        <f t="shared" ref="H14:H24" si="0">IFERROR(F14/D14-1, "n/a")</f>
        <v>-0.10053255559818008</v>
      </c>
      <c r="I14" s="87"/>
      <c r="J14" s="88"/>
      <c r="K14" s="89"/>
      <c r="L14" s="89"/>
      <c r="M14" s="90"/>
      <c r="Q14" s="91"/>
      <c r="R14" s="74"/>
      <c r="S14" s="74"/>
    </row>
    <row r="15" spans="1:27" ht="14.25" customHeight="1" x14ac:dyDescent="0.25">
      <c r="A15" s="85" t="s">
        <v>167</v>
      </c>
      <c r="B15" s="86" t="s">
        <v>168</v>
      </c>
      <c r="C15" s="1167">
        <f>IF(LEN(C$12)&gt;4,
AVERAGEIFS('Commodity Prices'!$AK:$AK, 'Commodity Prices'!$C:$C, "&gt;=" &amp; DATE(LEFT(C$12, 4), 7, 1),'Commodity Prices'!$C:$C, "&lt;" &amp; DATE(LEFT(C$12, 4)+1, 7, 1)),
AVERAGEIFS('Commodity Prices'!$AK:$AK, 'Commodity Prices'!$C:$C, "&gt;=" &amp; DATE(C$12, 1, 1),'Commodity Prices'!$C:$C, "&lt;" &amp; DATE(C$12+1, 7, 1))
)</f>
        <v>77.707777777777778</v>
      </c>
      <c r="D15" s="94">
        <f>IF(LEN(C$12)&gt;4,
AVERAGEIFS('Commodity Prices'!$AL:$AL, 'Commodity Prices'!$C:$C, "&gt;=" &amp; DATE(LEFT(C$12, 4), 7, 1),'Commodity Prices'!$C:$C, "&lt;" &amp; DATE(LEFT(C$12, 4)+1, 7, 1)),
AVERAGEIFS('Commodity Prices'!$AL:$AL, 'Commodity Prices'!$C:$C, "&gt;=" &amp; DATE(C$12, 1, 1),'Commodity Prices'!$C:$C, "&lt;" &amp; DATE(C$12+1, 7, 1))
)</f>
        <v>119.27416743249442</v>
      </c>
      <c r="E15" s="95">
        <f>IF(LEN(E$12)&gt;4,
AVERAGEIFS('Commodity Prices'!$AK:$AK, 'Commodity Prices'!$C:$C, "&gt;=" &amp; DATE(LEFT(E$12, 4), 7, 1),'Commodity Prices'!$C:$C, "&lt;" &amp; DATE(LEFT(E$12, 4)+1, 7, 1)),
AVERAGEIFS('Commodity Prices'!$AK:$AK, 'Commodity Prices'!$C:$C, "&gt;=" &amp; DATE(E$12, 1, 1),'Commodity Prices'!$C:$C, "&lt;" &amp; DATE(E$12+1, 7, 1))
)</f>
        <v>69.014166666666668</v>
      </c>
      <c r="F15" s="94">
        <f>IF(LEN(E$12)&gt;4,
AVERAGEIFS('Commodity Prices'!$AL:$AL, 'Commodity Prices'!$C:$C, "&gt;=" &amp; DATE(LEFT(E$12, 4), 7, 1),'Commodity Prices'!$C:$C, "&lt;" &amp; DATE(LEFT(E$12, 4)+1, 7, 1)),
AVERAGEIFS('Commodity Prices'!$AL:$AL, 'Commodity Prices'!$C:$C, "&gt;=" &amp; DATE(E$12, 1, 1),'Commodity Prices'!$C:$C, "&lt;" &amp; DATE(E$12+1, 7, 1))
)</f>
        <v>107.21811290905198</v>
      </c>
      <c r="G15" s="1199">
        <f t="shared" ref="G15:G24" si="1">IFERROR(E15/C15-1, "n/a")</f>
        <v>-0.11187568811930737</v>
      </c>
      <c r="H15" s="1200">
        <f t="shared" si="0"/>
        <v>-0.10107850495176007</v>
      </c>
      <c r="I15"/>
      <c r="J15" s="92"/>
      <c r="K15" s="93"/>
      <c r="L15" s="93"/>
      <c r="R15" s="74"/>
      <c r="S15" s="74"/>
    </row>
    <row r="16" spans="1:27" ht="14.25" customHeight="1" x14ac:dyDescent="0.25">
      <c r="A16" s="85" t="s">
        <v>169</v>
      </c>
      <c r="B16" s="86" t="s">
        <v>166</v>
      </c>
      <c r="C16" s="1194">
        <f>IF(LEN(C$12)&gt;4,
AVERAGEIFS('Commodity Prices'!$O:$O, 'Commodity Prices'!$C:$C, "&gt;=" &amp; DATE(LEFT(C$12, 4), 7, 1),'Commodity Prices'!$C:$C, "&lt;" &amp; DATE(LEFT(C$12, 4)+1, 7, 1)),
AVERAGEIFS('Commodity Prices'!$O:$O, 'Commodity Prices'!$C:$C, "&gt;=" &amp; DATE(C$12, 1, 1),'Commodity Prices'!$C:$C, "&lt;" &amp; DATE(C$12+1, 7, 1))
)</f>
        <v>9239.5466666666653</v>
      </c>
      <c r="D16" s="1195">
        <f>IF(LEN(C$12)&gt;4,
AVERAGEIFS('Commodity Prices'!$P:$P, 'Commodity Prices'!$C:$C, "&gt;=" &amp; DATE(LEFT(C$12, 4), 7, 1),'Commodity Prices'!$C:$C, "&lt;" &amp; DATE(LEFT(C$12, 4)+1, 7, 1)),
AVERAGEIFS('Commodity Prices'!$P:$P, 'Commodity Prices'!$C:$C, "&gt;=" &amp; DATE(C$12, 1, 1),'Commodity Prices'!$C:$C, "&lt;" &amp; DATE(C$12+1, 7, 1))
)</f>
        <v>14193.668942324408</v>
      </c>
      <c r="E16" s="1196">
        <f>IF(LEN(E$12)&gt;4,
AVERAGEIFS('Commodity Prices'!$O:$O, 'Commodity Prices'!$C:$C, "&gt;=" &amp; DATE(LEFT(E$12, 4), 7, 1),'Commodity Prices'!$C:$C, "&lt;" &amp; DATE(LEFT(E$12, 4)+1, 7, 1)),
AVERAGEIFS('Commodity Prices'!$O:$O, 'Commodity Prices'!$C:$C, "&gt;=" &amp; DATE(E$12, 1, 1),'Commodity Prices'!$C:$C, "&lt;" &amp; DATE(E$12+1, 7, 1))
)</f>
        <v>9938.6391666666659</v>
      </c>
      <c r="F16" s="1195">
        <f>IF(LEN(E$12)&gt;4,
AVERAGEIFS('Commodity Prices'!$P:$P, 'Commodity Prices'!$C:$C, "&gt;=" &amp; DATE(LEFT(E$12, 4), 7, 1),'Commodity Prices'!$C:$C, "&lt;" &amp; DATE(LEFT(E$12, 4)+1, 7, 1)),
AVERAGEIFS('Commodity Prices'!$P:$P, 'Commodity Prices'!$C:$C, "&gt;=" &amp; DATE(E$12, 1, 1),'Commodity Prices'!$C:$C, "&lt;" &amp; DATE(E$12+1, 7, 1))
)</f>
        <v>15406.401708962387</v>
      </c>
      <c r="G16" s="1197">
        <f t="shared" si="1"/>
        <v>7.5663073657293412E-2</v>
      </c>
      <c r="H16" s="1198">
        <f t="shared" si="0"/>
        <v>8.5441810117305561E-2</v>
      </c>
      <c r="I16"/>
    </row>
    <row r="17" spans="1:9" ht="14.25" customHeight="1" x14ac:dyDescent="0.25">
      <c r="A17" s="85" t="s">
        <v>170</v>
      </c>
      <c r="B17" s="86" t="s">
        <v>171</v>
      </c>
      <c r="C17" s="1167" t="s">
        <v>172</v>
      </c>
      <c r="D17" s="94">
        <f xml:space="preserve"> AVERAGE('Petroleum - Dom. Gas - Prices'!B48:B51)</f>
        <v>7.2234008627725901</v>
      </c>
      <c r="E17" s="95" t="s">
        <v>172</v>
      </c>
      <c r="F17" s="94">
        <f xml:space="preserve"> AVERAGE('Petroleum - Dom. Gas - Prices'!B52:B55)</f>
        <v>7.5758851002333065</v>
      </c>
      <c r="G17" s="1199" t="str">
        <f t="shared" si="1"/>
        <v>n/a</v>
      </c>
      <c r="H17" s="1200">
        <f t="shared" si="0"/>
        <v>4.8797546219166987E-2</v>
      </c>
      <c r="I17"/>
    </row>
    <row r="18" spans="1:9" ht="14.25" customHeight="1" x14ac:dyDescent="0.2">
      <c r="A18" s="85" t="s">
        <v>32</v>
      </c>
      <c r="B18" s="86" t="s">
        <v>173</v>
      </c>
      <c r="C18" s="1194">
        <f>IF(LEN(C$12)&gt;4,
AVERAGEIFS('Commodity Prices'!$I:$I, 'Commodity Prices'!$C:$C, "&gt;=" &amp; DATE(LEFT(C$12, 4), 7, 1),'Commodity Prices'!$C:$C, "&lt;" &amp; DATE(LEFT(C$12, 4)+1, 7, 1)),
AVERAGEIFS('Commodity Prices'!$I:$I, 'Commodity Prices'!$C:$C, "&gt;=" &amp; DATE(C$12, 1, 1),'Commodity Prices'!$C:$C, "&lt;" &amp; DATE(C$12+1, 7, 1))
)</f>
        <v>2614.9791666666661</v>
      </c>
      <c r="D18" s="1195">
        <f>IF(LEN(C$12)&gt;4,
AVERAGEIFS('Commodity Prices'!$J:$J, 'Commodity Prices'!$C:$C, "&gt;=" &amp; DATE(LEFT(C$12, 4), 7, 1),'Commodity Prices'!$C:$C, "&lt;" &amp; DATE(LEFT(C$12, 4)+1, 7, 1)),
AVERAGEIFS('Commodity Prices'!$J:$J, 'Commodity Prices'!$C:$C, "&gt;=" &amp; DATE(C$12, 1, 1),'Commodity Prices'!$C:$C, "&lt;" &amp; DATE(C$12+1, 7, 1))
)</f>
        <v>4028.2325414328807</v>
      </c>
      <c r="E18" s="1196">
        <f>IF(LEN(E$12)&gt;4,
AVERAGEIFS('Commodity Prices'!$I:$I, 'Commodity Prices'!$C:$C, "&gt;=" &amp; DATE(LEFT(E$12, 4), 7, 1),'Commodity Prices'!$C:$C, "&lt;" &amp; DATE(LEFT(E$12, 4)+1, 7, 1)),
AVERAGEIFS('Commodity Prices'!$I:$I, 'Commodity Prices'!$C:$C, "&gt;=" &amp; DATE(E$12, 1, 1),'Commodity Prices'!$C:$C, "&lt;" &amp; DATE(E$12+1, 7, 1))
)</f>
        <v>3434.779833333334</v>
      </c>
      <c r="F18" s="1195">
        <f>IF(LEN(E$12)&gt;4,
AVERAGEIFS('Commodity Prices'!$J:$J, 'Commodity Prices'!$C:$C, "&gt;=" &amp; DATE(LEFT(E$12, 4), 7, 1),'Commodity Prices'!$C:$C, "&lt;" &amp; DATE(LEFT(E$12, 4)+1, 7, 1)),
AVERAGEIFS('Commodity Prices'!$J:$J, 'Commodity Prices'!$C:$C, "&gt;=" &amp; DATE(E$12, 1, 1),'Commodity Prices'!$C:$C, "&lt;" &amp; DATE(E$12+1, 7, 1))
)</f>
        <v>5324.3818183007561</v>
      </c>
      <c r="G18" s="1197">
        <f t="shared" si="1"/>
        <v>0.31350179654076338</v>
      </c>
      <c r="H18" s="1198">
        <f t="shared" si="0"/>
        <v>0.3217662494744713</v>
      </c>
    </row>
    <row r="19" spans="1:9" ht="14.25" customHeight="1" x14ac:dyDescent="0.2">
      <c r="A19" s="85" t="s">
        <v>40</v>
      </c>
      <c r="B19" s="86" t="s">
        <v>166</v>
      </c>
      <c r="C19" s="1167">
        <f>IF(LEN(C$12)&gt;4,
AVERAGEIFS('Commodity Prices'!$K:$K, 'Commodity Prices'!$C:$C, "&gt;=" &amp; DATE(LEFT(C$12, 4), 7, 1),'Commodity Prices'!$C:$C, "&lt;" &amp; DATE(LEFT(C$12, 4)+1, 7, 1)),
AVERAGEIFS('Commodity Prices'!$K:$K, 'Commodity Prices'!$C:$C, "&gt;=" &amp; DATE(C$12, 1, 1),'Commodity Prices'!$C:$C, "&lt;" &amp; DATE(C$12+1, 7, 1))
)</f>
        <v>106.38277777777778</v>
      </c>
      <c r="D19" s="94">
        <f>IF(LEN(C$12)&gt;4,
AVERAGEIFS('Commodity Prices'!$L:$L, 'Commodity Prices'!$C:$C, "&gt;=" &amp; DATE(LEFT(C$12, 4), 7, 1),'Commodity Prices'!$C:$C, "&lt;" &amp; DATE(LEFT(C$12, 4)+1, 7, 1)),
AVERAGEIFS('Commodity Prices'!$L:$L, 'Commodity Prices'!$C:$C, "&gt;=" &amp; DATE(C$12, 1, 1),'Commodity Prices'!$C:$C, "&lt;" &amp; DATE(C$12+1, 7, 1))
)</f>
        <v>163.34617561237809</v>
      </c>
      <c r="E19" s="95">
        <f>IF(LEN(E$12)&gt;4,
AVERAGEIFS('Commodity Prices'!$K:$K, 'Commodity Prices'!$C:$C, "&gt;=" &amp; DATE(LEFT(E$12, 4), 7, 1),'Commodity Prices'!$C:$C, "&lt;" &amp; DATE(LEFT(E$12, 4)+1, 7, 1)),
AVERAGEIFS('Commodity Prices'!$K:$K, 'Commodity Prices'!$C:$C, "&gt;=" &amp; DATE(E$12, 1, 1),'Commodity Prices'!$C:$C, "&lt;" &amp; DATE(E$12+1, 7, 1))
)</f>
        <v>101.99666666666667</v>
      </c>
      <c r="F19" s="94">
        <f>IF(LEN(E$12)&gt;4,
AVERAGEIFS('Commodity Prices'!$L:$L, 'Commodity Prices'!$C:$C, "&gt;=" &amp; DATE(LEFT(E$12, 4), 7, 1),'Commodity Prices'!$C:$C, "&lt;" &amp; DATE(LEFT(E$12, 4)+1, 7, 1)),
AVERAGEIFS('Commodity Prices'!$L:$L, 'Commodity Prices'!$C:$C, "&gt;=" &amp; DATE(E$12, 1, 1),'Commodity Prices'!$C:$C, "&lt;" &amp; DATE(E$12+1, 7, 1))
)</f>
        <v>158.28167250960928</v>
      </c>
      <c r="G19" s="1199">
        <f t="shared" si="1"/>
        <v>-4.1229522322431045E-2</v>
      </c>
      <c r="H19" s="1200">
        <f t="shared" si="0"/>
        <v>-3.1004724070105683E-2</v>
      </c>
    </row>
    <row r="20" spans="1:9" ht="14.25" customHeight="1" x14ac:dyDescent="0.2">
      <c r="A20" s="85" t="s">
        <v>657</v>
      </c>
      <c r="B20" s="86" t="s">
        <v>174</v>
      </c>
      <c r="C20" s="1194">
        <f>IF(LEN(C$12)&gt;4,
AVERAGEIFS('Commodity Prices'!$AO:$AO, 'Commodity Prices'!$C:$C, "&gt;=" &amp; DATE(LEFT(C$12, 4), 7, 1),'Commodity Prices'!$C:$C, "&lt;" &amp; DATE(LEFT(C$12, 4)+1, 7, 1)),
AVERAGEIFS('Commodity Prices'!$AO:$AO, 'Commodity Prices'!$C:$C, "&gt;=" &amp; DATE(C$12, 1, 1),'Commodity Prices'!$C:$C, "&lt;" &amp; DATE(C$12+1, 7, 1))
)</f>
        <v>10.335905461388865</v>
      </c>
      <c r="D20" s="1195">
        <f>IF(LEN(C$12)&gt;4,
AVERAGEIFS('Commodity Prices'!$AP:$AP, 'Commodity Prices'!$C:$C, "&gt;=" &amp; DATE(LEFT(C$12, 4), 7, 1),'Commodity Prices'!$C:$C, "&lt;" &amp; DATE(LEFT(C$12, 4)+1, 7, 1)),
AVERAGEIFS('Commodity Prices'!$AP:$AP, 'Commodity Prices'!$C:$C, "&gt;=" &amp; DATE(C$12, 1, 1),'Commodity Prices'!$C:$C, "&lt;" &amp; DATE(C$12+1, 7, 1))
)</f>
        <v>15.869340324351194</v>
      </c>
      <c r="E20" s="1196">
        <f>IF(LEN(E$12)&gt;4,
AVERAGEIFS('Commodity Prices'!$AO:$AO, 'Commodity Prices'!$C:$C, "&gt;=" &amp; DATE(LEFT(E$12, 4), 7, 1),'Commodity Prices'!$C:$C, "&lt;" &amp; DATE(LEFT(E$12, 4)+1, 7, 1)),
AVERAGEIFS('Commodity Prices'!$AO:$AO, 'Commodity Prices'!$C:$C, "&gt;=" &amp; DATE(E$12, 1, 1),'Commodity Prices'!$C:$C, "&lt;" &amp; DATE(E$12+1, 7, 1))
)</f>
        <v>9.6203084762472741</v>
      </c>
      <c r="F20" s="1195">
        <f>IF(LEN(E$12)&gt;4,
AVERAGEIFS('Commodity Prices'!$AP:$AP, 'Commodity Prices'!$C:$C, "&gt;=" &amp; DATE(LEFT(E$12, 4), 7, 1),'Commodity Prices'!$C:$C, "&lt;" &amp; DATE(LEFT(E$12, 4)+1, 7, 1)),
AVERAGEIFS('Commodity Prices'!$AP:$AP, 'Commodity Prices'!$C:$C, "&gt;=" &amp; DATE(E$12, 1, 1),'Commodity Prices'!$C:$C, "&lt;" &amp; DATE(E$12+1, 7, 1))
)</f>
        <v>14.937767889269509</v>
      </c>
      <c r="G20" s="1197">
        <f t="shared" si="1"/>
        <v>-6.9234087696989688E-2</v>
      </c>
      <c r="H20" s="1198">
        <f t="shared" si="0"/>
        <v>-5.8702656571817613E-2</v>
      </c>
    </row>
    <row r="21" spans="1:9" ht="14.25" customHeight="1" x14ac:dyDescent="0.2">
      <c r="A21" s="85" t="s">
        <v>61</v>
      </c>
      <c r="B21" s="86" t="s">
        <v>166</v>
      </c>
      <c r="C21" s="1167">
        <f>IF(LEN(C$12)&gt;4,
AVERAGEIFS('Commodity Prices'!$M:$M, 'Commodity Prices'!$C:$C, "&gt;=" &amp; DATE(LEFT(C$12, 4), 7, 1),'Commodity Prices'!$C:$C, "&lt;" &amp; DATE(LEFT(C$12, 4)+1, 7, 1)),
AVERAGEIFS('Commodity Prices'!$M:$M, 'Commodity Prices'!$C:$C, "&gt;=" &amp; DATE(C$12, 1, 1),'Commodity Prices'!$C:$C, "&lt;" &amp; DATE(C$12+1, 7, 1))
)</f>
        <v>16330.573333333337</v>
      </c>
      <c r="D21" s="94">
        <f>IF(LEN(C$12)&gt;4,
AVERAGEIFS('Commodity Prices'!$N:$N, 'Commodity Prices'!$C:$C, "&gt;=" &amp; DATE(LEFT(C$12, 4), 7, 1),'Commodity Prices'!$C:$C, "&lt;" &amp; DATE(LEFT(C$12, 4)+1, 7, 1)),
AVERAGEIFS('Commodity Prices'!$N:$N, 'Commodity Prices'!$C:$C, "&gt;=" &amp; DATE(C$12, 1, 1),'Commodity Prices'!$C:$C, "&lt;" &amp; DATE(C$12+1, 7, 1))
)</f>
        <v>25065.651169680135</v>
      </c>
      <c r="E21" s="95">
        <f>IF(LEN(E$12)&gt;4,
AVERAGEIFS('Commodity Prices'!$M:$M, 'Commodity Prices'!$C:$C, "&gt;=" &amp; DATE(LEFT(E$12, 4), 7, 1),'Commodity Prices'!$C:$C, "&lt;" &amp; DATE(LEFT(E$12, 4)+1, 7, 1)),
AVERAGEIFS('Commodity Prices'!$M:$M, 'Commodity Prices'!$C:$C, "&gt;=" &amp; DATE(E$12, 1, 1),'Commodity Prices'!$C:$C, "&lt;" &amp; DATE(E$12+1, 7, 1))
)</f>
        <v>15154.294166666668</v>
      </c>
      <c r="F21" s="94">
        <f>IF(LEN(E$12)&gt;4,
AVERAGEIFS('Commodity Prices'!$N:$N, 'Commodity Prices'!$C:$C, "&gt;=" &amp; DATE(LEFT(E$12, 4), 7, 1),'Commodity Prices'!$C:$C, "&lt;" &amp; DATE(LEFT(E$12, 4)+1, 7, 1)),
AVERAGEIFS('Commodity Prices'!$N:$N, 'Commodity Prices'!$C:$C, "&gt;=" &amp; DATE(E$12, 1, 1),'Commodity Prices'!$C:$C, "&lt;" &amp; DATE(E$12+1, 7, 1))
)</f>
        <v>23526.285898214566</v>
      </c>
      <c r="G21" s="1199">
        <f t="shared" si="1"/>
        <v>-7.202926331224957E-2</v>
      </c>
      <c r="H21" s="1200">
        <f t="shared" si="0"/>
        <v>-6.1413336563448717E-2</v>
      </c>
    </row>
    <row r="22" spans="1:9" ht="14.25" customHeight="1" x14ac:dyDescent="0.2">
      <c r="A22" s="85" t="s">
        <v>175</v>
      </c>
      <c r="B22" s="86" t="s">
        <v>166</v>
      </c>
      <c r="C22" s="1194">
        <f>IF(LEN(C$12)&gt;4,
AVERAGEIFS('Commodity Prices'!$AA:$AA, 'Commodity Prices'!$C:$C, "&gt;=" &amp; DATE(LEFT(C$12, 4), 7, 1),'Commodity Prices'!$C:$C, "&lt;" &amp; DATE(LEFT(C$12, 4)+1, 7, 1)),
AVERAGEIFS('Commodity Prices'!$AA:$AA, 'Commodity Prices'!$C:$C, "&gt;=" &amp; DATE(C$12, 1, 1),'Commodity Prices'!$C:$C, "&lt;" &amp; DATE(C$12+1, 7, 1))
)</f>
        <v>896.90944444444449</v>
      </c>
      <c r="D22" s="1195">
        <f>IF(LEN(C$12)&gt;4,
AVERAGEIFS('Commodity Prices'!$AB:$AB, 'Commodity Prices'!$C:$C, "&gt;=" &amp; DATE(LEFT(C$12, 4), 7, 1),'Commodity Prices'!$C:$C, "&lt;" &amp; DATE(LEFT(C$12, 4)+1, 7, 1)),
AVERAGEIFS('Commodity Prices'!$AB:$AB, 'Commodity Prices'!$C:$C, "&gt;=" &amp; DATE(C$12, 1, 1),'Commodity Prices'!$C:$C, "&lt;" &amp; DATE(C$12+1, 7, 1))
)</f>
        <v>1375.7068638561004</v>
      </c>
      <c r="E22" s="1196">
        <f>IF(LEN(E$12)&gt;4,
AVERAGEIFS('Commodity Prices'!$AA:$AA, 'Commodity Prices'!$C:$C, "&gt;=" &amp; DATE(LEFT(E$12, 4), 7, 1),'Commodity Prices'!$C:$C, "&lt;" &amp; DATE(LEFT(E$12, 4)+1, 7, 1)),
AVERAGEIFS('Commodity Prices'!$AA:$AA, 'Commodity Prices'!$C:$C, "&gt;=" &amp; DATE(E$12, 1, 1),'Commodity Prices'!$C:$C, "&lt;" &amp; DATE(E$12+1, 7, 1))
)</f>
        <v>838.50416666666661</v>
      </c>
      <c r="F22" s="1195">
        <f>IF(LEN(E$12)&gt;4,
AVERAGEIFS('Commodity Prices'!$AB:$AB, 'Commodity Prices'!$C:$C, "&gt;=" &amp; DATE(LEFT(E$12, 4), 7, 1),'Commodity Prices'!$C:$C, "&lt;" &amp; DATE(LEFT(E$12, 4)+1, 7, 1)),
AVERAGEIFS('Commodity Prices'!$AB:$AB, 'Commodity Prices'!$C:$C, "&gt;=" &amp; DATE(E$12, 1, 1),'Commodity Prices'!$C:$C, "&lt;" &amp; DATE(E$12+1, 7, 1))
)</f>
        <v>1299.6268314828635</v>
      </c>
      <c r="G22" s="1197">
        <f t="shared" si="1"/>
        <v>-6.5118366340712108E-2</v>
      </c>
      <c r="H22" s="1198">
        <f t="shared" si="0"/>
        <v>-5.5302502569468115E-2</v>
      </c>
    </row>
    <row r="23" spans="1:9" ht="14.25" customHeight="1" x14ac:dyDescent="0.2">
      <c r="A23" s="85" t="s">
        <v>176</v>
      </c>
      <c r="B23" s="86" t="s">
        <v>166</v>
      </c>
      <c r="C23" s="1167">
        <f>IF(LEN(C$12)&gt;4,
AVERAGEIFS('Commodity Prices'!$W:$W, 'Commodity Prices'!$C:$C, "&gt;=" &amp; DATE(LEFT(C$12, 4), 7, 1),'Commodity Prices'!$C:$C, "&lt;" &amp; DATE(LEFT(C$12, 4)+1, 7, 1)),
AVERAGEIFS('Commodity Prices'!$W:$W, 'Commodity Prices'!$C:$C, "&gt;=" &amp; DATE(C$12, 1, 1),'Commodity Prices'!$C:$C, "&lt;" &amp; DATE(C$12+1, 7, 1))
)</f>
        <v>3158.6152199963194</v>
      </c>
      <c r="D23" s="94">
        <f>IF(LEN(C$12)&gt;4,
AVERAGEIFS('Commodity Prices'!$X:$X, 'Commodity Prices'!$C:$C, "&gt;=" &amp; DATE(LEFT(C$12, 4), 7, 1),'Commodity Prices'!$C:$C, "&lt;" &amp; DATE(LEFT(C$12, 4)+1, 7, 1)),
AVERAGEIFS('Commodity Prices'!$X:$X, 'Commodity Prices'!$C:$C, "&gt;=" &amp; DATE(C$12, 1, 1),'Commodity Prices'!$C:$C, "&lt;" &amp; DATE(C$12+1, 7, 1))
)</f>
        <v>4850.3708897891484</v>
      </c>
      <c r="E23" s="95">
        <f>IF(LEN(E$12)&gt;4,
AVERAGEIFS('Commodity Prices'!$W:$W, 'Commodity Prices'!$C:$C, "&gt;=" &amp; DATE(LEFT(E$12, 4), 7, 1),'Commodity Prices'!$C:$C, "&lt;" &amp; DATE(LEFT(E$12, 4)+1, 7, 1)),
AVERAGEIFS('Commodity Prices'!$W:$W, 'Commodity Prices'!$C:$C, "&gt;=" &amp; DATE(E$12, 1, 1),'Commodity Prices'!$C:$C, "&lt;" &amp; DATE(E$12+1, 7, 1))
)</f>
        <v>3038.9988095373233</v>
      </c>
      <c r="F23" s="94">
        <f>IF(LEN(E$12)&gt;4,
AVERAGEIFS('Commodity Prices'!$X:$X, 'Commodity Prices'!$C:$C, "&gt;=" &amp; DATE(LEFT(E$12, 4), 7, 1),'Commodity Prices'!$C:$C, "&lt;" &amp; DATE(LEFT(E$12, 4)+1, 7, 1)),
AVERAGEIFS('Commodity Prices'!$X:$X, 'Commodity Prices'!$C:$C, "&gt;=" &amp; DATE(E$12, 1, 1),'Commodity Prices'!$C:$C, "&lt;" &amp; DATE(E$12+1, 7, 1))
)</f>
        <v>4717.9338958029302</v>
      </c>
      <c r="G23" s="1199">
        <f t="shared" si="1"/>
        <v>-3.7869889849747373E-2</v>
      </c>
      <c r="H23" s="1200">
        <f t="shared" si="0"/>
        <v>-2.7304508664485971E-2</v>
      </c>
    </row>
    <row r="24" spans="1:9" ht="14.25" customHeight="1" thickBot="1" x14ac:dyDescent="0.25">
      <c r="A24" s="96" t="s">
        <v>177</v>
      </c>
      <c r="B24" s="97" t="s">
        <v>166</v>
      </c>
      <c r="C24" s="1201">
        <f>IF(LEN(C$12)&gt;4,
AVERAGEIFS('Commodity Prices'!$U:$U, 'Commodity Prices'!$C:$C, "&gt;=" &amp; DATE(LEFT(C$12, 4), 7, 1),'Commodity Prices'!$C:$C, "&lt;" &amp; DATE(LEFT(C$12, 4)+1, 7, 1)),
AVERAGEIFS('Commodity Prices'!$U:$U, 'Commodity Prices'!$C:$C, "&gt;=" &amp; DATE(C$12, 1, 1),'Commodity Prices'!$C:$C, "&lt;" &amp; DATE(C$12+1, 7, 1))
)</f>
        <v>1792.1569031858846</v>
      </c>
      <c r="D24" s="1202">
        <f>IF(LEN(C$12)&gt;4,
AVERAGEIFS('Commodity Prices'!$V:$V, 'Commodity Prices'!$C:$C, "&gt;=" &amp; DATE(LEFT(C$12, 4), 7, 1),'Commodity Prices'!$C:$C, "&lt;" &amp; DATE(LEFT(C$12, 4)+1, 7, 1)),
AVERAGEIFS('Commodity Prices'!$V:$V, 'Commodity Prices'!$C:$C, "&gt;=" &amp; DATE(C$12, 1, 1),'Commodity Prices'!$C:$C, "&lt;" &amp; DATE(C$12+1, 7, 1))
)</f>
        <v>2751.6797762385982</v>
      </c>
      <c r="E24" s="1203">
        <f>IF(LEN(E$12)&gt;4,
AVERAGEIFS('Commodity Prices'!$U:$U, 'Commodity Prices'!$C:$C, "&gt;=" &amp; DATE(LEFT(E$12, 4), 7, 1),'Commodity Prices'!$C:$C, "&lt;" &amp; DATE(LEFT(E$12, 4)+1, 7, 1)),
AVERAGEIFS('Commodity Prices'!$U:$U, 'Commodity Prices'!$C:$C, "&gt;=" &amp; DATE(E$12, 1, 1),'Commodity Prices'!$C:$C, "&lt;" &amp; DATE(E$12+1, 7, 1))
)</f>
        <v>1609.3298011987811</v>
      </c>
      <c r="F24" s="1202">
        <f>IF(LEN(E$12)&gt;4,
AVERAGEIFS('Commodity Prices'!$V:$V, 'Commodity Prices'!$C:$C, "&gt;=" &amp; DATE(LEFT(E$12, 4), 7, 1),'Commodity Prices'!$C:$C, "&lt;" &amp; DATE(LEFT(E$12, 4)+1, 7, 1)),
AVERAGEIFS('Commodity Prices'!$V:$V, 'Commodity Prices'!$C:$C, "&gt;=" &amp; DATE(E$12, 1, 1),'Commodity Prices'!$C:$C, "&lt;" &amp; DATE(E$12+1, 7, 1))
)</f>
        <v>2500.8626459916818</v>
      </c>
      <c r="G24" s="1204">
        <f t="shared" si="1"/>
        <v>-0.10201512025096415</v>
      </c>
      <c r="H24" s="1205">
        <f t="shared" si="0"/>
        <v>-9.1150551896620136E-2</v>
      </c>
    </row>
    <row r="26" spans="1:9" x14ac:dyDescent="0.2">
      <c r="G26" s="1323"/>
    </row>
    <row r="39" spans="14:14" x14ac:dyDescent="0.2">
      <c r="N39" s="68" t="str">
        <f>"Average Price Change of Selected Commodities"&amp;CHAR(10)&amp;C12&amp;" to "&amp;E12</f>
        <v>Average Price Change of Selected Commodities
2024 to 2025</v>
      </c>
    </row>
  </sheetData>
  <mergeCells count="6">
    <mergeCell ref="K12:L12"/>
    <mergeCell ref="A7:H7"/>
    <mergeCell ref="C12:D12"/>
    <mergeCell ref="E12:F12"/>
    <mergeCell ref="G12:H12"/>
    <mergeCell ref="J12:J13"/>
  </mergeCells>
  <conditionalFormatting sqref="G26:H26">
    <cfRule type="containsText" dxfId="4" priority="5" operator="containsText" text="Data Missing">
      <formula>NOT(ISERROR(SEARCH("Data Missing",G26)))</formula>
    </cfRule>
  </conditionalFormatting>
  <conditionalFormatting sqref="R10:S15">
    <cfRule type="containsText" dxfId="3" priority="1" operator="containsText" text="Data Missing">
      <formula>NOT(ISERROR(SEARCH("Data Missing",R10)))</formula>
    </cfRule>
  </conditionalFormatting>
  <conditionalFormatting sqref="R18:S27">
    <cfRule type="containsText" dxfId="2" priority="2" operator="containsText" text="Data Missing">
      <formula>NOT(ISERROR(SEARCH("Data Missing",R18)))</formula>
    </cfRule>
  </conditionalFormatting>
  <pageMargins left="0.35433070866141736" right="0.39370078740157483" top="0.55118110236220474" bottom="0.35433070866141736" header="0.51181102362204722" footer="0.51181102362204722"/>
  <pageSetup paperSize="9" scale="44" orientation="landscape" r:id="rId1"/>
  <headerFooter alignWithMargins="0"/>
  <ignoredErrors>
    <ignoredError sqref="D14:D24 E14:E24" formula="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A75B5-D7F4-411C-B0CF-C87867ACCF25}">
  <sheetPr>
    <tabColor theme="8" tint="0.39997558519241921"/>
  </sheetPr>
  <dimension ref="A1:CX71"/>
  <sheetViews>
    <sheetView showGridLines="0" zoomScale="85" zoomScaleNormal="85" workbookViewId="0">
      <pane ySplit="10" topLeftCell="A11" activePane="bottomLeft" state="frozen"/>
      <selection pane="bottomLeft"/>
    </sheetView>
  </sheetViews>
  <sheetFormatPr defaultColWidth="9.140625" defaultRowHeight="15" x14ac:dyDescent="0.25"/>
  <cols>
    <col min="1" max="1" width="12.7109375" customWidth="1"/>
    <col min="2" max="3" width="15.7109375" customWidth="1"/>
    <col min="4" max="4" width="8.7109375" customWidth="1"/>
    <col min="5" max="5" width="12.7109375" customWidth="1"/>
    <col min="6" max="7" width="15.7109375" customWidth="1"/>
    <col min="8" max="8" width="8.7109375" customWidth="1"/>
    <col min="25" max="102" width="9.140625" style="2"/>
  </cols>
  <sheetData>
    <row r="1" spans="1:23" x14ac:dyDescent="0.25">
      <c r="W1" s="58" t="s">
        <v>551</v>
      </c>
    </row>
    <row r="2" spans="1:23" x14ac:dyDescent="0.25">
      <c r="W2" s="58" t="s">
        <v>552</v>
      </c>
    </row>
    <row r="3" spans="1:23" x14ac:dyDescent="0.25">
      <c r="F3" s="2"/>
    </row>
    <row r="4" spans="1:23" x14ac:dyDescent="0.25">
      <c r="E4" s="421"/>
    </row>
    <row r="5" spans="1:23" x14ac:dyDescent="0.25">
      <c r="E5" s="421"/>
    </row>
    <row r="6" spans="1:23" x14ac:dyDescent="0.25">
      <c r="E6" s="421"/>
    </row>
    <row r="7" spans="1:23" x14ac:dyDescent="0.25">
      <c r="A7" s="1393" t="s">
        <v>568</v>
      </c>
      <c r="B7" s="1393"/>
      <c r="C7" s="1370"/>
      <c r="E7" s="1393" t="s">
        <v>553</v>
      </c>
      <c r="F7" s="1393"/>
      <c r="G7" s="1370"/>
    </row>
    <row r="8" spans="1:23" ht="15.75" thickBot="1" x14ac:dyDescent="0.3">
      <c r="A8" s="1395" t="s">
        <v>594</v>
      </c>
      <c r="B8" s="1395"/>
      <c r="C8" s="1396"/>
      <c r="E8" s="1395" t="str">
        <f>E56</f>
        <v>Historic Calendar Year</v>
      </c>
      <c r="F8" s="1395"/>
      <c r="G8" s="1396"/>
    </row>
    <row r="9" spans="1:23" x14ac:dyDescent="0.25">
      <c r="A9" s="998"/>
      <c r="B9" s="999" t="s">
        <v>595</v>
      </c>
      <c r="C9" s="1000" t="s">
        <v>596</v>
      </c>
      <c r="E9" s="998"/>
      <c r="F9" s="999" t="s">
        <v>595</v>
      </c>
      <c r="G9" s="1001" t="s">
        <v>596</v>
      </c>
    </row>
    <row r="10" spans="1:23" x14ac:dyDescent="0.25">
      <c r="A10" s="1002" t="s">
        <v>269</v>
      </c>
      <c r="B10" s="1003" t="s">
        <v>264</v>
      </c>
      <c r="C10" s="1004" t="s">
        <v>264</v>
      </c>
      <c r="E10" s="1005" t="s">
        <v>272</v>
      </c>
      <c r="F10" s="1003" t="s">
        <v>264</v>
      </c>
      <c r="G10" s="1006" t="s">
        <v>264</v>
      </c>
    </row>
    <row r="11" spans="1:23" x14ac:dyDescent="0.25">
      <c r="A11" s="1007">
        <f>LARGE('Commodity Prices'!C$161:C$904,61)</f>
        <v>44166</v>
      </c>
      <c r="B11" s="433">
        <f>SUMIF('Commodity Prices'!C$254:C$904,A11,'Commodity Prices'!AK$254:AK$904)</f>
        <v>49.87</v>
      </c>
      <c r="C11" s="434">
        <f>SUMIF('Commodity Prices'!C$254:C$904,A11,'Commodity Prices'!AM$254:AM$904)</f>
        <v>49.55</v>
      </c>
      <c r="E11" s="1008">
        <f>IF(E8="Historic Calendar Year", 1983, "1982-83")</f>
        <v>1983</v>
      </c>
      <c r="F11" s="433">
        <f>IF($E$8="Historic Calendar Year",
 IF(COUNTIFS('Commodity Prices'!$AK:$AK, "&gt;0", 'Commodity Prices'!$A:$A, $E11)=12, AVERAGEIFS('Commodity Prices'!$AK:$AK, 'Commodity Prices'!$A:$A, $E11), NA()),
 IF(COUNTIFS('Commodity Prices'!$AK:$AK, "&gt;0", 'Commodity Prices'!$B:$B, $E11)=12, AVERAGEIFS('Commodity Prices'!$AK:$AK, 'Commodity Prices'!$B:$B, $E11), NA())
)</f>
        <v>30.008333333333336</v>
      </c>
      <c r="G11" s="674"/>
    </row>
    <row r="12" spans="1:23" x14ac:dyDescent="0.25">
      <c r="A12" s="1009">
        <f>LARGE('Commodity Prices'!C$161:C$904,60)</f>
        <v>44197</v>
      </c>
      <c r="B12" s="1010">
        <f>SUMIF('Commodity Prices'!C$254:C$904,A12,'Commodity Prices'!AK$254:AK$904)</f>
        <v>54.55</v>
      </c>
      <c r="C12" s="1011">
        <f>SUMIF('Commodity Prices'!C$254:C$904,A12,'Commodity Prices'!AM$254:AM$904)</f>
        <v>55.49</v>
      </c>
      <c r="E12" s="1012">
        <f>IF($E$8="Historic Calendar Year", E11+1, LEFT(E11, 4)+1 &amp; "-" &amp; RIGHT( LEFT(E11, 4)+2, 2))</f>
        <v>1984</v>
      </c>
      <c r="F12" s="1010">
        <f>IF($E$8="Historic Calendar Year",
 IF(COUNTIFS('Commodity Prices'!$AK:$AK, "&gt;0", 'Commodity Prices'!$A:$A, $E12)=12, AVERAGEIFS('Commodity Prices'!$AK:$AK, 'Commodity Prices'!$A:$A, $E12), NA()),
 IF(COUNTIFS('Commodity Prices'!$AK:$AK, "&gt;0", 'Commodity Prices'!$B:$B, $E12)=12, AVERAGEIFS('Commodity Prices'!$AK:$AK, 'Commodity Prices'!$B:$B, $E12), NA())
)</f>
        <v>28.966666666666665</v>
      </c>
      <c r="G12" s="1013"/>
    </row>
    <row r="13" spans="1:23" x14ac:dyDescent="0.25">
      <c r="A13" s="1007">
        <f>LARGE('Commodity Prices'!C$161:C$904,59)</f>
        <v>44228</v>
      </c>
      <c r="B13" s="433">
        <f>SUMIF('Commodity Prices'!C$254:C$904,A13,'Commodity Prices'!AK$254:AK$904)</f>
        <v>61.96</v>
      </c>
      <c r="C13" s="434">
        <f>SUMIF('Commodity Prices'!C$254:C$904,A13,'Commodity Prices'!AM$254:AM$904)</f>
        <v>63.02</v>
      </c>
      <c r="E13" s="1012">
        <f t="shared" ref="E13:E41" si="0">IF($E$8="Historic Calendar Year", E12+1, LEFT(E12, 4)+1 &amp; "-" &amp; RIGHT( LEFT(E12, 4)+2, 2))</f>
        <v>1985</v>
      </c>
      <c r="F13" s="433">
        <f>IF($E$8="Historic Calendar Year",
 IF(COUNTIFS('Commodity Prices'!$AK:$AK, "&gt;0", 'Commodity Prices'!$A:$A, $E13)=12, AVERAGEIFS('Commodity Prices'!$AK:$AK, 'Commodity Prices'!$A:$A, $E13), NA()),
 IF(COUNTIFS('Commodity Prices'!$AK:$AK, "&gt;0", 'Commodity Prices'!$B:$B, $E13)=12, AVERAGEIFS('Commodity Prices'!$AK:$AK, 'Commodity Prices'!$B:$B, $E13), NA())
)</f>
        <v>27.677500000000006</v>
      </c>
      <c r="G13" s="674"/>
    </row>
    <row r="14" spans="1:23" x14ac:dyDescent="0.25">
      <c r="A14" s="1009">
        <f>LARGE('Commodity Prices'!C$161:C$904,58)</f>
        <v>44256</v>
      </c>
      <c r="B14" s="1010">
        <f>SUMIF('Commodity Prices'!C$254:C$904,A14,'Commodity Prices'!AK$254:AK$904)</f>
        <v>65.19</v>
      </c>
      <c r="C14" s="1011">
        <f>SUMIF('Commodity Prices'!C$254:C$904,A14,'Commodity Prices'!AM$254:AM$904)</f>
        <v>66.459999999999994</v>
      </c>
      <c r="E14" s="1012">
        <f t="shared" si="0"/>
        <v>1986</v>
      </c>
      <c r="F14" s="1010">
        <f>IF($E$8="Historic Calendar Year",
 IF(COUNTIFS('Commodity Prices'!$AK:$AK, "&gt;0", 'Commodity Prices'!$A:$A, $E14)=12, AVERAGEIFS('Commodity Prices'!$AK:$AK, 'Commodity Prices'!$A:$A, $E14), NA()),
 IF(COUNTIFS('Commodity Prices'!$AK:$AK, "&gt;0", 'Commodity Prices'!$B:$B, $E14)=12, AVERAGEIFS('Commodity Prices'!$AK:$AK, 'Commodity Prices'!$B:$B, $E14), NA())
)</f>
        <v>15.050000000000004</v>
      </c>
      <c r="G14" s="1013"/>
    </row>
    <row r="15" spans="1:23" x14ac:dyDescent="0.25">
      <c r="A15" s="1007">
        <f>LARGE('Commodity Prices'!C$161:C$904,57)</f>
        <v>44287</v>
      </c>
      <c r="B15" s="433">
        <f>SUMIF('Commodity Prices'!C$254:C$904,A15,'Commodity Prices'!AK$254:AK$904)</f>
        <v>64.77</v>
      </c>
      <c r="C15" s="434">
        <f>SUMIF('Commodity Prices'!C$254:C$904,A15,'Commodity Prices'!AM$254:AM$904)</f>
        <v>64.650000000000006</v>
      </c>
      <c r="E15" s="1012">
        <f t="shared" si="0"/>
        <v>1987</v>
      </c>
      <c r="F15" s="433">
        <f>IF($E$8="Historic Calendar Year",
 IF(COUNTIFS('Commodity Prices'!$AK:$AK, "&gt;0", 'Commodity Prices'!$A:$A, $E15)=12, AVERAGEIFS('Commodity Prices'!$AK:$AK, 'Commodity Prices'!$A:$A, $E15), NA()),
 IF(COUNTIFS('Commodity Prices'!$AK:$AK, "&gt;0", 'Commodity Prices'!$B:$B, $E15)=12, AVERAGEIFS('Commodity Prices'!$AK:$AK, 'Commodity Prices'!$B:$B, $E15), NA())
)</f>
        <v>18.204166666666662</v>
      </c>
      <c r="G15" s="674"/>
    </row>
    <row r="16" spans="1:23" x14ac:dyDescent="0.25">
      <c r="A16" s="1009">
        <f>LARGE('Commodity Prices'!C$161:C$904,56)</f>
        <v>44317</v>
      </c>
      <c r="B16" s="1010">
        <f>SUMIF('Commodity Prices'!C$254:C$904,A16,'Commodity Prices'!AK$254:AK$904)</f>
        <v>68.040000000000006</v>
      </c>
      <c r="C16" s="1011">
        <f>SUMIF('Commodity Prices'!C$254:C$904,A16,'Commodity Prices'!AM$254:AM$904)</f>
        <v>68.94</v>
      </c>
      <c r="E16" s="1012">
        <f t="shared" si="0"/>
        <v>1988</v>
      </c>
      <c r="F16" s="1010">
        <f>IF($E$8="Historic Calendar Year",
 IF(COUNTIFS('Commodity Prices'!$AK:$AK, "&gt;0", 'Commodity Prices'!$A:$A, $E16)=12, AVERAGEIFS('Commodity Prices'!$AK:$AK, 'Commodity Prices'!$A:$A, $E16), NA()),
 IF(COUNTIFS('Commodity Prices'!$AK:$AK, "&gt;0", 'Commodity Prices'!$B:$B, $E16)=12, AVERAGEIFS('Commodity Prices'!$AK:$AK, 'Commodity Prices'!$B:$B, $E16), NA())
)</f>
        <v>14.921666666666667</v>
      </c>
      <c r="G16" s="1013">
        <f>IF($E$8="Historic Calendar Year",
 IF(COUNTIFS('Commodity Prices'!$AM:$AM, "&gt;0", 'Commodity Prices'!$A:$A, $E16)=12, AVERAGEIFS('Commodity Prices'!$AM:$AM, 'Commodity Prices'!$A:$A, $E16), NA()),
 IF(COUNTIFS('Commodity Prices'!$AM:$AM, "&gt;0", 'Commodity Prices'!$B:$B, $E16)=12, AVERAGEIFS('Commodity Prices'!$AM:$AM, 'Commodity Prices'!$B:$B, $E16), NA())
)</f>
        <v>15.8375</v>
      </c>
    </row>
    <row r="17" spans="1:7" x14ac:dyDescent="0.25">
      <c r="A17" s="1007">
        <f>LARGE('Commodity Prices'!C$161:C$904,56)</f>
        <v>44317</v>
      </c>
      <c r="B17" s="433">
        <f>SUMIF('Commodity Prices'!C$254:C$904,A17,'Commodity Prices'!AK$254:AK$904)</f>
        <v>68.040000000000006</v>
      </c>
      <c r="C17" s="434">
        <f>SUMIF('Commodity Prices'!C$254:C$904,A17,'Commodity Prices'!AM$254:AM$904)</f>
        <v>68.94</v>
      </c>
      <c r="E17" s="1012">
        <f t="shared" si="0"/>
        <v>1989</v>
      </c>
      <c r="F17" s="433">
        <f>IF($E$8="Historic Calendar Year",
 IF(COUNTIFS('Commodity Prices'!$AK:$AK, "&gt;0", 'Commodity Prices'!$A:$A, $E17)=12, AVERAGEIFS('Commodity Prices'!$AK:$AK, 'Commodity Prices'!$A:$A, $E17), NA()),
 IF(COUNTIFS('Commodity Prices'!$AK:$AK, "&gt;0", 'Commodity Prices'!$B:$B, $E17)=12, AVERAGEIFS('Commodity Prices'!$AK:$AK, 'Commodity Prices'!$B:$B, $E17), NA())
)</f>
        <v>18.32</v>
      </c>
      <c r="G17" s="674">
        <f>IF($E$8="Historic Calendar Year",
 IF(COUNTIFS('Commodity Prices'!$AM:$AM, "&gt;0", 'Commodity Prices'!$A:$A, $E17)=12, AVERAGEIFS('Commodity Prices'!$AM:$AM, 'Commodity Prices'!$A:$A, $E17), NA()),
 IF(COUNTIFS('Commodity Prices'!$AM:$AM, "&gt;0", 'Commodity Prices'!$B:$B, $E17)=12, AVERAGEIFS('Commodity Prices'!$AM:$AM, 'Commodity Prices'!$B:$B, $E17), NA())
)</f>
        <v>18.683333333333334</v>
      </c>
    </row>
    <row r="18" spans="1:7" x14ac:dyDescent="0.25">
      <c r="A18" s="1009">
        <f>LARGE('Commodity Prices'!C$161:C$904,54)</f>
        <v>44378</v>
      </c>
      <c r="B18" s="1010">
        <f>SUMIF('Commodity Prices'!C$254:C$904,A18,'Commodity Prices'!AK$254:AK$904)</f>
        <v>74.39</v>
      </c>
      <c r="C18" s="1011">
        <f>SUMIF('Commodity Prices'!C$254:C$904,A18,'Commodity Prices'!AM$254:AM$904)</f>
        <v>75.459999999999994</v>
      </c>
      <c r="E18" s="1012">
        <f t="shared" si="0"/>
        <v>1990</v>
      </c>
      <c r="F18" s="1010">
        <f>IF($E$8="Historic Calendar Year",
 IF(COUNTIFS('Commodity Prices'!$AK:$AK, "&gt;0", 'Commodity Prices'!$A:$A, $E18)=12, AVERAGEIFS('Commodity Prices'!$AK:$AK, 'Commodity Prices'!$A:$A, $E18), NA()),
 IF(COUNTIFS('Commodity Prices'!$AK:$AK, "&gt;0", 'Commodity Prices'!$B:$B, $E18)=12, AVERAGEIFS('Commodity Prices'!$AK:$AK, 'Commodity Prices'!$B:$B, $E18), NA())
)</f>
        <v>23.601666666666663</v>
      </c>
      <c r="G18" s="1013">
        <f>IF($E$8="Historic Calendar Year",
 IF(COUNTIFS('Commodity Prices'!$AM:$AM, "&gt;0", 'Commodity Prices'!$A:$A, $E18)=12, AVERAGEIFS('Commodity Prices'!$AM:$AM, 'Commodity Prices'!$A:$A, $E18), NA()),
 IF(COUNTIFS('Commodity Prices'!$AM:$AM, "&gt;0", 'Commodity Prices'!$B:$B, $E18)=12, AVERAGEIFS('Commodity Prices'!$AM:$AM, 'Commodity Prices'!$B:$B, $E18), NA())
)</f>
        <v>23.675000000000001</v>
      </c>
    </row>
    <row r="19" spans="1:7" x14ac:dyDescent="0.25">
      <c r="A19" s="1007">
        <f>LARGE('Commodity Prices'!C$161:C$904,53)</f>
        <v>44409</v>
      </c>
      <c r="B19" s="433">
        <f>SUMIF('Commodity Prices'!C$254:C$904,A19,'Commodity Prices'!AK$254:AK$904)</f>
        <v>70.02</v>
      </c>
      <c r="C19" s="434">
        <f>SUMIF('Commodity Prices'!C$254:C$904,A19,'Commodity Prices'!AM$254:AM$904)</f>
        <v>70.959999999999994</v>
      </c>
      <c r="E19" s="1012">
        <f t="shared" si="0"/>
        <v>1991</v>
      </c>
      <c r="F19" s="433">
        <f>IF($E$8="Historic Calendar Year",
 IF(COUNTIFS('Commodity Prices'!$AK:$AK, "&gt;0", 'Commodity Prices'!$A:$A, $E19)=12, AVERAGEIFS('Commodity Prices'!$AK:$AK, 'Commodity Prices'!$A:$A, $E19), NA()),
 IF(COUNTIFS('Commodity Prices'!$AK:$AK, "&gt;0", 'Commodity Prices'!$B:$B, $E19)=12, AVERAGEIFS('Commodity Prices'!$AK:$AK, 'Commodity Prices'!$B:$B, $E19), NA())
)</f>
        <v>20.27</v>
      </c>
      <c r="G19" s="674">
        <f>IF($E$8="Historic Calendar Year",
 IF(COUNTIFS('Commodity Prices'!$AM:$AM, "&gt;0", 'Commodity Prices'!$A:$A, $E19)=12, AVERAGEIFS('Commodity Prices'!$AM:$AM, 'Commodity Prices'!$A:$A, $E19), NA()),
 IF(COUNTIFS('Commodity Prices'!$AM:$AM, "&gt;0", 'Commodity Prices'!$B:$B, $E19)=12, AVERAGEIFS('Commodity Prices'!$AM:$AM, 'Commodity Prices'!$B:$B, $E19), NA())
)</f>
        <v>21.583333333333329</v>
      </c>
    </row>
    <row r="20" spans="1:7" x14ac:dyDescent="0.25">
      <c r="A20" s="1009">
        <f>LARGE('Commodity Prices'!C$161:C$904,52)</f>
        <v>44440</v>
      </c>
      <c r="B20" s="1010">
        <f>SUMIF('Commodity Prices'!C$254:C$904,A20,'Commodity Prices'!AK$254:AK$904)</f>
        <v>74.599999999999994</v>
      </c>
      <c r="C20" s="1011">
        <f>SUMIF('Commodity Prices'!C$254:C$904,A20,'Commodity Prices'!AM$254:AM$904)</f>
        <v>76.290000000000006</v>
      </c>
      <c r="E20" s="1012">
        <f t="shared" si="0"/>
        <v>1992</v>
      </c>
      <c r="F20" s="1010">
        <f>IF($E$8="Historic Calendar Year",
 IF(COUNTIFS('Commodity Prices'!$AK:$AK, "&gt;0", 'Commodity Prices'!$A:$A, $E20)=12, AVERAGEIFS('Commodity Prices'!$AK:$AK, 'Commodity Prices'!$A:$A, $E20), NA()),
 IF(COUNTIFS('Commodity Prices'!$AK:$AK, "&gt;0", 'Commodity Prices'!$B:$B, $E20)=12, AVERAGEIFS('Commodity Prices'!$AK:$AK, 'Commodity Prices'!$B:$B, $E20), NA())
)</f>
        <v>19.414383829249527</v>
      </c>
      <c r="G20" s="1013">
        <f>IF($E$8="Historic Calendar Year",
 IF(COUNTIFS('Commodity Prices'!$AM:$AM, "&gt;0", 'Commodity Prices'!$A:$A, $E20)=12, AVERAGEIFS('Commodity Prices'!$AM:$AM, 'Commodity Prices'!$A:$A, $E20), NA()),
 IF(COUNTIFS('Commodity Prices'!$AM:$AM, "&gt;0", 'Commodity Prices'!$B:$B, $E20)=12, AVERAGEIFS('Commodity Prices'!$AM:$AM, 'Commodity Prices'!$B:$B, $E20), NA())
)</f>
        <v>20.770549220968217</v>
      </c>
    </row>
    <row r="21" spans="1:7" x14ac:dyDescent="0.25">
      <c r="A21" s="1007">
        <f>LARGE('Commodity Prices'!C$161:C$904,51)</f>
        <v>44470</v>
      </c>
      <c r="B21" s="433">
        <f>SUMIF('Commodity Prices'!C$254:C$904,A21,'Commodity Prices'!AK$254:AK$904)</f>
        <v>83.65</v>
      </c>
      <c r="C21" s="434">
        <f>SUMIF('Commodity Prices'!C$254:C$904,A21,'Commodity Prices'!AM$254:AM$904)</f>
        <v>85.17</v>
      </c>
      <c r="E21" s="1012">
        <f t="shared" si="0"/>
        <v>1993</v>
      </c>
      <c r="F21" s="433">
        <f>IF($E$8="Historic Calendar Year",
 IF(COUNTIFS('Commodity Prices'!$AK:$AK, "&gt;0", 'Commodity Prices'!$A:$A, $E21)=12, AVERAGEIFS('Commodity Prices'!$AK:$AK, 'Commodity Prices'!$A:$A, $E21), NA()),
 IF(COUNTIFS('Commodity Prices'!$AK:$AK, "&gt;0", 'Commodity Prices'!$B:$B, $E21)=12, AVERAGEIFS('Commodity Prices'!$AK:$AK, 'Commodity Prices'!$B:$B, $E21), NA())
)</f>
        <v>16.998026110494862</v>
      </c>
      <c r="G21" s="674">
        <f>IF($E$8="Historic Calendar Year",
 IF(COUNTIFS('Commodity Prices'!$AM:$AM, "&gt;0", 'Commodity Prices'!$A:$A, $E21)=12, AVERAGEIFS('Commodity Prices'!$AM:$AM, 'Commodity Prices'!$A:$A, $E21), NA()),
 IF(COUNTIFS('Commodity Prices'!$AM:$AM, "&gt;0", 'Commodity Prices'!$B:$B, $E21)=12, AVERAGEIFS('Commodity Prices'!$AM:$AM, 'Commodity Prices'!$B:$B, $E21), NA())
)</f>
        <v>18.889847345760234</v>
      </c>
    </row>
    <row r="22" spans="1:7" x14ac:dyDescent="0.25">
      <c r="A22" s="1009">
        <f>LARGE('Commodity Prices'!C$161:C$904,50)</f>
        <v>44501</v>
      </c>
      <c r="B22" s="1010">
        <f>SUMIF('Commodity Prices'!C$254:C$904,A22,'Commodity Prices'!AK$254:AK$904)</f>
        <v>80.77</v>
      </c>
      <c r="C22" s="1011">
        <f>SUMIF('Commodity Prices'!C$254:C$904,A22,'Commodity Prices'!AM$254:AM$904)</f>
        <v>83.59</v>
      </c>
      <c r="E22" s="1012">
        <f t="shared" si="0"/>
        <v>1994</v>
      </c>
      <c r="F22" s="1010">
        <f>IF($E$8="Historic Calendar Year",
 IF(COUNTIFS('Commodity Prices'!$AK:$AK, "&gt;0", 'Commodity Prices'!$A:$A, $E22)=12, AVERAGEIFS('Commodity Prices'!$AK:$AK, 'Commodity Prices'!$A:$A, $E22), NA()),
 IF(COUNTIFS('Commodity Prices'!$AK:$AK, "&gt;0", 'Commodity Prices'!$B:$B, $E22)=12, AVERAGEIFS('Commodity Prices'!$AK:$AK, 'Commodity Prices'!$B:$B, $E22), NA())
)</f>
        <v>15.826028083369067</v>
      </c>
      <c r="G22" s="1013">
        <f>IF($E$8="Historic Calendar Year",
 IF(COUNTIFS('Commodity Prices'!$AM:$AM, "&gt;0", 'Commodity Prices'!$A:$A, $E22)=12, AVERAGEIFS('Commodity Prices'!$AM:$AM, 'Commodity Prices'!$A:$A, $E22), NA()),
 IF(COUNTIFS('Commodity Prices'!$AM:$AM, "&gt;0", 'Commodity Prices'!$B:$B, $E22)=12, AVERAGEIFS('Commodity Prices'!$AM:$AM, 'Commodity Prices'!$B:$B, $E22), NA())
)</f>
        <v>17.168807246061672</v>
      </c>
    </row>
    <row r="23" spans="1:7" x14ac:dyDescent="0.25">
      <c r="A23" s="1007">
        <f>LARGE('Commodity Prices'!C$161:C$904,49)</f>
        <v>44531</v>
      </c>
      <c r="B23" s="433">
        <f>SUMIF('Commodity Prices'!C$254:C$904,A23,'Commodity Prices'!AK$254:AK$904)</f>
        <v>74.31</v>
      </c>
      <c r="C23" s="434">
        <f>SUMIF('Commodity Prices'!C$254:C$904,A23,'Commodity Prices'!AM$254:AM$904)</f>
        <v>77.239999999999995</v>
      </c>
      <c r="E23" s="1012">
        <f t="shared" si="0"/>
        <v>1995</v>
      </c>
      <c r="F23" s="433">
        <f>IF($E$8="Historic Calendar Year",
 IF(COUNTIFS('Commodity Prices'!$AK:$AK, "&gt;0", 'Commodity Prices'!$A:$A, $E23)=12, AVERAGEIFS('Commodity Prices'!$AK:$AK, 'Commodity Prices'!$A:$A, $E23), NA()),
 IF(COUNTIFS('Commodity Prices'!$AK:$AK, "&gt;0", 'Commodity Prices'!$B:$B, $E23)=12, AVERAGEIFS('Commodity Prices'!$AK:$AK, 'Commodity Prices'!$B:$B, $E23), NA())
)</f>
        <v>17.05438198947342</v>
      </c>
      <c r="G23" s="674">
        <f>IF($E$8="Historic Calendar Year",
 IF(COUNTIFS('Commodity Prices'!$AM:$AM, "&gt;0", 'Commodity Prices'!$A:$A, $E23)=12, AVERAGEIFS('Commodity Prices'!$AM:$AM, 'Commodity Prices'!$A:$A, $E23), NA()),
 IF(COUNTIFS('Commodity Prices'!$AM:$AM, "&gt;0", 'Commodity Prices'!$B:$B, $E23)=12, AVERAGEIFS('Commodity Prices'!$AM:$AM, 'Commodity Prices'!$B:$B, $E23), NA())
)</f>
        <v>18.319675263796611</v>
      </c>
    </row>
    <row r="24" spans="1:7" x14ac:dyDescent="0.25">
      <c r="A24" s="1009">
        <f>LARGE('Commodity Prices'!C$161:C$904,48)</f>
        <v>44562</v>
      </c>
      <c r="B24" s="1010">
        <f>SUMIF('Commodity Prices'!C$254:C$904,A24,'Commodity Prices'!AK$254:AK$904)</f>
        <v>85.53</v>
      </c>
      <c r="C24" s="1011">
        <f>SUMIF('Commodity Prices'!C$254:C$904,A24,'Commodity Prices'!AM$254:AM$904)</f>
        <v>89.75</v>
      </c>
      <c r="E24" s="1012">
        <f t="shared" si="0"/>
        <v>1996</v>
      </c>
      <c r="F24" s="1010">
        <f>IF($E$8="Historic Calendar Year",
 IF(COUNTIFS('Commodity Prices'!$AK:$AK, "&gt;0", 'Commodity Prices'!$A:$A, $E24)=12, AVERAGEIFS('Commodity Prices'!$AK:$AK, 'Commodity Prices'!$A:$A, $E24), NA()),
 IF(COUNTIFS('Commodity Prices'!$AK:$AK, "&gt;0", 'Commodity Prices'!$B:$B, $E24)=12, AVERAGEIFS('Commodity Prices'!$AK:$AK, 'Commodity Prices'!$B:$B, $E24), NA())
)</f>
        <v>20.452974563455992</v>
      </c>
      <c r="G24" s="1013">
        <f>IF($E$8="Historic Calendar Year",
 IF(COUNTIFS('Commodity Prices'!$AM:$AM, "&gt;0", 'Commodity Prices'!$A:$A, $E24)=12, AVERAGEIFS('Commodity Prices'!$AM:$AM, 'Commodity Prices'!$A:$A, $E24), NA()),
 IF(COUNTIFS('Commodity Prices'!$AM:$AM, "&gt;0", 'Commodity Prices'!$B:$B, $E24)=12, AVERAGEIFS('Commodity Prices'!$AM:$AM, 'Commodity Prices'!$B:$B, $E24), NA())
)</f>
        <v>21.976414468303531</v>
      </c>
    </row>
    <row r="25" spans="1:7" x14ac:dyDescent="0.25">
      <c r="A25" s="1007">
        <f>LARGE('Commodity Prices'!C$161:C$904,47)</f>
        <v>44593</v>
      </c>
      <c r="B25" s="433">
        <f>SUMIF('Commodity Prices'!C$254:C$904,A25,'Commodity Prices'!AK$254:AK$904)</f>
        <v>95.76</v>
      </c>
      <c r="C25" s="434">
        <f>SUMIF('Commodity Prices'!C$254:C$904,A25,'Commodity Prices'!AM$254:AM$904)</f>
        <v>99.98</v>
      </c>
      <c r="E25" s="1012">
        <f t="shared" si="0"/>
        <v>1997</v>
      </c>
      <c r="F25" s="433">
        <f>IF($E$8="Historic Calendar Year",
 IF(COUNTIFS('Commodity Prices'!$AK:$AK, "&gt;0", 'Commodity Prices'!$A:$A, $E25)=12, AVERAGEIFS('Commodity Prices'!$AK:$AK, 'Commodity Prices'!$A:$A, $E25), NA()),
 IF(COUNTIFS('Commodity Prices'!$AK:$AK, "&gt;0", 'Commodity Prices'!$B:$B, $E25)=12, AVERAGEIFS('Commodity Prices'!$AK:$AK, 'Commodity Prices'!$B:$B, $E25), NA())
)</f>
        <v>19.18839520260504</v>
      </c>
      <c r="G25" s="674">
        <f>IF($E$8="Historic Calendar Year",
 IF(COUNTIFS('Commodity Prices'!$AM:$AM, "&gt;0", 'Commodity Prices'!$A:$A, $E25)=12, AVERAGEIFS('Commodity Prices'!$AM:$AM, 'Commodity Prices'!$A:$A, $E25), NA()),
 IF(COUNTIFS('Commodity Prices'!$AM:$AM, "&gt;0", 'Commodity Prices'!$B:$B, $E25)=12, AVERAGEIFS('Commodity Prices'!$AM:$AM, 'Commodity Prices'!$B:$B, $E25), NA())
)</f>
        <v>21.110842413998334</v>
      </c>
    </row>
    <row r="26" spans="1:7" x14ac:dyDescent="0.25">
      <c r="A26" s="1009">
        <f>LARGE('Commodity Prices'!C$161:C$904,46)</f>
        <v>44621</v>
      </c>
      <c r="B26" s="1010">
        <f>SUMIF('Commodity Prices'!C$254:C$904,A26,'Commodity Prices'!AK$254:AK$904)</f>
        <v>115.59</v>
      </c>
      <c r="C26" s="1011">
        <f>SUMIF('Commodity Prices'!C$254:C$904,A26,'Commodity Prices'!AM$254:AM$904)</f>
        <v>121.43</v>
      </c>
      <c r="E26" s="1012">
        <f t="shared" si="0"/>
        <v>1998</v>
      </c>
      <c r="F26" s="1010">
        <f>IF($E$8="Historic Calendar Year",
 IF(COUNTIFS('Commodity Prices'!$AK:$AK, "&gt;0", 'Commodity Prices'!$A:$A, $E26)=12, AVERAGEIFS('Commodity Prices'!$AK:$AK, 'Commodity Prices'!$A:$A, $E26), NA()),
 IF(COUNTIFS('Commodity Prices'!$AK:$AK, "&gt;0", 'Commodity Prices'!$B:$B, $E26)=12, AVERAGEIFS('Commodity Prices'!$AK:$AK, 'Commodity Prices'!$B:$B, $E26), NA())
)</f>
        <v>12.71672321013371</v>
      </c>
      <c r="G26" s="1013">
        <f>IF($E$8="Historic Calendar Year",
 IF(COUNTIFS('Commodity Prices'!$AM:$AM, "&gt;0", 'Commodity Prices'!$A:$A, $E26)=12, AVERAGEIFS('Commodity Prices'!$AM:$AM, 'Commodity Prices'!$A:$A, $E26), NA()),
 IF(COUNTIFS('Commodity Prices'!$AM:$AM, "&gt;0", 'Commodity Prices'!$B:$B, $E26)=12, AVERAGEIFS('Commodity Prices'!$AM:$AM, 'Commodity Prices'!$B:$B, $E26), NA())
)</f>
        <v>13.869728142884306</v>
      </c>
    </row>
    <row r="27" spans="1:7" x14ac:dyDescent="0.25">
      <c r="A27" s="1007">
        <f>LARGE('Commodity Prices'!C$161:C$904,45)</f>
        <v>44652</v>
      </c>
      <c r="B27" s="433">
        <f>SUMIF('Commodity Prices'!C$254:C$904,A27,'Commodity Prices'!AK$254:AK$904)</f>
        <v>105.78</v>
      </c>
      <c r="C27" s="434">
        <f>SUMIF('Commodity Prices'!C$254:C$904,A27,'Commodity Prices'!AM$254:AM$904)</f>
        <v>111.16</v>
      </c>
      <c r="E27" s="1012">
        <f t="shared" si="0"/>
        <v>1999</v>
      </c>
      <c r="F27" s="433">
        <f>IF($E$8="Historic Calendar Year",
 IF(COUNTIFS('Commodity Prices'!$AK:$AK, "&gt;0", 'Commodity Prices'!$A:$A, $E27)=12, AVERAGEIFS('Commodity Prices'!$AK:$AK, 'Commodity Prices'!$A:$A, $E27), NA()),
 IF(COUNTIFS('Commodity Prices'!$AK:$AK, "&gt;0", 'Commodity Prices'!$B:$B, $E27)=12, AVERAGEIFS('Commodity Prices'!$AK:$AK, 'Commodity Prices'!$B:$B, $E27), NA())
)</f>
        <v>17.810450577587815</v>
      </c>
      <c r="G27" s="674">
        <f>IF($E$8="Historic Calendar Year",
 IF(COUNTIFS('Commodity Prices'!$AM:$AM, "&gt;0", 'Commodity Prices'!$A:$A, $E27)=12, AVERAGEIFS('Commodity Prices'!$AM:$AM, 'Commodity Prices'!$A:$A, $E27), NA()),
 IF(COUNTIFS('Commodity Prices'!$AM:$AM, "&gt;0", 'Commodity Prices'!$B:$B, $E27)=12, AVERAGEIFS('Commodity Prices'!$AM:$AM, 'Commodity Prices'!$B:$B, $E27), NA())
)</f>
        <v>18.856916540694453</v>
      </c>
    </row>
    <row r="28" spans="1:7" x14ac:dyDescent="0.25">
      <c r="A28" s="1009">
        <f>LARGE('Commodity Prices'!C$161:C$904,44)</f>
        <v>44682</v>
      </c>
      <c r="B28" s="1010">
        <f>SUMIF('Commodity Prices'!C$254:C$904,A28,'Commodity Prices'!AK$254:AK$904)</f>
        <v>112.37</v>
      </c>
      <c r="C28" s="1011">
        <f>SUMIF('Commodity Prices'!C$254:C$904,A28,'Commodity Prices'!AM$254:AM$904)</f>
        <v>118.62</v>
      </c>
      <c r="E28" s="1012">
        <f t="shared" si="0"/>
        <v>2000</v>
      </c>
      <c r="F28" s="1010">
        <f>IF($E$8="Historic Calendar Year",
 IF(COUNTIFS('Commodity Prices'!$AK:$AK, "&gt;0", 'Commodity Prices'!$A:$A, $E28)=12, AVERAGEIFS('Commodity Prices'!$AK:$AK, 'Commodity Prices'!$A:$A, $E28), NA()),
 IF(COUNTIFS('Commodity Prices'!$AK:$AK, "&gt;0", 'Commodity Prices'!$B:$B, $E28)=12, AVERAGEIFS('Commodity Prices'!$AK:$AK, 'Commodity Prices'!$B:$B, $E28), NA())
)</f>
        <v>28.323333333333334</v>
      </c>
      <c r="G28" s="1013">
        <f>IF($E$8="Historic Calendar Year",
 IF(COUNTIFS('Commodity Prices'!$AM:$AM, "&gt;0", 'Commodity Prices'!$A:$A, $E28)=12, AVERAGEIFS('Commodity Prices'!$AM:$AM, 'Commodity Prices'!$A:$A, $E28), NA()),
 IF(COUNTIFS('Commodity Prices'!$AM:$AM, "&gt;0", 'Commodity Prices'!$B:$B, $E28)=12, AVERAGEIFS('Commodity Prices'!$AM:$AM, 'Commodity Prices'!$B:$B, $E28), NA())
)</f>
        <v>29.802499999999998</v>
      </c>
    </row>
    <row r="29" spans="1:7" x14ac:dyDescent="0.25">
      <c r="A29" s="1007">
        <f>LARGE('Commodity Prices'!C$161:C$904,43)</f>
        <v>44713</v>
      </c>
      <c r="B29" s="433">
        <f>SUMIF('Commodity Prices'!C$254:C$904,A29,'Commodity Prices'!AK$254:AK$904)</f>
        <v>120.08</v>
      </c>
      <c r="C29" s="434">
        <f>SUMIF('Commodity Prices'!C$254:C$904,A29,'Commodity Prices'!AM$254:AM$904)</f>
        <v>126.18</v>
      </c>
      <c r="E29" s="1012">
        <f t="shared" si="0"/>
        <v>2001</v>
      </c>
      <c r="F29" s="433">
        <f>IF($E$8="Historic Calendar Year",
 IF(COUNTIFS('Commodity Prices'!$AK:$AK, "&gt;0", 'Commodity Prices'!$A:$A, $E29)=12, AVERAGEIFS('Commodity Prices'!$AK:$AK, 'Commodity Prices'!$A:$A, $E29), NA()),
 IF(COUNTIFS('Commodity Prices'!$AK:$AK, "&gt;0", 'Commodity Prices'!$B:$B, $E29)=12, AVERAGEIFS('Commodity Prices'!$AK:$AK, 'Commodity Prices'!$B:$B, $E29), NA())
)</f>
        <v>23.98</v>
      </c>
      <c r="G29" s="674">
        <f>IF($E$8="Historic Calendar Year",
 IF(COUNTIFS('Commodity Prices'!$AM:$AM, "&gt;0", 'Commodity Prices'!$A:$A, $E29)=12, AVERAGEIFS('Commodity Prices'!$AM:$AM, 'Commodity Prices'!$A:$A, $E29), NA()),
 IF(COUNTIFS('Commodity Prices'!$AM:$AM, "&gt;0", 'Commodity Prices'!$B:$B, $E29)=12, AVERAGEIFS('Commodity Prices'!$AM:$AM, 'Commodity Prices'!$B:$B, $E29), NA())
)</f>
        <v>25.319166666666664</v>
      </c>
    </row>
    <row r="30" spans="1:7" x14ac:dyDescent="0.25">
      <c r="A30" s="1009">
        <f>LARGE('Commodity Prices'!C$161:C$904,42)</f>
        <v>44743</v>
      </c>
      <c r="B30" s="1010">
        <f>SUMIF('Commodity Prices'!C$254:C$904,A30,'Commodity Prices'!AK$254:AK$904)</f>
        <v>108.92</v>
      </c>
      <c r="C30" s="1011">
        <f>SUMIF('Commodity Prices'!C$254:C$904,A30,'Commodity Prices'!AM$254:AM$904)</f>
        <v>114.82</v>
      </c>
      <c r="E30" s="1012">
        <f t="shared" si="0"/>
        <v>2002</v>
      </c>
      <c r="F30" s="1010">
        <f>IF($E$8="Historic Calendar Year",
 IF(COUNTIFS('Commodity Prices'!$AK:$AK, "&gt;0", 'Commodity Prices'!$A:$A, $E30)=12, AVERAGEIFS('Commodity Prices'!$AK:$AK, 'Commodity Prices'!$A:$A, $E30), NA()),
 IF(COUNTIFS('Commodity Prices'!$AK:$AK, "&gt;0", 'Commodity Prices'!$B:$B, $E30)=12, AVERAGEIFS('Commodity Prices'!$AK:$AK, 'Commodity Prices'!$B:$B, $E30), NA())
)</f>
        <v>24.974166666666665</v>
      </c>
      <c r="G30" s="1013">
        <f>IF($E$8="Historic Calendar Year",
 IF(COUNTIFS('Commodity Prices'!$AM:$AM, "&gt;0", 'Commodity Prices'!$A:$A, $E30)=12, AVERAGEIFS('Commodity Prices'!$AM:$AM, 'Commodity Prices'!$A:$A, $E30), NA()),
 IF(COUNTIFS('Commodity Prices'!$AM:$AM, "&gt;0", 'Commodity Prices'!$B:$B, $E30)=12, AVERAGEIFS('Commodity Prices'!$AM:$AM, 'Commodity Prices'!$B:$B, $E30), NA())
)</f>
        <v>25.678333333333331</v>
      </c>
    </row>
    <row r="31" spans="1:7" x14ac:dyDescent="0.25">
      <c r="A31" s="1007">
        <f>LARGE('Commodity Prices'!C$161:C$904,41)</f>
        <v>44774</v>
      </c>
      <c r="B31" s="433">
        <f>SUMIF('Commodity Prices'!C$254:C$904,A31,'Commodity Prices'!AK$254:AK$904)</f>
        <v>98.6</v>
      </c>
      <c r="C31" s="434">
        <f>SUMIF('Commodity Prices'!C$254:C$904,A31,'Commodity Prices'!AM$254:AM$904)</f>
        <v>112.4</v>
      </c>
      <c r="E31" s="1012">
        <f t="shared" si="0"/>
        <v>2003</v>
      </c>
      <c r="F31" s="433">
        <f>IF($E$8="Historic Calendar Year",
 IF(COUNTIFS('Commodity Prices'!$AK:$AK, "&gt;0", 'Commodity Prices'!$A:$A, $E31)=12, AVERAGEIFS('Commodity Prices'!$AK:$AK, 'Commodity Prices'!$A:$A, $E31), NA()),
 IF(COUNTIFS('Commodity Prices'!$AK:$AK, "&gt;0", 'Commodity Prices'!$B:$B, $E31)=12, AVERAGEIFS('Commodity Prices'!$AK:$AK, 'Commodity Prices'!$B:$B, $E31), NA())
)</f>
        <v>28.852499999999996</v>
      </c>
      <c r="G31" s="674">
        <f>IF($E$8="Historic Calendar Year",
 IF(COUNTIFS('Commodity Prices'!$AM:$AM, "&gt;0", 'Commodity Prices'!$A:$A, $E31)=12, AVERAGEIFS('Commodity Prices'!$AM:$AM, 'Commodity Prices'!$A:$A, $E31), NA()),
 IF(COUNTIFS('Commodity Prices'!$AM:$AM, "&gt;0", 'Commodity Prices'!$B:$B, $E31)=12, AVERAGEIFS('Commodity Prices'!$AM:$AM, 'Commodity Prices'!$B:$B, $E31), NA())
)</f>
        <v>30.077499999999997</v>
      </c>
    </row>
    <row r="32" spans="1:7" x14ac:dyDescent="0.25">
      <c r="A32" s="1009">
        <f>LARGE('Commodity Prices'!C$161:C$904,40)</f>
        <v>44805</v>
      </c>
      <c r="B32" s="1010">
        <f>SUMIF('Commodity Prices'!C$254:C$904,A32,'Commodity Prices'!AK$254:AK$904)</f>
        <v>90.16</v>
      </c>
      <c r="C32" s="1011">
        <f>SUMIF('Commodity Prices'!C$254:C$904,A32,'Commodity Prices'!AM$254:AM$904)</f>
        <v>103.14</v>
      </c>
      <c r="E32" s="1012">
        <f t="shared" si="0"/>
        <v>2004</v>
      </c>
      <c r="F32" s="1010">
        <f>IF($E$8="Historic Calendar Year",
 IF(COUNTIFS('Commodity Prices'!$AK:$AK, "&gt;0", 'Commodity Prices'!$A:$A, $E32)=12, AVERAGEIFS('Commodity Prices'!$AK:$AK, 'Commodity Prices'!$A:$A, $E32), NA()),
 IF(COUNTIFS('Commodity Prices'!$AK:$AK, "&gt;0", 'Commodity Prices'!$B:$B, $E32)=12, AVERAGEIFS('Commodity Prices'!$AK:$AK, 'Commodity Prices'!$B:$B, $E32), NA())
)</f>
        <v>39.348333333333336</v>
      </c>
      <c r="G32" s="1013">
        <f>IF($E$8="Historic Calendar Year",
 IF(COUNTIFS('Commodity Prices'!$AM:$AM, "&gt;0", 'Commodity Prices'!$A:$A, $E32)=12, AVERAGEIFS('Commodity Prices'!$AM:$AM, 'Commodity Prices'!$A:$A, $E32), NA()),
 IF(COUNTIFS('Commodity Prices'!$AM:$AM, "&gt;0", 'Commodity Prices'!$B:$B, $E32)=12, AVERAGEIFS('Commodity Prices'!$AM:$AM, 'Commodity Prices'!$B:$B, $E32), NA())
)</f>
        <v>40.995000000000005</v>
      </c>
    </row>
    <row r="33" spans="1:7" x14ac:dyDescent="0.25">
      <c r="A33" s="1007">
        <f>LARGE('Commodity Prices'!C$161:C$904,39)</f>
        <v>44835</v>
      </c>
      <c r="B33" s="433">
        <f>SUMIF('Commodity Prices'!C$254:C$904,A33,'Commodity Prices'!AK$254:AK$904)</f>
        <v>93.13</v>
      </c>
      <c r="C33" s="434">
        <f>SUMIF('Commodity Prices'!C$254:C$904,A33,'Commodity Prices'!AM$254:AM$904)</f>
        <v>105.45</v>
      </c>
      <c r="E33" s="1012">
        <f t="shared" si="0"/>
        <v>2005</v>
      </c>
      <c r="F33" s="433">
        <f>IF($E$8="Historic Calendar Year",
 IF(COUNTIFS('Commodity Prices'!$AK:$AK, "&gt;0", 'Commodity Prices'!$A:$A, $E33)=12, AVERAGEIFS('Commodity Prices'!$AK:$AK, 'Commodity Prices'!$A:$A, $E33), NA()),
 IF(COUNTIFS('Commodity Prices'!$AK:$AK, "&gt;0", 'Commodity Prices'!$B:$B, $E33)=12, AVERAGEIFS('Commodity Prices'!$AK:$AK, 'Commodity Prices'!$B:$B, $E33), NA())
)</f>
        <v>54.434999999999995</v>
      </c>
      <c r="G33" s="674">
        <f>IF($E$8="Historic Calendar Year",
 IF(COUNTIFS('Commodity Prices'!$AM:$AM, "&gt;0", 'Commodity Prices'!$A:$A, $E33)=12, AVERAGEIFS('Commodity Prices'!$AM:$AM, 'Commodity Prices'!$A:$A, $E33), NA()),
 IF(COUNTIFS('Commodity Prices'!$AM:$AM, "&gt;0", 'Commodity Prices'!$B:$B, $E33)=12, AVERAGEIFS('Commodity Prices'!$AM:$AM, 'Commodity Prices'!$B:$B, $E33), NA())
)</f>
        <v>57.789166666666667</v>
      </c>
    </row>
    <row r="34" spans="1:7" x14ac:dyDescent="0.25">
      <c r="A34" s="1009">
        <f>LARGE('Commodity Prices'!C$161:C$904,38)</f>
        <v>44866</v>
      </c>
      <c r="B34" s="1010">
        <f>SUMIF('Commodity Prices'!C$254:C$904,A34,'Commodity Prices'!AK$254:AK$904)</f>
        <v>91.07</v>
      </c>
      <c r="C34" s="1011">
        <f>SUMIF('Commodity Prices'!C$254:C$904,A34,'Commodity Prices'!AM$254:AM$904)</f>
        <v>98.38</v>
      </c>
      <c r="E34" s="1012">
        <f t="shared" si="0"/>
        <v>2006</v>
      </c>
      <c r="F34" s="1010">
        <f>IF($E$8="Historic Calendar Year",
 IF(COUNTIFS('Commodity Prices'!$AK:$AK, "&gt;0", 'Commodity Prices'!$A:$A, $E34)=12, AVERAGEIFS('Commodity Prices'!$AK:$AK, 'Commodity Prices'!$A:$A, $E34), NA()),
 IF(COUNTIFS('Commodity Prices'!$AK:$AK, "&gt;0", 'Commodity Prices'!$B:$B, $E34)=12, AVERAGEIFS('Commodity Prices'!$AK:$AK, 'Commodity Prices'!$B:$B, $E34), NA())
)</f>
        <v>65.370833333333337</v>
      </c>
      <c r="G34" s="1013">
        <f>IF($E$8="Historic Calendar Year",
 IF(COUNTIFS('Commodity Prices'!$AM:$AM, "&gt;0", 'Commodity Prices'!$A:$A, $E34)=12, AVERAGEIFS('Commodity Prices'!$AM:$AM, 'Commodity Prices'!$A:$A, $E34), NA()),
 IF(COUNTIFS('Commodity Prices'!$AM:$AM, "&gt;0", 'Commodity Prices'!$B:$B, $E34)=12, AVERAGEIFS('Commodity Prices'!$AM:$AM, 'Commodity Prices'!$B:$B, $E34), NA())
)</f>
        <v>69.603333333333339</v>
      </c>
    </row>
    <row r="35" spans="1:7" x14ac:dyDescent="0.25">
      <c r="A35" s="1007">
        <f>LARGE('Commodity Prices'!C$161:C$904,37)</f>
        <v>44896</v>
      </c>
      <c r="B35" s="433">
        <f>SUMIF('Commodity Prices'!C$254:C$904,A35,'Commodity Prices'!AK$254:AK$904)</f>
        <v>80.900000000000006</v>
      </c>
      <c r="C35" s="434">
        <f>SUMIF('Commodity Prices'!C$254:C$904,A35,'Commodity Prices'!AM$254:AM$904)</f>
        <v>88.11</v>
      </c>
      <c r="E35" s="1012">
        <f t="shared" si="0"/>
        <v>2007</v>
      </c>
      <c r="F35" s="433">
        <f>IF($E$8="Historic Calendar Year",
 IF(COUNTIFS('Commodity Prices'!$AK:$AK, "&gt;0", 'Commodity Prices'!$A:$A, $E35)=12, AVERAGEIFS('Commodity Prices'!$AK:$AK, 'Commodity Prices'!$A:$A, $E35), NA()),
 IF(COUNTIFS('Commodity Prices'!$AK:$AK, "&gt;0", 'Commodity Prices'!$B:$B, $E35)=12, AVERAGEIFS('Commodity Prices'!$AK:$AK, 'Commodity Prices'!$B:$B, $E35), NA())
)</f>
        <v>72.697500000000005</v>
      </c>
      <c r="G35" s="674">
        <f>IF($E$8="Historic Calendar Year",
 IF(COUNTIFS('Commodity Prices'!$AM:$AM, "&gt;0", 'Commodity Prices'!$A:$A, $E35)=12, AVERAGEIFS('Commodity Prices'!$AM:$AM, 'Commodity Prices'!$A:$A, $E35), NA()),
 IF(COUNTIFS('Commodity Prices'!$AM:$AM, "&gt;0", 'Commodity Prices'!$B:$B, $E35)=12, AVERAGEIFS('Commodity Prices'!$AM:$AM, 'Commodity Prices'!$B:$B, $E35), NA())
)</f>
        <v>78.184999999999988</v>
      </c>
    </row>
    <row r="36" spans="1:7" x14ac:dyDescent="0.25">
      <c r="A36" s="1009">
        <f>LARGE('Commodity Prices'!C$161:C$904,36)</f>
        <v>44927</v>
      </c>
      <c r="B36" s="1010">
        <f>SUMIF('Commodity Prices'!C$254:C$904,A36,'Commodity Prices'!AK$254:AK$904)</f>
        <v>83.09</v>
      </c>
      <c r="C36" s="1011">
        <f>SUMIF('Commodity Prices'!C$254:C$904,A36,'Commodity Prices'!AM$254:AM$904)</f>
        <v>88.05</v>
      </c>
      <c r="E36" s="1012">
        <f t="shared" si="0"/>
        <v>2008</v>
      </c>
      <c r="F36" s="1010">
        <f>IF($E$8="Historic Calendar Year",
 IF(COUNTIFS('Commodity Prices'!$AK:$AK, "&gt;0", 'Commodity Prices'!$A:$A, $E36)=12, AVERAGEIFS('Commodity Prices'!$AK:$AK, 'Commodity Prices'!$A:$A, $E36), NA()),
 IF(COUNTIFS('Commodity Prices'!$AK:$AK, "&gt;0", 'Commodity Prices'!$B:$B, $E36)=12, AVERAGEIFS('Commodity Prices'!$AK:$AK, 'Commodity Prices'!$B:$B, $E36), NA())
)</f>
        <v>97.639166666666654</v>
      </c>
      <c r="G36" s="1013">
        <f>IF($E$8="Historic Calendar Year",
 IF(COUNTIFS('Commodity Prices'!$AM:$AM, "&gt;0", 'Commodity Prices'!$A:$A, $E36)=12, AVERAGEIFS('Commodity Prices'!$AM:$AM, 'Commodity Prices'!$A:$A, $E36), NA()),
 IF(COUNTIFS('Commodity Prices'!$AM:$AM, "&gt;0", 'Commodity Prices'!$B:$B, $E36)=12, AVERAGEIFS('Commodity Prices'!$AM:$AM, 'Commodity Prices'!$B:$B, $E36), NA())
)</f>
        <v>103.00583333333334</v>
      </c>
    </row>
    <row r="37" spans="1:7" x14ac:dyDescent="0.25">
      <c r="A37" s="1007">
        <f>LARGE('Commodity Prices'!C$161:C$904,35)</f>
        <v>44958</v>
      </c>
      <c r="B37" s="433">
        <f>SUMIF('Commodity Prices'!C$254:C$904,A37,'Commodity Prices'!AK$254:AK$904)</f>
        <v>82.72</v>
      </c>
      <c r="C37" s="434">
        <f>SUMIF('Commodity Prices'!C$254:C$904,A37,'Commodity Prices'!AM$254:AM$904)</f>
        <v>86.63</v>
      </c>
      <c r="E37" s="1012">
        <f t="shared" si="0"/>
        <v>2009</v>
      </c>
      <c r="F37" s="433">
        <f>IF($E$8="Historic Calendar Year",
 IF(COUNTIFS('Commodity Prices'!$AK:$AK, "&gt;0", 'Commodity Prices'!$A:$A, $E37)=12, AVERAGEIFS('Commodity Prices'!$AK:$AK, 'Commodity Prices'!$A:$A, $E37), NA()),
 IF(COUNTIFS('Commodity Prices'!$AK:$AK, "&gt;0", 'Commodity Prices'!$B:$B, $E37)=12, AVERAGEIFS('Commodity Prices'!$AK:$AK, 'Commodity Prices'!$B:$B, $E37), NA())
)</f>
        <v>61.872499999999995</v>
      </c>
      <c r="G37" s="674">
        <f>IF($E$8="Historic Calendar Year",
 IF(COUNTIFS('Commodity Prices'!$AM:$AM, "&gt;0", 'Commodity Prices'!$A:$A, $E37)=12, AVERAGEIFS('Commodity Prices'!$AM:$AM, 'Commodity Prices'!$A:$A, $E37), NA()),
 IF(COUNTIFS('Commodity Prices'!$AM:$AM, "&gt;0", 'Commodity Prices'!$B:$B, $E37)=12, AVERAGEIFS('Commodity Prices'!$AM:$AM, 'Commodity Prices'!$B:$B, $E37), NA())
)</f>
        <v>65.173333333333332</v>
      </c>
    </row>
    <row r="38" spans="1:7" x14ac:dyDescent="0.25">
      <c r="A38" s="1009">
        <f>LARGE('Commodity Prices'!C$161:C$904,34)</f>
        <v>44986</v>
      </c>
      <c r="B38" s="1010">
        <f>SUMIF('Commodity Prices'!C$254:C$904,A38,'Commodity Prices'!AK$254:AK$904)</f>
        <v>78.53</v>
      </c>
      <c r="C38" s="1011">
        <f>SUMIF('Commodity Prices'!C$254:C$904,A38,'Commodity Prices'!AM$254:AM$904)</f>
        <v>82.73</v>
      </c>
      <c r="E38" s="1012">
        <f t="shared" si="0"/>
        <v>2010</v>
      </c>
      <c r="F38" s="1010">
        <f>IF($E$8="Historic Calendar Year",
 IF(COUNTIFS('Commodity Prices'!$AK:$AK, "&gt;0", 'Commodity Prices'!$A:$A, $E38)=12, AVERAGEIFS('Commodity Prices'!$AK:$AK, 'Commodity Prices'!$A:$A, $E38), NA()),
 IF(COUNTIFS('Commodity Prices'!$AK:$AK, "&gt;0", 'Commodity Prices'!$B:$B, $E38)=12, AVERAGEIFS('Commodity Prices'!$AK:$AK, 'Commodity Prices'!$B:$B, $E38), NA())
)</f>
        <v>79.385833333333323</v>
      </c>
      <c r="G38" s="1013">
        <f>IF($E$8="Historic Calendar Year",
 IF(COUNTIFS('Commodity Prices'!$AM:$AM, "&gt;0", 'Commodity Prices'!$A:$A, $E38)=12, AVERAGEIFS('Commodity Prices'!$AM:$AM, 'Commodity Prices'!$A:$A, $E38), NA()),
 IF(COUNTIFS('Commodity Prices'!$AM:$AM, "&gt;0", 'Commodity Prices'!$B:$B, $E38)=12, AVERAGEIFS('Commodity Prices'!$AM:$AM, 'Commodity Prices'!$B:$B, $E38), NA())
)</f>
        <v>84.006666666666675</v>
      </c>
    </row>
    <row r="39" spans="1:7" x14ac:dyDescent="0.25">
      <c r="A39" s="1007">
        <f>LARGE('Commodity Prices'!C$161:C$904,33)</f>
        <v>45017</v>
      </c>
      <c r="B39" s="433">
        <f>SUMIF('Commodity Prices'!C$254:C$904,A39,'Commodity Prices'!AK$254:AK$904)</f>
        <v>84.11</v>
      </c>
      <c r="C39" s="434">
        <f>SUMIF('Commodity Prices'!C$254:C$904,A39,'Commodity Prices'!AM$254:AM$904)</f>
        <v>86.05</v>
      </c>
      <c r="E39" s="1012">
        <f t="shared" si="0"/>
        <v>2011</v>
      </c>
      <c r="F39" s="1014">
        <f>IF($E$8="Historic Calendar Year",
 IF(COUNTIFS('Commodity Prices'!$AK:$AK, "&gt;0", 'Commodity Prices'!$A:$A, $E39)=12, AVERAGEIFS('Commodity Prices'!$AK:$AK, 'Commodity Prices'!$A:$A, $E39), NA()),
 IF(COUNTIFS('Commodity Prices'!$AK:$AK, "&gt;0", 'Commodity Prices'!$B:$B, $E39)=12, AVERAGEIFS('Commodity Prices'!$AK:$AK, 'Commodity Prices'!$B:$B, $E39), NA())
)</f>
        <v>110.57833333333333</v>
      </c>
      <c r="G39" s="1015">
        <f>IF($E$8="Historic Calendar Year",
 IF(COUNTIFS('Commodity Prices'!$AM:$AM, "&gt;0", 'Commodity Prices'!$A:$A, $E39)=12, AVERAGEIFS('Commodity Prices'!$AM:$AM, 'Commodity Prices'!$A:$A, $E39), NA()),
 IF(COUNTIFS('Commodity Prices'!$AM:$AM, "&gt;0", 'Commodity Prices'!$B:$B, $E39)=12, AVERAGEIFS('Commodity Prices'!$AM:$AM, 'Commodity Prices'!$B:$B, $E39), NA())
)</f>
        <v>117.91666666666667</v>
      </c>
    </row>
    <row r="40" spans="1:7" x14ac:dyDescent="0.25">
      <c r="A40" s="1009">
        <f>LARGE('Commodity Prices'!C$161:C$904,32)</f>
        <v>45047</v>
      </c>
      <c r="B40" s="1010">
        <f>SUMIF('Commodity Prices'!C$254:C$904,A40,'Commodity Prices'!AK$254:AK$904)</f>
        <v>75.7</v>
      </c>
      <c r="C40" s="1011">
        <f>SUMIF('Commodity Prices'!C$254:C$904,A40,'Commodity Prices'!AM$254:AM$904)</f>
        <v>79.62</v>
      </c>
      <c r="E40" s="1012">
        <f t="shared" si="0"/>
        <v>2012</v>
      </c>
      <c r="F40" s="1010">
        <f>IF($E$8="Historic Calendar Year",
 IF(COUNTIFS('Commodity Prices'!$AK:$AK, "&gt;0", 'Commodity Prices'!$A:$A, $E40)=12, AVERAGEIFS('Commodity Prices'!$AK:$AK, 'Commodity Prices'!$A:$A, $E40), NA()),
 IF(COUNTIFS('Commodity Prices'!$AK:$AK, "&gt;0", 'Commodity Prices'!$B:$B, $E40)=12, AVERAGEIFS('Commodity Prices'!$AK:$AK, 'Commodity Prices'!$B:$B, $E40), NA())
)</f>
        <v>111.93083333333334</v>
      </c>
      <c r="G40" s="1013">
        <f>IF($E$8="Historic Calendar Year",
 IF(COUNTIFS('Commodity Prices'!$AM:$AM, "&gt;0", 'Commodity Prices'!$A:$A, $E40)=12, AVERAGEIFS('Commodity Prices'!$AM:$AM, 'Commodity Prices'!$A:$A, $E40), NA()),
 IF(COUNTIFS('Commodity Prices'!$AM:$AM, "&gt;0", 'Commodity Prices'!$B:$B, $E40)=12, AVERAGEIFS('Commodity Prices'!$AM:$AM, 'Commodity Prices'!$B:$B, $E40), NA())
)</f>
        <v>118.13499999999999</v>
      </c>
    </row>
    <row r="41" spans="1:7" x14ac:dyDescent="0.25">
      <c r="A41" s="1007">
        <f>LARGE('Commodity Prices'!C$161:C$904,31)</f>
        <v>45078</v>
      </c>
      <c r="B41" s="433">
        <f>SUMIF('Commodity Prices'!C$254:C$904,A41,'Commodity Prices'!AK$254:AK$904)</f>
        <v>74.89</v>
      </c>
      <c r="C41" s="434">
        <f>SUMIF('Commodity Prices'!C$254:C$904,A41,'Commodity Prices'!AM$254:AM$904)</f>
        <v>77.22</v>
      </c>
      <c r="E41" s="1012">
        <f t="shared" si="0"/>
        <v>2013</v>
      </c>
      <c r="F41" s="433">
        <f>IF($E$8="Historic Calendar Year",
 IF(COUNTIFS('Commodity Prices'!$AK:$AK, "&gt;0", 'Commodity Prices'!$A:$A, $E41)=12, AVERAGEIFS('Commodity Prices'!$AK:$AK, 'Commodity Prices'!$A:$A, $E41), NA()),
 IF(COUNTIFS('Commodity Prices'!$AK:$AK, "&gt;0", 'Commodity Prices'!$B:$B, $E41)=12, AVERAGEIFS('Commodity Prices'!$AK:$AK, 'Commodity Prices'!$B:$B, $E41), NA())
)</f>
        <v>108.85083333333334</v>
      </c>
      <c r="G41" s="674">
        <f>IF($E$8="Historic Calendar Year",
 IF(COUNTIFS('Commodity Prices'!$AM:$AM, "&gt;0", 'Commodity Prices'!$A:$A, $E41)=12, AVERAGEIFS('Commodity Prices'!$AM:$AM, 'Commodity Prices'!$A:$A, $E41), NA()),
 IF(COUNTIFS('Commodity Prices'!$AM:$AM, "&gt;0", 'Commodity Prices'!$B:$B, $E41)=12, AVERAGEIFS('Commodity Prices'!$AM:$AM, 'Commodity Prices'!$B:$B, $E41), NA())
)</f>
        <v>115.15666666666665</v>
      </c>
    </row>
    <row r="42" spans="1:7" x14ac:dyDescent="0.25">
      <c r="A42" s="1009">
        <f>LARGE('Commodity Prices'!C$161:C$904,30)</f>
        <v>45108</v>
      </c>
      <c r="B42" s="1010">
        <f>SUMIF('Commodity Prices'!C$254:C$904,A42,'Commodity Prices'!AK$254:AK$904)</f>
        <v>80.099999999999994</v>
      </c>
      <c r="C42" s="1011">
        <f>SUMIF('Commodity Prices'!C$254:C$904,A42,'Commodity Prices'!AM$254:AM$904)</f>
        <v>83.03</v>
      </c>
      <c r="E42" s="1012">
        <f t="shared" ref="E42:E53" si="1">IF($E$8="Historic Calendar Year", E41+1, LEFT(E41, 4)+1 &amp; "-" &amp; RIGHT( LEFT(E41, 4)+2, 2))</f>
        <v>2014</v>
      </c>
      <c r="F42" s="1010">
        <f>IF($E$8="Historic Calendar Year",
 IF(COUNTIFS('Commodity Prices'!$AK:$AK, "&gt;0", 'Commodity Prices'!$A:$A, $E42)=12, AVERAGEIFS('Commodity Prices'!$AK:$AK, 'Commodity Prices'!$A:$A, $E42), NA()),
 IF(COUNTIFS('Commodity Prices'!$AK:$AK, "&gt;0", 'Commodity Prices'!$B:$B, $E42)=12, AVERAGEIFS('Commodity Prices'!$AK:$AK, 'Commodity Prices'!$B:$B, $E42), NA())
)</f>
        <v>98.958333333333329</v>
      </c>
      <c r="G42" s="1013">
        <f>IF($E$8="Historic Calendar Year",
 IF(COUNTIFS('Commodity Prices'!$AM:$AM, "&gt;0", 'Commodity Prices'!$A:$A, $E42)=12, AVERAGEIFS('Commodity Prices'!$AM:$AM, 'Commodity Prices'!$A:$A, $E42), NA()),
 IF(COUNTIFS('Commodity Prices'!$AM:$AM, "&gt;0", 'Commodity Prices'!$B:$B, $E42)=12, AVERAGEIFS('Commodity Prices'!$AM:$AM, 'Commodity Prices'!$B:$B, $E42), NA())
)</f>
        <v>103.81749999999998</v>
      </c>
    </row>
    <row r="43" spans="1:7" x14ac:dyDescent="0.25">
      <c r="A43" s="1007">
        <f>LARGE('Commodity Prices'!C$161:C$904,29)</f>
        <v>45139</v>
      </c>
      <c r="B43" s="433">
        <f>SUMIF('Commodity Prices'!C$254:C$904,A43,'Commodity Prices'!AK$254:AK$904)</f>
        <v>86.16</v>
      </c>
      <c r="C43" s="434">
        <f>SUMIF('Commodity Prices'!C$254:C$904,A43,'Commodity Prices'!AM$254:AM$904)</f>
        <v>89.84</v>
      </c>
      <c r="E43" s="1012">
        <f t="shared" si="1"/>
        <v>2015</v>
      </c>
      <c r="F43" s="433">
        <f>IF($E$8="Historic Calendar Year",
 IF(COUNTIFS('Commodity Prices'!$AK:$AK, "&gt;0", 'Commodity Prices'!$A:$A, $E43)=12, AVERAGEIFS('Commodity Prices'!$AK:$AK, 'Commodity Prices'!$A:$A, $E43), NA()),
 IF(COUNTIFS('Commodity Prices'!$AK:$AK, "&gt;0", 'Commodity Prices'!$B:$B, $E43)=12, AVERAGEIFS('Commodity Prices'!$AK:$AK, 'Commodity Prices'!$B:$B, $E43), NA())
)</f>
        <v>52.381666666666682</v>
      </c>
      <c r="G43" s="674">
        <f>IF($E$8="Historic Calendar Year",
 IF(COUNTIFS('Commodity Prices'!$AM:$AM, "&gt;0", 'Commodity Prices'!$A:$A, $E43)=12, AVERAGEIFS('Commodity Prices'!$AM:$AM, 'Commodity Prices'!$A:$A, $E43), NA()),
 IF(COUNTIFS('Commodity Prices'!$AM:$AM, "&gt;0", 'Commodity Prices'!$B:$B, $E43)=12, AVERAGEIFS('Commodity Prices'!$AM:$AM, 'Commodity Prices'!$B:$B, $E43), NA())
)</f>
        <v>54.357500000000009</v>
      </c>
    </row>
    <row r="44" spans="1:7" x14ac:dyDescent="0.25">
      <c r="A44" s="1009">
        <f>LARGE('Commodity Prices'!C$161:C$904,28)</f>
        <v>45170</v>
      </c>
      <c r="B44" s="1010">
        <f>SUMIF('Commodity Prices'!C$254:C$904,A44,'Commodity Prices'!AK$254:AK$904)</f>
        <v>94</v>
      </c>
      <c r="C44" s="1011">
        <f>SUMIF('Commodity Prices'!C$254:C$904,A44,'Commodity Prices'!AM$254:AM$904)</f>
        <v>98.4</v>
      </c>
      <c r="E44" s="1012">
        <f t="shared" si="1"/>
        <v>2016</v>
      </c>
      <c r="F44" s="1010">
        <f>IF($E$8="Historic Calendar Year",
 IF(COUNTIFS('Commodity Prices'!$AK:$AK, "&gt;0", 'Commodity Prices'!$A:$A, $E44)=12, AVERAGEIFS('Commodity Prices'!$AK:$AK, 'Commodity Prices'!$A:$A, $E44), NA()),
 IF(COUNTIFS('Commodity Prices'!$AK:$AK, "&gt;0", 'Commodity Prices'!$B:$B, $E44)=12, AVERAGEIFS('Commodity Prices'!$AK:$AK, 'Commodity Prices'!$B:$B, $E44), NA())
)</f>
        <v>44.064166666666665</v>
      </c>
      <c r="G44" s="1013">
        <f>IF($E$8="Historic Calendar Year",
 IF(COUNTIFS('Commodity Prices'!$AM:$AM, "&gt;0", 'Commodity Prices'!$A:$A, $E44)=12, AVERAGEIFS('Commodity Prices'!$AM:$AM, 'Commodity Prices'!$A:$A, $E44), NA()),
 IF(COUNTIFS('Commodity Prices'!$AM:$AM, "&gt;0", 'Commodity Prices'!$B:$B, $E44)=12, AVERAGEIFS('Commodity Prices'!$AM:$AM, 'Commodity Prices'!$B:$B, $E44), NA())
)</f>
        <v>45.410833333333329</v>
      </c>
    </row>
    <row r="45" spans="1:7" x14ac:dyDescent="0.25">
      <c r="A45" s="1007">
        <f>LARGE('Commodity Prices'!C$161:C$904,27)</f>
        <v>45200</v>
      </c>
      <c r="B45" s="433">
        <f>SUMIF('Commodity Prices'!C$254:C$904,A45,'Commodity Prices'!AK$254:AK$904)</f>
        <v>91.06</v>
      </c>
      <c r="C45" s="434">
        <f>SUMIF('Commodity Prices'!C$254:C$904,A45,'Commodity Prices'!AM$254:AM$904)</f>
        <v>95.93</v>
      </c>
      <c r="E45" s="1012">
        <f t="shared" si="1"/>
        <v>2017</v>
      </c>
      <c r="F45" s="433">
        <f>IF($E$8="Historic Calendar Year",
 IF(COUNTIFS('Commodity Prices'!$AK:$AK, "&gt;0", 'Commodity Prices'!$A:$A, $E45)=12, AVERAGEIFS('Commodity Prices'!$AK:$AK, 'Commodity Prices'!$A:$A, $E45), NA()),
 IF(COUNTIFS('Commodity Prices'!$AK:$AK, "&gt;0", 'Commodity Prices'!$B:$B, $E45)=12, AVERAGEIFS('Commodity Prices'!$AK:$AK, 'Commodity Prices'!$B:$B, $E45), NA())
)</f>
        <v>54.392500000000005</v>
      </c>
      <c r="G45" s="674">
        <f>IF($E$8="Historic Calendar Year",
 IF(COUNTIFS('Commodity Prices'!$AM:$AM, "&gt;0", 'Commodity Prices'!$A:$A, $E45)=12, AVERAGEIFS('Commodity Prices'!$AM:$AM, 'Commodity Prices'!$A:$A, $E45), NA()),
 IF(COUNTIFS('Commodity Prices'!$AM:$AM, "&gt;0", 'Commodity Prices'!$B:$B, $E45)=12, AVERAGEIFS('Commodity Prices'!$AM:$AM, 'Commodity Prices'!$B:$B, $E45), NA())
)</f>
        <v>55.634166666666665</v>
      </c>
    </row>
    <row r="46" spans="1:7" x14ac:dyDescent="0.25">
      <c r="A46" s="1009">
        <f>LARGE('Commodity Prices'!C$161:C$904,26)</f>
        <v>45231</v>
      </c>
      <c r="B46" s="1010">
        <f>SUMIF('Commodity Prices'!C$254:C$904,A46,'Commodity Prices'!AK$254:AK$904)</f>
        <v>83.18</v>
      </c>
      <c r="C46" s="1011">
        <f>SUMIF('Commodity Prices'!C$254:C$904,A46,'Commodity Prices'!AM$254:AM$904)</f>
        <v>87.89</v>
      </c>
      <c r="E46" s="1012">
        <f t="shared" si="1"/>
        <v>2018</v>
      </c>
      <c r="F46" s="1010">
        <f>IF($E$8="Historic Calendar Year",
 IF(COUNTIFS('Commodity Prices'!$AK:$AK, "&gt;0", 'Commodity Prices'!$A:$A, $E46)=12, AVERAGEIFS('Commodity Prices'!$AK:$AK, 'Commodity Prices'!$A:$A, $E46), NA()),
 IF(COUNTIFS('Commodity Prices'!$AK:$AK, "&gt;0", 'Commodity Prices'!$B:$B, $E46)=12, AVERAGEIFS('Commodity Prices'!$AK:$AK, 'Commodity Prices'!$B:$B, $E46), NA())
)</f>
        <v>71.08</v>
      </c>
      <c r="G46" s="1013">
        <f>IF($E$8="Historic Calendar Year",
 IF(COUNTIFS('Commodity Prices'!$AM:$AM, "&gt;0", 'Commodity Prices'!$A:$A, $E46)=12, AVERAGEIFS('Commodity Prices'!$AM:$AM, 'Commodity Prices'!$A:$A, $E46), NA()),
 IF(COUNTIFS('Commodity Prices'!$AM:$AM, "&gt;0", 'Commodity Prices'!$B:$B, $E46)=12, AVERAGEIFS('Commodity Prices'!$AM:$AM, 'Commodity Prices'!$B:$B, $E46), NA())
)</f>
        <v>72.339999999999989</v>
      </c>
    </row>
    <row r="47" spans="1:7" x14ac:dyDescent="0.25">
      <c r="A47" s="1007">
        <f>LARGE('Commodity Prices'!C$161:C$904,25)</f>
        <v>45261</v>
      </c>
      <c r="B47" s="433">
        <f>SUMIF('Commodity Prices'!C$254:C$904,A47,'Commodity Prices'!AK$254:AK$904)</f>
        <v>77.86</v>
      </c>
      <c r="C47" s="434">
        <f>SUMIF('Commodity Prices'!C$254:C$904,A47,'Commodity Prices'!AM$254:AM$904)</f>
        <v>83.31</v>
      </c>
      <c r="E47" s="1012">
        <f t="shared" si="1"/>
        <v>2019</v>
      </c>
      <c r="F47" s="433">
        <f>IF($E$8="Historic Calendar Year",
 IF(COUNTIFS('Commodity Prices'!$AK:$AK, "&gt;0", 'Commodity Prices'!$A:$A, $E47)=12, AVERAGEIFS('Commodity Prices'!$AK:$AK, 'Commodity Prices'!$A:$A, $E47), NA()),
 IF(COUNTIFS('Commodity Prices'!$AK:$AK, "&gt;0", 'Commodity Prices'!$B:$B, $E47)=12, AVERAGEIFS('Commodity Prices'!$AK:$AK, 'Commodity Prices'!$B:$B, $E47), NA())
)</f>
        <v>64.031666666666666</v>
      </c>
      <c r="G47" s="674">
        <f>IF($E$8="Historic Calendar Year",
 IF(COUNTIFS('Commodity Prices'!$AM:$AM, "&gt;0", 'Commodity Prices'!$A:$A, $E47)=12, AVERAGEIFS('Commodity Prices'!$AM:$AM, 'Commodity Prices'!$A:$A, $E47), NA()),
 IF(COUNTIFS('Commodity Prices'!$AM:$AM, "&gt;0", 'Commodity Prices'!$B:$B, $E47)=12, AVERAGEIFS('Commodity Prices'!$AM:$AM, 'Commodity Prices'!$B:$B, $E47), NA())
)</f>
        <v>66.423333333333332</v>
      </c>
    </row>
    <row r="48" spans="1:7" x14ac:dyDescent="0.25">
      <c r="A48" s="1009">
        <f>LARGE('Commodity Prices'!C$161:C$904,24)</f>
        <v>45292</v>
      </c>
      <c r="B48" s="1010">
        <f>SUMIF('Commodity Prices'!C$254:C$904,A48,'Commodity Prices'!AK$254:AK$904)</f>
        <v>80.23</v>
      </c>
      <c r="C48" s="1011">
        <f>SUMIF('Commodity Prices'!C$254:C$904,A48,'Commodity Prices'!AM$254:AM$904)</f>
        <v>83.66</v>
      </c>
      <c r="E48" s="1012">
        <f t="shared" si="1"/>
        <v>2020</v>
      </c>
      <c r="F48" s="1010">
        <f>IF($E$8="Historic Calendar Year",
 IF(COUNTIFS('Commodity Prices'!$AK:$AK, "&gt;0", 'Commodity Prices'!$A:$A, $E48)=12, AVERAGEIFS('Commodity Prices'!$AK:$AK, 'Commodity Prices'!$A:$A, $E48), NA()),
 IF(COUNTIFS('Commodity Prices'!$AK:$AK, "&gt;0", 'Commodity Prices'!$B:$B, $E48)=12, AVERAGEIFS('Commodity Prices'!$AK:$AK, 'Commodity Prices'!$B:$B, $E48), NA())
)</f>
        <v>42.299166666666672</v>
      </c>
      <c r="G48" s="1013">
        <f>IF($E$8="Historic Calendar Year",
 IF(COUNTIFS('Commodity Prices'!$AM:$AM, "&gt;0", 'Commodity Prices'!$A:$A, $E48)=12, AVERAGEIFS('Commodity Prices'!$AM:$AM, 'Commodity Prices'!$A:$A, $E48), NA()),
 IF(COUNTIFS('Commodity Prices'!$AM:$AM, "&gt;0", 'Commodity Prices'!$B:$B, $E48)=12, AVERAGEIFS('Commodity Prices'!$AM:$AM, 'Commodity Prices'!$B:$B, $E48), NA())
)</f>
        <v>44.314166666666665</v>
      </c>
    </row>
    <row r="49" spans="1:7" x14ac:dyDescent="0.25">
      <c r="A49" s="1007">
        <f>LARGE('Commodity Prices'!C$161:C$904,23)</f>
        <v>45323</v>
      </c>
      <c r="B49" s="433">
        <f>SUMIF('Commodity Prices'!C$254:C$904,A49,'Commodity Prices'!AK$254:AK$904)</f>
        <v>83.76</v>
      </c>
      <c r="C49" s="434">
        <f>SUMIF('Commodity Prices'!C$254:C$904,A49,'Commodity Prices'!AM$254:AM$904)</f>
        <v>85.83</v>
      </c>
      <c r="E49" s="1012">
        <f t="shared" si="1"/>
        <v>2021</v>
      </c>
      <c r="F49" s="1014">
        <f>IF($E$8="Historic Calendar Year",
 IF(COUNTIFS('Commodity Prices'!$AK:$AK, "&gt;0", 'Commodity Prices'!$A:$A, $E49)=12, AVERAGEIFS('Commodity Prices'!$AK:$AK, 'Commodity Prices'!$A:$A, $E49), NA()),
 IF(COUNTIFS('Commodity Prices'!$AK:$AK, "&gt;0", 'Commodity Prices'!$B:$B, $E49)=12, AVERAGEIFS('Commodity Prices'!$AK:$AK, 'Commodity Prices'!$B:$B, $E49), NA())
)</f>
        <v>70.443333333333328</v>
      </c>
      <c r="G49" s="1015">
        <f>IF($E$8="Historic Calendar Year",
 IF(COUNTIFS('Commodity Prices'!$AM:$AM, "&gt;0", 'Commodity Prices'!$A:$A, $E49)=12, AVERAGEIFS('Commodity Prices'!$AM:$AM, 'Commodity Prices'!$A:$A, $E49), NA()),
 IF(COUNTIFS('Commodity Prices'!$AM:$AM, "&gt;0", 'Commodity Prices'!$B:$B, $E49)=12, AVERAGEIFS('Commodity Prices'!$AM:$AM, 'Commodity Prices'!$B:$B, $E49), NA())
)</f>
        <v>71.752499999999998</v>
      </c>
    </row>
    <row r="50" spans="1:7" x14ac:dyDescent="0.25">
      <c r="A50" s="1009">
        <f>LARGE('Commodity Prices'!C$161:C$904,22)</f>
        <v>45352</v>
      </c>
      <c r="B50" s="1010">
        <f>SUMIF('Commodity Prices'!C$254:C$904,A50,'Commodity Prices'!AK$254:AK$904)</f>
        <v>85.45</v>
      </c>
      <c r="C50" s="1011">
        <f>SUMIF('Commodity Prices'!C$254:C$904,A50,'Commodity Prices'!AM$254:AM$904)</f>
        <v>89.4</v>
      </c>
      <c r="E50" s="1012">
        <f t="shared" si="1"/>
        <v>2022</v>
      </c>
      <c r="F50" s="1010">
        <f>IF($E$8="Historic Calendar Year",
 IF(COUNTIFS('Commodity Prices'!$AK:$AK, "&gt;0", 'Commodity Prices'!$A:$A, $E50)=12, AVERAGEIFS('Commodity Prices'!$AK:$AK, 'Commodity Prices'!$A:$A, $E50), NA()),
 IF(COUNTIFS('Commodity Prices'!$AK:$AK, "&gt;0", 'Commodity Prices'!$B:$B, $E50)=12, AVERAGEIFS('Commodity Prices'!$AK:$AK, 'Commodity Prices'!$B:$B, $E50), NA())
)</f>
        <v>99.82416666666667</v>
      </c>
      <c r="G50" s="1013">
        <f>IF($E$8="Historic Calendar Year",
 IF(COUNTIFS('Commodity Prices'!$AM:$AM, "&gt;0", 'Commodity Prices'!$A:$A, $E50)=12, AVERAGEIFS('Commodity Prices'!$AM:$AM, 'Commodity Prices'!$A:$A, $E50), NA()),
 IF(COUNTIFS('Commodity Prices'!$AM:$AM, "&gt;0", 'Commodity Prices'!$B:$B, $E50)=12, AVERAGEIFS('Commodity Prices'!$AM:$AM, 'Commodity Prices'!$B:$B, $E50), NA())
)</f>
        <v>107.45166666666665</v>
      </c>
    </row>
    <row r="51" spans="1:7" x14ac:dyDescent="0.25">
      <c r="A51" s="1007">
        <f>LARGE('Commodity Prices'!C$161:C$904,21)</f>
        <v>45383</v>
      </c>
      <c r="B51" s="433">
        <f>SUMIF('Commodity Prices'!C$254:C$904,A51,'Commodity Prices'!AK$254:AK$904)</f>
        <v>90.05</v>
      </c>
      <c r="C51" s="434">
        <f>SUMIF('Commodity Prices'!C$254:C$904,A51,'Commodity Prices'!AM$254:AM$904)</f>
        <v>95.15</v>
      </c>
      <c r="E51" s="1012">
        <f t="shared" si="1"/>
        <v>2023</v>
      </c>
      <c r="F51" s="433">
        <f>IF($E$8="Historic Calendar Year",
 IF(COUNTIFS('Commodity Prices'!$AK:$AK, "&gt;0", 'Commodity Prices'!$A:$A, $E51)=12, AVERAGEIFS('Commodity Prices'!$AK:$AK, 'Commodity Prices'!$A:$A, $E51), NA()),
 IF(COUNTIFS('Commodity Prices'!$AK:$AK, "&gt;0", 'Commodity Prices'!$B:$B, $E51)=12, AVERAGEIFS('Commodity Prices'!$AK:$AK, 'Commodity Prices'!$B:$B, $E51), NA())
)</f>
        <v>82.61666666666666</v>
      </c>
      <c r="G51" s="674">
        <f>IF($E$8="Historic Calendar Year",
 IF(COUNTIFS('Commodity Prices'!$AM:$AM, "&gt;0", 'Commodity Prices'!$A:$A, $E51)=12, AVERAGEIFS('Commodity Prices'!$AM:$AM, 'Commodity Prices'!$A:$A, $E51), NA()),
 IF(COUNTIFS('Commodity Prices'!$AM:$AM, "&gt;0", 'Commodity Prices'!$B:$B, $E51)=12, AVERAGEIFS('Commodity Prices'!$AM:$AM, 'Commodity Prices'!$B:$B, $E51), NA())
)</f>
        <v>86.558333333333337</v>
      </c>
    </row>
    <row r="52" spans="1:7" x14ac:dyDescent="0.25">
      <c r="A52" s="1009">
        <f>LARGE('Commodity Prices'!C$161:C$904,20)</f>
        <v>45413</v>
      </c>
      <c r="B52" s="1010">
        <f>SUMIF('Commodity Prices'!C$254:C$904,A52,'Commodity Prices'!AK$254:AK$904)</f>
        <v>82</v>
      </c>
      <c r="C52" s="1011">
        <f>SUMIF('Commodity Prices'!C$254:C$904,A52,'Commodity Prices'!AM$254:AM$904)</f>
        <v>86.6</v>
      </c>
      <c r="E52" s="1012">
        <f t="shared" si="1"/>
        <v>2024</v>
      </c>
      <c r="F52" s="1010">
        <f>IF($E$8="Historic Calendar Year",
 IF(COUNTIFS('Commodity Prices'!$AK:$AK, "&gt;0", 'Commodity Prices'!$A:$A, $E52)=12, AVERAGEIFS('Commodity Prices'!$AK:$AK, 'Commodity Prices'!$A:$A, $E52), NA()),
 IF(COUNTIFS('Commodity Prices'!$AK:$AK, "&gt;0", 'Commodity Prices'!$B:$B, $E52)=12, AVERAGEIFS('Commodity Prices'!$AK:$AK, 'Commodity Prices'!$B:$B, $E52), NA())
)</f>
        <v>80.69916666666667</v>
      </c>
      <c r="G52" s="1013">
        <f>IF($E$8="Historic Calendar Year",
 IF(COUNTIFS('Commodity Prices'!$AM:$AM, "&gt;0", 'Commodity Prices'!$A:$A, $E52)=12, AVERAGEIFS('Commodity Prices'!$AM:$AM, 'Commodity Prices'!$A:$A, $E52), NA()),
 IF(COUNTIFS('Commodity Prices'!$AM:$AM, "&gt;0", 'Commodity Prices'!$B:$B, $E52)=12, AVERAGEIFS('Commodity Prices'!$AM:$AM, 'Commodity Prices'!$B:$B, $E52), NA())
)</f>
        <v>83.168333333333337</v>
      </c>
    </row>
    <row r="53" spans="1:7" ht="15.75" thickBot="1" x14ac:dyDescent="0.3">
      <c r="A53" s="1007">
        <f>LARGE('Commodity Prices'!C$161:C$904,19)</f>
        <v>45444</v>
      </c>
      <c r="B53" s="433">
        <f>SUMIF('Commodity Prices'!C$254:C$904,A53,'Commodity Prices'!AK$254:AK$904)</f>
        <v>82.56</v>
      </c>
      <c r="C53" s="434">
        <f>SUMIF('Commodity Prices'!C$254:C$904,A53,'Commodity Prices'!AM$254:AM$904)</f>
        <v>84.49</v>
      </c>
      <c r="E53" s="1029">
        <f t="shared" si="1"/>
        <v>2025</v>
      </c>
      <c r="F53" s="446">
        <f>IF($E$8="Historic Calendar Year",
 IF(COUNTIFS('Commodity Prices'!$AK:$AK, "&gt;0", 'Commodity Prices'!$A:$A, $E53)=12, AVERAGEIFS('Commodity Prices'!$AK:$AK, 'Commodity Prices'!$A:$A, $E53), NA()),
 IF(COUNTIFS('Commodity Prices'!$AK:$AK, "&gt;0", 'Commodity Prices'!$B:$B, $E53)=12, AVERAGEIFS('Commodity Prices'!$AK:$AK, 'Commodity Prices'!$B:$B, $E53), NA())
)</f>
        <v>69.014166666666668</v>
      </c>
      <c r="G53" s="704">
        <f>IF($E$8="Historic Calendar Year",
 IF(COUNTIFS('Commodity Prices'!$AM:$AM, "&gt;0", 'Commodity Prices'!$A:$A, $E53)=12, AVERAGEIFS('Commodity Prices'!$AM:$AM, 'Commodity Prices'!$A:$A, $E53), NA()),
 IF(COUNTIFS('Commodity Prices'!$AM:$AM, "&gt;0", 'Commodity Prices'!$B:$B, $E53)=12, AVERAGEIFS('Commodity Prices'!$AM:$AM, 'Commodity Prices'!$B:$B, $E53), NA())
)</f>
        <v>71.108333333333334</v>
      </c>
    </row>
    <row r="54" spans="1:7" ht="15.75" thickBot="1" x14ac:dyDescent="0.3">
      <c r="A54" s="1009">
        <f>LARGE('Commodity Prices'!C$161:C$904,18)</f>
        <v>45474</v>
      </c>
      <c r="B54" s="1010">
        <f>SUMIF('Commodity Prices'!C$254:C$904,A54,'Commodity Prices'!AK$254:AK$904)</f>
        <v>85.3</v>
      </c>
      <c r="C54" s="1011">
        <f>SUMIF('Commodity Prices'!C$254:C$904,A54,'Commodity Prices'!AM$254:AM$904)</f>
        <v>84.97</v>
      </c>
    </row>
    <row r="55" spans="1:7" x14ac:dyDescent="0.25">
      <c r="A55" s="1007">
        <f>LARGE('Commodity Prices'!C$161:C$904,17)</f>
        <v>45505</v>
      </c>
      <c r="B55" s="433">
        <f>SUMIF('Commodity Prices'!C$254:C$904,A55,'Commodity Prices'!AK$254:AK$904)</f>
        <v>80.86</v>
      </c>
      <c r="C55" s="434">
        <f>SUMIF('Commodity Prices'!C$254:C$904,A55,'Commodity Prices'!AM$254:AM$904)</f>
        <v>80.959999999999994</v>
      </c>
      <c r="E55" s="1498" t="s">
        <v>156</v>
      </c>
      <c r="F55" s="1499"/>
      <c r="G55" s="1500"/>
    </row>
    <row r="56" spans="1:7" ht="15.75" thickBot="1" x14ac:dyDescent="0.3">
      <c r="A56" s="1009">
        <f>LARGE('Commodity Prices'!C$161:C$904,16)</f>
        <v>45536</v>
      </c>
      <c r="B56" s="1010">
        <f>SUMIF('Commodity Prices'!C$254:C$904,A56,'Commodity Prices'!AK$254:AK$904)</f>
        <v>74.290000000000006</v>
      </c>
      <c r="C56" s="1011">
        <f>SUMIF('Commodity Prices'!C$254:C$904,A56,'Commodity Prices'!AM$254:AM$904)</f>
        <v>76.77</v>
      </c>
      <c r="E56" s="1400" t="s">
        <v>551</v>
      </c>
      <c r="F56" s="1395"/>
      <c r="G56" s="1401"/>
    </row>
    <row r="57" spans="1:7" x14ac:dyDescent="0.25">
      <c r="A57" s="1007">
        <f>LARGE('Commodity Prices'!C$161:C$904,15)</f>
        <v>45566</v>
      </c>
      <c r="B57" s="433">
        <f>SUMIF('Commodity Prices'!C$254:C$904,A57,'Commodity Prices'!AK$254:AK$904)</f>
        <v>75.66</v>
      </c>
      <c r="C57" s="434">
        <f>SUMIF('Commodity Prices'!C$254:C$904,A57,'Commodity Prices'!AM$254:AM$904)</f>
        <v>78.25</v>
      </c>
      <c r="E57" s="1439" t="s">
        <v>554</v>
      </c>
      <c r="F57" s="1439"/>
      <c r="G57" s="1439"/>
    </row>
    <row r="58" spans="1:7" x14ac:dyDescent="0.25">
      <c r="A58" s="1009">
        <f>LARGE('Commodity Prices'!C$161:C$904,14)</f>
        <v>45597</v>
      </c>
      <c r="B58" s="1010">
        <f>SUMIF('Commodity Prices'!C$254:C$904,A58,'Commodity Prices'!AK$254:AK$904)</f>
        <v>74.400000000000006</v>
      </c>
      <c r="C58" s="1011">
        <f>SUMIF('Commodity Prices'!C$254:C$904,A58,'Commodity Prices'!AM$254:AM$904)</f>
        <v>75.739999999999995</v>
      </c>
    </row>
    <row r="59" spans="1:7" x14ac:dyDescent="0.25">
      <c r="A59" s="1007">
        <f>LARGE('Commodity Prices'!C$161:C$904,13)</f>
        <v>45627</v>
      </c>
      <c r="B59" s="433">
        <f>SUMIF('Commodity Prices'!C$254:C$904,A59,'Commodity Prices'!AK$254:AK$904)</f>
        <v>73.83</v>
      </c>
      <c r="C59" s="434">
        <f>SUMIF('Commodity Prices'!C$254:C$904,A59,'Commodity Prices'!AM$254:AM$904)</f>
        <v>76.2</v>
      </c>
      <c r="G59" s="1018"/>
    </row>
    <row r="60" spans="1:7" x14ac:dyDescent="0.25">
      <c r="A60" s="1009">
        <f>LARGE('Commodity Prices'!C$161:C$904,12)</f>
        <v>45658</v>
      </c>
      <c r="B60" s="1010">
        <f>SUMIF('Commodity Prices'!C$254:C$904,A60,'Commodity Prices'!AK$254:AK$904)</f>
        <v>79.209999999999994</v>
      </c>
      <c r="C60" s="1011">
        <f>SUMIF('Commodity Prices'!C$254:C$904,A60,'Commodity Prices'!AM$254:AM$904)</f>
        <v>81.84</v>
      </c>
      <c r="G60" s="1018"/>
    </row>
    <row r="61" spans="1:7" x14ac:dyDescent="0.25">
      <c r="A61" s="1007">
        <f>LARGE('Commodity Prices'!C$161:C$904,11)</f>
        <v>45689</v>
      </c>
      <c r="B61" s="433">
        <f>SUMIF('Commodity Prices'!C$254:C$904,A61,'Commodity Prices'!AK$254:AK$904)</f>
        <v>75.16</v>
      </c>
      <c r="C61" s="434">
        <f>SUMIF('Commodity Prices'!C$254:C$904,A61,'Commodity Prices'!AM$254:AM$904)</f>
        <v>78.09</v>
      </c>
      <c r="G61" s="1018"/>
    </row>
    <row r="62" spans="1:7" x14ac:dyDescent="0.25">
      <c r="A62" s="1009">
        <f>LARGE('Commodity Prices'!C$161:C$904,10)</f>
        <v>45717</v>
      </c>
      <c r="B62" s="1010">
        <f>SUMIF('Commodity Prices'!C$254:C$904,A62,'Commodity Prices'!AK$254:AK$904)</f>
        <v>72.569999999999993</v>
      </c>
      <c r="C62" s="1011">
        <f>SUMIF('Commodity Prices'!C$254:C$904,A62,'Commodity Prices'!AM$254:AM$904)</f>
        <v>73.790000000000006</v>
      </c>
    </row>
    <row r="63" spans="1:7" x14ac:dyDescent="0.25">
      <c r="A63" s="1007">
        <f>LARGE('Commodity Prices'!C$161:C$904,9)</f>
        <v>45748</v>
      </c>
      <c r="B63" s="433">
        <f>SUMIF('Commodity Prices'!C$254:C$904,A63,'Commodity Prices'!AK$254:AK$904)</f>
        <v>67.75</v>
      </c>
      <c r="C63" s="434">
        <f>SUMIF('Commodity Prices'!C$254:C$904,A63,'Commodity Prices'!AM$254:AM$904)</f>
        <v>69.09</v>
      </c>
    </row>
    <row r="64" spans="1:7" x14ac:dyDescent="0.25">
      <c r="A64" s="1009">
        <f>LARGE('Commodity Prices'!C$161:C$904,8)</f>
        <v>45778</v>
      </c>
      <c r="B64" s="1010">
        <f>SUMIF('Commodity Prices'!C$254:C$904,A64,'Commodity Prices'!AK$254:AK$904)</f>
        <v>64.209999999999994</v>
      </c>
      <c r="C64" s="1011">
        <f>SUMIF('Commodity Prices'!C$254:C$904,A64,'Commodity Prices'!AM$254:AM$904)</f>
        <v>66.19</v>
      </c>
    </row>
    <row r="65" spans="1:3" x14ac:dyDescent="0.25">
      <c r="A65" s="1009">
        <f>LARGE('Commodity Prices'!C$161:C$904,7)</f>
        <v>45809</v>
      </c>
      <c r="B65" s="433">
        <f>SUMIF('Commodity Prices'!C$254:C$904,A65,'Commodity Prices'!AK$254:AK$904)</f>
        <v>71.45</v>
      </c>
      <c r="C65" s="434">
        <f>SUMIF('Commodity Prices'!C$254:C$904,A65,'Commodity Prices'!AM$254:AM$904)</f>
        <v>72.81</v>
      </c>
    </row>
    <row r="66" spans="1:3" x14ac:dyDescent="0.25">
      <c r="A66" s="1009">
        <f>LARGE('Commodity Prices'!C$161:C$904,6)</f>
        <v>45839</v>
      </c>
      <c r="B66" s="1010">
        <f>SUMIF('Commodity Prices'!C$254:C$904,A66,'Commodity Prices'!AK$254:AK$904)</f>
        <v>70.739999999999995</v>
      </c>
      <c r="C66" s="1011">
        <f>SUMIF('Commodity Prices'!C$254:C$904,A66,'Commodity Prices'!AM$254:AM$904)</f>
        <v>72.38</v>
      </c>
    </row>
    <row r="67" spans="1:3" x14ac:dyDescent="0.25">
      <c r="A67" s="1009">
        <f>LARGE('Commodity Prices'!C$161:C$904,5)</f>
        <v>45870</v>
      </c>
      <c r="B67" s="433">
        <f>SUMIF('Commodity Prices'!C$254:C$904,A67,'Commodity Prices'!AK$254:AK$904)</f>
        <v>68.2</v>
      </c>
      <c r="C67" s="434">
        <f>SUMIF('Commodity Prices'!C$254:C$904,A67,'Commodity Prices'!AM$254:AM$904)</f>
        <v>70.58</v>
      </c>
    </row>
    <row r="68" spans="1:3" x14ac:dyDescent="0.25">
      <c r="A68" s="1009">
        <f>LARGE('Commodity Prices'!C$161:C$904,4)</f>
        <v>45901</v>
      </c>
      <c r="B68" s="1010">
        <f>SUMIF('Commodity Prices'!C$254:C$904,A68,'Commodity Prices'!AK$254:AK$904)</f>
        <v>67.95</v>
      </c>
      <c r="C68" s="1011">
        <f>SUMIF('Commodity Prices'!C$254:C$904,A68,'Commodity Prices'!AM$254:AM$904)</f>
        <v>69.86</v>
      </c>
    </row>
    <row r="69" spans="1:3" x14ac:dyDescent="0.25">
      <c r="A69" s="1009">
        <f>LARGE('Commodity Prices'!C$161:C$904,3)</f>
        <v>45931</v>
      </c>
      <c r="B69" s="433">
        <f>SUMIF('Commodity Prices'!C$254:C$904,A69,'Commodity Prices'!AK$254:AK$904)</f>
        <v>64.599999999999994</v>
      </c>
      <c r="C69" s="434">
        <f>SUMIF('Commodity Prices'!C$254:C$904,A69,'Commodity Prices'!AM$254:AM$904)</f>
        <v>66.63</v>
      </c>
    </row>
    <row r="70" spans="1:3" x14ac:dyDescent="0.25">
      <c r="A70" s="1009">
        <f>LARGE('Commodity Prices'!C$161:C$904,2)</f>
        <v>45962</v>
      </c>
      <c r="B70" s="1010">
        <f>SUMIF('Commodity Prices'!C$254:C$904,A70,'Commodity Prices'!AK$254:AK$904)</f>
        <v>63.61</v>
      </c>
      <c r="C70" s="1011">
        <f>SUMIF('Commodity Prices'!C$254:C$904,A70,'Commodity Prices'!AM$254:AM$904)</f>
        <v>66.94</v>
      </c>
    </row>
    <row r="71" spans="1:3" ht="15.75" thickBot="1" x14ac:dyDescent="0.3">
      <c r="A71" s="1019">
        <f>LARGE('Commodity Prices'!C$161:C$904,1)</f>
        <v>45992</v>
      </c>
      <c r="B71" s="446">
        <f>SUMIF('Commodity Prices'!C$254:C$904,A71,'Commodity Prices'!AK$254:AK$904)</f>
        <v>62.72</v>
      </c>
      <c r="C71" s="447">
        <f>SUMIF('Commodity Prices'!C$254:C$904,A71,'Commodity Prices'!AM$254:AM$904)</f>
        <v>65.099999999999994</v>
      </c>
    </row>
  </sheetData>
  <mergeCells count="7">
    <mergeCell ref="E57:G57"/>
    <mergeCell ref="A7:C7"/>
    <mergeCell ref="E7:G7"/>
    <mergeCell ref="A8:C8"/>
    <mergeCell ref="E8:G8"/>
    <mergeCell ref="E55:G55"/>
    <mergeCell ref="E56:G56"/>
  </mergeCells>
  <dataValidations count="1">
    <dataValidation type="list" allowBlank="1" showInputMessage="1" showErrorMessage="1" promptTitle="Select a Period:" prompt="Select Financial or Calendar years." sqref="E56" xr:uid="{F2E86D88-F77C-4F22-B17E-7595E9D4B571}">
      <formula1>$W$1:$W$2</formula1>
    </dataValidation>
  </dataValidation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AD8A6-28B0-4688-84CE-4EE2F80E3E27}">
  <sheetPr>
    <tabColor theme="8" tint="0.39997558519241921"/>
  </sheetPr>
  <dimension ref="A1:CY71"/>
  <sheetViews>
    <sheetView showGridLines="0" zoomScale="85" zoomScaleNormal="85" workbookViewId="0">
      <pane ySplit="10" topLeftCell="A11" activePane="bottomLeft" state="frozen"/>
      <selection pane="bottomLeft"/>
    </sheetView>
  </sheetViews>
  <sheetFormatPr defaultColWidth="9.140625" defaultRowHeight="15" x14ac:dyDescent="0.25"/>
  <cols>
    <col min="1" max="1" width="12.7109375" customWidth="1"/>
    <col min="2" max="3" width="15.7109375" customWidth="1"/>
    <col min="4" max="4" width="10.42578125" customWidth="1"/>
    <col min="5" max="5" width="12.7109375" customWidth="1"/>
    <col min="6" max="7" width="15.7109375" customWidth="1"/>
    <col min="26" max="103" width="9.140625" style="2"/>
  </cols>
  <sheetData>
    <row r="1" spans="1:24" x14ac:dyDescent="0.25">
      <c r="X1" s="58" t="s">
        <v>551</v>
      </c>
    </row>
    <row r="2" spans="1:24" x14ac:dyDescent="0.25">
      <c r="G2" s="620"/>
      <c r="H2" s="2"/>
      <c r="I2" s="2"/>
      <c r="X2" s="58" t="s">
        <v>552</v>
      </c>
    </row>
    <row r="3" spans="1:24" x14ac:dyDescent="0.25">
      <c r="G3" s="29"/>
      <c r="H3" s="2"/>
      <c r="I3" s="2"/>
    </row>
    <row r="4" spans="1:24" ht="16.5" customHeight="1" x14ac:dyDescent="0.25">
      <c r="E4" s="421"/>
      <c r="H4" s="2"/>
      <c r="I4" s="2"/>
    </row>
    <row r="5" spans="1:24" ht="16.5" customHeight="1" x14ac:dyDescent="0.25">
      <c r="E5" s="421"/>
      <c r="H5" s="2"/>
      <c r="I5" s="2"/>
    </row>
    <row r="6" spans="1:24" ht="16.5" customHeight="1" x14ac:dyDescent="0.25">
      <c r="E6" s="421"/>
      <c r="H6" s="2"/>
      <c r="I6" s="2"/>
    </row>
    <row r="7" spans="1:24" x14ac:dyDescent="0.25">
      <c r="A7" s="1393" t="s">
        <v>568</v>
      </c>
      <c r="B7" s="1393"/>
      <c r="C7" s="1370"/>
      <c r="E7" s="1393" t="s">
        <v>553</v>
      </c>
      <c r="F7" s="1393"/>
      <c r="G7" s="1370"/>
      <c r="H7" s="2"/>
      <c r="I7" s="2"/>
    </row>
    <row r="8" spans="1:24" ht="15.75" thickBot="1" x14ac:dyDescent="0.3">
      <c r="A8" s="1395" t="s">
        <v>594</v>
      </c>
      <c r="B8" s="1395"/>
      <c r="C8" s="1396"/>
      <c r="E8" s="1395" t="str">
        <f>E22</f>
        <v>Historic Calendar Year</v>
      </c>
      <c r="F8" s="1395"/>
      <c r="G8" s="1396"/>
      <c r="I8" s="1020"/>
    </row>
    <row r="9" spans="1:24" x14ac:dyDescent="0.25">
      <c r="A9" s="998"/>
      <c r="B9" s="999" t="s">
        <v>189</v>
      </c>
      <c r="C9" s="1021" t="s">
        <v>189</v>
      </c>
      <c r="E9" s="998"/>
      <c r="F9" s="999" t="s">
        <v>189</v>
      </c>
      <c r="G9" s="1000" t="s">
        <v>189</v>
      </c>
    </row>
    <row r="10" spans="1:24" x14ac:dyDescent="0.25">
      <c r="A10" s="1002" t="s">
        <v>269</v>
      </c>
      <c r="B10" s="1022" t="s">
        <v>266</v>
      </c>
      <c r="C10" s="1023" t="s">
        <v>267</v>
      </c>
      <c r="E10" s="1002" t="s">
        <v>272</v>
      </c>
      <c r="F10" s="1003" t="s">
        <v>266</v>
      </c>
      <c r="G10" s="1023" t="s">
        <v>267</v>
      </c>
    </row>
    <row r="11" spans="1:24" x14ac:dyDescent="0.25">
      <c r="A11" s="1024">
        <f>LARGE('Commodity Prices'!C$161:C$904,61)</f>
        <v>44166</v>
      </c>
      <c r="B11" s="645">
        <f>SUMIF('Commodity Prices'!C$254:C$904,A11,'Commodity Prices'!AO$254:AO$904)</f>
        <v>5.7666067633133808</v>
      </c>
      <c r="C11" s="851">
        <f>SUMIF('Commodity Prices'!C$254:C$904,A11,'Commodity Prices'!AP$254:AP$904)</f>
        <v>7.6678745032344082</v>
      </c>
      <c r="E11" s="1008">
        <f>IF(E8="Historic Calendar Year", 2017, "2016-17")</f>
        <v>2017</v>
      </c>
      <c r="F11" s="645">
        <f>IF($E$8="Historic Calendar Year",
 IF(COUNTIFS('Commodity Prices'!$AO:$AO, "&gt;0", 'Commodity Prices'!$A:$A, $E11)=12, AVERAGEIFS('Commodity Prices'!$AO:$AO, 'Commodity Prices'!$A:$A, $E11), NA()),
 IF(COUNTIFS('Commodity Prices'!$AO:$AO, "&gt;0", 'Commodity Prices'!$B:$B, $E11)=12, AVERAGEIFS('Commodity Prices'!$AO:$AO, 'Commodity Prices'!$B:$B, $E11), NA())
)</f>
        <v>6.6710352398404451</v>
      </c>
      <c r="G11" s="851">
        <f>IF($E$8="Historic Calendar Year",
 IF(COUNTIFS('Commodity Prices'!$AP:$AP, "&gt;0", 'Commodity Prices'!$A:$A, $E11)=12, AVERAGEIFS('Commodity Prices'!$AP:$AP, 'Commodity Prices'!$A:$A, $E11), NA()),
 IF(COUNTIFS('Commodity Prices'!$AP:$AP, "&gt;0", 'Commodity Prices'!$B:$B, $E11)=12, AVERAGEIFS('Commodity Prices'!$AP:$AP, 'Commodity Prices'!$B:$B, $E11), NA())
)</f>
        <v>8.7051037932943931</v>
      </c>
    </row>
    <row r="12" spans="1:24" x14ac:dyDescent="0.25">
      <c r="A12" s="1025">
        <f>LARGE('Commodity Prices'!C$161:C$904,60)</f>
        <v>44197</v>
      </c>
      <c r="B12" s="1026">
        <f>SUMIF('Commodity Prices'!C$254:C$904,A12,'Commodity Prices'!AO$254:AO$904)</f>
        <v>6.3589640738110358</v>
      </c>
      <c r="C12" s="1011">
        <f>SUMIF('Commodity Prices'!C$254:C$904,A12,'Commodity Prices'!AP$254:AP$904)</f>
        <v>8.2307714643547403</v>
      </c>
      <c r="E12" s="1012">
        <f>IF($E$8="Historic Calendar Year", E11+1, LEFT(E11, 4)+1 &amp; "-" &amp; RIGHT( LEFT(E11, 4)+2, 2))</f>
        <v>2018</v>
      </c>
      <c r="F12" s="1026">
        <f>IF($E$8="Historic Calendar Year",
 IF(COUNTIFS('Commodity Prices'!$AO:$AO, "&gt;0", 'Commodity Prices'!$A:$A, $E12)=12, AVERAGEIFS('Commodity Prices'!$AO:$AO, 'Commodity Prices'!$A:$A, $E12), NA()),
 IF(COUNTIFS('Commodity Prices'!$AO:$AO, "&gt;0", 'Commodity Prices'!$B:$B, $E12)=12, AVERAGEIFS('Commodity Prices'!$AO:$AO, 'Commodity Prices'!$B:$B, $E12), NA())
)</f>
        <v>8.9423851091638245</v>
      </c>
      <c r="G12" s="1011">
        <f>IF($E$8="Historic Calendar Year",
 IF(COUNTIFS('Commodity Prices'!$AP:$AP, "&gt;0", 'Commodity Prices'!$A:$A, $E12)=12, AVERAGEIFS('Commodity Prices'!$AP:$AP, 'Commodity Prices'!$A:$A, $E12), NA()),
 IF(COUNTIFS('Commodity Prices'!$AP:$AP, "&gt;0", 'Commodity Prices'!$B:$B, $E12)=12, AVERAGEIFS('Commodity Prices'!$AP:$AP, 'Commodity Prices'!$B:$B, $E12), NA())
)</f>
        <v>12.00070072082684</v>
      </c>
    </row>
    <row r="13" spans="1:24" x14ac:dyDescent="0.25">
      <c r="A13" s="1024">
        <f>LARGE('Commodity Prices'!C$161:C$904,59)</f>
        <v>44228</v>
      </c>
      <c r="B13" s="645">
        <f>SUMIF('Commodity Prices'!C$254:C$904,A13,'Commodity Prices'!AO$254:AO$904)</f>
        <v>6.3349208445330447</v>
      </c>
      <c r="C13" s="434">
        <f>SUMIF('Commodity Prices'!C$254:C$904,A13,'Commodity Prices'!AP$254:AP$904)</f>
        <v>8.1692952454146859</v>
      </c>
      <c r="E13" s="1008">
        <f t="shared" ref="E13:E19" si="0">IF($E$8="Historic Calendar Year", E12+1, LEFT(E12, 4)+1 &amp; "-" &amp; RIGHT( LEFT(E12, 4)+2, 2))</f>
        <v>2019</v>
      </c>
      <c r="F13" s="645">
        <f>IF($E$8="Historic Calendar Year",
 IF(COUNTIFS('Commodity Prices'!$AO:$AO, "&gt;0", 'Commodity Prices'!$A:$A, $E13)=12, AVERAGEIFS('Commodity Prices'!$AO:$AO, 'Commodity Prices'!$A:$A, $E13), NA()),
 IF(COUNTIFS('Commodity Prices'!$AO:$AO, "&gt;0", 'Commodity Prices'!$B:$B, $E13)=12, AVERAGEIFS('Commodity Prices'!$AO:$AO, 'Commodity Prices'!$B:$B, $E13), NA())
)</f>
        <v>8.4728673074040159</v>
      </c>
      <c r="G13" s="434">
        <f>IF($E$8="Historic Calendar Year",
 IF(COUNTIFS('Commodity Prices'!$AP:$AP, "&gt;0", 'Commodity Prices'!$A:$A, $E13)=12, AVERAGEIFS('Commodity Prices'!$AP:$AP, 'Commodity Prices'!$A:$A, $E13), NA()),
 IF(COUNTIFS('Commodity Prices'!$AP:$AP, "&gt;0", 'Commodity Prices'!$B:$B, $E13)=12, AVERAGEIFS('Commodity Prices'!$AP:$AP, 'Commodity Prices'!$B:$B, $E13), NA())
)</f>
        <v>12.175813641412661</v>
      </c>
    </row>
    <row r="14" spans="1:24" x14ac:dyDescent="0.25">
      <c r="A14" s="1025">
        <f>LARGE('Commodity Prices'!C$161:C$904,58)</f>
        <v>44256</v>
      </c>
      <c r="B14" s="1026">
        <f>SUMIF('Commodity Prices'!C$254:C$904,A14,'Commodity Prices'!AO$254:AO$904)</f>
        <v>6.0511350846434482</v>
      </c>
      <c r="C14" s="1011">
        <f>SUMIF('Commodity Prices'!C$254:C$904,A14,'Commodity Prices'!AP$254:AP$904)</f>
        <v>7.8475834059847713</v>
      </c>
      <c r="E14" s="1008">
        <f t="shared" si="0"/>
        <v>2020</v>
      </c>
      <c r="F14" s="1026">
        <f>IF($E$8="Historic Calendar Year",
 IF(COUNTIFS('Commodity Prices'!$AO:$AO, "&gt;0", 'Commodity Prices'!$A:$A, $E14)=12, AVERAGEIFS('Commodity Prices'!$AO:$AO, 'Commodity Prices'!$A:$A, $E14), NA()),
 IF(COUNTIFS('Commodity Prices'!$AO:$AO, "&gt;0", 'Commodity Prices'!$B:$B, $E14)=12, AVERAGEIFS('Commodity Prices'!$AO:$AO, 'Commodity Prices'!$B:$B, $E14), NA())
)</f>
        <v>6.1036430712650187</v>
      </c>
      <c r="G14" s="1011">
        <f>IF($E$8="Historic Calendar Year",
 IF(COUNTIFS('Commodity Prices'!$AP:$AP, "&gt;0", 'Commodity Prices'!$A:$A, $E14)=12, AVERAGEIFS('Commodity Prices'!$AP:$AP, 'Commodity Prices'!$A:$A, $E14), NA()),
 IF(COUNTIFS('Commodity Prices'!$AP:$AP, "&gt;0", 'Commodity Prices'!$B:$B, $E14)=12, AVERAGEIFS('Commodity Prices'!$AP:$AP, 'Commodity Prices'!$B:$B, $E14), NA())
)</f>
        <v>8.9582728666300753</v>
      </c>
    </row>
    <row r="15" spans="1:24" x14ac:dyDescent="0.25">
      <c r="A15" s="1024">
        <f>LARGE('Commodity Prices'!C$161:C$904,57)</f>
        <v>44287</v>
      </c>
      <c r="B15" s="645">
        <f>SUMIF('Commodity Prices'!C$254:C$904,A15,'Commodity Prices'!AO$254:AO$904)</f>
        <v>6.4718349055047524</v>
      </c>
      <c r="C15" s="434">
        <f>SUMIF('Commodity Prices'!C$254:C$904,A15,'Commodity Prices'!AP$254:AP$904)</f>
        <v>8.4013798054142406</v>
      </c>
      <c r="E15" s="1012">
        <f t="shared" si="0"/>
        <v>2021</v>
      </c>
      <c r="F15" s="645">
        <f>IF($E$8="Historic Calendar Year",
 IF(COUNTIFS('Commodity Prices'!$AO:$AO, "&gt;0", 'Commodity Prices'!$A:$A, $E15)=12, AVERAGEIFS('Commodity Prices'!$AO:$AO, 'Commodity Prices'!$A:$A, $E15), NA()),
 IF(COUNTIFS('Commodity Prices'!$AO:$AO, "&gt;0", 'Commodity Prices'!$B:$B, $E15)=12, AVERAGEIFS('Commodity Prices'!$AO:$AO, 'Commodity Prices'!$B:$B, $E15), NA())
)</f>
        <v>8.7439781104230629</v>
      </c>
      <c r="G15" s="434">
        <f>IF($E$8="Historic Calendar Year",
 IF(COUNTIFS('Commodity Prices'!$AP:$AP, "&gt;0", 'Commodity Prices'!$A:$A, $E15)=12, AVERAGEIFS('Commodity Prices'!$AP:$AP, 'Commodity Prices'!$A:$A, $E15), NA()),
 IF(COUNTIFS('Commodity Prices'!$AP:$AP, "&gt;0", 'Commodity Prices'!$B:$B, $E15)=12, AVERAGEIFS('Commodity Prices'!$AP:$AP, 'Commodity Prices'!$B:$B, $E15), NA())
)</f>
        <v>11.722067627866762</v>
      </c>
    </row>
    <row r="16" spans="1:24" x14ac:dyDescent="0.25">
      <c r="A16" s="1025">
        <f>LARGE('Commodity Prices'!C$161:C$904,56)</f>
        <v>44317</v>
      </c>
      <c r="B16" s="1026">
        <f>SUMIF('Commodity Prices'!C$254:C$904,A16,'Commodity Prices'!AO$254:AO$904)</f>
        <v>6.8173623456454919</v>
      </c>
      <c r="C16" s="1011">
        <f>SUMIF('Commodity Prices'!C$254:C$904,A16,'Commodity Prices'!AP$254:AP$904)</f>
        <v>8.785907728757353</v>
      </c>
      <c r="E16" s="1012">
        <f t="shared" si="0"/>
        <v>2022</v>
      </c>
      <c r="F16" s="1027">
        <f>IF($E$8="Historic Calendar Year",
 IF(COUNTIFS('Commodity Prices'!$AO:$AO, "&gt;0", 'Commodity Prices'!$A:$A, $E16)=12, AVERAGEIFS('Commodity Prices'!$AO:$AO, 'Commodity Prices'!$A:$A, $E16), NA()),
 IF(COUNTIFS('Commodity Prices'!$AO:$AO, "&gt;0", 'Commodity Prices'!$B:$B, $E16)=12, AVERAGEIFS('Commodity Prices'!$AO:$AO, 'Commodity Prices'!$B:$B, $E16), NA())
)</f>
        <v>14.786892727440922</v>
      </c>
      <c r="G16" s="1028">
        <f>IF($E$8="Historic Calendar Year",
 IF(COUNTIFS('Commodity Prices'!$AP:$AP, "&gt;0", 'Commodity Prices'!$A:$A, $E16)=12, AVERAGEIFS('Commodity Prices'!$AP:$AP, 'Commodity Prices'!$A:$A, $E16), NA()),
 IF(COUNTIFS('Commodity Prices'!$AP:$AP, "&gt;0", 'Commodity Prices'!$B:$B, $E16)=12, AVERAGEIFS('Commodity Prices'!$AP:$AP, 'Commodity Prices'!$B:$B, $E16), NA())
)</f>
        <v>21.416163746219258</v>
      </c>
    </row>
    <row r="17" spans="1:7" x14ac:dyDescent="0.25">
      <c r="A17" s="1024">
        <f>LARGE('Commodity Prices'!C$161:C$904,56)</f>
        <v>44317</v>
      </c>
      <c r="B17" s="645">
        <f>SUMIF('Commodity Prices'!C$254:C$904,A17,'Commodity Prices'!AO$254:AO$904)</f>
        <v>6.8173623456454919</v>
      </c>
      <c r="C17" s="434">
        <f>SUMIF('Commodity Prices'!C$254:C$904,A17,'Commodity Prices'!AP$254:AP$904)</f>
        <v>8.785907728757353</v>
      </c>
      <c r="E17" s="1012">
        <f t="shared" si="0"/>
        <v>2023</v>
      </c>
      <c r="F17" s="645">
        <f>IF($E$8="Historic Calendar Year",
 IF(COUNTIFS('Commodity Prices'!$AO:$AO, "&gt;0", 'Commodity Prices'!$A:$A, $E17)=12, AVERAGEIFS('Commodity Prices'!$AO:$AO, 'Commodity Prices'!$A:$A, $E17), NA()),
 IF(COUNTIFS('Commodity Prices'!$AO:$AO, "&gt;0", 'Commodity Prices'!$B:$B, $E17)=12, AVERAGEIFS('Commodity Prices'!$AO:$AO, 'Commodity Prices'!$B:$B, $E17), NA())
)</f>
        <v>11.854304068214793</v>
      </c>
      <c r="G17" s="434">
        <f>IF($E$8="Historic Calendar Year",
 IF(COUNTIFS('Commodity Prices'!$AP:$AP, "&gt;0", 'Commodity Prices'!$A:$A, $E17)=12, AVERAGEIFS('Commodity Prices'!$AP:$AP, 'Commodity Prices'!$A:$A, $E17), NA()),
 IF(COUNTIFS('Commodity Prices'!$AP:$AP, "&gt;0", 'Commodity Prices'!$B:$B, $E17)=12, AVERAGEIFS('Commodity Prices'!$AP:$AP, 'Commodity Prices'!$B:$B, $E17), NA())
)</f>
        <v>17.794176729227033</v>
      </c>
    </row>
    <row r="18" spans="1:7" x14ac:dyDescent="0.25">
      <c r="A18" s="1025">
        <f>LARGE('Commodity Prices'!C$161:C$904,54)</f>
        <v>44378</v>
      </c>
      <c r="B18" s="1026">
        <f>SUMIF('Commodity Prices'!C$254:C$904,A18,'Commodity Prices'!AO$254:AO$904)</f>
        <v>8.8219028970097142</v>
      </c>
      <c r="C18" s="1011">
        <f>SUMIF('Commodity Prices'!C$254:C$904,A18,'Commodity Prices'!AP$254:AP$904)</f>
        <v>11.881714391883053</v>
      </c>
      <c r="E18" s="1012">
        <f t="shared" si="0"/>
        <v>2024</v>
      </c>
      <c r="F18" s="1027">
        <f>IF($E$8="Historic Calendar Year",
 IF(COUNTIFS('Commodity Prices'!$AO:$AO, "&gt;0", 'Commodity Prices'!$A:$A, $E18)=12, AVERAGEIFS('Commodity Prices'!$AO:$AO, 'Commodity Prices'!$A:$A, $E18), NA()),
 IF(COUNTIFS('Commodity Prices'!$AO:$AO, "&gt;0", 'Commodity Prices'!$B:$B, $E18)=12, AVERAGEIFS('Commodity Prices'!$AO:$AO, 'Commodity Prices'!$B:$B, $E18), NA())
)</f>
        <v>10.585920538428164</v>
      </c>
      <c r="G18" s="1028">
        <f>IF($E$8="Historic Calendar Year",
 IF(COUNTIFS('Commodity Prices'!$AP:$AP, "&gt;0", 'Commodity Prices'!$A:$A, $E18)=12, AVERAGEIFS('Commodity Prices'!$AP:$AP, 'Commodity Prices'!$A:$A, $E18), NA()),
 IF(COUNTIFS('Commodity Prices'!$AP:$AP, "&gt;0", 'Commodity Prices'!$B:$B, $E18)=12, AVERAGEIFS('Commodity Prices'!$AP:$AP, 'Commodity Prices'!$B:$B, $E18), NA())
)</f>
        <v>16.043244458457909</v>
      </c>
    </row>
    <row r="19" spans="1:7" ht="15.75" thickBot="1" x14ac:dyDescent="0.3">
      <c r="A19" s="1024">
        <f>LARGE('Commodity Prices'!C$161:C$904,53)</f>
        <v>44409</v>
      </c>
      <c r="B19" s="645">
        <f>SUMIF('Commodity Prices'!C$254:C$904,A19,'Commodity Prices'!AO$254:AO$904)</f>
        <v>9.3371696268255722</v>
      </c>
      <c r="C19" s="434">
        <f>SUMIF('Commodity Prices'!C$254:C$904,A19,'Commodity Prices'!AP$254:AP$904)</f>
        <v>12.789058248706098</v>
      </c>
      <c r="E19" s="1029">
        <f t="shared" si="0"/>
        <v>2025</v>
      </c>
      <c r="F19" s="1183">
        <f>IF($E$8="Historic Calendar Year",
 IF(COUNTIFS('Commodity Prices'!$AO:$AO, "&gt;0", 'Commodity Prices'!$A:$A, $E19)=12, AVERAGEIFS('Commodity Prices'!$AO:$AO, 'Commodity Prices'!$A:$A, $E19), NA()),
 IF(COUNTIFS('Commodity Prices'!$AO:$AO, "&gt;0", 'Commodity Prices'!$B:$B, $E19)=12, AVERAGEIFS('Commodity Prices'!$AO:$AO, 'Commodity Prices'!$B:$B, $E19), NA())
)</f>
        <v>9.6203084762472741</v>
      </c>
      <c r="G19" s="447">
        <f>IF($E$8="Historic Calendar Year",
 IF(COUNTIFS('Commodity Prices'!$AP:$AP, "&gt;0", 'Commodity Prices'!$A:$A, $E19)=12, AVERAGEIFS('Commodity Prices'!$AP:$AP, 'Commodity Prices'!$A:$A, $E19), NA()),
 IF(COUNTIFS('Commodity Prices'!$AP:$AP, "&gt;0", 'Commodity Prices'!$B:$B, $E19)=12, AVERAGEIFS('Commodity Prices'!$AP:$AP, 'Commodity Prices'!$B:$B, $E19), NA())
)</f>
        <v>14.937767889269509</v>
      </c>
    </row>
    <row r="20" spans="1:7" ht="15.75" thickBot="1" x14ac:dyDescent="0.3">
      <c r="A20" s="1025">
        <f>LARGE('Commodity Prices'!C$161:C$904,52)</f>
        <v>44440</v>
      </c>
      <c r="B20" s="1026">
        <f>SUMIF('Commodity Prices'!C$254:C$904,A20,'Commodity Prices'!AO$254:AO$904)</f>
        <v>10.253990117520583</v>
      </c>
      <c r="C20" s="1011">
        <f>SUMIF('Commodity Prices'!C$254:C$904,A20,'Commodity Prices'!AP$254:AP$904)</f>
        <v>14.004269955952005</v>
      </c>
    </row>
    <row r="21" spans="1:7" x14ac:dyDescent="0.25">
      <c r="A21" s="1024">
        <f>LARGE('Commodity Prices'!C$161:C$904,51)</f>
        <v>44470</v>
      </c>
      <c r="B21" s="645">
        <f>SUMIF('Commodity Prices'!C$254:C$904,A21,'Commodity Prices'!AO$254:AO$904)</f>
        <v>11.418899064697863</v>
      </c>
      <c r="C21" s="434">
        <f>SUMIF('Commodity Prices'!C$254:C$904,A21,'Commodity Prices'!AP$254:AP$904)</f>
        <v>15.42479560809929</v>
      </c>
      <c r="E21" s="1498" t="s">
        <v>156</v>
      </c>
      <c r="F21" s="1499"/>
      <c r="G21" s="1500"/>
    </row>
    <row r="22" spans="1:7" ht="15.75" thickBot="1" x14ac:dyDescent="0.3">
      <c r="A22" s="1025">
        <f>LARGE('Commodity Prices'!C$161:C$904,50)</f>
        <v>44501</v>
      </c>
      <c r="B22" s="1026">
        <f>SUMIF('Commodity Prices'!C$254:C$904,A22,'Commodity Prices'!AO$254:AO$904)</f>
        <v>12.818625212223122</v>
      </c>
      <c r="C22" s="1011">
        <f>SUMIF('Commodity Prices'!C$254:C$904,A22,'Commodity Prices'!AP$254:AP$904)</f>
        <v>17.52810955739379</v>
      </c>
      <c r="E22" s="1400" t="s">
        <v>551</v>
      </c>
      <c r="F22" s="1395"/>
      <c r="G22" s="1401"/>
    </row>
    <row r="23" spans="1:7" x14ac:dyDescent="0.25">
      <c r="A23" s="1024">
        <f>LARGE('Commodity Prices'!C$161:C$904,49)</f>
        <v>44531</v>
      </c>
      <c r="B23" s="645">
        <f>SUMIF('Commodity Prices'!C$254:C$904,A23,'Commodity Prices'!AO$254:AO$904)</f>
        <v>12.421455019498751</v>
      </c>
      <c r="C23" s="434">
        <f>SUMIF('Commodity Prices'!C$254:C$904,A23,'Commodity Prices'!AP$254:AP$904)</f>
        <v>17.371276049165154</v>
      </c>
      <c r="E23" s="1439" t="s">
        <v>554</v>
      </c>
      <c r="F23" s="1439"/>
      <c r="G23" s="1439"/>
    </row>
    <row r="24" spans="1:7" x14ac:dyDescent="0.25">
      <c r="A24" s="1025">
        <f>LARGE('Commodity Prices'!C$161:C$904,48)</f>
        <v>44562</v>
      </c>
      <c r="B24" s="1026">
        <f>SUMIF('Commodity Prices'!C$254:C$904,A24,'Commodity Prices'!AO$254:AO$904)</f>
        <v>12.805328196950629</v>
      </c>
      <c r="C24" s="1011">
        <f>SUMIF('Commodity Prices'!C$254:C$904,A24,'Commodity Prices'!AP$254:AP$904)</f>
        <v>17.836418639957035</v>
      </c>
    </row>
    <row r="25" spans="1:7" x14ac:dyDescent="0.25">
      <c r="A25" s="1024">
        <f>LARGE('Commodity Prices'!C$161:C$904,47)</f>
        <v>44593</v>
      </c>
      <c r="B25" s="645">
        <f>SUMIF('Commodity Prices'!C$254:C$904,A25,'Commodity Prices'!AO$254:AO$904)</f>
        <v>12.337731353979118</v>
      </c>
      <c r="C25" s="434">
        <f>SUMIF('Commodity Prices'!C$254:C$904,A25,'Commodity Prices'!AP$254:AP$904)</f>
        <v>17.237125808022352</v>
      </c>
    </row>
    <row r="26" spans="1:7" x14ac:dyDescent="0.25">
      <c r="A26" s="1025">
        <f>LARGE('Commodity Prices'!C$161:C$904,46)</f>
        <v>44621</v>
      </c>
      <c r="B26" s="1026">
        <f>SUMIF('Commodity Prices'!C$254:C$904,A26,'Commodity Prices'!AO$254:AO$904)</f>
        <v>12.888328608494382</v>
      </c>
      <c r="C26" s="1011">
        <f>SUMIF('Commodity Prices'!C$254:C$904,A26,'Commodity Prices'!AP$254:AP$904)</f>
        <v>17.490754488483574</v>
      </c>
    </row>
    <row r="27" spans="1:7" x14ac:dyDescent="0.25">
      <c r="A27" s="1024">
        <f>LARGE('Commodity Prices'!C$161:C$904,45)</f>
        <v>44652</v>
      </c>
      <c r="B27" s="645">
        <f>SUMIF('Commodity Prices'!C$254:C$904,A27,'Commodity Prices'!AO$254:AO$904)</f>
        <v>13.80613581202075</v>
      </c>
      <c r="C27" s="434">
        <f>SUMIF('Commodity Prices'!C$254:C$904,A27,'Commodity Prices'!AP$254:AP$904)</f>
        <v>18.663245437000004</v>
      </c>
    </row>
    <row r="28" spans="1:7" x14ac:dyDescent="0.25">
      <c r="A28" s="1025">
        <f>LARGE('Commodity Prices'!C$161:C$904,44)</f>
        <v>44682</v>
      </c>
      <c r="B28" s="1026">
        <f>SUMIF('Commodity Prices'!C$254:C$904,A28,'Commodity Prices'!AO$254:AO$904)</f>
        <v>12.854020542703786</v>
      </c>
      <c r="C28" s="1011">
        <f>SUMIF('Commodity Prices'!C$254:C$904,A28,'Commodity Prices'!AP$254:AP$904)</f>
        <v>18.227482335087615</v>
      </c>
    </row>
    <row r="29" spans="1:7" x14ac:dyDescent="0.25">
      <c r="A29" s="1024">
        <f>LARGE('Commodity Prices'!C$161:C$904,43)</f>
        <v>44713</v>
      </c>
      <c r="B29" s="645">
        <f>SUMIF('Commodity Prices'!C$254:C$904,A29,'Commodity Prices'!AO$254:AO$904)</f>
        <v>13.182748873130544</v>
      </c>
      <c r="C29" s="434">
        <f>SUMIF('Commodity Prices'!C$254:C$904,A29,'Commodity Prices'!AP$254:AP$904)</f>
        <v>18.751243003836535</v>
      </c>
    </row>
    <row r="30" spans="1:7" x14ac:dyDescent="0.25">
      <c r="A30" s="1025">
        <f>LARGE('Commodity Prices'!C$161:C$904,42)</f>
        <v>44743</v>
      </c>
      <c r="B30" s="1026">
        <f>SUMIF('Commodity Prices'!C$254:C$904,A30,'Commodity Prices'!AO$254:AO$904)</f>
        <v>15.253926414988785</v>
      </c>
      <c r="C30" s="1011">
        <f>SUMIF('Commodity Prices'!C$254:C$904,A30,'Commodity Prices'!AP$254:AP$904)</f>
        <v>22.252726930835586</v>
      </c>
    </row>
    <row r="31" spans="1:7" x14ac:dyDescent="0.25">
      <c r="A31" s="1024">
        <f>LARGE('Commodity Prices'!C$161:C$904,41)</f>
        <v>44774</v>
      </c>
      <c r="B31" s="645">
        <f>SUMIF('Commodity Prices'!C$254:C$904,A31,'Commodity Prices'!AO$254:AO$904)</f>
        <v>16.719651337147202</v>
      </c>
      <c r="C31" s="434">
        <f>SUMIF('Commodity Prices'!C$254:C$904,A31,'Commodity Prices'!AP$254:AP$904)</f>
        <v>24.022330667722805</v>
      </c>
    </row>
    <row r="32" spans="1:7" x14ac:dyDescent="0.25">
      <c r="A32" s="1025">
        <f>LARGE('Commodity Prices'!C$161:C$904,40)</f>
        <v>44805</v>
      </c>
      <c r="B32" s="1026">
        <f>SUMIF('Commodity Prices'!C$254:C$904,A32,'Commodity Prices'!AO$254:AO$904)</f>
        <v>18.880296803952341</v>
      </c>
      <c r="C32" s="1011">
        <f>SUMIF('Commodity Prices'!C$254:C$904,A32,'Commodity Prices'!AP$254:AP$904)</f>
        <v>28.232320035531881</v>
      </c>
    </row>
    <row r="33" spans="1:3" x14ac:dyDescent="0.25">
      <c r="A33" s="1024">
        <f>LARGE('Commodity Prices'!C$161:C$904,39)</f>
        <v>44835</v>
      </c>
      <c r="B33" s="645">
        <f>SUMIF('Commodity Prices'!C$254:C$904,A33,'Commodity Prices'!AO$254:AO$904)</f>
        <v>17.409252017929251</v>
      </c>
      <c r="C33" s="434">
        <f>SUMIF('Commodity Prices'!C$254:C$904,A33,'Commodity Prices'!AP$254:AP$904)</f>
        <v>27.369164769025222</v>
      </c>
    </row>
    <row r="34" spans="1:3" x14ac:dyDescent="0.25">
      <c r="A34" s="1025">
        <f>LARGE('Commodity Prices'!C$161:C$904,38)</f>
        <v>44866</v>
      </c>
      <c r="B34" s="1026">
        <f>SUMIF('Commodity Prices'!C$254:C$904,A34,'Commodity Prices'!AO$254:AO$904)</f>
        <v>15.39536833135919</v>
      </c>
      <c r="C34" s="1011">
        <f>SUMIF('Commodity Prices'!C$254:C$904,A34,'Commodity Prices'!AP$254:AP$904)</f>
        <v>23.347701633721115</v>
      </c>
    </row>
    <row r="35" spans="1:3" x14ac:dyDescent="0.25">
      <c r="A35" s="1024">
        <f>LARGE('Commodity Prices'!C$161:C$904,37)</f>
        <v>44896</v>
      </c>
      <c r="B35" s="645">
        <f>SUMIF('Commodity Prices'!C$254:C$904,A35,'Commodity Prices'!AO$254:AO$904)</f>
        <v>15.909924436635091</v>
      </c>
      <c r="C35" s="434">
        <f>SUMIF('Commodity Prices'!C$254:C$904,A35,'Commodity Prices'!AP$254:AP$904)</f>
        <v>23.563451205407461</v>
      </c>
    </row>
    <row r="36" spans="1:3" x14ac:dyDescent="0.25">
      <c r="A36" s="1025">
        <f>LARGE('Commodity Prices'!C$161:C$904,36)</f>
        <v>44927</v>
      </c>
      <c r="B36" s="1026">
        <f>SUMIF('Commodity Prices'!C$254:C$904,A36,'Commodity Prices'!AO$254:AO$904)</f>
        <v>16.269229450429968</v>
      </c>
      <c r="C36" s="1011">
        <f>SUMIF('Commodity Prices'!C$254:C$904,A36,'Commodity Prices'!AP$254:AP$904)</f>
        <v>23.413342712205111</v>
      </c>
    </row>
    <row r="37" spans="1:3" x14ac:dyDescent="0.25">
      <c r="A37" s="1024">
        <f>LARGE('Commodity Prices'!C$161:C$904,35)</f>
        <v>44958</v>
      </c>
      <c r="B37" s="645">
        <f>SUMIF('Commodity Prices'!C$254:C$904,A37,'Commodity Prices'!AO$254:AO$904)</f>
        <v>14.293998024101132</v>
      </c>
      <c r="C37" s="434">
        <f>SUMIF('Commodity Prices'!C$254:C$904,A37,'Commodity Prices'!AP$254:AP$904)</f>
        <v>20.672197992799482</v>
      </c>
    </row>
    <row r="38" spans="1:3" x14ac:dyDescent="0.25">
      <c r="A38" s="1025">
        <f>LARGE('Commodity Prices'!C$161:C$904,34)</f>
        <v>44986</v>
      </c>
      <c r="B38" s="1026">
        <f>SUMIF('Commodity Prices'!C$254:C$904,A38,'Commodity Prices'!AO$254:AO$904)</f>
        <v>12.852979986537187</v>
      </c>
      <c r="C38" s="1011">
        <f>SUMIF('Commodity Prices'!C$254:C$904,A38,'Commodity Prices'!AP$254:AP$904)</f>
        <v>19.220471489061097</v>
      </c>
    </row>
    <row r="39" spans="1:3" x14ac:dyDescent="0.25">
      <c r="A39" s="1024">
        <f>LARGE('Commodity Prices'!C$161:C$904,33)</f>
        <v>45017</v>
      </c>
      <c r="B39" s="645">
        <f>SUMIF('Commodity Prices'!C$254:C$904,A39,'Commodity Prices'!AO$254:AO$904)</f>
        <v>11.585918207688394</v>
      </c>
      <c r="C39" s="434">
        <f>SUMIF('Commodity Prices'!C$254:C$904,A39,'Commodity Prices'!AP$254:AP$904)</f>
        <v>17.306089933283783</v>
      </c>
    </row>
    <row r="40" spans="1:3" x14ac:dyDescent="0.25">
      <c r="A40" s="1025">
        <f>LARGE('Commodity Prices'!C$161:C$904,32)</f>
        <v>45047</v>
      </c>
      <c r="B40" s="1026">
        <f>SUMIF('Commodity Prices'!C$254:C$904,A40,'Commodity Prices'!AO$254:AO$904)</f>
        <v>11.16550881990536</v>
      </c>
      <c r="C40" s="1011">
        <f>SUMIF('Commodity Prices'!C$254:C$904,A40,'Commodity Prices'!AP$254:AP$904)</f>
        <v>16.787824102307827</v>
      </c>
    </row>
    <row r="41" spans="1:3" x14ac:dyDescent="0.25">
      <c r="A41" s="1024">
        <f>LARGE('Commodity Prices'!C$161:C$904,31)</f>
        <v>45078</v>
      </c>
      <c r="B41" s="645">
        <f>SUMIF('Commodity Prices'!C$254:C$904,A41,'Commodity Prices'!AO$254:AO$904)</f>
        <v>10.482997896251357</v>
      </c>
      <c r="C41" s="434">
        <f>SUMIF('Commodity Prices'!C$254:C$904,A41,'Commodity Prices'!AP$254:AP$904)</f>
        <v>15.62738381637527</v>
      </c>
    </row>
    <row r="42" spans="1:3" x14ac:dyDescent="0.25">
      <c r="A42" s="1025">
        <f>LARGE('Commodity Prices'!C$161:C$904,30)</f>
        <v>45108</v>
      </c>
      <c r="B42" s="1026">
        <f>SUMIF('Commodity Prices'!C$254:C$904,A42,'Commodity Prices'!AO$254:AO$904)</f>
        <v>10.697541931866301</v>
      </c>
      <c r="C42" s="1011">
        <f>SUMIF('Commodity Prices'!C$254:C$904,A42,'Commodity Prices'!AP$254:AP$904)</f>
        <v>15.877444929937473</v>
      </c>
    </row>
    <row r="43" spans="1:3" x14ac:dyDescent="0.25">
      <c r="A43" s="1024">
        <f>LARGE('Commodity Prices'!C$161:C$904,29)</f>
        <v>45139</v>
      </c>
      <c r="B43" s="645">
        <f>SUMIF('Commodity Prices'!C$254:C$904,A43,'Commodity Prices'!AO$254:AO$904)</f>
        <v>10.794511553812832</v>
      </c>
      <c r="C43" s="434">
        <f>SUMIF('Commodity Prices'!C$254:C$904,A43,'Commodity Prices'!AP$254:AP$904)</f>
        <v>16.637190288908663</v>
      </c>
    </row>
    <row r="44" spans="1:3" x14ac:dyDescent="0.25">
      <c r="A44" s="1025">
        <f>LARGE('Commodity Prices'!C$161:C$904,28)</f>
        <v>45170</v>
      </c>
      <c r="B44" s="1026">
        <f>SUMIF('Commodity Prices'!C$254:C$904,A44,'Commodity Prices'!AO$254:AO$904)</f>
        <v>10.814685267100266</v>
      </c>
      <c r="C44" s="1011">
        <f>SUMIF('Commodity Prices'!C$254:C$904,A44,'Commodity Prices'!AP$254:AP$904)</f>
        <v>16.833193045287516</v>
      </c>
    </row>
    <row r="45" spans="1:3" x14ac:dyDescent="0.25">
      <c r="A45" s="1024">
        <f>LARGE('Commodity Prices'!C$161:C$904,27)</f>
        <v>45200</v>
      </c>
      <c r="B45" s="645">
        <f>SUMIF('Commodity Prices'!C$254:C$904,A45,'Commodity Prices'!AO$254:AO$904)</f>
        <v>10.718464432880021</v>
      </c>
      <c r="C45" s="434">
        <f>SUMIF('Commodity Prices'!C$254:C$904,A45,'Commodity Prices'!AP$254:AP$904)</f>
        <v>16.879091815743209</v>
      </c>
    </row>
    <row r="46" spans="1:3" x14ac:dyDescent="0.25">
      <c r="A46" s="1025">
        <f>LARGE('Commodity Prices'!C$161:C$904,26)</f>
        <v>45231</v>
      </c>
      <c r="B46" s="1026">
        <f>SUMIF('Commodity Prices'!C$254:C$904,A46,'Commodity Prices'!AO$254:AO$904)</f>
        <v>11.216038869770722</v>
      </c>
      <c r="C46" s="1011">
        <f>SUMIF('Commodity Prices'!C$254:C$904,A46,'Commodity Prices'!AP$254:AP$904)</f>
        <v>17.277070958399388</v>
      </c>
    </row>
    <row r="47" spans="1:3" x14ac:dyDescent="0.25">
      <c r="A47" s="1024">
        <f>LARGE('Commodity Prices'!C$161:C$904,25)</f>
        <v>45261</v>
      </c>
      <c r="B47" s="645">
        <f>SUMIF('Commodity Prices'!C$254:C$904,A47,'Commodity Prices'!AO$254:AO$904)</f>
        <v>11.359774378233965</v>
      </c>
      <c r="C47" s="434">
        <f>SUMIF('Commodity Prices'!C$254:C$904,A47,'Commodity Prices'!AP$254:AP$904)</f>
        <v>16.998819666415585</v>
      </c>
    </row>
    <row r="48" spans="1:3" x14ac:dyDescent="0.25">
      <c r="A48" s="1025">
        <f>LARGE('Commodity Prices'!C$161:C$904,24)</f>
        <v>45292</v>
      </c>
      <c r="B48" s="1026">
        <f>SUMIF('Commodity Prices'!C$254:C$904,A48,'Commodity Prices'!AO$254:AO$904)</f>
        <v>11.339811340134755</v>
      </c>
      <c r="C48" s="1011">
        <f>SUMIF('Commodity Prices'!C$254:C$904,A48,'Commodity Prices'!AP$254:AP$904)</f>
        <v>17.046366698604132</v>
      </c>
    </row>
    <row r="49" spans="1:3" x14ac:dyDescent="0.25">
      <c r="A49" s="1024">
        <f>LARGE('Commodity Prices'!C$161:C$904,23)</f>
        <v>45323</v>
      </c>
      <c r="B49" s="645">
        <f>SUMIF('Commodity Prices'!C$254:C$904,A49,'Commodity Prices'!AO$254:AO$904)</f>
        <v>11.102984177049768</v>
      </c>
      <c r="C49" s="434">
        <f>SUMIF('Commodity Prices'!C$254:C$904,A49,'Commodity Prices'!AP$254:AP$904)</f>
        <v>17.002914564762534</v>
      </c>
    </row>
    <row r="50" spans="1:3" x14ac:dyDescent="0.25">
      <c r="A50" s="1025">
        <f>LARGE('Commodity Prices'!C$161:C$904,22)</f>
        <v>45352</v>
      </c>
      <c r="B50" s="1026">
        <f>SUMIF('Commodity Prices'!C$254:C$904,A50,'Commodity Prices'!AO$254:AO$904)</f>
        <v>10.552837486101733</v>
      </c>
      <c r="C50" s="1011">
        <f>SUMIF('Commodity Prices'!C$254:C$904,A50,'Commodity Prices'!AP$254:AP$904)</f>
        <v>16.08921776519372</v>
      </c>
    </row>
    <row r="51" spans="1:3" x14ac:dyDescent="0.25">
      <c r="A51" s="1024">
        <f>LARGE('Commodity Prices'!C$161:C$904,21)</f>
        <v>45383</v>
      </c>
      <c r="B51" s="645">
        <f>SUMIF('Commodity Prices'!C$254:C$904,A51,'Commodity Prices'!AO$254:AO$904)</f>
        <v>10.262470304245438</v>
      </c>
      <c r="C51" s="434">
        <f>SUMIF('Commodity Prices'!C$254:C$904,A51,'Commodity Prices'!AP$254:AP$904)</f>
        <v>15.760168780947129</v>
      </c>
    </row>
    <row r="52" spans="1:3" x14ac:dyDescent="0.25">
      <c r="A52" s="1025">
        <f>LARGE('Commodity Prices'!C$161:C$904,20)</f>
        <v>45413</v>
      </c>
      <c r="B52" s="1026">
        <f>SUMIF('Commodity Prices'!C$254:C$904,A52,'Commodity Prices'!AO$254:AO$904)</f>
        <v>10.092712695179069</v>
      </c>
      <c r="C52" s="1011">
        <f>SUMIF('Commodity Prices'!C$254:C$904,A52,'Commodity Prices'!AP$254:AP$904)</f>
        <v>15.250897909395533</v>
      </c>
    </row>
    <row r="53" spans="1:3" x14ac:dyDescent="0.25">
      <c r="A53" s="1024">
        <f>LARGE('Commodity Prices'!C$161:C$904,19)</f>
        <v>45444</v>
      </c>
      <c r="B53" s="645">
        <f>SUMIF('Commodity Prices'!C$254:C$904,A53,'Commodity Prices'!AO$254:AO$904)</f>
        <v>10.007081801184409</v>
      </c>
      <c r="C53" s="434">
        <f>SUMIF('Commodity Prices'!C$254:C$904,A53,'Commodity Prices'!AP$254:AP$904)</f>
        <v>15.053366339355996</v>
      </c>
    </row>
    <row r="54" spans="1:3" x14ac:dyDescent="0.25">
      <c r="A54" s="1025">
        <f>LARGE('Commodity Prices'!C$161:C$904,18)</f>
        <v>45474</v>
      </c>
      <c r="B54" s="1026">
        <f>SUMIF('Commodity Prices'!C$254:C$904,A54,'Commodity Prices'!AO$254:AO$904)</f>
        <v>10.393497141456733</v>
      </c>
      <c r="C54" s="1011">
        <f>SUMIF('Commodity Prices'!C$254:C$904,A54,'Commodity Prices'!AP$254:AP$904)</f>
        <v>15.575043115752548</v>
      </c>
    </row>
    <row r="55" spans="1:3" x14ac:dyDescent="0.25">
      <c r="A55" s="1024">
        <f>LARGE('Commodity Prices'!C$161:C$904,17)</f>
        <v>45505</v>
      </c>
      <c r="B55" s="645">
        <f>SUMIF('Commodity Prices'!C$254:C$904,A55,'Commodity Prices'!AO$254:AO$904)</f>
        <v>10.396524101538922</v>
      </c>
      <c r="C55" s="434">
        <f>SUMIF('Commodity Prices'!C$254:C$904,A55,'Commodity Prices'!AP$254:AP$904)</f>
        <v>15.607606686372186</v>
      </c>
    </row>
    <row r="56" spans="1:3" x14ac:dyDescent="0.25">
      <c r="A56" s="1025">
        <f>LARGE('Commodity Prices'!C$161:C$904,16)</f>
        <v>45536</v>
      </c>
      <c r="B56" s="1026">
        <f>SUMIF('Commodity Prices'!C$254:C$904,A56,'Commodity Prices'!AO$254:AO$904)</f>
        <v>10.651004894847357</v>
      </c>
      <c r="C56" s="1011">
        <f>SUMIF('Commodity Prices'!C$254:C$904,A56,'Commodity Prices'!AP$254:AP$904)</f>
        <v>15.735639658076343</v>
      </c>
    </row>
    <row r="57" spans="1:3" x14ac:dyDescent="0.25">
      <c r="A57" s="1024">
        <f>LARGE('Commodity Prices'!C$161:C$904,15)</f>
        <v>45566</v>
      </c>
      <c r="B57" s="645">
        <f>SUMIF('Commodity Prices'!C$254:C$904,A57,'Commodity Prices'!AO$254:AO$904)</f>
        <v>10.620633077394801</v>
      </c>
      <c r="C57" s="434">
        <f>SUMIF('Commodity Prices'!C$254:C$904,A57,'Commodity Prices'!AP$254:AP$904)</f>
        <v>15.827209452318371</v>
      </c>
    </row>
    <row r="58" spans="1:3" x14ac:dyDescent="0.25">
      <c r="A58" s="1025">
        <f>LARGE('Commodity Prices'!C$161:C$904,14)</f>
        <v>45597</v>
      </c>
      <c r="B58" s="1026">
        <f>SUMIF('Commodity Prices'!C$254:C$904,A58,'Commodity Prices'!AO$254:AO$904)</f>
        <v>10.77608648858533</v>
      </c>
      <c r="C58" s="1011">
        <f>SUMIF('Commodity Prices'!C$254:C$904,A58,'Commodity Prices'!AP$254:AP$904)</f>
        <v>16.487640799129487</v>
      </c>
    </row>
    <row r="59" spans="1:3" x14ac:dyDescent="0.25">
      <c r="A59" s="1024">
        <f>LARGE('Commodity Prices'!C$161:C$904,13)</f>
        <v>45627</v>
      </c>
      <c r="B59" s="645">
        <f>SUMIF('Commodity Prices'!C$254:C$904,A59,'Commodity Prices'!AO$254:AO$904)</f>
        <v>10.83540295341964</v>
      </c>
      <c r="C59" s="434">
        <f>SUMIF('Commodity Prices'!C$254:C$904,A59,'Commodity Prices'!AP$254:AP$904)</f>
        <v>17.082861731586966</v>
      </c>
    </row>
    <row r="60" spans="1:3" x14ac:dyDescent="0.25">
      <c r="A60" s="1025">
        <f>LARGE('Commodity Prices'!C$161:C$904,12)</f>
        <v>45658</v>
      </c>
      <c r="B60" s="1026">
        <f>SUMIF('Commodity Prices'!C$254:C$904,A60,'Commodity Prices'!AO$254:AO$904)</f>
        <v>10.078880583546415</v>
      </c>
      <c r="C60" s="1011">
        <f>SUMIF('Commodity Prices'!C$254:C$904,A60,'Commodity Prices'!AP$254:AP$904)</f>
        <v>16.191592124730317</v>
      </c>
    </row>
    <row r="61" spans="1:3" x14ac:dyDescent="0.25">
      <c r="A61" s="1024">
        <f>LARGE('Commodity Prices'!C$161:C$904,11)</f>
        <v>45689</v>
      </c>
      <c r="B61" s="645">
        <f>SUMIF('Commodity Prices'!C$254:C$904,A61,'Commodity Prices'!AO$254:AO$904)</f>
        <v>10.036937002746297</v>
      </c>
      <c r="C61" s="434">
        <f>SUMIF('Commodity Prices'!C$254:C$904,A61,'Commodity Prices'!AP$254:AP$904)</f>
        <v>15.936199235886919</v>
      </c>
    </row>
    <row r="62" spans="1:3" x14ac:dyDescent="0.25">
      <c r="A62" s="1025">
        <f>LARGE('Commodity Prices'!C$161:C$904,10)</f>
        <v>45717</v>
      </c>
      <c r="B62" s="1026">
        <f>SUMIF('Commodity Prices'!C$254:C$904,A62,'Commodity Prices'!AO$254:AO$904)</f>
        <v>9.8126458788311837</v>
      </c>
      <c r="C62" s="1011">
        <f>SUMIF('Commodity Prices'!C$254:C$904,A62,'Commodity Prices'!AP$254:AP$904)</f>
        <v>15.583284565769643</v>
      </c>
    </row>
    <row r="63" spans="1:3" x14ac:dyDescent="0.25">
      <c r="A63" s="1024">
        <f>LARGE('Commodity Prices'!C$161:C$904,9)</f>
        <v>45748</v>
      </c>
      <c r="B63" s="645">
        <f>SUMIF('Commodity Prices'!C$254:C$904,A63,'Commodity Prices'!AO$254:AO$904)</f>
        <v>9.5793385527406656</v>
      </c>
      <c r="C63" s="434">
        <f>SUMIF('Commodity Prices'!C$254:C$904,A63,'Commodity Prices'!AP$254:AP$904)</f>
        <v>15.257687842305046</v>
      </c>
    </row>
    <row r="64" spans="1:3" x14ac:dyDescent="0.25">
      <c r="A64" s="1025">
        <f>LARGE('Commodity Prices'!C$161:C$904,8)</f>
        <v>45778</v>
      </c>
      <c r="B64" s="1026">
        <f>SUMIF('Commodity Prices'!C$254:C$904,A64,'Commodity Prices'!AO$254:AO$904)</f>
        <v>9.7898727261820184</v>
      </c>
      <c r="C64" s="1011">
        <f>SUMIF('Commodity Prices'!C$254:C$904,A64,'Commodity Prices'!AP$254:AP$904)</f>
        <v>15.198340282406056</v>
      </c>
    </row>
    <row r="65" spans="1:3" x14ac:dyDescent="0.25">
      <c r="A65" s="1025">
        <f>LARGE('Commodity Prices'!C$161:C$904,7)</f>
        <v>45809</v>
      </c>
      <c r="B65" s="645">
        <f>SUMIF('Commodity Prices'!C$254:C$904,A65,'Commodity Prices'!AO$254:AO$904)</f>
        <v>9.7175770998150188</v>
      </c>
      <c r="C65" s="434">
        <f>SUMIF('Commodity Prices'!C$254:C$904,A65,'Commodity Prices'!AP$254:AP$904)</f>
        <v>14.96208828572861</v>
      </c>
    </row>
    <row r="66" spans="1:3" x14ac:dyDescent="0.25">
      <c r="A66" s="1025">
        <f>LARGE('Commodity Prices'!C$161:C$904,6)</f>
        <v>45839</v>
      </c>
      <c r="B66" s="1026">
        <f>SUMIF('Commodity Prices'!C$254:C$904,A66,'Commodity Prices'!AO$254:AO$904)</f>
        <v>9.8198469354812268</v>
      </c>
      <c r="C66" s="1011">
        <f>SUMIF('Commodity Prices'!C$254:C$904,A66,'Commodity Prices'!AP$254:AP$904)</f>
        <v>15.005978268436738</v>
      </c>
    </row>
    <row r="67" spans="1:3" x14ac:dyDescent="0.25">
      <c r="A67" s="1025">
        <f>LARGE('Commodity Prices'!C$161:C$904,5)</f>
        <v>45870</v>
      </c>
      <c r="B67" s="645">
        <f>SUMIF('Commodity Prices'!C$254:C$904,A67,'Commodity Prices'!AO$254:AO$904)</f>
        <v>9.688011455894646</v>
      </c>
      <c r="C67" s="434">
        <f>SUMIF('Commodity Prices'!C$254:C$904,A67,'Commodity Prices'!AP$254:AP$904)</f>
        <v>14.92414920418185</v>
      </c>
    </row>
    <row r="68" spans="1:3" x14ac:dyDescent="0.25">
      <c r="A68" s="1025">
        <f>LARGE('Commodity Prices'!C$161:C$904,4)</f>
        <v>45901</v>
      </c>
      <c r="B68" s="1026">
        <f>SUMIF('Commodity Prices'!C$254:C$904,A68,'Commodity Prices'!AO$254:AO$904)</f>
        <v>9.2812343648381699</v>
      </c>
      <c r="C68" s="1011">
        <f>SUMIF('Commodity Prices'!C$254:C$904,A68,'Commodity Prices'!AP$254:AP$904)</f>
        <v>14.076921636282393</v>
      </c>
    </row>
    <row r="69" spans="1:3" x14ac:dyDescent="0.25">
      <c r="A69" s="1025">
        <f>LARGE('Commodity Prices'!C$161:C$904,3)</f>
        <v>45931</v>
      </c>
      <c r="B69" s="548">
        <f>SUMIF('Commodity Prices'!C$254:C$904,A69,'Commodity Prices'!AO$254:AO$904)</f>
        <v>9.0333369821341378</v>
      </c>
      <c r="C69" s="434">
        <f>SUMIF('Commodity Prices'!C$254:C$904,A69,'Commodity Prices'!AP$254:AP$904)</f>
        <v>13.802369247279303</v>
      </c>
    </row>
    <row r="70" spans="1:3" x14ac:dyDescent="0.25">
      <c r="A70" s="1009">
        <f>LARGE('Commodity Prices'!C$161:C$904,2)</f>
        <v>45962</v>
      </c>
      <c r="B70" s="1031">
        <f>SUMIF('Commodity Prices'!C$254:C$904,A70,'Commodity Prices'!AO$254:AO$904)</f>
        <v>9.3378070432125586</v>
      </c>
      <c r="C70" s="1011">
        <f>SUMIF('Commodity Prices'!C$254:C$904,A70,'Commodity Prices'!AP$254:AP$904)</f>
        <v>14.350843799121774</v>
      </c>
    </row>
    <row r="71" spans="1:3" ht="15.75" thickBot="1" x14ac:dyDescent="0.3">
      <c r="A71" s="1019">
        <f>LARGE('Commodity Prices'!C$161:C$904,1)</f>
        <v>45992</v>
      </c>
      <c r="B71" s="560">
        <f>SUMIF('Commodity Prices'!C$254:C$904,A71,'Commodity Prices'!AO$254:AO$904)</f>
        <v>9.2682130895449273</v>
      </c>
      <c r="C71" s="447">
        <f>SUMIF('Commodity Prices'!C$254:C$904,A71,'Commodity Prices'!AP$254:AP$904)</f>
        <v>13.963760179105453</v>
      </c>
    </row>
  </sheetData>
  <mergeCells count="7">
    <mergeCell ref="E23:G23"/>
    <mergeCell ref="A7:C7"/>
    <mergeCell ref="E7:G7"/>
    <mergeCell ref="A8:C8"/>
    <mergeCell ref="E8:G8"/>
    <mergeCell ref="E21:G21"/>
    <mergeCell ref="E22:G22"/>
  </mergeCells>
  <dataValidations count="1">
    <dataValidation type="list" allowBlank="1" showInputMessage="1" showErrorMessage="1" promptTitle="Select a Period:" prompt="Select Financial or Calendar years." sqref="E22" xr:uid="{1FD24531-F582-4B36-9BD1-EAFCB02C8245}">
      <formula1>$X$1:$X$2</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E7B77-ED9C-424A-A631-69A7729F9361}">
  <sheetPr>
    <tabColor theme="8" tint="0.39997558519241921"/>
  </sheetPr>
  <dimension ref="A3:Y55"/>
  <sheetViews>
    <sheetView showGridLines="0" zoomScale="85" zoomScaleNormal="85" workbookViewId="0">
      <pane ySplit="10" topLeftCell="A11" activePane="bottomLeft" state="frozen"/>
      <selection pane="bottomLeft"/>
    </sheetView>
  </sheetViews>
  <sheetFormatPr defaultColWidth="9.140625" defaultRowHeight="15" x14ac:dyDescent="0.25"/>
  <cols>
    <col min="1" max="1" width="12.7109375" style="29" customWidth="1"/>
    <col min="2" max="2" width="15.7109375" style="216" customWidth="1"/>
    <col min="3" max="3" width="8.7109375" style="216" customWidth="1"/>
    <col min="4" max="5" width="5" style="216" hidden="1" customWidth="1"/>
    <col min="6" max="6" width="12.7109375" style="216" customWidth="1"/>
    <col min="7" max="7" width="15.7109375" style="216" customWidth="1"/>
    <col min="8" max="8" width="8.7109375" style="216" customWidth="1"/>
    <col min="9" max="9" width="10.28515625" style="216" customWidth="1"/>
    <col min="10" max="10" width="18.28515625" style="1032" customWidth="1"/>
    <col min="11" max="11" width="10.28515625" style="216" customWidth="1"/>
    <col min="12" max="16" width="9.140625" style="29"/>
    <col min="17" max="17" width="9.140625" style="29" customWidth="1"/>
    <col min="18" max="23" width="9.140625" style="29"/>
    <col min="24" max="24" width="4.140625" style="29" bestFit="1" customWidth="1"/>
    <col min="25" max="25" width="12" style="29" bestFit="1" customWidth="1"/>
    <col min="26" max="27" width="7.42578125" style="29" bestFit="1" customWidth="1"/>
    <col min="28" max="28" width="4.85546875" style="29" bestFit="1" customWidth="1"/>
    <col min="29" max="29" width="11.85546875" style="29" bestFit="1" customWidth="1"/>
    <col min="30" max="16384" width="9.140625" style="29"/>
  </cols>
  <sheetData>
    <row r="3" spans="1:25" s="2" customFormat="1" x14ac:dyDescent="0.25">
      <c r="B3" s="1032"/>
      <c r="C3" s="1032"/>
      <c r="D3" s="1032"/>
      <c r="E3" s="1032"/>
      <c r="F3" s="1032"/>
      <c r="G3" s="1032"/>
      <c r="H3" s="1032"/>
      <c r="I3" s="1032"/>
      <c r="J3" s="1032"/>
      <c r="K3" s="1032"/>
      <c r="X3" s="58" t="s">
        <v>552</v>
      </c>
      <c r="Y3" s="64"/>
    </row>
    <row r="4" spans="1:25" s="2" customFormat="1" x14ac:dyDescent="0.25">
      <c r="B4" s="1032"/>
      <c r="C4" s="1032"/>
      <c r="D4" s="1032"/>
      <c r="E4" s="1032"/>
      <c r="F4" s="1032"/>
      <c r="G4" s="1032"/>
      <c r="H4" s="1032"/>
      <c r="I4" s="1032"/>
      <c r="J4" s="1032"/>
      <c r="K4" s="1032"/>
      <c r="X4" s="58" t="s">
        <v>551</v>
      </c>
      <c r="Y4" s="64" t="s">
        <v>551</v>
      </c>
    </row>
    <row r="5" spans="1:25" s="2" customFormat="1" x14ac:dyDescent="0.25">
      <c r="B5" s="1032"/>
      <c r="C5" s="1032"/>
      <c r="D5" s="1032"/>
      <c r="E5" s="1032"/>
      <c r="F5" s="1032"/>
      <c r="G5" s="1032"/>
      <c r="H5" s="1032"/>
      <c r="I5" s="1032"/>
      <c r="J5" s="1032"/>
      <c r="K5" s="1032"/>
      <c r="X5" s="58"/>
      <c r="Y5" s="64"/>
    </row>
    <row r="6" spans="1:25" s="2" customFormat="1" x14ac:dyDescent="0.25">
      <c r="B6" s="1032"/>
      <c r="C6" s="1032"/>
      <c r="D6" s="1032"/>
      <c r="E6" s="1032"/>
      <c r="F6" s="1032"/>
      <c r="G6" s="1032"/>
      <c r="H6" s="1032"/>
      <c r="I6" s="1032"/>
      <c r="J6" s="1032"/>
      <c r="K6" s="1032"/>
      <c r="X6" s="58"/>
      <c r="Y6" s="64"/>
    </row>
    <row r="7" spans="1:25" s="2" customFormat="1" x14ac:dyDescent="0.25">
      <c r="A7" s="1393"/>
      <c r="B7" s="1393"/>
      <c r="C7" s="422"/>
      <c r="D7" s="422"/>
      <c r="E7" s="422"/>
      <c r="F7" s="1393" t="s">
        <v>597</v>
      </c>
      <c r="G7" s="1393"/>
      <c r="I7" s="422"/>
      <c r="J7" s="422"/>
      <c r="K7" s="422"/>
    </row>
    <row r="8" spans="1:25" s="2" customFormat="1" ht="16.5" thickBot="1" x14ac:dyDescent="0.3">
      <c r="A8" s="1395"/>
      <c r="B8" s="1395"/>
      <c r="C8" s="422"/>
      <c r="D8" s="1033"/>
      <c r="E8" s="422"/>
      <c r="F8" s="1395" t="str">
        <f>F49</f>
        <v>Historic Calendar Year</v>
      </c>
      <c r="G8" s="1395"/>
      <c r="H8" s="1033"/>
      <c r="I8" s="422"/>
      <c r="J8" s="422"/>
      <c r="K8" s="422"/>
    </row>
    <row r="9" spans="1:25" x14ac:dyDescent="0.25">
      <c r="A9" s="1034"/>
      <c r="B9" s="1035" t="s">
        <v>170</v>
      </c>
      <c r="C9" s="1036"/>
      <c r="D9" s="29"/>
      <c r="E9" s="29"/>
      <c r="F9" s="1037"/>
      <c r="G9" s="1038" t="s">
        <v>170</v>
      </c>
      <c r="H9" s="29"/>
      <c r="I9" s="351"/>
      <c r="J9" s="351"/>
      <c r="K9" s="351"/>
      <c r="O9" s="151"/>
      <c r="P9" s="487"/>
      <c r="Q9" s="422"/>
    </row>
    <row r="10" spans="1:25" x14ac:dyDescent="0.25">
      <c r="A10" s="1039" t="s">
        <v>557</v>
      </c>
      <c r="B10" s="1040" t="s">
        <v>598</v>
      </c>
      <c r="C10" s="1036"/>
      <c r="D10" s="29"/>
      <c r="E10" s="29"/>
      <c r="F10" s="1041" t="s">
        <v>272</v>
      </c>
      <c r="G10" s="1042" t="s">
        <v>598</v>
      </c>
      <c r="H10" s="29"/>
      <c r="I10" s="351"/>
      <c r="J10" s="351"/>
      <c r="K10" s="351"/>
      <c r="O10" s="151"/>
      <c r="P10" s="487"/>
      <c r="Q10" s="422"/>
    </row>
    <row r="11" spans="1:25" x14ac:dyDescent="0.25">
      <c r="A11" s="1165">
        <f t="shared" ref="A11:A53" si="0">EOMONTH(A12, -4)+1</f>
        <v>41974</v>
      </c>
      <c r="B11" s="434">
        <f>VLOOKUP('Petroleum - Dom. Gas - Prices'!A11,'Petroleum - Q&amp;V 2'!$B$11:$N$252,13,FALSE)</f>
        <v>4.8480040103555151</v>
      </c>
      <c r="C11" s="1036"/>
      <c r="D11" s="29">
        <v>1990</v>
      </c>
      <c r="E11" s="1043">
        <f>D11+1</f>
        <v>1991</v>
      </c>
      <c r="F11" s="1044">
        <f t="shared" ref="F11:F43" si="1">IF($F$49=$Y$4,D11,CONCATENATE(D11,"-",RIGHT(E11,2)))</f>
        <v>1990</v>
      </c>
      <c r="G11" s="851">
        <f>IF($F$49="Historic Calendar Year",HLOOKUP(CONCATENATE('Petroleum - Dom. Gas - Prices'!D11," Value $"),'Q&amp;V CY 1886 to 2003'!$Y$10:$AR$185,172,FALSE),HLOOKUP(CONCATENATE('Petroleum - Dom. Gas - Prices'!F11," Value $"),'Q&amp;V FY 1984-85 to 2002-03'!$M$10:$AH$143,130,FALSE))/(IF($F$49="Historic Calendar Year",HLOOKUP(CONCATENATE('Petroleum - Dom. Gas - Prices'!D11," Quantity"),'Q&amp;V CY 1886 to 2003'!$Y$10:$AR$185,172,FALSE)*1000/26.3,HLOOKUP(CONCATENATE('Petroleum - Dom. Gas - Prices'!F11," Quantity"),'Q&amp;V FY 1984-85 to 2002-03'!$M$10:$AH$143,130,FALSE)*1000/26.3))</f>
        <v>2.6054035998824498</v>
      </c>
      <c r="H11" s="29"/>
      <c r="I11" s="351"/>
      <c r="J11" s="351"/>
      <c r="K11" s="351"/>
      <c r="O11" s="151"/>
      <c r="P11" s="487"/>
      <c r="Q11" s="1045"/>
      <c r="Y11" s="2"/>
    </row>
    <row r="12" spans="1:25" ht="14.45" customHeight="1" x14ac:dyDescent="0.25">
      <c r="A12" s="1165">
        <f t="shared" si="0"/>
        <v>42064</v>
      </c>
      <c r="B12" s="1028">
        <f>VLOOKUP('Petroleum - Dom. Gas - Prices'!A12,'Petroleum - Q&amp;V 2'!$B$11:$N$252,13,FALSE)</f>
        <v>4.8461122505566507</v>
      </c>
      <c r="C12" s="1046"/>
      <c r="D12" s="29">
        <f>D11+1</f>
        <v>1991</v>
      </c>
      <c r="E12" s="1043">
        <f>D12+1</f>
        <v>1992</v>
      </c>
      <c r="F12" s="1047">
        <f t="shared" si="1"/>
        <v>1991</v>
      </c>
      <c r="G12" s="1011">
        <f>IF($F$49="Historic Calendar Year",HLOOKUP(CONCATENATE('Petroleum - Dom. Gas - Prices'!D12," Value $"),'Q&amp;V CY 1886 to 2003'!$Y$10:$AR$185,172,FALSE),HLOOKUP(CONCATENATE('Petroleum - Dom. Gas - Prices'!F12," Value $"),'Q&amp;V FY 1984-85 to 2002-03'!$M$10:$AH$143,130,FALSE))/(IF($F$49="Historic Calendar Year",HLOOKUP(CONCATENATE('Petroleum - Dom. Gas - Prices'!D12," Quantity"),'Q&amp;V CY 1886 to 2003'!$Y$10:$AR$185,172,FALSE)*1000/26.3,HLOOKUP(CONCATENATE('Petroleum - Dom. Gas - Prices'!F12," Quantity"),'Q&amp;V FY 1984-85 to 2002-03'!$M$10:$AH$143,130,FALSE)*1000/26.3))</f>
        <v>2.6184466159951105</v>
      </c>
      <c r="H12" s="29"/>
      <c r="I12" s="351"/>
      <c r="J12" s="351"/>
      <c r="K12" s="351"/>
      <c r="O12" s="572"/>
      <c r="P12" s="573"/>
      <c r="Q12" s="1046"/>
      <c r="Y12" s="2"/>
    </row>
    <row r="13" spans="1:25" x14ac:dyDescent="0.25">
      <c r="A13" s="1165">
        <f t="shared" si="0"/>
        <v>42156</v>
      </c>
      <c r="B13" s="434">
        <f>VLOOKUP('Petroleum - Dom. Gas - Prices'!A13,'Petroleum - Q&amp;V 2'!$B$11:$N$252,13,FALSE)</f>
        <v>4.8089078565611905</v>
      </c>
      <c r="C13" s="1046"/>
      <c r="D13" s="29">
        <f t="shared" ref="D13:D46" si="2">D12+1</f>
        <v>1992</v>
      </c>
      <c r="E13" s="1043">
        <f t="shared" ref="E13:E43" si="3">D13+1</f>
        <v>1993</v>
      </c>
      <c r="F13" s="1047">
        <f t="shared" si="1"/>
        <v>1992</v>
      </c>
      <c r="G13" s="434">
        <f>IF($F$49="Historic Calendar Year",HLOOKUP(CONCATENATE('Petroleum - Dom. Gas - Prices'!D13," Value $"),'Q&amp;V CY 1886 to 2003'!$Y$10:$AR$185,172,FALSE),HLOOKUP(CONCATENATE('Petroleum - Dom. Gas - Prices'!F13," Value $"),'Q&amp;V FY 1984-85 to 2002-03'!$M$10:$AH$143,130,FALSE))/(IF($F$49="Historic Calendar Year",HLOOKUP(CONCATENATE('Petroleum - Dom. Gas - Prices'!D13," Quantity"),'Q&amp;V CY 1886 to 2003'!$Y$10:$AR$185,172,FALSE)*1000/26.3,HLOOKUP(CONCATENATE('Petroleum - Dom. Gas - Prices'!F13," Quantity"),'Q&amp;V FY 1984-85 to 2002-03'!$M$10:$AH$143,130,FALSE)*1000/26.3))</f>
        <v>2.5697449572942013</v>
      </c>
      <c r="H13" s="29"/>
      <c r="I13" s="351"/>
      <c r="J13" s="351"/>
      <c r="K13" s="351"/>
      <c r="O13" s="572"/>
      <c r="P13" s="573"/>
      <c r="Q13" s="1046"/>
      <c r="Y13" s="1048"/>
    </row>
    <row r="14" spans="1:25" x14ac:dyDescent="0.25">
      <c r="A14" s="1165">
        <f t="shared" si="0"/>
        <v>42248</v>
      </c>
      <c r="B14" s="1028">
        <f>VLOOKUP('Petroleum - Dom. Gas - Prices'!A14,'Petroleum - Q&amp;V 2'!$B$11:$N$252,13,FALSE)</f>
        <v>4.9058702326383257</v>
      </c>
      <c r="C14" s="1046"/>
      <c r="D14" s="29">
        <f t="shared" si="2"/>
        <v>1993</v>
      </c>
      <c r="E14" s="1043">
        <f t="shared" si="3"/>
        <v>1994</v>
      </c>
      <c r="F14" s="1047">
        <f t="shared" si="1"/>
        <v>1993</v>
      </c>
      <c r="G14" s="1011">
        <f>IF($F$49="Historic Calendar Year",HLOOKUP(CONCATENATE('Petroleum - Dom. Gas - Prices'!D14," Value $"),'Q&amp;V CY 1886 to 2003'!$Y$10:$AR$185,172,FALSE),HLOOKUP(CONCATENATE('Petroleum - Dom. Gas - Prices'!F14," Value $"),'Q&amp;V FY 1984-85 to 2002-03'!$M$10:$AH$143,130,FALSE))/(IF($F$49="Historic Calendar Year",HLOOKUP(CONCATENATE('Petroleum - Dom. Gas - Prices'!D14," Quantity"),'Q&amp;V CY 1886 to 2003'!$Y$10:$AR$185,172,FALSE)*1000/26.3,HLOOKUP(CONCATENATE('Petroleum - Dom. Gas - Prices'!F14," Quantity"),'Q&amp;V FY 1984-85 to 2002-03'!$M$10:$AH$143,130,FALSE)*1000/26.3))</f>
        <v>2.6417071217872983</v>
      </c>
      <c r="H14" s="29"/>
      <c r="I14" s="351"/>
      <c r="J14" s="351"/>
      <c r="K14" s="351"/>
      <c r="O14" s="572"/>
      <c r="P14" s="573"/>
      <c r="Q14" s="1046"/>
      <c r="Y14" s="1048"/>
    </row>
    <row r="15" spans="1:25" x14ac:dyDescent="0.25">
      <c r="A15" s="1165">
        <f t="shared" si="0"/>
        <v>42339</v>
      </c>
      <c r="B15" s="434">
        <f>VLOOKUP('Petroleum - Dom. Gas - Prices'!A15,'Petroleum - Q&amp;V 2'!$B$11:$N$252,13,FALSE)</f>
        <v>4.9922471050309447</v>
      </c>
      <c r="C15" s="1046"/>
      <c r="D15" s="29">
        <f t="shared" si="2"/>
        <v>1994</v>
      </c>
      <c r="E15" s="1043">
        <f t="shared" si="3"/>
        <v>1995</v>
      </c>
      <c r="F15" s="1047">
        <f t="shared" si="1"/>
        <v>1994</v>
      </c>
      <c r="G15" s="434">
        <f>IF($F$49="Historic Calendar Year",HLOOKUP(CONCATENATE('Petroleum - Dom. Gas - Prices'!D15," Value $"),'Q&amp;V CY 1886 to 2003'!$Y$10:$AR$185,172,FALSE),HLOOKUP(CONCATENATE('Petroleum - Dom. Gas - Prices'!F15," Value $"),'Q&amp;V FY 1984-85 to 2002-03'!$M$10:$AH$143,130,FALSE))/(IF($F$49="Historic Calendar Year",HLOOKUP(CONCATENATE('Petroleum - Dom. Gas - Prices'!D15," Quantity"),'Q&amp;V CY 1886 to 2003'!$Y$10:$AR$185,172,FALSE)*1000/26.3,HLOOKUP(CONCATENATE('Petroleum - Dom. Gas - Prices'!F15," Quantity"),'Q&amp;V FY 1984-85 to 2002-03'!$M$10:$AH$143,130,FALSE)*1000/26.3))</f>
        <v>2.364788092795775</v>
      </c>
      <c r="H15" s="29"/>
      <c r="I15" s="351"/>
      <c r="J15" s="351"/>
      <c r="K15" s="351"/>
      <c r="O15" s="572"/>
      <c r="P15" s="573"/>
      <c r="Q15" s="1046"/>
      <c r="Y15" s="1048"/>
    </row>
    <row r="16" spans="1:25" x14ac:dyDescent="0.25">
      <c r="A16" s="1165">
        <f t="shared" si="0"/>
        <v>42430</v>
      </c>
      <c r="B16" s="1028">
        <f>VLOOKUP('Petroleum - Dom. Gas - Prices'!A16,'Petroleum - Q&amp;V 2'!$B$11:$N$252,13,FALSE)</f>
        <v>4.7962849976450572</v>
      </c>
      <c r="C16" s="1046"/>
      <c r="D16" s="29">
        <f t="shared" si="2"/>
        <v>1995</v>
      </c>
      <c r="E16" s="1043">
        <f t="shared" si="3"/>
        <v>1996</v>
      </c>
      <c r="F16" s="1047">
        <f t="shared" si="1"/>
        <v>1995</v>
      </c>
      <c r="G16" s="1011">
        <f>IF($F$49="Historic Calendar Year",HLOOKUP(CONCATENATE('Petroleum - Dom. Gas - Prices'!D16," Value $"),'Q&amp;V CY 1886 to 2003'!$Y$10:$AR$185,172,FALSE),HLOOKUP(CONCATENATE('Petroleum - Dom. Gas - Prices'!F16," Value $"),'Q&amp;V FY 1984-85 to 2002-03'!$M$10:$AH$143,130,FALSE))/(IF($F$49="Historic Calendar Year",HLOOKUP(CONCATENATE('Petroleum - Dom. Gas - Prices'!D16," Quantity"),'Q&amp;V CY 1886 to 2003'!$Y$10:$AR$185,172,FALSE)*1000/26.3,HLOOKUP(CONCATENATE('Petroleum - Dom. Gas - Prices'!F16," Quantity"),'Q&amp;V FY 1984-85 to 2002-03'!$M$10:$AH$143,130,FALSE)*1000/26.3))</f>
        <v>1.9042007438978499</v>
      </c>
      <c r="H16" s="29"/>
      <c r="I16" s="351"/>
      <c r="J16" s="351"/>
      <c r="K16" s="351"/>
      <c r="O16" s="572"/>
      <c r="P16" s="573"/>
      <c r="Q16" s="1046"/>
      <c r="Y16" s="1048"/>
    </row>
    <row r="17" spans="1:25" x14ac:dyDescent="0.25">
      <c r="A17" s="1165">
        <f t="shared" si="0"/>
        <v>42522</v>
      </c>
      <c r="B17" s="434">
        <f>VLOOKUP('Petroleum - Dom. Gas - Prices'!A17,'Petroleum - Q&amp;V 2'!$B$11:$N$252,13,FALSE)</f>
        <v>4.9882530946104087</v>
      </c>
      <c r="C17" s="1046"/>
      <c r="D17" s="29">
        <f t="shared" si="2"/>
        <v>1996</v>
      </c>
      <c r="E17" s="1043">
        <f t="shared" si="3"/>
        <v>1997</v>
      </c>
      <c r="F17" s="1047">
        <f t="shared" si="1"/>
        <v>1996</v>
      </c>
      <c r="G17" s="434">
        <f>IF($F$49="Historic Calendar Year",HLOOKUP(CONCATENATE('Petroleum - Dom. Gas - Prices'!D17," Value $"),'Q&amp;V CY 1886 to 2003'!$Y$10:$AR$185,172,FALSE),HLOOKUP(CONCATENATE('Petroleum - Dom. Gas - Prices'!F17," Value $"),'Q&amp;V FY 1984-85 to 2002-03'!$M$10:$AH$143,130,FALSE))/(IF($F$49="Historic Calendar Year",HLOOKUP(CONCATENATE('Petroleum - Dom. Gas - Prices'!D17," Quantity"),'Q&amp;V CY 1886 to 2003'!$Y$10:$AR$185,172,FALSE)*1000/26.3,HLOOKUP(CONCATENATE('Petroleum - Dom. Gas - Prices'!F17," Quantity"),'Q&amp;V FY 1984-85 to 2002-03'!$M$10:$AH$143,130,FALSE)*1000/26.3))</f>
        <v>1.9639369401661406</v>
      </c>
      <c r="H17" s="29"/>
      <c r="I17" s="351"/>
      <c r="J17" s="351"/>
      <c r="K17" s="351"/>
      <c r="O17" s="572"/>
      <c r="P17" s="573"/>
      <c r="Q17" s="1046"/>
      <c r="Y17" s="1048"/>
    </row>
    <row r="18" spans="1:25" x14ac:dyDescent="0.25">
      <c r="A18" s="1165">
        <f t="shared" si="0"/>
        <v>42614</v>
      </c>
      <c r="B18" s="1028">
        <f>VLOOKUP('Petroleum - Dom. Gas - Prices'!A18,'Petroleum - Q&amp;V 2'!$B$11:$N$252,13,FALSE)</f>
        <v>5.1201845581818892</v>
      </c>
      <c r="C18" s="1046"/>
      <c r="D18" s="29">
        <f t="shared" si="2"/>
        <v>1997</v>
      </c>
      <c r="E18" s="1043">
        <f t="shared" si="3"/>
        <v>1998</v>
      </c>
      <c r="F18" s="1047">
        <f t="shared" si="1"/>
        <v>1997</v>
      </c>
      <c r="G18" s="1011">
        <f>IF($F$49="Historic Calendar Year",HLOOKUP(CONCATENATE('Petroleum - Dom. Gas - Prices'!D18," Value $"),'Q&amp;V CY 1886 to 2003'!$Y$10:$AR$185,172,FALSE),HLOOKUP(CONCATENATE('Petroleum - Dom. Gas - Prices'!F18," Value $"),'Q&amp;V FY 1984-85 to 2002-03'!$M$10:$AH$143,130,FALSE))/(IF($F$49="Historic Calendar Year",HLOOKUP(CONCATENATE('Petroleum - Dom. Gas - Prices'!D18," Quantity"),'Q&amp;V CY 1886 to 2003'!$Y$10:$AR$185,172,FALSE)*1000/26.3,HLOOKUP(CONCATENATE('Petroleum - Dom. Gas - Prices'!F18," Quantity"),'Q&amp;V FY 1984-85 to 2002-03'!$M$10:$AH$143,130,FALSE)*1000/26.3))</f>
        <v>2.0500927565258129</v>
      </c>
      <c r="H18" s="29"/>
      <c r="I18" s="351"/>
      <c r="J18" s="351"/>
      <c r="K18" s="351"/>
      <c r="O18" s="572"/>
      <c r="P18" s="573"/>
      <c r="Q18" s="1046"/>
      <c r="Y18" s="1048"/>
    </row>
    <row r="19" spans="1:25" x14ac:dyDescent="0.25">
      <c r="A19" s="1165">
        <f t="shared" si="0"/>
        <v>42705</v>
      </c>
      <c r="B19" s="434">
        <f>VLOOKUP('Petroleum - Dom. Gas - Prices'!A19,'Petroleum - Q&amp;V 2'!$B$11:$N$252,13,FALSE)</f>
        <v>5.0110003721964036</v>
      </c>
      <c r="C19" s="1046"/>
      <c r="D19" s="29">
        <f t="shared" si="2"/>
        <v>1998</v>
      </c>
      <c r="E19" s="1043">
        <f t="shared" si="3"/>
        <v>1999</v>
      </c>
      <c r="F19" s="1047">
        <f t="shared" si="1"/>
        <v>1998</v>
      </c>
      <c r="G19" s="434">
        <f>IF($F$49="Historic Calendar Year",HLOOKUP(CONCATENATE('Petroleum - Dom. Gas - Prices'!D19," Value $"),'Q&amp;V CY 1886 to 2003'!$Y$10:$AR$185,172,FALSE),HLOOKUP(CONCATENATE('Petroleum - Dom. Gas - Prices'!F19," Value $"),'Q&amp;V FY 1984-85 to 2002-03'!$M$10:$AH$143,130,FALSE))/(IF($F$49="Historic Calendar Year",HLOOKUP(CONCATENATE('Petroleum - Dom. Gas - Prices'!D19," Quantity"),'Q&amp;V CY 1886 to 2003'!$Y$10:$AR$185,172,FALSE)*1000/26.3,HLOOKUP(CONCATENATE('Petroleum - Dom. Gas - Prices'!F19," Quantity"),'Q&amp;V FY 1984-85 to 2002-03'!$M$10:$AH$143,130,FALSE)*1000/26.3))</f>
        <v>2.1942259317253829</v>
      </c>
    </row>
    <row r="20" spans="1:25" x14ac:dyDescent="0.25">
      <c r="A20" s="1165">
        <f t="shared" si="0"/>
        <v>42795</v>
      </c>
      <c r="B20" s="1028">
        <f>VLOOKUP('Petroleum - Dom. Gas - Prices'!A20,'Petroleum - Q&amp;V 2'!$B$11:$N$252,13,FALSE)</f>
        <v>4.881795587208539</v>
      </c>
      <c r="C20" s="1046"/>
      <c r="D20" s="29">
        <f t="shared" si="2"/>
        <v>1999</v>
      </c>
      <c r="E20" s="1043">
        <f t="shared" si="3"/>
        <v>2000</v>
      </c>
      <c r="F20" s="1047">
        <f t="shared" si="1"/>
        <v>1999</v>
      </c>
      <c r="G20" s="1011">
        <f>IF(F20&lt;&gt;"",IF($F$49=$Y$4,SUMIF('Petroleum - Q&amp;V 2'!$L$11:$L$132,'Petroleum - Dom. Gas - Prices'!D20,'Petroleum - Q&amp;V 2'!$K$11:$K$132),
(SUMIFS('Petroleum - Q&amp;V 2'!$K$11:$K$252,'Petroleum - Q&amp;V 2'!$L$11:$L$252,D20,'Petroleum - Q&amp;V 2'!$M$11:$M$252,3)+
SUMIFS('Petroleum - Q&amp;V 2'!$K$11:$K$252,'Petroleum - Q&amp;V 2'!$L$11:$L$252,D20,'Petroleum - Q&amp;V 2'!$M$11:$M$252,4)+
SUMIFS('Petroleum - Q&amp;V 2'!$K$11:$K$252,'Petroleum - Q&amp;V 2'!$L$11:$L$252,E20,'Petroleum - Q&amp;V 2'!$M$11:$M$252,1)+
SUMIFS('Petroleum - Q&amp;V 2'!$K$11:$K$252,'Petroleum - Q&amp;V 2'!$L$11:$L$252,E20,'Petroleum - Q&amp;V 2'!$M$11:$M$252,2))),"")/
IF(F20&lt;&gt;"",IF($F$49=$Y$4,SUMIF('Petroleum - Q&amp;V 2'!$L$11:$L$132,'Petroleum - Dom. Gas - Prices'!D20,'Petroleum - Q&amp;V 2'!$J$11:$J$132),
(SUMIFS('Petroleum - Q&amp;V 2'!$J$11:$J$252,'Petroleum - Q&amp;V 2'!$L$11:$L$252,D20,'Petroleum - Q&amp;V 2'!$M$11:$M$252,3)+
SUMIFS('Petroleum - Q&amp;V 2'!$J$11:$J$252,'Petroleum - Q&amp;V 2'!$L$11:$L$252,D20,'Petroleum - Q&amp;V 2'!$M$11:$M$252,4)+
SUMIFS('Petroleum - Q&amp;V 2'!$J$11:$J$252,'Petroleum - Q&amp;V 2'!$L$11:$L$252,E20,'Petroleum - Q&amp;V 2'!$M$11:$M$252,1)+
SUMIFS('Petroleum - Q&amp;V 2'!$J$11:$J$252,'Petroleum - Q&amp;V 2'!$L$11:$L$252,E20,'Petroleum - Q&amp;V 2'!$M$11:$M$252,2))),"")</f>
        <v>2.2633589129644966</v>
      </c>
    </row>
    <row r="21" spans="1:25" x14ac:dyDescent="0.25">
      <c r="A21" s="1165">
        <f t="shared" si="0"/>
        <v>42887</v>
      </c>
      <c r="B21" s="434">
        <f>VLOOKUP('Petroleum - Dom. Gas - Prices'!A21,'Petroleum - Q&amp;V 2'!$B$11:$N$252,13,FALSE)</f>
        <v>4.8539386926407211</v>
      </c>
      <c r="C21" s="1046"/>
      <c r="D21" s="29">
        <f t="shared" si="2"/>
        <v>2000</v>
      </c>
      <c r="E21" s="1043">
        <f t="shared" si="3"/>
        <v>2001</v>
      </c>
      <c r="F21" s="1047">
        <f t="shared" si="1"/>
        <v>2000</v>
      </c>
      <c r="G21" s="434">
        <f>IF(F21&lt;&gt;"",IF($F$49=$Y$4,SUMIF('Petroleum - Q&amp;V 2'!$L$11:$L$132,'Petroleum - Dom. Gas - Prices'!D21,'Petroleum - Q&amp;V 2'!$K$11:$K$132),
(SUMIFS('Petroleum - Q&amp;V 2'!$K$11:$K$252,'Petroleum - Q&amp;V 2'!$L$11:$L$252,D21,'Petroleum - Q&amp;V 2'!$M$11:$M$252,3)+
SUMIFS('Petroleum - Q&amp;V 2'!$K$11:$K$252,'Petroleum - Q&amp;V 2'!$L$11:$L$252,D21,'Petroleum - Q&amp;V 2'!$M$11:$M$252,4)+
SUMIFS('Petroleum - Q&amp;V 2'!$K$11:$K$252,'Petroleum - Q&amp;V 2'!$L$11:$L$252,E21,'Petroleum - Q&amp;V 2'!$M$11:$M$252,1)+
SUMIFS('Petroleum - Q&amp;V 2'!$K$11:$K$252,'Petroleum - Q&amp;V 2'!$L$11:$L$252,E21,'Petroleum - Q&amp;V 2'!$M$11:$M$252,2))),"")/
IF(F21&lt;&gt;"",IF($F$49=$Y$4,SUMIF('Petroleum - Q&amp;V 2'!$L$11:$L$132,'Petroleum - Dom. Gas - Prices'!D21,'Petroleum - Q&amp;V 2'!$J$11:$J$132),
(SUMIFS('Petroleum - Q&amp;V 2'!$J$11:$J$252,'Petroleum - Q&amp;V 2'!$L$11:$L$252,D21,'Petroleum - Q&amp;V 2'!$M$11:$M$252,3)+
SUMIFS('Petroleum - Q&amp;V 2'!$J$11:$J$252,'Petroleum - Q&amp;V 2'!$L$11:$L$252,D21,'Petroleum - Q&amp;V 2'!$M$11:$M$252,4)+
SUMIFS('Petroleum - Q&amp;V 2'!$J$11:$J$252,'Petroleum - Q&amp;V 2'!$L$11:$L$252,E21,'Petroleum - Q&amp;V 2'!$M$11:$M$252,1)+
SUMIFS('Petroleum - Q&amp;V 2'!$J$11:$J$252,'Petroleum - Q&amp;V 2'!$L$11:$L$252,E21,'Petroleum - Q&amp;V 2'!$M$11:$M$252,2))),"")</f>
        <v>2.3069294702897185</v>
      </c>
    </row>
    <row r="22" spans="1:25" x14ac:dyDescent="0.25">
      <c r="A22" s="1165">
        <f t="shared" si="0"/>
        <v>42979</v>
      </c>
      <c r="B22" s="1028">
        <f>VLOOKUP('Petroleum - Dom. Gas - Prices'!A22,'Petroleum - Q&amp;V 2'!$B$11:$N$252,13,FALSE)</f>
        <v>4.7743778602867373</v>
      </c>
      <c r="C22" s="1046"/>
      <c r="D22" s="29">
        <f t="shared" si="2"/>
        <v>2001</v>
      </c>
      <c r="E22" s="1043">
        <f t="shared" si="3"/>
        <v>2002</v>
      </c>
      <c r="F22" s="1047">
        <f t="shared" si="1"/>
        <v>2001</v>
      </c>
      <c r="G22" s="1011">
        <f>IF(F22&lt;&gt;"",IF($F$49=$Y$4,SUMIF('Petroleum - Q&amp;V 2'!$L$11:$L$132,'Petroleum - Dom. Gas - Prices'!D22,'Petroleum - Q&amp;V 2'!$K$11:$K$132),
(SUMIFS('Petroleum - Q&amp;V 2'!$K$11:$K$252,'Petroleum - Q&amp;V 2'!$L$11:$L$252,D22,'Petroleum - Q&amp;V 2'!$M$11:$M$252,3)+
SUMIFS('Petroleum - Q&amp;V 2'!$K$11:$K$252,'Petroleum - Q&amp;V 2'!$L$11:$L$252,D22,'Petroleum - Q&amp;V 2'!$M$11:$M$252,4)+
SUMIFS('Petroleum - Q&amp;V 2'!$K$11:$K$252,'Petroleum - Q&amp;V 2'!$L$11:$L$252,E22,'Petroleum - Q&amp;V 2'!$M$11:$M$252,1)+
SUMIFS('Petroleum - Q&amp;V 2'!$K$11:$K$252,'Petroleum - Q&amp;V 2'!$L$11:$L$252,E22,'Petroleum - Q&amp;V 2'!$M$11:$M$252,2))),"")/
IF(F22&lt;&gt;"",IF($F$49=$Y$4,SUMIF('Petroleum - Q&amp;V 2'!$L$11:$L$132,'Petroleum - Dom. Gas - Prices'!D22,'Petroleum - Q&amp;V 2'!$J$11:$J$132),
(SUMIFS('Petroleum - Q&amp;V 2'!$J$11:$J$252,'Petroleum - Q&amp;V 2'!$L$11:$L$252,D22,'Petroleum - Q&amp;V 2'!$M$11:$M$252,3)+
SUMIFS('Petroleum - Q&amp;V 2'!$J$11:$J$252,'Petroleum - Q&amp;V 2'!$L$11:$L$252,D22,'Petroleum - Q&amp;V 2'!$M$11:$M$252,4)+
SUMIFS('Petroleum - Q&amp;V 2'!$J$11:$J$252,'Petroleum - Q&amp;V 2'!$L$11:$L$252,E22,'Petroleum - Q&amp;V 2'!$M$11:$M$252,1)+
SUMIFS('Petroleum - Q&amp;V 2'!$J$11:$J$252,'Petroleum - Q&amp;V 2'!$L$11:$L$252,E22,'Petroleum - Q&amp;V 2'!$M$11:$M$252,2))),"")</f>
        <v>2.202921023279484</v>
      </c>
    </row>
    <row r="23" spans="1:25" x14ac:dyDescent="0.25">
      <c r="A23" s="1165">
        <f t="shared" si="0"/>
        <v>43070</v>
      </c>
      <c r="B23" s="434">
        <f>VLOOKUP('Petroleum - Dom. Gas - Prices'!A23,'Petroleum - Q&amp;V 2'!$B$11:$N$252,13,FALSE)</f>
        <v>4.1318142396629609</v>
      </c>
      <c r="C23" s="1046"/>
      <c r="D23" s="29">
        <f t="shared" si="2"/>
        <v>2002</v>
      </c>
      <c r="E23" s="1043">
        <f t="shared" si="3"/>
        <v>2003</v>
      </c>
      <c r="F23" s="1047">
        <f t="shared" si="1"/>
        <v>2002</v>
      </c>
      <c r="G23" s="434">
        <f>IF(F23&lt;&gt;"",IF($F$49=$Y$4,SUMIF('Petroleum - Q&amp;V 2'!$L$11:$L$132,'Petroleum - Dom. Gas - Prices'!D23,'Petroleum - Q&amp;V 2'!$K$11:$K$132),
(SUMIFS('Petroleum - Q&amp;V 2'!$K$11:$K$252,'Petroleum - Q&amp;V 2'!$L$11:$L$252,D23,'Petroleum - Q&amp;V 2'!$M$11:$M$252,3)+
SUMIFS('Petroleum - Q&amp;V 2'!$K$11:$K$252,'Petroleum - Q&amp;V 2'!$L$11:$L$252,D23,'Petroleum - Q&amp;V 2'!$M$11:$M$252,4)+
SUMIFS('Petroleum - Q&amp;V 2'!$K$11:$K$252,'Petroleum - Q&amp;V 2'!$L$11:$L$252,E23,'Petroleum - Q&amp;V 2'!$M$11:$M$252,1)+
SUMIFS('Petroleum - Q&amp;V 2'!$K$11:$K$252,'Petroleum - Q&amp;V 2'!$L$11:$L$252,E23,'Petroleum - Q&amp;V 2'!$M$11:$M$252,2))),"")/
IF(F23&lt;&gt;"",IF($F$49=$Y$4,SUMIF('Petroleum - Q&amp;V 2'!$L$11:$L$132,'Petroleum - Dom. Gas - Prices'!D23,'Petroleum - Q&amp;V 2'!$J$11:$J$132),
(SUMIFS('Petroleum - Q&amp;V 2'!$J$11:$J$252,'Petroleum - Q&amp;V 2'!$L$11:$L$252,D23,'Petroleum - Q&amp;V 2'!$M$11:$M$252,3)+
SUMIFS('Petroleum - Q&amp;V 2'!$J$11:$J$252,'Petroleum - Q&amp;V 2'!$L$11:$L$252,D23,'Petroleum - Q&amp;V 2'!$M$11:$M$252,4)+
SUMIFS('Petroleum - Q&amp;V 2'!$J$11:$J$252,'Petroleum - Q&amp;V 2'!$L$11:$L$252,E23,'Petroleum - Q&amp;V 2'!$M$11:$M$252,1)+
SUMIFS('Petroleum - Q&amp;V 2'!$J$11:$J$252,'Petroleum - Q&amp;V 2'!$L$11:$L$252,E23,'Petroleum - Q&amp;V 2'!$M$11:$M$252,2))),"")</f>
        <v>2.2066114058189088</v>
      </c>
    </row>
    <row r="24" spans="1:25" x14ac:dyDescent="0.25">
      <c r="A24" s="1165">
        <f t="shared" si="0"/>
        <v>43160</v>
      </c>
      <c r="B24" s="1028">
        <f>VLOOKUP('Petroleum - Dom. Gas - Prices'!A24,'Petroleum - Q&amp;V 2'!$B$11:$N$252,13,FALSE)</f>
        <v>4.1019880939561659</v>
      </c>
      <c r="C24" s="1046"/>
      <c r="D24" s="29">
        <f t="shared" si="2"/>
        <v>2003</v>
      </c>
      <c r="E24" s="1043">
        <f t="shared" si="3"/>
        <v>2004</v>
      </c>
      <c r="F24" s="1047">
        <f t="shared" si="1"/>
        <v>2003</v>
      </c>
      <c r="G24" s="1011">
        <f>IF(F24&lt;&gt;"",IF($F$49=$Y$4,SUMIF('Petroleum - Q&amp;V 2'!$L$11:$L$132,'Petroleum - Dom. Gas - Prices'!D24,'Petroleum - Q&amp;V 2'!$K$11:$K$132),
(SUMIFS('Petroleum - Q&amp;V 2'!$K$11:$K$252,'Petroleum - Q&amp;V 2'!$L$11:$L$252,D24,'Petroleum - Q&amp;V 2'!$M$11:$M$252,3)+
SUMIFS('Petroleum - Q&amp;V 2'!$K$11:$K$252,'Petroleum - Q&amp;V 2'!$L$11:$L$252,D24,'Petroleum - Q&amp;V 2'!$M$11:$M$252,4)+
SUMIFS('Petroleum - Q&amp;V 2'!$K$11:$K$252,'Petroleum - Q&amp;V 2'!$L$11:$L$252,E24,'Petroleum - Q&amp;V 2'!$M$11:$M$252,1)+
SUMIFS('Petroleum - Q&amp;V 2'!$K$11:$K$252,'Petroleum - Q&amp;V 2'!$L$11:$L$252,E24,'Petroleum - Q&amp;V 2'!$M$11:$M$252,2))),"")/
IF(F24&lt;&gt;"",IF($F$49=$Y$4,SUMIF('Petroleum - Q&amp;V 2'!$L$11:$L$132,'Petroleum - Dom. Gas - Prices'!D24,'Petroleum - Q&amp;V 2'!$J$11:$J$132),
(SUMIFS('Petroleum - Q&amp;V 2'!$J$11:$J$252,'Petroleum - Q&amp;V 2'!$L$11:$L$252,D24,'Petroleum - Q&amp;V 2'!$M$11:$M$252,3)+
SUMIFS('Petroleum - Q&amp;V 2'!$J$11:$J$252,'Petroleum - Q&amp;V 2'!$L$11:$L$252,D24,'Petroleum - Q&amp;V 2'!$M$11:$M$252,4)+
SUMIFS('Petroleum - Q&amp;V 2'!$J$11:$J$252,'Petroleum - Q&amp;V 2'!$L$11:$L$252,E24,'Petroleum - Q&amp;V 2'!$M$11:$M$252,1)+
SUMIFS('Petroleum - Q&amp;V 2'!$J$11:$J$252,'Petroleum - Q&amp;V 2'!$L$11:$L$252,E24,'Petroleum - Q&amp;V 2'!$M$11:$M$252,2))),"")</f>
        <v>2.2383607503595937</v>
      </c>
    </row>
    <row r="25" spans="1:25" x14ac:dyDescent="0.25">
      <c r="A25" s="1165">
        <f t="shared" si="0"/>
        <v>43252</v>
      </c>
      <c r="B25" s="434">
        <f>VLOOKUP('Petroleum - Dom. Gas - Prices'!A25,'Petroleum - Q&amp;V 2'!$B$11:$N$252,13,FALSE)</f>
        <v>4.1110339992410294</v>
      </c>
      <c r="C25" s="1046"/>
      <c r="D25" s="29">
        <f t="shared" si="2"/>
        <v>2004</v>
      </c>
      <c r="E25" s="1043">
        <f t="shared" si="3"/>
        <v>2005</v>
      </c>
      <c r="F25" s="1047">
        <f t="shared" si="1"/>
        <v>2004</v>
      </c>
      <c r="G25" s="434">
        <f>IF(F25&lt;&gt;"",IF($F$49=$Y$4,SUMIF('Petroleum - Q&amp;V 2'!$L$11:$L$132,'Petroleum - Dom. Gas - Prices'!D25,'Petroleum - Q&amp;V 2'!$K$11:$K$132),
(SUMIFS('Petroleum - Q&amp;V 2'!$K$11:$K$252,'Petroleum - Q&amp;V 2'!$L$11:$L$252,D25,'Petroleum - Q&amp;V 2'!$M$11:$M$252,3)+
SUMIFS('Petroleum - Q&amp;V 2'!$K$11:$K$252,'Petroleum - Q&amp;V 2'!$L$11:$L$252,D25,'Petroleum - Q&amp;V 2'!$M$11:$M$252,4)+
SUMIFS('Petroleum - Q&amp;V 2'!$K$11:$K$252,'Petroleum - Q&amp;V 2'!$L$11:$L$252,E25,'Petroleum - Q&amp;V 2'!$M$11:$M$252,1)+
SUMIFS('Petroleum - Q&amp;V 2'!$K$11:$K$252,'Petroleum - Q&amp;V 2'!$L$11:$L$252,E25,'Petroleum - Q&amp;V 2'!$M$11:$M$252,2))),"")/
IF(F25&lt;&gt;"",IF($F$49=$Y$4,SUMIF('Petroleum - Q&amp;V 2'!$L$11:$L$132,'Petroleum - Dom. Gas - Prices'!D25,'Petroleum - Q&amp;V 2'!$J$11:$J$132),
(SUMIFS('Petroleum - Q&amp;V 2'!$J$11:$J$252,'Petroleum - Q&amp;V 2'!$L$11:$L$252,D25,'Petroleum - Q&amp;V 2'!$M$11:$M$252,3)+
SUMIFS('Petroleum - Q&amp;V 2'!$J$11:$J$252,'Petroleum - Q&amp;V 2'!$L$11:$L$252,D25,'Petroleum - Q&amp;V 2'!$M$11:$M$252,4)+
SUMIFS('Petroleum - Q&amp;V 2'!$J$11:$J$252,'Petroleum - Q&amp;V 2'!$L$11:$L$252,E25,'Petroleum - Q&amp;V 2'!$M$11:$M$252,1)+
SUMIFS('Petroleum - Q&amp;V 2'!$J$11:$J$252,'Petroleum - Q&amp;V 2'!$L$11:$L$252,E25,'Petroleum - Q&amp;V 2'!$M$11:$M$252,2))),"")</f>
        <v>2.234799332978207</v>
      </c>
      <c r="H25"/>
    </row>
    <row r="26" spans="1:25" x14ac:dyDescent="0.25">
      <c r="A26" s="1165">
        <f t="shared" si="0"/>
        <v>43344</v>
      </c>
      <c r="B26" s="1028">
        <f>VLOOKUP('Petroleum - Dom. Gas - Prices'!A26,'Petroleum - Q&amp;V 2'!$B$11:$N$252,13,FALSE)</f>
        <v>4.202881094872188</v>
      </c>
      <c r="C26" s="1046"/>
      <c r="D26" s="29">
        <f t="shared" si="2"/>
        <v>2005</v>
      </c>
      <c r="E26" s="1043">
        <f t="shared" si="3"/>
        <v>2006</v>
      </c>
      <c r="F26" s="1047">
        <f t="shared" si="1"/>
        <v>2005</v>
      </c>
      <c r="G26" s="1011">
        <f>IF(F26&lt;&gt;"",IF($F$49=$Y$4,SUMIF('Petroleum - Q&amp;V 2'!$L$11:$L$132,'Petroleum - Dom. Gas - Prices'!D26,'Petroleum - Q&amp;V 2'!$K$11:$K$132),
(SUMIFS('Petroleum - Q&amp;V 2'!$K$11:$K$252,'Petroleum - Q&amp;V 2'!$L$11:$L$252,D26,'Petroleum - Q&amp;V 2'!$M$11:$M$252,3)+
SUMIFS('Petroleum - Q&amp;V 2'!$K$11:$K$252,'Petroleum - Q&amp;V 2'!$L$11:$L$252,D26,'Petroleum - Q&amp;V 2'!$M$11:$M$252,4)+
SUMIFS('Petroleum - Q&amp;V 2'!$K$11:$K$252,'Petroleum - Q&amp;V 2'!$L$11:$L$252,E26,'Petroleum - Q&amp;V 2'!$M$11:$M$252,1)+
SUMIFS('Petroleum - Q&amp;V 2'!$K$11:$K$252,'Petroleum - Q&amp;V 2'!$L$11:$L$252,E26,'Petroleum - Q&amp;V 2'!$M$11:$M$252,2))),"")/
IF(F26&lt;&gt;"",IF($F$49=$Y$4,SUMIF('Petroleum - Q&amp;V 2'!$L$11:$L$132,'Petroleum - Dom. Gas - Prices'!D26,'Petroleum - Q&amp;V 2'!$J$11:$J$132),
(SUMIFS('Petroleum - Q&amp;V 2'!$J$11:$J$252,'Petroleum - Q&amp;V 2'!$L$11:$L$252,D26,'Petroleum - Q&amp;V 2'!$M$11:$M$252,3)+
SUMIFS('Petroleum - Q&amp;V 2'!$J$11:$J$252,'Petroleum - Q&amp;V 2'!$L$11:$L$252,D26,'Petroleum - Q&amp;V 2'!$M$11:$M$252,4)+
SUMIFS('Petroleum - Q&amp;V 2'!$J$11:$J$252,'Petroleum - Q&amp;V 2'!$L$11:$L$252,E26,'Petroleum - Q&amp;V 2'!$M$11:$M$252,1)+
SUMIFS('Petroleum - Q&amp;V 2'!$J$11:$J$252,'Petroleum - Q&amp;V 2'!$L$11:$L$252,E26,'Petroleum - Q&amp;V 2'!$M$11:$M$252,2))),"")</f>
        <v>2.3494160120460439</v>
      </c>
    </row>
    <row r="27" spans="1:25" x14ac:dyDescent="0.25">
      <c r="A27" s="1165">
        <f t="shared" si="0"/>
        <v>43435</v>
      </c>
      <c r="B27" s="434">
        <f>VLOOKUP('Petroleum - Dom. Gas - Prices'!A27,'Petroleum - Q&amp;V 2'!$B$11:$N$252,13,FALSE)</f>
        <v>3.484938028399605</v>
      </c>
      <c r="C27" s="1046"/>
      <c r="D27" s="29">
        <f t="shared" si="2"/>
        <v>2006</v>
      </c>
      <c r="E27" s="1043">
        <f t="shared" si="3"/>
        <v>2007</v>
      </c>
      <c r="F27" s="1047">
        <f t="shared" si="1"/>
        <v>2006</v>
      </c>
      <c r="G27" s="434">
        <f>IF(F27&lt;&gt;"",IF($F$49=$Y$4,SUMIF('Petroleum - Q&amp;V 2'!$L$11:$L$132,'Petroleum - Dom. Gas - Prices'!D27,'Petroleum - Q&amp;V 2'!$K$11:$K$132),
(SUMIFS('Petroleum - Q&amp;V 2'!$K$11:$K$252,'Petroleum - Q&amp;V 2'!$L$11:$L$252,D27,'Petroleum - Q&amp;V 2'!$M$11:$M$252,3)+
SUMIFS('Petroleum - Q&amp;V 2'!$K$11:$K$252,'Petroleum - Q&amp;V 2'!$L$11:$L$252,D27,'Petroleum - Q&amp;V 2'!$M$11:$M$252,4)+
SUMIFS('Petroleum - Q&amp;V 2'!$K$11:$K$252,'Petroleum - Q&amp;V 2'!$L$11:$L$252,E27,'Petroleum - Q&amp;V 2'!$M$11:$M$252,1)+
SUMIFS('Petroleum - Q&amp;V 2'!$K$11:$K$252,'Petroleum - Q&amp;V 2'!$L$11:$L$252,E27,'Petroleum - Q&amp;V 2'!$M$11:$M$252,2))),"")/
IF(F27&lt;&gt;"",IF($F$49=$Y$4,SUMIF('Petroleum - Q&amp;V 2'!$L$11:$L$132,'Petroleum - Dom. Gas - Prices'!D27,'Petroleum - Q&amp;V 2'!$J$11:$J$132),
(SUMIFS('Petroleum - Q&amp;V 2'!$J$11:$J$252,'Petroleum - Q&amp;V 2'!$L$11:$L$252,D27,'Petroleum - Q&amp;V 2'!$M$11:$M$252,3)+
SUMIFS('Petroleum - Q&amp;V 2'!$J$11:$J$252,'Petroleum - Q&amp;V 2'!$L$11:$L$252,D27,'Petroleum - Q&amp;V 2'!$M$11:$M$252,4)+
SUMIFS('Petroleum - Q&amp;V 2'!$J$11:$J$252,'Petroleum - Q&amp;V 2'!$L$11:$L$252,E27,'Petroleum - Q&amp;V 2'!$M$11:$M$252,1)+
SUMIFS('Petroleum - Q&amp;V 2'!$J$11:$J$252,'Petroleum - Q&amp;V 2'!$L$11:$L$252,E27,'Petroleum - Q&amp;V 2'!$M$11:$M$252,2))),"")</f>
        <v>2.5678282663284739</v>
      </c>
    </row>
    <row r="28" spans="1:25" x14ac:dyDescent="0.25">
      <c r="A28" s="1165">
        <f t="shared" si="0"/>
        <v>43525</v>
      </c>
      <c r="B28" s="1028">
        <f>VLOOKUP('Petroleum - Dom. Gas - Prices'!A28,'Petroleum - Q&amp;V 2'!$B$11:$N$252,13,FALSE)</f>
        <v>3.4690399515776256</v>
      </c>
      <c r="C28" s="1046"/>
      <c r="D28" s="29">
        <f t="shared" si="2"/>
        <v>2007</v>
      </c>
      <c r="E28" s="1043">
        <f t="shared" si="3"/>
        <v>2008</v>
      </c>
      <c r="F28" s="1047">
        <f t="shared" si="1"/>
        <v>2007</v>
      </c>
      <c r="G28" s="1011">
        <f>IF(F28&lt;&gt;"",IF($F$49=$Y$4,SUMIF('Petroleum - Q&amp;V 2'!$L$11:$L$132,'Petroleum - Dom. Gas - Prices'!D28,'Petroleum - Q&amp;V 2'!$K$11:$K$132),
(SUMIFS('Petroleum - Q&amp;V 2'!$K$11:$K$252,'Petroleum - Q&amp;V 2'!$L$11:$L$252,D28,'Petroleum - Q&amp;V 2'!$M$11:$M$252,3)+
SUMIFS('Petroleum - Q&amp;V 2'!$K$11:$K$252,'Petroleum - Q&amp;V 2'!$L$11:$L$252,D28,'Petroleum - Q&amp;V 2'!$M$11:$M$252,4)+
SUMIFS('Petroleum - Q&amp;V 2'!$K$11:$K$252,'Petroleum - Q&amp;V 2'!$L$11:$L$252,E28,'Petroleum - Q&amp;V 2'!$M$11:$M$252,1)+
SUMIFS('Petroleum - Q&amp;V 2'!$K$11:$K$252,'Petroleum - Q&amp;V 2'!$L$11:$L$252,E28,'Petroleum - Q&amp;V 2'!$M$11:$M$252,2))),"")/
IF(F28&lt;&gt;"",IF($F$49=$Y$4,SUMIF('Petroleum - Q&amp;V 2'!$L$11:$L$132,'Petroleum - Dom. Gas - Prices'!D28,'Petroleum - Q&amp;V 2'!$J$11:$J$132),
(SUMIFS('Petroleum - Q&amp;V 2'!$J$11:$J$252,'Petroleum - Q&amp;V 2'!$L$11:$L$252,D28,'Petroleum - Q&amp;V 2'!$M$11:$M$252,3)+
SUMIFS('Petroleum - Q&amp;V 2'!$J$11:$J$252,'Petroleum - Q&amp;V 2'!$L$11:$L$252,D28,'Petroleum - Q&amp;V 2'!$M$11:$M$252,4)+
SUMIFS('Petroleum - Q&amp;V 2'!$J$11:$J$252,'Petroleum - Q&amp;V 2'!$L$11:$L$252,E28,'Petroleum - Q&amp;V 2'!$M$11:$M$252,1)+
SUMIFS('Petroleum - Q&amp;V 2'!$J$11:$J$252,'Petroleum - Q&amp;V 2'!$L$11:$L$252,E28,'Petroleum - Q&amp;V 2'!$M$11:$M$252,2))),"")</f>
        <v>2.8738427244008005</v>
      </c>
    </row>
    <row r="29" spans="1:25" x14ac:dyDescent="0.25">
      <c r="A29" s="1165">
        <f t="shared" si="0"/>
        <v>43617</v>
      </c>
      <c r="B29" s="434">
        <f>VLOOKUP('Petroleum - Dom. Gas - Prices'!A29,'Petroleum - Q&amp;V 2'!$B$11:$N$252,13,FALSE)</f>
        <v>3.3975874123417169</v>
      </c>
      <c r="C29" s="1046"/>
      <c r="D29" s="29">
        <f t="shared" si="2"/>
        <v>2008</v>
      </c>
      <c r="E29" s="1043">
        <f t="shared" si="3"/>
        <v>2009</v>
      </c>
      <c r="F29" s="1047">
        <f t="shared" si="1"/>
        <v>2008</v>
      </c>
      <c r="G29" s="434">
        <f>IF(F29&lt;&gt;"",IF($F$49=$Y$4,SUMIF('Petroleum - Q&amp;V 2'!$L$11:$L$132,'Petroleum - Dom. Gas - Prices'!D29,'Petroleum - Q&amp;V 2'!$K$11:$K$132),
(SUMIFS('Petroleum - Q&amp;V 2'!$K$11:$K$252,'Petroleum - Q&amp;V 2'!$L$11:$L$252,D29,'Petroleum - Q&amp;V 2'!$M$11:$M$252,3)+
SUMIFS('Petroleum - Q&amp;V 2'!$K$11:$K$252,'Petroleum - Q&amp;V 2'!$L$11:$L$252,D29,'Petroleum - Q&amp;V 2'!$M$11:$M$252,4)+
SUMIFS('Petroleum - Q&amp;V 2'!$K$11:$K$252,'Petroleum - Q&amp;V 2'!$L$11:$L$252,E29,'Petroleum - Q&amp;V 2'!$M$11:$M$252,1)+
SUMIFS('Petroleum - Q&amp;V 2'!$K$11:$K$252,'Petroleum - Q&amp;V 2'!$L$11:$L$252,E29,'Petroleum - Q&amp;V 2'!$M$11:$M$252,2))),"")/
IF(F29&lt;&gt;"",IF($F$49=$Y$4,SUMIF('Petroleum - Q&amp;V 2'!$L$11:$L$132,'Petroleum - Dom. Gas - Prices'!D29,'Petroleum - Q&amp;V 2'!$J$11:$J$132),
(SUMIFS('Petroleum - Q&amp;V 2'!$J$11:$J$252,'Petroleum - Q&amp;V 2'!$L$11:$L$252,D29,'Petroleum - Q&amp;V 2'!$M$11:$M$252,3)+
SUMIFS('Petroleum - Q&amp;V 2'!$J$11:$J$252,'Petroleum - Q&amp;V 2'!$L$11:$L$252,D29,'Petroleum - Q&amp;V 2'!$M$11:$M$252,4)+
SUMIFS('Petroleum - Q&amp;V 2'!$J$11:$J$252,'Petroleum - Q&amp;V 2'!$L$11:$L$252,E29,'Petroleum - Q&amp;V 2'!$M$11:$M$252,1)+
SUMIFS('Petroleum - Q&amp;V 2'!$J$11:$J$252,'Petroleum - Q&amp;V 2'!$L$11:$L$252,E29,'Petroleum - Q&amp;V 2'!$M$11:$M$252,2))),"")</f>
        <v>3.6853500631162328</v>
      </c>
    </row>
    <row r="30" spans="1:25" x14ac:dyDescent="0.25">
      <c r="A30" s="1165">
        <f t="shared" si="0"/>
        <v>43709</v>
      </c>
      <c r="B30" s="1028">
        <f>VLOOKUP('Petroleum - Dom. Gas - Prices'!A30,'Petroleum - Q&amp;V 2'!$B$11:$N$252,13,FALSE)</f>
        <v>3.6358564691021562</v>
      </c>
      <c r="C30" s="1046"/>
      <c r="D30" s="29">
        <f t="shared" si="2"/>
        <v>2009</v>
      </c>
      <c r="E30" s="1043">
        <f t="shared" si="3"/>
        <v>2010</v>
      </c>
      <c r="F30" s="1047">
        <f t="shared" si="1"/>
        <v>2009</v>
      </c>
      <c r="G30" s="1011">
        <f>IF(F30&lt;&gt;"",IF($F$49=$Y$4,SUMIF('Petroleum - Q&amp;V 2'!$L$11:$L$132,'Petroleum - Dom. Gas - Prices'!D30,'Petroleum - Q&amp;V 2'!$K$11:$K$132),
(SUMIFS('Petroleum - Q&amp;V 2'!$K$11:$K$252,'Petroleum - Q&amp;V 2'!$L$11:$L$252,D30,'Petroleum - Q&amp;V 2'!$M$11:$M$252,3)+
SUMIFS('Petroleum - Q&amp;V 2'!$K$11:$K$252,'Petroleum - Q&amp;V 2'!$L$11:$L$252,D30,'Petroleum - Q&amp;V 2'!$M$11:$M$252,4)+
SUMIFS('Petroleum - Q&amp;V 2'!$K$11:$K$252,'Petroleum - Q&amp;V 2'!$L$11:$L$252,E30,'Petroleum - Q&amp;V 2'!$M$11:$M$252,1)+
SUMIFS('Petroleum - Q&amp;V 2'!$K$11:$K$252,'Petroleum - Q&amp;V 2'!$L$11:$L$252,E30,'Petroleum - Q&amp;V 2'!$M$11:$M$252,2))),"")/
IF(F30&lt;&gt;"",IF($F$49=$Y$4,SUMIF('Petroleum - Q&amp;V 2'!$L$11:$L$132,'Petroleum - Dom. Gas - Prices'!D30,'Petroleum - Q&amp;V 2'!$J$11:$J$132),
(SUMIFS('Petroleum - Q&amp;V 2'!$J$11:$J$252,'Petroleum - Q&amp;V 2'!$L$11:$L$252,D30,'Petroleum - Q&amp;V 2'!$M$11:$M$252,3)+
SUMIFS('Petroleum - Q&amp;V 2'!$J$11:$J$252,'Petroleum - Q&amp;V 2'!$L$11:$L$252,D30,'Petroleum - Q&amp;V 2'!$M$11:$M$252,4)+
SUMIFS('Petroleum - Q&amp;V 2'!$J$11:$J$252,'Petroleum - Q&amp;V 2'!$L$11:$L$252,E30,'Petroleum - Q&amp;V 2'!$M$11:$M$252,1)+
SUMIFS('Petroleum - Q&amp;V 2'!$J$11:$J$252,'Petroleum - Q&amp;V 2'!$L$11:$L$252,E30,'Petroleum - Q&amp;V 2'!$M$11:$M$252,2))),"")</f>
        <v>3.2654246502760023</v>
      </c>
    </row>
    <row r="31" spans="1:25" x14ac:dyDescent="0.25">
      <c r="A31" s="1165">
        <f t="shared" si="0"/>
        <v>43800</v>
      </c>
      <c r="B31" s="434">
        <f>VLOOKUP('Petroleum - Dom. Gas - Prices'!A31,'Petroleum - Q&amp;V 2'!$B$11:$N$252,13,FALSE)</f>
        <v>3.5252411709774867</v>
      </c>
      <c r="C31" s="1046"/>
      <c r="D31" s="29">
        <f t="shared" si="2"/>
        <v>2010</v>
      </c>
      <c r="E31" s="1043">
        <f t="shared" si="3"/>
        <v>2011</v>
      </c>
      <c r="F31" s="1047">
        <f t="shared" si="1"/>
        <v>2010</v>
      </c>
      <c r="G31" s="434">
        <f>IF(F31&lt;&gt;"",IF($F$49=$Y$4,SUMIF('Petroleum - Q&amp;V 2'!$L$11:$L$132,'Petroleum - Dom. Gas - Prices'!D31,'Petroleum - Q&amp;V 2'!$K$11:$K$132),
(SUMIFS('Petroleum - Q&amp;V 2'!$K$11:$K$252,'Petroleum - Q&amp;V 2'!$L$11:$L$252,D31,'Petroleum - Q&amp;V 2'!$M$11:$M$252,3)+
SUMIFS('Petroleum - Q&amp;V 2'!$K$11:$K$252,'Petroleum - Q&amp;V 2'!$L$11:$L$252,D31,'Petroleum - Q&amp;V 2'!$M$11:$M$252,4)+
SUMIFS('Petroleum - Q&amp;V 2'!$K$11:$K$252,'Petroleum - Q&amp;V 2'!$L$11:$L$252,E31,'Petroleum - Q&amp;V 2'!$M$11:$M$252,1)+
SUMIFS('Petroleum - Q&amp;V 2'!$K$11:$K$252,'Petroleum - Q&amp;V 2'!$L$11:$L$252,E31,'Petroleum - Q&amp;V 2'!$M$11:$M$252,2))),"")/
IF(F31&lt;&gt;"",IF($F$49=$Y$4,SUMIF('Petroleum - Q&amp;V 2'!$L$11:$L$132,'Petroleum - Dom. Gas - Prices'!D31,'Petroleum - Q&amp;V 2'!$J$11:$J$132),
(SUMIFS('Petroleum - Q&amp;V 2'!$J$11:$J$252,'Petroleum - Q&amp;V 2'!$L$11:$L$252,D31,'Petroleum - Q&amp;V 2'!$M$11:$M$252,3)+
SUMIFS('Petroleum - Q&amp;V 2'!$J$11:$J$252,'Petroleum - Q&amp;V 2'!$L$11:$L$252,D31,'Petroleum - Q&amp;V 2'!$M$11:$M$252,4)+
SUMIFS('Petroleum - Q&amp;V 2'!$J$11:$J$252,'Petroleum - Q&amp;V 2'!$L$11:$L$252,E31,'Petroleum - Q&amp;V 2'!$M$11:$M$252,1)+
SUMIFS('Petroleum - Q&amp;V 2'!$J$11:$J$252,'Petroleum - Q&amp;V 2'!$L$11:$L$252,E31,'Petroleum - Q&amp;V 2'!$M$11:$M$252,2))),"")</f>
        <v>3.9656553201993727</v>
      </c>
    </row>
    <row r="32" spans="1:25" x14ac:dyDescent="0.25">
      <c r="A32" s="1165">
        <f t="shared" si="0"/>
        <v>43891</v>
      </c>
      <c r="B32" s="1028">
        <f>VLOOKUP('Petroleum - Dom. Gas - Prices'!A32,'Petroleum - Q&amp;V 2'!$B$11:$N$252,13,FALSE)</f>
        <v>4.0449079862207862</v>
      </c>
      <c r="C32" s="1046"/>
      <c r="D32" s="29">
        <f t="shared" si="2"/>
        <v>2011</v>
      </c>
      <c r="E32" s="1043">
        <f t="shared" si="3"/>
        <v>2012</v>
      </c>
      <c r="F32" s="1047">
        <f t="shared" si="1"/>
        <v>2011</v>
      </c>
      <c r="G32" s="1011">
        <f>IF(F32&lt;&gt;"",IF($F$49=$Y$4,SUMIF('Petroleum - Q&amp;V 2'!$L$11:$L$132,'Petroleum - Dom. Gas - Prices'!D32,'Petroleum - Q&amp;V 2'!$K$11:$K$132),
(SUMIFS('Petroleum - Q&amp;V 2'!$K$11:$K$252,'Petroleum - Q&amp;V 2'!$L$11:$L$252,D32,'Petroleum - Q&amp;V 2'!$M$11:$M$252,3)+
SUMIFS('Petroleum - Q&amp;V 2'!$K$11:$K$252,'Petroleum - Q&amp;V 2'!$L$11:$L$252,D32,'Petroleum - Q&amp;V 2'!$M$11:$M$252,4)+
SUMIFS('Petroleum - Q&amp;V 2'!$K$11:$K$252,'Petroleum - Q&amp;V 2'!$L$11:$L$252,E32,'Petroleum - Q&amp;V 2'!$M$11:$M$252,1)+
SUMIFS('Petroleum - Q&amp;V 2'!$K$11:$K$252,'Petroleum - Q&amp;V 2'!$L$11:$L$252,E32,'Petroleum - Q&amp;V 2'!$M$11:$M$252,2))),"")/
IF(F32&lt;&gt;"",IF($F$49=$Y$4,SUMIF('Petroleum - Q&amp;V 2'!$L$11:$L$132,'Petroleum - Dom. Gas - Prices'!D32,'Petroleum - Q&amp;V 2'!$J$11:$J$132),
(SUMIFS('Petroleum - Q&amp;V 2'!$J$11:$J$252,'Petroleum - Q&amp;V 2'!$L$11:$L$252,D32,'Petroleum - Q&amp;V 2'!$M$11:$M$252,3)+
SUMIFS('Petroleum - Q&amp;V 2'!$J$11:$J$252,'Petroleum - Q&amp;V 2'!$L$11:$L$252,D32,'Petroleum - Q&amp;V 2'!$M$11:$M$252,4)+
SUMIFS('Petroleum - Q&amp;V 2'!$J$11:$J$252,'Petroleum - Q&amp;V 2'!$L$11:$L$252,E32,'Petroleum - Q&amp;V 2'!$M$11:$M$252,1)+
SUMIFS('Petroleum - Q&amp;V 2'!$J$11:$J$252,'Petroleum - Q&amp;V 2'!$L$11:$L$252,E32,'Petroleum - Q&amp;V 2'!$M$11:$M$252,2))),"")</f>
        <v>4.2139898759703716</v>
      </c>
    </row>
    <row r="33" spans="1:8" x14ac:dyDescent="0.25">
      <c r="A33" s="1165">
        <f t="shared" si="0"/>
        <v>43983</v>
      </c>
      <c r="B33" s="434">
        <f>VLOOKUP('Petroleum - Dom. Gas - Prices'!A33,'Petroleum - Q&amp;V 2'!$B$11:$N$252,13,FALSE)</f>
        <v>4.2464589577006731</v>
      </c>
      <c r="C33" s="1046"/>
      <c r="D33" s="29">
        <f t="shared" si="2"/>
        <v>2012</v>
      </c>
      <c r="E33" s="1043">
        <f t="shared" si="3"/>
        <v>2013</v>
      </c>
      <c r="F33" s="1047">
        <f t="shared" si="1"/>
        <v>2012</v>
      </c>
      <c r="G33" s="434">
        <f>IF(F33&lt;&gt;"",IF($F$49=$Y$4,SUMIF('Petroleum - Q&amp;V 2'!$L$11:$L$132,'Petroleum - Dom. Gas - Prices'!D33,'Petroleum - Q&amp;V 2'!$K$11:$K$132),
(SUMIFS('Petroleum - Q&amp;V 2'!$K$11:$K$252,'Petroleum - Q&amp;V 2'!$L$11:$L$252,D33,'Petroleum - Q&amp;V 2'!$M$11:$M$252,3)+
SUMIFS('Petroleum - Q&amp;V 2'!$K$11:$K$252,'Petroleum - Q&amp;V 2'!$L$11:$L$252,D33,'Petroleum - Q&amp;V 2'!$M$11:$M$252,4)+
SUMIFS('Petroleum - Q&amp;V 2'!$K$11:$K$252,'Petroleum - Q&amp;V 2'!$L$11:$L$252,E33,'Petroleum - Q&amp;V 2'!$M$11:$M$252,1)+
SUMIFS('Petroleum - Q&amp;V 2'!$K$11:$K$252,'Petroleum - Q&amp;V 2'!$L$11:$L$252,E33,'Petroleum - Q&amp;V 2'!$M$11:$M$252,2))),"")/
IF(F33&lt;&gt;"",IF($F$49=$Y$4,SUMIF('Petroleum - Q&amp;V 2'!$L$11:$L$132,'Petroleum - Dom. Gas - Prices'!D33,'Petroleum - Q&amp;V 2'!$J$11:$J$132),
(SUMIFS('Petroleum - Q&amp;V 2'!$J$11:$J$252,'Petroleum - Q&amp;V 2'!$L$11:$L$252,D33,'Petroleum - Q&amp;V 2'!$M$11:$M$252,3)+
SUMIFS('Petroleum - Q&amp;V 2'!$J$11:$J$252,'Petroleum - Q&amp;V 2'!$L$11:$L$252,D33,'Petroleum - Q&amp;V 2'!$M$11:$M$252,4)+
SUMIFS('Petroleum - Q&amp;V 2'!$J$11:$J$252,'Petroleum - Q&amp;V 2'!$L$11:$L$252,E33,'Petroleum - Q&amp;V 2'!$M$11:$M$252,1)+
SUMIFS('Petroleum - Q&amp;V 2'!$J$11:$J$252,'Petroleum - Q&amp;V 2'!$L$11:$L$252,E33,'Petroleum - Q&amp;V 2'!$M$11:$M$252,2))),"")</f>
        <v>4.2928576627648445</v>
      </c>
    </row>
    <row r="34" spans="1:8" x14ac:dyDescent="0.25">
      <c r="A34" s="1165">
        <f t="shared" si="0"/>
        <v>44075</v>
      </c>
      <c r="B34" s="1028">
        <f>VLOOKUP('Petroleum - Dom. Gas - Prices'!A34,'Petroleum - Q&amp;V 2'!$B$11:$N$252,13,FALSE)</f>
        <v>4.3423643411531643</v>
      </c>
      <c r="C34" s="1046"/>
      <c r="D34" s="29">
        <f t="shared" si="2"/>
        <v>2013</v>
      </c>
      <c r="E34" s="1043">
        <f t="shared" si="3"/>
        <v>2014</v>
      </c>
      <c r="F34" s="1047">
        <f t="shared" si="1"/>
        <v>2013</v>
      </c>
      <c r="G34" s="1011">
        <f>IF(F34&lt;&gt;"",IF($F$49=$Y$4,SUMIF('Petroleum - Q&amp;V 2'!$L$11:$L$132,'Petroleum - Dom. Gas - Prices'!D34,'Petroleum - Q&amp;V 2'!$K$11:$K$132),
(SUMIFS('Petroleum - Q&amp;V 2'!$K$11:$K$252,'Petroleum - Q&amp;V 2'!$L$11:$L$252,D34,'Petroleum - Q&amp;V 2'!$M$11:$M$252,3)+
SUMIFS('Petroleum - Q&amp;V 2'!$K$11:$K$252,'Petroleum - Q&amp;V 2'!$L$11:$L$252,D34,'Petroleum - Q&amp;V 2'!$M$11:$M$252,4)+
SUMIFS('Petroleum - Q&amp;V 2'!$K$11:$K$252,'Petroleum - Q&amp;V 2'!$L$11:$L$252,E34,'Petroleum - Q&amp;V 2'!$M$11:$M$252,1)+
SUMIFS('Petroleum - Q&amp;V 2'!$K$11:$K$252,'Petroleum - Q&amp;V 2'!$L$11:$L$252,E34,'Petroleum - Q&amp;V 2'!$M$11:$M$252,2))),"")/
IF(F34&lt;&gt;"",IF($F$49=$Y$4,SUMIF('Petroleum - Q&amp;V 2'!$L$11:$L$132,'Petroleum - Dom. Gas - Prices'!D34,'Petroleum - Q&amp;V 2'!$J$11:$J$132),
(SUMIFS('Petroleum - Q&amp;V 2'!$J$11:$J$252,'Petroleum - Q&amp;V 2'!$L$11:$L$252,D34,'Petroleum - Q&amp;V 2'!$M$11:$M$252,3)+
SUMIFS('Petroleum - Q&amp;V 2'!$J$11:$J$252,'Petroleum - Q&amp;V 2'!$L$11:$L$252,D34,'Petroleum - Q&amp;V 2'!$M$11:$M$252,4)+
SUMIFS('Petroleum - Q&amp;V 2'!$J$11:$J$252,'Petroleum - Q&amp;V 2'!$L$11:$L$252,E34,'Petroleum - Q&amp;V 2'!$M$11:$M$252,1)+
SUMIFS('Petroleum - Q&amp;V 2'!$J$11:$J$252,'Petroleum - Q&amp;V 2'!$L$11:$L$252,E34,'Petroleum - Q&amp;V 2'!$M$11:$M$252,2))),"")</f>
        <v>4.4111820179191188</v>
      </c>
    </row>
    <row r="35" spans="1:8" x14ac:dyDescent="0.25">
      <c r="A35" s="1165">
        <f t="shared" si="0"/>
        <v>44166</v>
      </c>
      <c r="B35" s="434">
        <f>VLOOKUP('Petroleum - Dom. Gas - Prices'!A35,'Petroleum - Q&amp;V 2'!$B$11:$N$252,13,FALSE)</f>
        <v>4.4462545064686099</v>
      </c>
      <c r="C35" s="1046"/>
      <c r="D35" s="29">
        <f t="shared" si="2"/>
        <v>2014</v>
      </c>
      <c r="E35" s="1043">
        <f t="shared" si="3"/>
        <v>2015</v>
      </c>
      <c r="F35" s="1047">
        <f t="shared" si="1"/>
        <v>2014</v>
      </c>
      <c r="G35" s="434">
        <f>IF(F35&lt;&gt;"",IF($F$49=$Y$4,SUMIF('Petroleum - Q&amp;V 2'!$L$11:$L$132,'Petroleum - Dom. Gas - Prices'!D35,'Petroleum - Q&amp;V 2'!$K$11:$K$132),
(SUMIFS('Petroleum - Q&amp;V 2'!$K$11:$K$252,'Petroleum - Q&amp;V 2'!$L$11:$L$252,D35,'Petroleum - Q&amp;V 2'!$M$11:$M$252,3)+
SUMIFS('Petroleum - Q&amp;V 2'!$K$11:$K$252,'Petroleum - Q&amp;V 2'!$L$11:$L$252,D35,'Petroleum - Q&amp;V 2'!$M$11:$M$252,4)+
SUMIFS('Petroleum - Q&amp;V 2'!$K$11:$K$252,'Petroleum - Q&amp;V 2'!$L$11:$L$252,E35,'Petroleum - Q&amp;V 2'!$M$11:$M$252,1)+
SUMIFS('Petroleum - Q&amp;V 2'!$K$11:$K$252,'Petroleum - Q&amp;V 2'!$L$11:$L$252,E35,'Petroleum - Q&amp;V 2'!$M$11:$M$252,2))),"")/
IF(F35&lt;&gt;"",IF($F$49=$Y$4,SUMIF('Petroleum - Q&amp;V 2'!$L$11:$L$132,'Petroleum - Dom. Gas - Prices'!D35,'Petroleum - Q&amp;V 2'!$J$11:$J$132),
(SUMIFS('Petroleum - Q&amp;V 2'!$J$11:$J$252,'Petroleum - Q&amp;V 2'!$L$11:$L$252,D35,'Petroleum - Q&amp;V 2'!$M$11:$M$252,3)+
SUMIFS('Petroleum - Q&amp;V 2'!$J$11:$J$252,'Petroleum - Q&amp;V 2'!$L$11:$L$252,D35,'Petroleum - Q&amp;V 2'!$M$11:$M$252,4)+
SUMIFS('Petroleum - Q&amp;V 2'!$J$11:$J$252,'Petroleum - Q&amp;V 2'!$L$11:$L$252,E35,'Petroleum - Q&amp;V 2'!$M$11:$M$252,1)+
SUMIFS('Petroleum - Q&amp;V 2'!$J$11:$J$252,'Petroleum - Q&amp;V 2'!$L$11:$L$252,E35,'Petroleum - Q&amp;V 2'!$M$11:$M$252,2))),"")</f>
        <v>4.8794980107689527</v>
      </c>
    </row>
    <row r="36" spans="1:8" x14ac:dyDescent="0.25">
      <c r="A36" s="1165">
        <f t="shared" si="0"/>
        <v>44256</v>
      </c>
      <c r="B36" s="1028">
        <f>VLOOKUP('Petroleum - Dom. Gas - Prices'!A36,'Petroleum - Q&amp;V 2'!$B$11:$N$252,13,FALSE)</f>
        <v>4.7661336549413642</v>
      </c>
      <c r="C36" s="1046"/>
      <c r="D36" s="29">
        <f t="shared" si="2"/>
        <v>2015</v>
      </c>
      <c r="E36" s="1043">
        <f t="shared" si="3"/>
        <v>2016</v>
      </c>
      <c r="F36" s="1047">
        <f t="shared" si="1"/>
        <v>2015</v>
      </c>
      <c r="G36" s="1011">
        <f>IF(F36&lt;&gt;"",IF($F$49=$Y$4,SUMIF('Petroleum - Q&amp;V 2'!$L$11:$L$132,'Petroleum - Dom. Gas - Prices'!D36,'Petroleum - Q&amp;V 2'!$K$11:$K$132),
(SUMIFS('Petroleum - Q&amp;V 2'!$K$11:$K$252,'Petroleum - Q&amp;V 2'!$L$11:$L$252,D36,'Petroleum - Q&amp;V 2'!$M$11:$M$252,3)+
SUMIFS('Petroleum - Q&amp;V 2'!$K$11:$K$252,'Petroleum - Q&amp;V 2'!$L$11:$L$252,D36,'Petroleum - Q&amp;V 2'!$M$11:$M$252,4)+
SUMIFS('Petroleum - Q&amp;V 2'!$K$11:$K$252,'Petroleum - Q&amp;V 2'!$L$11:$L$252,E36,'Petroleum - Q&amp;V 2'!$M$11:$M$252,1)+
SUMIFS('Petroleum - Q&amp;V 2'!$K$11:$K$252,'Petroleum - Q&amp;V 2'!$L$11:$L$252,E36,'Petroleum - Q&amp;V 2'!$M$11:$M$252,2))),"")/
IF(F36&lt;&gt;"",IF($F$49=$Y$4,SUMIF('Petroleum - Q&amp;V 2'!$L$11:$L$132,'Petroleum - Dom. Gas - Prices'!D36,'Petroleum - Q&amp;V 2'!$J$11:$J$132),
(SUMIFS('Petroleum - Q&amp;V 2'!$J$11:$J$252,'Petroleum - Q&amp;V 2'!$L$11:$L$252,D36,'Petroleum - Q&amp;V 2'!$M$11:$M$252,3)+
SUMIFS('Petroleum - Q&amp;V 2'!$J$11:$J$252,'Petroleum - Q&amp;V 2'!$L$11:$L$252,D36,'Petroleum - Q&amp;V 2'!$M$11:$M$252,4)+
SUMIFS('Petroleum - Q&amp;V 2'!$J$11:$J$252,'Petroleum - Q&amp;V 2'!$L$11:$L$252,E36,'Petroleum - Q&amp;V 2'!$M$11:$M$252,1)+
SUMIFS('Petroleum - Q&amp;V 2'!$J$11:$J$252,'Petroleum - Q&amp;V 2'!$L$11:$L$252,E36,'Petroleum - Q&amp;V 2'!$M$11:$M$252,2))),"")</f>
        <v>4.8876529546940883</v>
      </c>
    </row>
    <row r="37" spans="1:8" x14ac:dyDescent="0.25">
      <c r="A37" s="1165">
        <f t="shared" si="0"/>
        <v>44348</v>
      </c>
      <c r="B37" s="434">
        <f>VLOOKUP('Petroleum - Dom. Gas - Prices'!A37,'Petroleum - Q&amp;V 2'!$B$11:$N$252,13,FALSE)</f>
        <v>5.0225695438843934</v>
      </c>
      <c r="C37" s="1046"/>
      <c r="D37" s="29">
        <f t="shared" si="2"/>
        <v>2016</v>
      </c>
      <c r="E37" s="1043">
        <f t="shared" si="3"/>
        <v>2017</v>
      </c>
      <c r="F37" s="1047">
        <f t="shared" si="1"/>
        <v>2016</v>
      </c>
      <c r="G37" s="434">
        <f>IF(F37&lt;&gt;"",IF($F$49=$Y$4,SUMIF('Petroleum - Q&amp;V 2'!$L$11:$L$132,'Petroleum - Dom. Gas - Prices'!D37,'Petroleum - Q&amp;V 2'!$K$11:$K$132),
(SUMIFS('Petroleum - Q&amp;V 2'!$K$11:$K$252,'Petroleum - Q&amp;V 2'!$L$11:$L$252,D37,'Petroleum - Q&amp;V 2'!$M$11:$M$252,3)+
SUMIFS('Petroleum - Q&amp;V 2'!$K$11:$K$252,'Petroleum - Q&amp;V 2'!$L$11:$L$252,D37,'Petroleum - Q&amp;V 2'!$M$11:$M$252,4)+
SUMIFS('Petroleum - Q&amp;V 2'!$K$11:$K$252,'Petroleum - Q&amp;V 2'!$L$11:$L$252,E37,'Petroleum - Q&amp;V 2'!$M$11:$M$252,1)+
SUMIFS('Petroleum - Q&amp;V 2'!$K$11:$K$252,'Petroleum - Q&amp;V 2'!$L$11:$L$252,E37,'Petroleum - Q&amp;V 2'!$M$11:$M$252,2))),"")/
IF(F37&lt;&gt;"",IF($F$49=$Y$4,SUMIF('Petroleum - Q&amp;V 2'!$L$11:$L$132,'Petroleum - Dom. Gas - Prices'!D37,'Petroleum - Q&amp;V 2'!$J$11:$J$132),
(SUMIFS('Petroleum - Q&amp;V 2'!$J$11:$J$252,'Petroleum - Q&amp;V 2'!$L$11:$L$252,D37,'Petroleum - Q&amp;V 2'!$M$11:$M$252,3)+
SUMIFS('Petroleum - Q&amp;V 2'!$J$11:$J$252,'Petroleum - Q&amp;V 2'!$L$11:$L$252,D37,'Petroleum - Q&amp;V 2'!$M$11:$M$252,4)+
SUMIFS('Petroleum - Q&amp;V 2'!$J$11:$J$252,'Petroleum - Q&amp;V 2'!$L$11:$L$252,E37,'Petroleum - Q&amp;V 2'!$M$11:$M$252,1)+
SUMIFS('Petroleum - Q&amp;V 2'!$J$11:$J$252,'Petroleum - Q&amp;V 2'!$L$11:$L$252,E37,'Petroleum - Q&amp;V 2'!$M$11:$M$252,2))),"")</f>
        <v>4.9791240182979104</v>
      </c>
    </row>
    <row r="38" spans="1:8" x14ac:dyDescent="0.25">
      <c r="A38" s="1165">
        <f t="shared" si="0"/>
        <v>44440</v>
      </c>
      <c r="B38" s="1028">
        <f>VLOOKUP('Petroleum - Dom. Gas - Prices'!A38,'Petroleum - Q&amp;V 2'!$B$11:$N$252,13,FALSE)</f>
        <v>5.4589875473387135</v>
      </c>
      <c r="C38" s="1046"/>
      <c r="D38" s="29">
        <f t="shared" si="2"/>
        <v>2017</v>
      </c>
      <c r="E38" s="1043">
        <f t="shared" si="3"/>
        <v>2018</v>
      </c>
      <c r="F38" s="1047">
        <f t="shared" si="1"/>
        <v>2017</v>
      </c>
      <c r="G38" s="1011">
        <f>IF(F38&lt;&gt;"",IF($F$49=$Y$4,SUMIF('Petroleum - Q&amp;V 2'!$L$11:$L$132,'Petroleum - Dom. Gas - Prices'!D38,'Petroleum - Q&amp;V 2'!$K$11:$K$132),
(SUMIFS('Petroleum - Q&amp;V 2'!$K$11:$K$252,'Petroleum - Q&amp;V 2'!$L$11:$L$252,D38,'Petroleum - Q&amp;V 2'!$M$11:$M$252,3)+
SUMIFS('Petroleum - Q&amp;V 2'!$K$11:$K$252,'Petroleum - Q&amp;V 2'!$L$11:$L$252,D38,'Petroleum - Q&amp;V 2'!$M$11:$M$252,4)+
SUMIFS('Petroleum - Q&amp;V 2'!$K$11:$K$252,'Petroleum - Q&amp;V 2'!$L$11:$L$252,E38,'Petroleum - Q&amp;V 2'!$M$11:$M$252,1)+
SUMIFS('Petroleum - Q&amp;V 2'!$K$11:$K$252,'Petroleum - Q&amp;V 2'!$L$11:$L$252,E38,'Petroleum - Q&amp;V 2'!$M$11:$M$252,2))),"")/
IF(F38&lt;&gt;"",IF($F$49=$Y$4,SUMIF('Petroleum - Q&amp;V 2'!$L$11:$L$132,'Petroleum - Dom. Gas - Prices'!D38,'Petroleum - Q&amp;V 2'!$J$11:$J$132),
(SUMIFS('Petroleum - Q&amp;V 2'!$J$11:$J$252,'Petroleum - Q&amp;V 2'!$L$11:$L$252,D38,'Petroleum - Q&amp;V 2'!$M$11:$M$252,3)+
SUMIFS('Petroleum - Q&amp;V 2'!$J$11:$J$252,'Petroleum - Q&amp;V 2'!$L$11:$L$252,D38,'Petroleum - Q&amp;V 2'!$M$11:$M$252,4)+
SUMIFS('Petroleum - Q&amp;V 2'!$J$11:$J$252,'Petroleum - Q&amp;V 2'!$L$11:$L$252,E38,'Petroleum - Q&amp;V 2'!$M$11:$M$252,1)+
SUMIFS('Petroleum - Q&amp;V 2'!$J$11:$J$252,'Petroleum - Q&amp;V 2'!$L$11:$L$252,E38,'Petroleum - Q&amp;V 2'!$M$11:$M$252,2))),"")</f>
        <v>4.6554259451039872</v>
      </c>
    </row>
    <row r="39" spans="1:8" x14ac:dyDescent="0.25">
      <c r="A39" s="1165">
        <f t="shared" si="0"/>
        <v>44531</v>
      </c>
      <c r="B39" s="434">
        <f>VLOOKUP('Petroleum - Dom. Gas - Prices'!A39,'Petroleum - Q&amp;V 2'!$B$11:$N$252,13,FALSE)</f>
        <v>5.385130810248163</v>
      </c>
      <c r="C39" s="1046"/>
      <c r="D39" s="29">
        <f t="shared" si="2"/>
        <v>2018</v>
      </c>
      <c r="E39" s="1043">
        <f t="shared" si="3"/>
        <v>2019</v>
      </c>
      <c r="F39" s="1047">
        <f t="shared" si="1"/>
        <v>2018</v>
      </c>
      <c r="G39" s="434">
        <f>IF(F39&lt;&gt;"",IF($F$49=$Y$4,SUMIF('Petroleum - Q&amp;V 2'!$L$11:$L$132,'Petroleum - Dom. Gas - Prices'!D39,'Petroleum - Q&amp;V 2'!$K$11:$K$132),
(SUMIFS('Petroleum - Q&amp;V 2'!$K$11:$K$252,'Petroleum - Q&amp;V 2'!$L$11:$L$252,D39,'Petroleum - Q&amp;V 2'!$M$11:$M$252,3)+
SUMIFS('Petroleum - Q&amp;V 2'!$K$11:$K$252,'Petroleum - Q&amp;V 2'!$L$11:$L$252,D39,'Petroleum - Q&amp;V 2'!$M$11:$M$252,4)+
SUMIFS('Petroleum - Q&amp;V 2'!$K$11:$K$252,'Petroleum - Q&amp;V 2'!$L$11:$L$252,E39,'Petroleum - Q&amp;V 2'!$M$11:$M$252,1)+
SUMIFS('Petroleum - Q&amp;V 2'!$K$11:$K$252,'Petroleum - Q&amp;V 2'!$L$11:$L$252,E39,'Petroleum - Q&amp;V 2'!$M$11:$M$252,2))),"")/
IF(F39&lt;&gt;"",IF($F$49=$Y$4,SUMIF('Petroleum - Q&amp;V 2'!$L$11:$L$132,'Petroleum - Dom. Gas - Prices'!D39,'Petroleum - Q&amp;V 2'!$J$11:$J$132),
(SUMIFS('Petroleum - Q&amp;V 2'!$J$11:$J$252,'Petroleum - Q&amp;V 2'!$L$11:$L$252,D39,'Petroleum - Q&amp;V 2'!$M$11:$M$252,3)+
SUMIFS('Petroleum - Q&amp;V 2'!$J$11:$J$252,'Petroleum - Q&amp;V 2'!$L$11:$L$252,D39,'Petroleum - Q&amp;V 2'!$M$11:$M$252,4)+
SUMIFS('Petroleum - Q&amp;V 2'!$J$11:$J$252,'Petroleum - Q&amp;V 2'!$L$11:$L$252,E39,'Petroleum - Q&amp;V 2'!$M$11:$M$252,1)+
SUMIFS('Petroleum - Q&amp;V 2'!$J$11:$J$252,'Petroleum - Q&amp;V 2'!$L$11:$L$252,E39,'Petroleum - Q&amp;V 2'!$M$11:$M$252,2))),"")</f>
        <v>3.969901898372231</v>
      </c>
    </row>
    <row r="40" spans="1:8" x14ac:dyDescent="0.25">
      <c r="A40" s="1165">
        <f t="shared" si="0"/>
        <v>44621</v>
      </c>
      <c r="B40" s="1028">
        <f>VLOOKUP('Petroleum - Dom. Gas - Prices'!A40,'Petroleum - Q&amp;V 2'!$B$11:$N$252,13,FALSE)</f>
        <v>5.201802231239494</v>
      </c>
      <c r="C40" s="1046"/>
      <c r="D40" s="29">
        <f t="shared" si="2"/>
        <v>2019</v>
      </c>
      <c r="E40" s="1043">
        <f t="shared" si="3"/>
        <v>2020</v>
      </c>
      <c r="F40" s="1047">
        <f t="shared" si="1"/>
        <v>2019</v>
      </c>
      <c r="G40" s="1011">
        <f>IF(F40&lt;&gt;"",IF($F$49=$Y$4,SUMIF('Petroleum - Q&amp;V 2'!$L$11:$L$132,'Petroleum - Dom. Gas - Prices'!D40,'Petroleum - Q&amp;V 2'!$K$11:$K$132),
(SUMIFS('Petroleum - Q&amp;V 2'!$K$11:$K$252,'Petroleum - Q&amp;V 2'!$L$11:$L$252,D40,'Petroleum - Q&amp;V 2'!$M$11:$M$252,3)+
SUMIFS('Petroleum - Q&amp;V 2'!$K$11:$K$252,'Petroleum - Q&amp;V 2'!$L$11:$L$252,D40,'Petroleum - Q&amp;V 2'!$M$11:$M$252,4)+
SUMIFS('Petroleum - Q&amp;V 2'!$K$11:$K$252,'Petroleum - Q&amp;V 2'!$L$11:$L$252,E40,'Petroleum - Q&amp;V 2'!$M$11:$M$252,1)+
SUMIFS('Petroleum - Q&amp;V 2'!$K$11:$K$252,'Petroleum - Q&amp;V 2'!$L$11:$L$252,E40,'Petroleum - Q&amp;V 2'!$M$11:$M$252,2))),"")/
IF(F40&lt;&gt;"",IF($F$49=$Y$4,SUMIF('Petroleum - Q&amp;V 2'!$L$11:$L$132,'Petroleum - Dom. Gas - Prices'!D40,'Petroleum - Q&amp;V 2'!$J$11:$J$132),
(SUMIFS('Petroleum - Q&amp;V 2'!$J$11:$J$252,'Petroleum - Q&amp;V 2'!$L$11:$L$252,D40,'Petroleum - Q&amp;V 2'!$M$11:$M$252,3)+
SUMIFS('Petroleum - Q&amp;V 2'!$J$11:$J$252,'Petroleum - Q&amp;V 2'!$L$11:$L$252,D40,'Petroleum - Q&amp;V 2'!$M$11:$M$252,4)+
SUMIFS('Petroleum - Q&amp;V 2'!$J$11:$J$252,'Petroleum - Q&amp;V 2'!$L$11:$L$252,E40,'Petroleum - Q&amp;V 2'!$M$11:$M$252,1)+
SUMIFS('Petroleum - Q&amp;V 2'!$J$11:$J$252,'Petroleum - Q&amp;V 2'!$L$11:$L$252,E40,'Petroleum - Q&amp;V 2'!$M$11:$M$252,2))),"")</f>
        <v>3.5084455418129021</v>
      </c>
    </row>
    <row r="41" spans="1:8" x14ac:dyDescent="0.25">
      <c r="A41" s="1165">
        <f t="shared" si="0"/>
        <v>44713</v>
      </c>
      <c r="B41" s="434">
        <f>VLOOKUP('Petroleum - Dom. Gas - Prices'!A41,'Petroleum - Q&amp;V 2'!$B$11:$N$252,13,FALSE)</f>
        <v>5.2762385212369924</v>
      </c>
      <c r="C41" s="1046"/>
      <c r="D41" s="29">
        <f t="shared" si="2"/>
        <v>2020</v>
      </c>
      <c r="E41" s="1043">
        <f t="shared" si="3"/>
        <v>2021</v>
      </c>
      <c r="F41" s="1047">
        <f t="shared" si="1"/>
        <v>2020</v>
      </c>
      <c r="G41" s="434">
        <f>IF(F41&lt;&gt;"",IF($F$49=$Y$4,SUMIF('Petroleum - Q&amp;V 2'!$L$11:$L$132,'Petroleum - Dom. Gas - Prices'!D41,'Petroleum - Q&amp;V 2'!$K$11:$K$132),
(SUMIFS('Petroleum - Q&amp;V 2'!$K$11:$K$252,'Petroleum - Q&amp;V 2'!$L$11:$L$252,D41,'Petroleum - Q&amp;V 2'!$M$11:$M$252,3)+
SUMIFS('Petroleum - Q&amp;V 2'!$K$11:$K$252,'Petroleum - Q&amp;V 2'!$L$11:$L$252,D41,'Petroleum - Q&amp;V 2'!$M$11:$M$252,4)+
SUMIFS('Petroleum - Q&amp;V 2'!$K$11:$K$252,'Petroleum - Q&amp;V 2'!$L$11:$L$252,E41,'Petroleum - Q&amp;V 2'!$M$11:$M$252,1)+
SUMIFS('Petroleum - Q&amp;V 2'!$K$11:$K$252,'Petroleum - Q&amp;V 2'!$L$11:$L$252,E41,'Petroleum - Q&amp;V 2'!$M$11:$M$252,2))),"")/
IF(F41&lt;&gt;"",IF($F$49=$Y$4,SUMIF('Petroleum - Q&amp;V 2'!$L$11:$L$132,'Petroleum - Dom. Gas - Prices'!D41,'Petroleum - Q&amp;V 2'!$J$11:$J$132),
(SUMIFS('Petroleum - Q&amp;V 2'!$J$11:$J$252,'Petroleum - Q&amp;V 2'!$L$11:$L$252,D41,'Petroleum - Q&amp;V 2'!$M$11:$M$252,3)+
SUMIFS('Petroleum - Q&amp;V 2'!$J$11:$J$252,'Petroleum - Q&amp;V 2'!$L$11:$L$252,D41,'Petroleum - Q&amp;V 2'!$M$11:$M$252,4)+
SUMIFS('Petroleum - Q&amp;V 2'!$J$11:$J$252,'Petroleum - Q&amp;V 2'!$L$11:$L$252,E41,'Petroleum - Q&amp;V 2'!$M$11:$M$252,1)+
SUMIFS('Petroleum - Q&amp;V 2'!$J$11:$J$252,'Petroleum - Q&amp;V 2'!$L$11:$L$252,E41,'Petroleum - Q&amp;V 2'!$M$11:$M$252,2))),"")</f>
        <v>4.268904337669337</v>
      </c>
    </row>
    <row r="42" spans="1:8" x14ac:dyDescent="0.25">
      <c r="A42" s="1165">
        <f t="shared" si="0"/>
        <v>44805</v>
      </c>
      <c r="B42" s="1028">
        <f>VLOOKUP('Petroleum - Dom. Gas - Prices'!A42,'Petroleum - Q&amp;V 2'!$B$11:$N$252,13,FALSE)</f>
        <v>5.1550567909345331</v>
      </c>
      <c r="C42" s="1046"/>
      <c r="D42" s="29">
        <f t="shared" si="2"/>
        <v>2021</v>
      </c>
      <c r="E42" s="1043">
        <f t="shared" si="3"/>
        <v>2022</v>
      </c>
      <c r="F42" s="1047">
        <f t="shared" si="1"/>
        <v>2021</v>
      </c>
      <c r="G42" s="1011">
        <f>IF(F42&lt;&gt;"",IF($F$49=$Y$4,SUMIF('Petroleum - Q&amp;V 2'!$L$11:$L$132,'Petroleum - Dom. Gas - Prices'!D42,'Petroleum - Q&amp;V 2'!$K$11:$K$132),
(SUMIFS('Petroleum - Q&amp;V 2'!$K$11:$K$252,'Petroleum - Q&amp;V 2'!$L$11:$L$252,D42,'Petroleum - Q&amp;V 2'!$M$11:$M$252,3)+
SUMIFS('Petroleum - Q&amp;V 2'!$K$11:$K$252,'Petroleum - Q&amp;V 2'!$L$11:$L$252,D42,'Petroleum - Q&amp;V 2'!$M$11:$M$252,4)+
SUMIFS('Petroleum - Q&amp;V 2'!$K$11:$K$252,'Petroleum - Q&amp;V 2'!$L$11:$L$252,E42,'Petroleum - Q&amp;V 2'!$M$11:$M$252,1)+
SUMIFS('Petroleum - Q&amp;V 2'!$K$11:$K$252,'Petroleum - Q&amp;V 2'!$L$11:$L$252,E42,'Petroleum - Q&amp;V 2'!$M$11:$M$252,2))),"")/
IF(F42&lt;&gt;"",IF($F$49=$Y$4,SUMIF('Petroleum - Q&amp;V 2'!$L$11:$L$132,'Petroleum - Dom. Gas - Prices'!D42,'Petroleum - Q&amp;V 2'!$J$11:$J$132),
(SUMIFS('Petroleum - Q&amp;V 2'!$J$11:$J$252,'Petroleum - Q&amp;V 2'!$L$11:$L$252,D42,'Petroleum - Q&amp;V 2'!$M$11:$M$252,3)+
SUMIFS('Petroleum - Q&amp;V 2'!$J$11:$J$252,'Petroleum - Q&amp;V 2'!$L$11:$L$252,D42,'Petroleum - Q&amp;V 2'!$M$11:$M$252,4)+
SUMIFS('Petroleum - Q&amp;V 2'!$J$11:$J$252,'Petroleum - Q&amp;V 2'!$L$11:$L$252,E42,'Petroleum - Q&amp;V 2'!$M$11:$M$252,1)+
SUMIFS('Petroleum - Q&amp;V 2'!$J$11:$J$252,'Petroleum - Q&amp;V 2'!$L$11:$L$252,E42,'Petroleum - Q&amp;V 2'!$M$11:$M$252,2))),"")</f>
        <v>5.1637758051586129</v>
      </c>
    </row>
    <row r="43" spans="1:8" x14ac:dyDescent="0.25">
      <c r="A43" s="1165">
        <f t="shared" si="0"/>
        <v>44896</v>
      </c>
      <c r="B43" s="434">
        <f>VLOOKUP('Petroleum - Dom. Gas - Prices'!A43,'Petroleum - Q&amp;V 2'!$B$11:$N$252,13,FALSE)</f>
        <v>5.9605495308843404</v>
      </c>
      <c r="C43" s="1046"/>
      <c r="D43" s="29">
        <f t="shared" si="2"/>
        <v>2022</v>
      </c>
      <c r="E43" s="1043">
        <f t="shared" si="3"/>
        <v>2023</v>
      </c>
      <c r="F43" s="1047">
        <f t="shared" si="1"/>
        <v>2022</v>
      </c>
      <c r="G43" s="434">
        <f>IF(F43&lt;&gt;"",IF($F$49=$Y$4,SUMIF('Petroleum - Q&amp;V 2'!$L$11:$L$132,'Petroleum - Dom. Gas - Prices'!D43,'Petroleum - Q&amp;V 2'!$K$11:$K$132),
(SUMIFS('Petroleum - Q&amp;V 2'!$K$11:$K$252,'Petroleum - Q&amp;V 2'!$L$11:$L$252,D43,'Petroleum - Q&amp;V 2'!$M$11:$M$252,3)+
SUMIFS('Petroleum - Q&amp;V 2'!$K$11:$K$252,'Petroleum - Q&amp;V 2'!$L$11:$L$252,D43,'Petroleum - Q&amp;V 2'!$M$11:$M$252,4)+
SUMIFS('Petroleum - Q&amp;V 2'!$K$11:$K$252,'Petroleum - Q&amp;V 2'!$L$11:$L$252,E43,'Petroleum - Q&amp;V 2'!$M$11:$M$252,1)+
SUMIFS('Petroleum - Q&amp;V 2'!$K$11:$K$252,'Petroleum - Q&amp;V 2'!$L$11:$L$252,E43,'Petroleum - Q&amp;V 2'!$M$11:$M$252,2))),"")/
IF(F43&lt;&gt;"",IF($F$49=$Y$4,SUMIF('Petroleum - Q&amp;V 2'!$L$11:$L$132,'Petroleum - Dom. Gas - Prices'!D43,'Petroleum - Q&amp;V 2'!$J$11:$J$132),
(SUMIFS('Petroleum - Q&amp;V 2'!$J$11:$J$252,'Petroleum - Q&amp;V 2'!$L$11:$L$252,D43,'Petroleum - Q&amp;V 2'!$M$11:$M$252,3)+
SUMIFS('Petroleum - Q&amp;V 2'!$J$11:$J$252,'Petroleum - Q&amp;V 2'!$L$11:$L$252,D43,'Petroleum - Q&amp;V 2'!$M$11:$M$252,4)+
SUMIFS('Petroleum - Q&amp;V 2'!$J$11:$J$252,'Petroleum - Q&amp;V 2'!$L$11:$L$252,E43,'Petroleum - Q&amp;V 2'!$M$11:$M$252,1)+
SUMIFS('Petroleum - Q&amp;V 2'!$J$11:$J$252,'Petroleum - Q&amp;V 2'!$L$11:$L$252,E43,'Petroleum - Q&amp;V 2'!$M$11:$M$252,2))),"")</f>
        <v>5.4045603802136464</v>
      </c>
    </row>
    <row r="44" spans="1:8" x14ac:dyDescent="0.25">
      <c r="A44" s="1165">
        <f t="shared" si="0"/>
        <v>44986</v>
      </c>
      <c r="B44" s="1028">
        <f>VLOOKUP('Petroleum - Dom. Gas - Prices'!A44,'Petroleum - Q&amp;V 2'!$B$11:$N$252,13,FALSE)</f>
        <v>7.0285874490149549</v>
      </c>
      <c r="C44" s="1046"/>
      <c r="D44" s="29">
        <f t="shared" si="2"/>
        <v>2023</v>
      </c>
      <c r="E44" s="1043">
        <f t="shared" ref="E44:E46" si="4">D44+1</f>
        <v>2024</v>
      </c>
      <c r="F44" s="1047">
        <f t="shared" ref="F44:F46" si="5">IF($F$49=$Y$4,D44,CONCATENATE(D44,"-",RIGHT(E44,2)))</f>
        <v>2023</v>
      </c>
      <c r="G44" s="1011">
        <f>IF(F44&lt;&gt;"",IF($F$49=$Y$4,SUMIF('Petroleum - Q&amp;V 2'!$L$11:$L$132,'Petroleum - Dom. Gas - Prices'!D44,'Petroleum - Q&amp;V 2'!$K$11:$K$132),
(SUMIFS('Petroleum - Q&amp;V 2'!$K$11:$K$252,'Petroleum - Q&amp;V 2'!$L$11:$L$252,D44,'Petroleum - Q&amp;V 2'!$M$11:$M$252,3)+
SUMIFS('Petroleum - Q&amp;V 2'!$K$11:$K$252,'Petroleum - Q&amp;V 2'!$L$11:$L$252,D44,'Petroleum - Q&amp;V 2'!$M$11:$M$252,4)+
SUMIFS('Petroleum - Q&amp;V 2'!$K$11:$K$252,'Petroleum - Q&amp;V 2'!$L$11:$L$252,E44,'Petroleum - Q&amp;V 2'!$M$11:$M$252,1)+
SUMIFS('Petroleum - Q&amp;V 2'!$K$11:$K$252,'Petroleum - Q&amp;V 2'!$L$11:$L$252,E44,'Petroleum - Q&amp;V 2'!$M$11:$M$252,2))),"")/
IF(F44&lt;&gt;"",IF($F$49=$Y$4,SUMIF('Petroleum - Q&amp;V 2'!$L$11:$L$132,'Petroleum - Dom. Gas - Prices'!D44,'Petroleum - Q&amp;V 2'!$J$11:$J$132),
(SUMIFS('Petroleum - Q&amp;V 2'!$J$11:$J$252,'Petroleum - Q&amp;V 2'!$L$11:$L$252,D44,'Petroleum - Q&amp;V 2'!$M$11:$M$252,3)+
SUMIFS('Petroleum - Q&amp;V 2'!$J$11:$J$252,'Petroleum - Q&amp;V 2'!$L$11:$L$252,D44,'Petroleum - Q&amp;V 2'!$M$11:$M$252,4)+
SUMIFS('Petroleum - Q&amp;V 2'!$J$11:$J$252,'Petroleum - Q&amp;V 2'!$L$11:$L$252,E44,'Petroleum - Q&amp;V 2'!$M$11:$M$252,1)+
SUMIFS('Petroleum - Q&amp;V 2'!$J$11:$J$252,'Petroleum - Q&amp;V 2'!$L$11:$L$252,E44,'Petroleum - Q&amp;V 2'!$M$11:$M$252,2))),"")</f>
        <v>6.8918724837162477</v>
      </c>
    </row>
    <row r="45" spans="1:8" x14ac:dyDescent="0.25">
      <c r="A45" s="1165">
        <f t="shared" si="0"/>
        <v>45078</v>
      </c>
      <c r="B45" s="434">
        <f>VLOOKUP('Petroleum - Dom. Gas - Prices'!A45,'Petroleum - Q&amp;V 2'!$B$11:$N$252,13,FALSE)</f>
        <v>6.6228302602792146</v>
      </c>
      <c r="D45" s="29">
        <f t="shared" si="2"/>
        <v>2024</v>
      </c>
      <c r="E45" s="1043">
        <f t="shared" si="4"/>
        <v>2025</v>
      </c>
      <c r="F45" s="1047">
        <f t="shared" si="5"/>
        <v>2024</v>
      </c>
      <c r="G45" s="434">
        <f>IF(F45&lt;&gt;"",IF($F$49=$Y$4,SUMIF('Petroleum - Q&amp;V 2'!$L$11:$L$132,'Petroleum - Dom. Gas - Prices'!D45,'Petroleum - Q&amp;V 2'!$K$11:$K$132),
(SUMIFS('Petroleum - Q&amp;V 2'!$K$11:$K$252,'Petroleum - Q&amp;V 2'!$L$11:$L$252,D45,'Petroleum - Q&amp;V 2'!$M$11:$M$252,3)+
SUMIFS('Petroleum - Q&amp;V 2'!$K$11:$K$252,'Petroleum - Q&amp;V 2'!$L$11:$L$252,D45,'Petroleum - Q&amp;V 2'!$M$11:$M$252,4)+
SUMIFS('Petroleum - Q&amp;V 2'!$K$11:$K$252,'Petroleum - Q&amp;V 2'!$L$11:$L$252,E45,'Petroleum - Q&amp;V 2'!$M$11:$M$252,1)+
SUMIFS('Petroleum - Q&amp;V 2'!$K$11:$K$252,'Petroleum - Q&amp;V 2'!$L$11:$L$252,E45,'Petroleum - Q&amp;V 2'!$M$11:$M$252,2))),"")/
IF(F45&lt;&gt;"",IF($F$49=$Y$4,SUMIF('Petroleum - Q&amp;V 2'!$L$11:$L$132,'Petroleum - Dom. Gas - Prices'!D45,'Petroleum - Q&amp;V 2'!$J$11:$J$132),
(SUMIFS('Petroleum - Q&amp;V 2'!$J$11:$J$252,'Petroleum - Q&amp;V 2'!$L$11:$L$252,D45,'Petroleum - Q&amp;V 2'!$M$11:$M$252,3)+
SUMIFS('Petroleum - Q&amp;V 2'!$J$11:$J$252,'Petroleum - Q&amp;V 2'!$L$11:$L$252,D45,'Petroleum - Q&amp;V 2'!$M$11:$M$252,4)+
SUMIFS('Petroleum - Q&amp;V 2'!$J$11:$J$252,'Petroleum - Q&amp;V 2'!$L$11:$L$252,E45,'Petroleum - Q&amp;V 2'!$M$11:$M$252,1)+
SUMIFS('Petroleum - Q&amp;V 2'!$J$11:$J$252,'Petroleum - Q&amp;V 2'!$L$11:$L$252,E45,'Petroleum - Q&amp;V 2'!$M$11:$M$252,2))),"")</f>
        <v>7.2244998966029321</v>
      </c>
      <c r="H45"/>
    </row>
    <row r="46" spans="1:8" ht="15.75" thickBot="1" x14ac:dyDescent="0.3">
      <c r="A46" s="1165">
        <f t="shared" si="0"/>
        <v>45170</v>
      </c>
      <c r="B46" s="1028">
        <f>VLOOKUP('Petroleum - Dom. Gas - Prices'!A46,'Petroleum - Q&amp;V 2'!$B$11:$N$252,13,FALSE)</f>
        <v>6.6732634216396258</v>
      </c>
      <c r="D46" s="29">
        <f t="shared" si="2"/>
        <v>2025</v>
      </c>
      <c r="E46" s="1043">
        <f t="shared" si="4"/>
        <v>2026</v>
      </c>
      <c r="F46" s="1049">
        <f t="shared" si="5"/>
        <v>2025</v>
      </c>
      <c r="G46" s="1356">
        <f>IF(F46&lt;&gt;"",IF($F$49=$Y$4,SUMIF('Petroleum - Q&amp;V 2'!$L$11:$L$132,'Petroleum - Dom. Gas - Prices'!D46,'Petroleum - Q&amp;V 2'!$K$11:$K$132),
(SUMIFS('Petroleum - Q&amp;V 2'!$K$11:$K$252,'Petroleum - Q&amp;V 2'!$L$11:$L$252,D46,'Petroleum - Q&amp;V 2'!$M$11:$M$252,3)+
SUMIFS('Petroleum - Q&amp;V 2'!$K$11:$K$252,'Petroleum - Q&amp;V 2'!$L$11:$L$252,D46,'Petroleum - Q&amp;V 2'!$M$11:$M$252,4)+
SUMIFS('Petroleum - Q&amp;V 2'!$K$11:$K$252,'Petroleum - Q&amp;V 2'!$L$11:$L$252,E46,'Petroleum - Q&amp;V 2'!$M$11:$M$252,1)+
SUMIFS('Petroleum - Q&amp;V 2'!$K$11:$K$252,'Petroleum - Q&amp;V 2'!$L$11:$L$252,E46,'Petroleum - Q&amp;V 2'!$M$11:$M$252,2))),"")/
IF(F46&lt;&gt;"",IF($F$49=$Y$4,SUMIF('Petroleum - Q&amp;V 2'!$L$11:$L$132,'Petroleum - Dom. Gas - Prices'!D46,'Petroleum - Q&amp;V 2'!$J$11:$J$132),
(SUMIFS('Petroleum - Q&amp;V 2'!$J$11:$J$252,'Petroleum - Q&amp;V 2'!$L$11:$L$252,D46,'Petroleum - Q&amp;V 2'!$M$11:$M$252,3)+
SUMIFS('Petroleum - Q&amp;V 2'!$J$11:$J$252,'Petroleum - Q&amp;V 2'!$L$11:$L$252,D46,'Petroleum - Q&amp;V 2'!$M$11:$M$252,4)+
SUMIFS('Petroleum - Q&amp;V 2'!$J$11:$J$252,'Petroleum - Q&amp;V 2'!$L$11:$L$252,E46,'Petroleum - Q&amp;V 2'!$M$11:$M$252,1)+
SUMIFS('Petroleum - Q&amp;V 2'!$J$11:$J$252,'Petroleum - Q&amp;V 2'!$L$11:$L$252,E46,'Petroleum - Q&amp;V 2'!$M$11:$M$252,2))),"")</f>
        <v>7.5718308838862072</v>
      </c>
    </row>
    <row r="47" spans="1:8" ht="15.75" thickBot="1" x14ac:dyDescent="0.3">
      <c r="A47" s="1165">
        <f t="shared" si="0"/>
        <v>45261</v>
      </c>
      <c r="B47" s="434">
        <f>VLOOKUP('Petroleum - Dom. Gas - Prices'!A47,'Petroleum - Q&amp;V 2'!$B$11:$N$252,13,FALSE)</f>
        <v>7.2383406977952767</v>
      </c>
      <c r="D47" s="29"/>
      <c r="E47" s="29"/>
      <c r="F47" s="1050"/>
      <c r="G47" s="1051"/>
    </row>
    <row r="48" spans="1:8" x14ac:dyDescent="0.25">
      <c r="A48" s="1165">
        <f t="shared" si="0"/>
        <v>45352</v>
      </c>
      <c r="B48" s="1028">
        <f>VLOOKUP('Petroleum - Dom. Gas - Prices'!A48,'Petroleum - Q&amp;V 2'!$B$11:$N$252,13,FALSE)</f>
        <v>7.1838633958557327</v>
      </c>
      <c r="D48" s="29"/>
      <c r="E48" s="29"/>
      <c r="F48" s="1498" t="s">
        <v>156</v>
      </c>
      <c r="G48" s="1500"/>
    </row>
    <row r="49" spans="1:7" ht="15.75" thickBot="1" x14ac:dyDescent="0.3">
      <c r="A49" s="1165">
        <f t="shared" si="0"/>
        <v>45444</v>
      </c>
      <c r="B49" s="434">
        <f>VLOOKUP('Petroleum - Dom. Gas - Prices'!A49,'Petroleum - Q&amp;V 2'!$B$11:$N$252,13,FALSE)</f>
        <v>7.2338261105106314</v>
      </c>
      <c r="D49" s="29"/>
      <c r="E49" s="29"/>
      <c r="F49" s="1400" t="s">
        <v>551</v>
      </c>
      <c r="G49" s="1401"/>
    </row>
    <row r="50" spans="1:7" x14ac:dyDescent="0.25">
      <c r="A50" s="1165">
        <f t="shared" si="0"/>
        <v>45536</v>
      </c>
      <c r="B50" s="1028">
        <f>VLOOKUP('Petroleum - Dom. Gas - Prices'!A50,'Petroleum - Q&amp;V 2'!$B$11:$N$252,13,FALSE)</f>
        <v>7.1740105323079026</v>
      </c>
      <c r="C50" s="1032"/>
      <c r="F50" s="1394" t="s">
        <v>554</v>
      </c>
      <c r="G50" s="1394"/>
    </row>
    <row r="51" spans="1:7" x14ac:dyDescent="0.25">
      <c r="A51" s="1165">
        <f t="shared" si="0"/>
        <v>45627</v>
      </c>
      <c r="B51" s="434">
        <f>VLOOKUP('Petroleum - Dom. Gas - Prices'!A51,'Petroleum - Q&amp;V 2'!$B$11:$N$252,13,FALSE)</f>
        <v>7.3019034124160918</v>
      </c>
      <c r="D51" s="241"/>
      <c r="E51" s="241"/>
    </row>
    <row r="52" spans="1:7" x14ac:dyDescent="0.25">
      <c r="A52" s="1165">
        <f t="shared" si="0"/>
        <v>45717</v>
      </c>
      <c r="B52" s="1028">
        <f>VLOOKUP('Petroleum - Dom. Gas - Prices'!A52,'Petroleum - Q&amp;V 2'!$B$11:$N$252,13,FALSE)</f>
        <v>7.7279440903258756</v>
      </c>
    </row>
    <row r="53" spans="1:7" x14ac:dyDescent="0.25">
      <c r="A53" s="1165">
        <f t="shared" si="0"/>
        <v>45809</v>
      </c>
      <c r="B53" s="434">
        <f>VLOOKUP('Petroleum - Dom. Gas - Prices'!A53,'Petroleum - Q&amp;V 2'!$B$11:$N$252,13,FALSE)</f>
        <v>7.4411794188725517</v>
      </c>
    </row>
    <row r="54" spans="1:7" x14ac:dyDescent="0.25">
      <c r="A54" s="1165">
        <f>EOMONTH(A55, -4)+1</f>
        <v>45901</v>
      </c>
      <c r="B54" s="1028">
        <f>VLOOKUP('Petroleum - Dom. Gas - Prices'!A54,'Petroleum - Q&amp;V 2'!$B$11:$N$252,13,FALSE)</f>
        <v>7.6799160458467322</v>
      </c>
    </row>
    <row r="55" spans="1:7" ht="15.75" thickBot="1" x14ac:dyDescent="0.3">
      <c r="A55" s="1166">
        <f>LARGE('Petroleum - Q&amp;V 2'!B:B, 1)</f>
        <v>45992</v>
      </c>
      <c r="B55" s="447">
        <f>VLOOKUP('Petroleum - Dom. Gas - Prices'!A55,'Petroleum - Q&amp;V 2'!$B$11:$N$252,13,FALSE)</f>
        <v>7.4545008458880666</v>
      </c>
    </row>
  </sheetData>
  <mergeCells count="7">
    <mergeCell ref="F50:G50"/>
    <mergeCell ref="A7:B7"/>
    <mergeCell ref="F7:G7"/>
    <mergeCell ref="A8:B8"/>
    <mergeCell ref="F8:G8"/>
    <mergeCell ref="F48:G48"/>
    <mergeCell ref="F49:G49"/>
  </mergeCells>
  <dataValidations count="1">
    <dataValidation type="list" allowBlank="1" showInputMessage="1" showErrorMessage="1" promptTitle="Select a Period:" prompt="Select Financial or Calendar years." sqref="F49:G49" xr:uid="{D4D334AE-ECCD-48C5-BF82-3FE9E13B1B7C}">
      <formula1>$X$3:$X$4</formula1>
    </dataValidation>
  </dataValidation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9CA9C-DF19-48B2-B68E-2C91A3581733}">
  <sheetPr>
    <tabColor theme="8" tint="0.39997558519241921"/>
    <pageSetUpPr autoPageBreaks="0"/>
  </sheetPr>
  <dimension ref="A1:Z128"/>
  <sheetViews>
    <sheetView showGridLines="0" zoomScale="85" zoomScaleNormal="85" workbookViewId="0">
      <pane ySplit="10" topLeftCell="A11" activePane="bottomLeft" state="frozen"/>
      <selection pane="bottomLeft"/>
    </sheetView>
  </sheetViews>
  <sheetFormatPr defaultColWidth="9.140625" defaultRowHeight="15" x14ac:dyDescent="0.25"/>
  <cols>
    <col min="1" max="1" width="12.7109375" customWidth="1"/>
    <col min="2" max="7" width="15.7109375" customWidth="1"/>
    <col min="8" max="8" width="14" hidden="1" customWidth="1"/>
    <col min="9" max="9" width="1.85546875" hidden="1" customWidth="1"/>
    <col min="10" max="10" width="8.7109375" customWidth="1"/>
    <col min="19" max="19" width="18.42578125" customWidth="1"/>
    <col min="20" max="20" width="12.7109375" customWidth="1"/>
    <col min="21" max="26" width="15.7109375" customWidth="1"/>
  </cols>
  <sheetData>
    <row r="1" spans="1:22" x14ac:dyDescent="0.25">
      <c r="A1" s="64" t="s">
        <v>178</v>
      </c>
    </row>
    <row r="2" spans="1:22" x14ac:dyDescent="0.25">
      <c r="A2" s="64" t="s">
        <v>179</v>
      </c>
    </row>
    <row r="7" spans="1:22" x14ac:dyDescent="0.25">
      <c r="A7" s="1407" t="s">
        <v>599</v>
      </c>
      <c r="B7" s="1407"/>
      <c r="C7" s="1407"/>
      <c r="D7" s="1407"/>
      <c r="E7" s="1407"/>
      <c r="F7" s="1407"/>
      <c r="G7" s="1407"/>
      <c r="H7" s="145"/>
    </row>
    <row r="8" spans="1:22" ht="15.75" thickBot="1" x14ac:dyDescent="0.3">
      <c r="A8" s="1408" t="s">
        <v>555</v>
      </c>
      <c r="B8" s="1408"/>
      <c r="C8" s="1408"/>
      <c r="D8" s="1408"/>
      <c r="E8" s="1408"/>
      <c r="F8" s="1408"/>
      <c r="G8" s="1408"/>
      <c r="H8" s="145"/>
    </row>
    <row r="9" spans="1:22" x14ac:dyDescent="0.25">
      <c r="A9" s="1052"/>
      <c r="B9" s="1501" t="s">
        <v>196</v>
      </c>
      <c r="C9" s="1502"/>
      <c r="D9" s="1501" t="s">
        <v>193</v>
      </c>
      <c r="E9" s="1503"/>
      <c r="F9" s="1502" t="s">
        <v>600</v>
      </c>
      <c r="G9" s="1504"/>
      <c r="H9" s="487"/>
    </row>
    <row r="10" spans="1:22" x14ac:dyDescent="0.25">
      <c r="A10" s="1053" t="s">
        <v>557</v>
      </c>
      <c r="B10" s="1054" t="s">
        <v>601</v>
      </c>
      <c r="C10" s="1055" t="s">
        <v>559</v>
      </c>
      <c r="D10" s="1054" t="s">
        <v>601</v>
      </c>
      <c r="E10" s="1056" t="s">
        <v>559</v>
      </c>
      <c r="F10" s="1055" t="s">
        <v>601</v>
      </c>
      <c r="G10" s="1057" t="s">
        <v>559</v>
      </c>
      <c r="H10" s="146"/>
    </row>
    <row r="11" spans="1:22" x14ac:dyDescent="0.25">
      <c r="A11" s="1058">
        <v>36220</v>
      </c>
      <c r="B11" s="462">
        <v>1.7620640000000001</v>
      </c>
      <c r="C11" s="626">
        <v>200.01295300000001</v>
      </c>
      <c r="D11" s="455">
        <v>1.245798</v>
      </c>
      <c r="E11" s="462">
        <v>148.50315900000001</v>
      </c>
      <c r="F11" s="462">
        <f>D11+B11</f>
        <v>3.0078620000000003</v>
      </c>
      <c r="G11" s="463">
        <f>E11+C11</f>
        <v>348.51611200000002</v>
      </c>
      <c r="H11" s="29">
        <f>YEAR(A11)</f>
        <v>1999</v>
      </c>
      <c r="I11" s="29" t="str">
        <f>IF(MONTH(A11)=3,"1",IF(MONTH(A11)=6,"2",IF(MONTH(A11)=9,"3","4")))</f>
        <v>1</v>
      </c>
      <c r="T11" s="1393" t="s">
        <v>602</v>
      </c>
      <c r="U11" s="1393"/>
      <c r="V11" s="1393"/>
    </row>
    <row r="12" spans="1:22" ht="15.75" thickBot="1" x14ac:dyDescent="0.3">
      <c r="A12" s="1058">
        <v>36312</v>
      </c>
      <c r="B12" s="1059">
        <v>1.4574940000000001</v>
      </c>
      <c r="C12" s="1060">
        <v>207.42253199999999</v>
      </c>
      <c r="D12" s="1061">
        <v>1.2554799999999999</v>
      </c>
      <c r="E12" s="1059">
        <v>193.994733</v>
      </c>
      <c r="F12" s="1059">
        <f t="shared" ref="F12:G40" si="0">D12+B12</f>
        <v>2.712974</v>
      </c>
      <c r="G12" s="1062">
        <f t="shared" si="0"/>
        <v>401.41726499999999</v>
      </c>
      <c r="H12" s="29">
        <f t="shared" ref="H12:H75" si="1">YEAR(A12)</f>
        <v>1999</v>
      </c>
      <c r="I12" s="29" t="str">
        <f>IF(MONTH(A12)=3,"1",IF(MONTH(A12)=6,"2",IF(MONTH(A12)=9,"3","4")))</f>
        <v>2</v>
      </c>
      <c r="T12" s="1395" t="s">
        <v>561</v>
      </c>
      <c r="U12" s="1395"/>
      <c r="V12" s="1395"/>
    </row>
    <row r="13" spans="1:22" x14ac:dyDescent="0.25">
      <c r="A13" s="1058">
        <v>36404</v>
      </c>
      <c r="B13" s="462">
        <v>2.2850799999999998</v>
      </c>
      <c r="C13" s="626">
        <v>475.87644</v>
      </c>
      <c r="D13" s="455">
        <v>1.5781829999999999</v>
      </c>
      <c r="E13" s="462">
        <v>318.31437699999998</v>
      </c>
      <c r="F13" s="462">
        <f t="shared" si="0"/>
        <v>3.8632629999999999</v>
      </c>
      <c r="G13" s="463">
        <f t="shared" si="0"/>
        <v>794.19081699999992</v>
      </c>
      <c r="H13" s="29">
        <f t="shared" si="1"/>
        <v>1999</v>
      </c>
      <c r="I13" s="29" t="str">
        <f t="shared" ref="I13:I76" si="2">IF(MONTH(A13)=3,"1",IF(MONTH(A13)=6,"2",IF(MONTH(A13)=9,"3","4")))</f>
        <v>3</v>
      </c>
      <c r="T13" s="1063" t="s">
        <v>557</v>
      </c>
      <c r="U13" s="1064" t="s">
        <v>601</v>
      </c>
      <c r="V13" s="1065" t="s">
        <v>559</v>
      </c>
    </row>
    <row r="14" spans="1:22" x14ac:dyDescent="0.25">
      <c r="A14" s="1058">
        <v>36495</v>
      </c>
      <c r="B14" s="1059">
        <v>2.9858009999999999</v>
      </c>
      <c r="C14" s="1060">
        <v>675.97909800000002</v>
      </c>
      <c r="D14" s="1061">
        <v>1.485668</v>
      </c>
      <c r="E14" s="1059">
        <v>352.48540500000001</v>
      </c>
      <c r="F14" s="1059">
        <f t="shared" si="0"/>
        <v>4.4714689999999999</v>
      </c>
      <c r="G14" s="1062">
        <f t="shared" si="0"/>
        <v>1028.4645030000001</v>
      </c>
      <c r="H14" s="29">
        <f t="shared" si="1"/>
        <v>1999</v>
      </c>
      <c r="I14" s="29" t="str">
        <f t="shared" si="2"/>
        <v>4</v>
      </c>
      <c r="T14" s="1058">
        <f>LARGE($A:$A, 9)</f>
        <v>45261</v>
      </c>
      <c r="U14" s="525">
        <f t="shared" ref="U14:V22" si="3">SUMIF($A$11:$A$741,$T14,F$11:F$741)</f>
        <v>3.5454918961549611</v>
      </c>
      <c r="V14" s="434">
        <f t="shared" si="3"/>
        <v>2567.1036080391114</v>
      </c>
    </row>
    <row r="15" spans="1:22" x14ac:dyDescent="0.25">
      <c r="A15" s="1058">
        <v>36586</v>
      </c>
      <c r="B15" s="462">
        <v>3.5222440000000002</v>
      </c>
      <c r="C15" s="626">
        <v>988.31516999999997</v>
      </c>
      <c r="D15" s="455">
        <v>1.7186859999999999</v>
      </c>
      <c r="E15" s="462">
        <v>477.41885100000002</v>
      </c>
      <c r="F15" s="462">
        <f t="shared" si="0"/>
        <v>5.2409300000000005</v>
      </c>
      <c r="G15" s="463">
        <f t="shared" si="0"/>
        <v>1465.734021</v>
      </c>
      <c r="H15" s="29">
        <f t="shared" si="1"/>
        <v>2000</v>
      </c>
      <c r="I15" s="29" t="str">
        <f t="shared" si="2"/>
        <v>1</v>
      </c>
      <c r="T15" s="1058">
        <f>LARGE($A:$A, 8)</f>
        <v>45352</v>
      </c>
      <c r="U15" s="1066">
        <f t="shared" si="3"/>
        <v>3.7808306782891901</v>
      </c>
      <c r="V15" s="1011">
        <f t="shared" si="3"/>
        <v>2747.9213655681715</v>
      </c>
    </row>
    <row r="16" spans="1:22" x14ac:dyDescent="0.25">
      <c r="A16" s="1058">
        <v>36678</v>
      </c>
      <c r="B16" s="1059">
        <v>3.260481</v>
      </c>
      <c r="C16" s="1060">
        <v>1004.59593</v>
      </c>
      <c r="D16" s="1061">
        <v>1.5651109999999999</v>
      </c>
      <c r="E16" s="1059">
        <v>435.71981599999998</v>
      </c>
      <c r="F16" s="1059">
        <f t="shared" si="0"/>
        <v>4.8255920000000003</v>
      </c>
      <c r="G16" s="1062">
        <f t="shared" si="0"/>
        <v>1440.315746</v>
      </c>
      <c r="H16" s="29">
        <f t="shared" si="1"/>
        <v>2000</v>
      </c>
      <c r="I16" s="29" t="str">
        <f t="shared" si="2"/>
        <v>2</v>
      </c>
      <c r="T16" s="1058">
        <f>LARGE($A:$A, 7)</f>
        <v>45444</v>
      </c>
      <c r="U16" s="525">
        <f t="shared" si="3"/>
        <v>3.5585132151392509</v>
      </c>
      <c r="V16" s="434">
        <f t="shared" si="3"/>
        <v>2694.0264890210628</v>
      </c>
    </row>
    <row r="17" spans="1:24" x14ac:dyDescent="0.25">
      <c r="A17" s="1058">
        <v>36770</v>
      </c>
      <c r="B17" s="462">
        <v>3.5014810000000001</v>
      </c>
      <c r="C17" s="626">
        <v>1287.8987099999999</v>
      </c>
      <c r="D17" s="455">
        <v>1.521156</v>
      </c>
      <c r="E17" s="462">
        <v>524.73260700000003</v>
      </c>
      <c r="F17" s="462">
        <f t="shared" si="0"/>
        <v>5.0226369999999996</v>
      </c>
      <c r="G17" s="463">
        <f t="shared" si="0"/>
        <v>1812.6313169999999</v>
      </c>
      <c r="H17" s="29">
        <f t="shared" si="1"/>
        <v>2000</v>
      </c>
      <c r="I17" s="29" t="str">
        <f t="shared" si="2"/>
        <v>3</v>
      </c>
      <c r="T17" s="1058">
        <f>LARGE($A:$A, 6)</f>
        <v>45536</v>
      </c>
      <c r="U17" s="1066">
        <f t="shared" si="3"/>
        <v>3.4752793458847591</v>
      </c>
      <c r="V17" s="1011">
        <f t="shared" si="3"/>
        <v>2431.6678210110786</v>
      </c>
    </row>
    <row r="18" spans="1:24" x14ac:dyDescent="0.25">
      <c r="A18" s="1058">
        <v>36861</v>
      </c>
      <c r="B18" s="1059">
        <v>3.459209</v>
      </c>
      <c r="C18" s="1060">
        <v>1191.6063360000001</v>
      </c>
      <c r="D18" s="1061">
        <v>1.391394</v>
      </c>
      <c r="E18" s="1059">
        <v>508.49971399999998</v>
      </c>
      <c r="F18" s="1059">
        <f t="shared" si="0"/>
        <v>4.8506029999999996</v>
      </c>
      <c r="G18" s="1062">
        <f t="shared" si="0"/>
        <v>1700.1060500000001</v>
      </c>
      <c r="H18" s="29">
        <f t="shared" si="1"/>
        <v>2000</v>
      </c>
      <c r="I18" s="29" t="str">
        <f t="shared" si="2"/>
        <v>4</v>
      </c>
      <c r="T18" s="1058">
        <f>LARGE($A:$A, 5)</f>
        <v>45627</v>
      </c>
      <c r="U18" s="525">
        <f t="shared" si="3"/>
        <v>3.6029873794181082</v>
      </c>
      <c r="V18" s="434">
        <f t="shared" si="3"/>
        <v>2429.6059500326264</v>
      </c>
    </row>
    <row r="19" spans="1:24" x14ac:dyDescent="0.25">
      <c r="A19" s="1058">
        <v>36951</v>
      </c>
      <c r="B19" s="462">
        <v>3.7562519999999999</v>
      </c>
      <c r="C19" s="626">
        <v>1238.314519</v>
      </c>
      <c r="D19" s="455">
        <v>1.461999</v>
      </c>
      <c r="E19" s="462">
        <v>472.85967299999999</v>
      </c>
      <c r="F19" s="462">
        <f t="shared" si="0"/>
        <v>5.2182510000000004</v>
      </c>
      <c r="G19" s="463">
        <f t="shared" si="0"/>
        <v>1711.1741919999999</v>
      </c>
      <c r="H19" s="29">
        <f t="shared" si="1"/>
        <v>2001</v>
      </c>
      <c r="I19" s="29" t="str">
        <f t="shared" si="2"/>
        <v>1</v>
      </c>
      <c r="T19" s="1058">
        <f>LARGE($A:$A, 4)</f>
        <v>45717</v>
      </c>
      <c r="U19" s="1066">
        <f t="shared" si="3"/>
        <v>3.1625543742550635</v>
      </c>
      <c r="V19" s="1011">
        <f t="shared" si="3"/>
        <v>2377.6672453766</v>
      </c>
    </row>
    <row r="20" spans="1:24" x14ac:dyDescent="0.25">
      <c r="A20" s="1058">
        <v>37043</v>
      </c>
      <c r="B20" s="1059">
        <v>3.240332</v>
      </c>
      <c r="C20" s="1060">
        <v>1074.2325169999999</v>
      </c>
      <c r="D20" s="1061">
        <v>1.434911</v>
      </c>
      <c r="E20" s="1059">
        <v>478.43494600000002</v>
      </c>
      <c r="F20" s="1059">
        <f t="shared" si="0"/>
        <v>4.675243</v>
      </c>
      <c r="G20" s="1062">
        <f t="shared" si="0"/>
        <v>1552.667463</v>
      </c>
      <c r="H20" s="29">
        <f t="shared" si="1"/>
        <v>2001</v>
      </c>
      <c r="I20" s="29" t="str">
        <f t="shared" si="2"/>
        <v>2</v>
      </c>
      <c r="T20" s="1058">
        <f>LARGE($A:$A, 3)</f>
        <v>45809</v>
      </c>
      <c r="U20" s="525">
        <f t="shared" si="3"/>
        <v>3.5810256828232627</v>
      </c>
      <c r="V20" s="434">
        <f t="shared" si="3"/>
        <v>2549.8829423113266</v>
      </c>
    </row>
    <row r="21" spans="1:24" x14ac:dyDescent="0.25">
      <c r="A21" s="1058">
        <v>37135</v>
      </c>
      <c r="B21" s="462">
        <v>3.5867040000000001</v>
      </c>
      <c r="C21" s="626">
        <v>1115.118109</v>
      </c>
      <c r="D21" s="455">
        <v>1.6060540000000001</v>
      </c>
      <c r="E21" s="462">
        <v>481.962243</v>
      </c>
      <c r="F21" s="462">
        <f t="shared" si="0"/>
        <v>5.1927580000000004</v>
      </c>
      <c r="G21" s="463">
        <f t="shared" si="0"/>
        <v>1597.0803519999999</v>
      </c>
      <c r="H21" s="29">
        <f t="shared" si="1"/>
        <v>2001</v>
      </c>
      <c r="I21" s="29" t="str">
        <f t="shared" si="2"/>
        <v>3</v>
      </c>
      <c r="T21" s="1058">
        <f>LARGE($A:$A, 2)</f>
        <v>45901</v>
      </c>
      <c r="U21" s="1066">
        <f t="shared" si="3"/>
        <v>3.0050354038771037</v>
      </c>
      <c r="V21" s="1011">
        <f t="shared" si="3"/>
        <v>1785.0011311881458</v>
      </c>
    </row>
    <row r="22" spans="1:24" ht="15.75" thickBot="1" x14ac:dyDescent="0.3">
      <c r="A22" s="1058">
        <v>37226</v>
      </c>
      <c r="B22" s="1059">
        <v>3.477967</v>
      </c>
      <c r="C22" s="1060">
        <v>818.91795400000001</v>
      </c>
      <c r="D22" s="1061">
        <v>1.5121039999999999</v>
      </c>
      <c r="E22" s="1059">
        <v>354.651475</v>
      </c>
      <c r="F22" s="1059">
        <f t="shared" si="0"/>
        <v>4.9900710000000004</v>
      </c>
      <c r="G22" s="1062">
        <f t="shared" si="0"/>
        <v>1173.5694290000001</v>
      </c>
      <c r="H22" s="29">
        <f t="shared" si="1"/>
        <v>2001</v>
      </c>
      <c r="I22" s="29" t="str">
        <f t="shared" si="2"/>
        <v>4</v>
      </c>
      <c r="T22" s="1067">
        <f>LARGE($A:$A, 1)</f>
        <v>45992</v>
      </c>
      <c r="U22" s="667">
        <f t="shared" si="3"/>
        <v>2.9546653859775356</v>
      </c>
      <c r="V22" s="447">
        <f t="shared" si="3"/>
        <v>1834.9761975753631</v>
      </c>
    </row>
    <row r="23" spans="1:24" x14ac:dyDescent="0.25">
      <c r="A23" s="1058">
        <v>37316</v>
      </c>
      <c r="B23" s="462">
        <v>4.0860620000000001</v>
      </c>
      <c r="C23" s="626">
        <v>1117.3454730000001</v>
      </c>
      <c r="D23" s="455">
        <v>1.5268969999999999</v>
      </c>
      <c r="E23" s="462">
        <v>371.24079799999998</v>
      </c>
      <c r="F23" s="462">
        <f t="shared" si="0"/>
        <v>5.612959</v>
      </c>
      <c r="G23" s="463">
        <f t="shared" si="0"/>
        <v>1488.5862710000001</v>
      </c>
      <c r="H23" s="29">
        <f t="shared" si="1"/>
        <v>2002</v>
      </c>
      <c r="I23" s="29" t="str">
        <f t="shared" si="2"/>
        <v>1</v>
      </c>
      <c r="T23" s="469"/>
    </row>
    <row r="24" spans="1:24" x14ac:dyDescent="0.25">
      <c r="A24" s="1058">
        <v>37408</v>
      </c>
      <c r="B24" s="1059">
        <v>3.937119</v>
      </c>
      <c r="C24" s="1060">
        <v>1147.3291750000001</v>
      </c>
      <c r="D24" s="1061">
        <v>1.6809480000000001</v>
      </c>
      <c r="E24" s="1059">
        <v>472.17899</v>
      </c>
      <c r="F24" s="1059">
        <f t="shared" si="0"/>
        <v>5.6180669999999999</v>
      </c>
      <c r="G24" s="1062">
        <f t="shared" si="0"/>
        <v>1619.5081650000002</v>
      </c>
      <c r="H24" s="29">
        <f t="shared" si="1"/>
        <v>2002</v>
      </c>
      <c r="I24" s="29" t="str">
        <f t="shared" si="2"/>
        <v>2</v>
      </c>
      <c r="T24" s="469"/>
    </row>
    <row r="25" spans="1:24" x14ac:dyDescent="0.25">
      <c r="A25" s="1058">
        <v>37500</v>
      </c>
      <c r="B25" s="462">
        <v>3.7312120000000002</v>
      </c>
      <c r="C25" s="626">
        <v>1198.2107100000001</v>
      </c>
      <c r="D25" s="455">
        <v>1.897149</v>
      </c>
      <c r="E25" s="462">
        <v>573.09577100000001</v>
      </c>
      <c r="F25" s="462">
        <f t="shared" si="0"/>
        <v>5.6283609999999999</v>
      </c>
      <c r="G25" s="463">
        <f t="shared" si="0"/>
        <v>1771.3064810000001</v>
      </c>
      <c r="H25" s="29">
        <f t="shared" si="1"/>
        <v>2002</v>
      </c>
      <c r="I25" s="29" t="str">
        <f t="shared" si="2"/>
        <v>3</v>
      </c>
      <c r="T25" s="469"/>
    </row>
    <row r="26" spans="1:24" x14ac:dyDescent="0.25">
      <c r="A26" s="1058">
        <v>37591</v>
      </c>
      <c r="B26" s="1059">
        <v>3.5340229999999999</v>
      </c>
      <c r="C26" s="1060">
        <v>1039.8336999999999</v>
      </c>
      <c r="D26" s="1061">
        <v>1.7735669999999999</v>
      </c>
      <c r="E26" s="1059">
        <v>512.06028600000002</v>
      </c>
      <c r="F26" s="1059">
        <f t="shared" si="0"/>
        <v>5.3075899999999994</v>
      </c>
      <c r="G26" s="1062">
        <f t="shared" si="0"/>
        <v>1551.893986</v>
      </c>
      <c r="H26" s="29">
        <f t="shared" si="1"/>
        <v>2002</v>
      </c>
      <c r="I26" s="29" t="str">
        <f t="shared" si="2"/>
        <v>4</v>
      </c>
      <c r="T26" s="469"/>
    </row>
    <row r="27" spans="1:24" x14ac:dyDescent="0.25">
      <c r="A27" s="1058">
        <v>37681</v>
      </c>
      <c r="B27" s="462">
        <v>3.1149810000000002</v>
      </c>
      <c r="C27" s="626">
        <v>1059.5078820000001</v>
      </c>
      <c r="D27" s="455">
        <v>1.767471</v>
      </c>
      <c r="E27" s="462">
        <v>585.91432899999995</v>
      </c>
      <c r="F27" s="462">
        <f t="shared" si="0"/>
        <v>4.8824520000000007</v>
      </c>
      <c r="G27" s="463">
        <f t="shared" si="0"/>
        <v>1645.4222110000001</v>
      </c>
      <c r="H27" s="29">
        <f t="shared" si="1"/>
        <v>2003</v>
      </c>
      <c r="I27" s="29" t="str">
        <f t="shared" si="2"/>
        <v>1</v>
      </c>
      <c r="T27" s="469"/>
      <c r="V27" t="s">
        <v>238</v>
      </c>
    </row>
    <row r="28" spans="1:24" x14ac:dyDescent="0.25">
      <c r="A28" s="1058">
        <v>37773</v>
      </c>
      <c r="B28" s="1059">
        <v>3.6240830000000002</v>
      </c>
      <c r="C28" s="1060">
        <v>960.57250499999998</v>
      </c>
      <c r="D28" s="1061">
        <v>1.4959690000000001</v>
      </c>
      <c r="E28" s="1059">
        <v>375.29238700000002</v>
      </c>
      <c r="F28" s="1059">
        <f t="shared" si="0"/>
        <v>5.1200520000000003</v>
      </c>
      <c r="G28" s="1062">
        <f t="shared" si="0"/>
        <v>1335.8648920000001</v>
      </c>
      <c r="H28" s="29">
        <f t="shared" si="1"/>
        <v>2003</v>
      </c>
      <c r="I28" s="29" t="str">
        <f t="shared" si="2"/>
        <v>2</v>
      </c>
      <c r="T28" s="469"/>
    </row>
    <row r="29" spans="1:24" x14ac:dyDescent="0.25">
      <c r="A29" s="1058">
        <v>37865</v>
      </c>
      <c r="B29" s="462">
        <v>3.9139629999999999</v>
      </c>
      <c r="C29" s="626">
        <v>1060.1358299999999</v>
      </c>
      <c r="D29" s="455">
        <v>1.8340510000000001</v>
      </c>
      <c r="E29" s="462">
        <v>480.41519099999999</v>
      </c>
      <c r="F29" s="462">
        <f t="shared" si="0"/>
        <v>5.7480139999999995</v>
      </c>
      <c r="G29" s="463">
        <f t="shared" si="0"/>
        <v>1540.551021</v>
      </c>
      <c r="H29" s="29">
        <f t="shared" si="1"/>
        <v>2003</v>
      </c>
      <c r="I29" s="29" t="str">
        <f t="shared" si="2"/>
        <v>3</v>
      </c>
      <c r="T29" s="469"/>
    </row>
    <row r="30" spans="1:24" x14ac:dyDescent="0.25">
      <c r="A30" s="1058">
        <v>37956</v>
      </c>
      <c r="B30" s="1059">
        <v>3.466307</v>
      </c>
      <c r="C30" s="1060">
        <v>946.84622999999999</v>
      </c>
      <c r="D30" s="1061">
        <v>1.2962530000000001</v>
      </c>
      <c r="E30" s="1059">
        <v>333.37376</v>
      </c>
      <c r="F30" s="1059">
        <f t="shared" si="0"/>
        <v>4.7625600000000006</v>
      </c>
      <c r="G30" s="1062">
        <f t="shared" si="0"/>
        <v>1280.2199900000001</v>
      </c>
      <c r="H30" s="29">
        <f t="shared" si="1"/>
        <v>2003</v>
      </c>
      <c r="I30" s="29" t="str">
        <f t="shared" si="2"/>
        <v>4</v>
      </c>
      <c r="X30" s="1068"/>
    </row>
    <row r="31" spans="1:24" x14ac:dyDescent="0.25">
      <c r="A31" s="1058">
        <v>38047</v>
      </c>
      <c r="B31" s="462">
        <v>3.2103959999999998</v>
      </c>
      <c r="C31" s="626">
        <v>909.28289800000005</v>
      </c>
      <c r="D31" s="455">
        <v>1.595933</v>
      </c>
      <c r="E31" s="462">
        <v>450.41567700000002</v>
      </c>
      <c r="F31" s="462">
        <f t="shared" si="0"/>
        <v>4.8063289999999999</v>
      </c>
      <c r="G31" s="463">
        <f t="shared" si="0"/>
        <v>1359.6985750000001</v>
      </c>
      <c r="H31" s="29">
        <f t="shared" si="1"/>
        <v>2004</v>
      </c>
      <c r="I31" s="29" t="str">
        <f t="shared" si="2"/>
        <v>1</v>
      </c>
    </row>
    <row r="32" spans="1:24" x14ac:dyDescent="0.25">
      <c r="A32" s="1058">
        <v>38139</v>
      </c>
      <c r="B32" s="1059">
        <v>2.63245</v>
      </c>
      <c r="C32" s="1060">
        <v>857.37622999999996</v>
      </c>
      <c r="D32" s="1061">
        <v>1.455247</v>
      </c>
      <c r="E32" s="1059">
        <v>483.30196100000001</v>
      </c>
      <c r="F32" s="1059">
        <f t="shared" si="0"/>
        <v>4.0876970000000004</v>
      </c>
      <c r="G32" s="1062">
        <f t="shared" si="0"/>
        <v>1340.678191</v>
      </c>
      <c r="H32" s="29">
        <f t="shared" si="1"/>
        <v>2004</v>
      </c>
      <c r="I32" s="29" t="str">
        <f t="shared" si="2"/>
        <v>2</v>
      </c>
    </row>
    <row r="33" spans="1:26" x14ac:dyDescent="0.25">
      <c r="A33" s="1058">
        <v>38231</v>
      </c>
      <c r="B33" s="462">
        <v>3.3540009999999998</v>
      </c>
      <c r="C33" s="626">
        <v>1316.4309470000001</v>
      </c>
      <c r="D33" s="455">
        <v>1.0507740000000001</v>
      </c>
      <c r="E33" s="462">
        <v>585.40628300000003</v>
      </c>
      <c r="F33" s="462">
        <f t="shared" si="0"/>
        <v>4.4047749999999999</v>
      </c>
      <c r="G33" s="463">
        <f t="shared" si="0"/>
        <v>1901.8372300000001</v>
      </c>
      <c r="H33" s="29">
        <f t="shared" si="1"/>
        <v>2004</v>
      </c>
      <c r="I33" s="29" t="str">
        <f t="shared" si="2"/>
        <v>3</v>
      </c>
    </row>
    <row r="34" spans="1:26" ht="15.75" thickBot="1" x14ac:dyDescent="0.3">
      <c r="A34" s="1058">
        <v>38322</v>
      </c>
      <c r="B34" s="1059">
        <v>3.0219999999999998</v>
      </c>
      <c r="C34" s="1060">
        <v>1126.22</v>
      </c>
      <c r="D34" s="1061">
        <v>1.381448</v>
      </c>
      <c r="E34" s="1059">
        <v>503.84818999999999</v>
      </c>
      <c r="F34" s="1059">
        <f t="shared" si="0"/>
        <v>4.403448</v>
      </c>
      <c r="G34" s="1062">
        <f t="shared" si="0"/>
        <v>1630.06819</v>
      </c>
      <c r="H34" s="29">
        <f t="shared" si="1"/>
        <v>2004</v>
      </c>
      <c r="I34" s="29" t="str">
        <f t="shared" si="2"/>
        <v>4</v>
      </c>
    </row>
    <row r="35" spans="1:26" x14ac:dyDescent="0.25">
      <c r="A35" s="1058">
        <v>38412</v>
      </c>
      <c r="B35" s="462">
        <v>2.9159229999999998</v>
      </c>
      <c r="C35" s="626">
        <v>1152.8327589999999</v>
      </c>
      <c r="D35" s="455">
        <v>1.4509399999999999</v>
      </c>
      <c r="E35" s="462">
        <v>557.82519400000001</v>
      </c>
      <c r="F35" s="462">
        <f t="shared" si="0"/>
        <v>4.3668629999999995</v>
      </c>
      <c r="G35" s="463">
        <f t="shared" si="0"/>
        <v>1710.6579529999999</v>
      </c>
      <c r="H35" s="29">
        <f t="shared" si="1"/>
        <v>2005</v>
      </c>
      <c r="I35" s="29" t="str">
        <f t="shared" si="2"/>
        <v>1</v>
      </c>
      <c r="T35" s="1069" t="s">
        <v>158</v>
      </c>
      <c r="U35" s="1505" t="s">
        <v>178</v>
      </c>
      <c r="V35" s="1505"/>
      <c r="W35" s="1505"/>
      <c r="X35" s="1505"/>
      <c r="Y35" s="1505"/>
      <c r="Z35" s="1506"/>
    </row>
    <row r="36" spans="1:26" x14ac:dyDescent="0.25">
      <c r="A36" s="1058">
        <v>38504</v>
      </c>
      <c r="B36" s="1059">
        <v>3.4811040000000002</v>
      </c>
      <c r="C36" s="1060">
        <v>1581.3614889999999</v>
      </c>
      <c r="D36" s="1061">
        <v>1.290584</v>
      </c>
      <c r="E36" s="1059">
        <v>556.04359999999997</v>
      </c>
      <c r="F36" s="1059">
        <f t="shared" si="0"/>
        <v>4.7716880000000002</v>
      </c>
      <c r="G36" s="1062">
        <f t="shared" si="0"/>
        <v>2137.4050889999999</v>
      </c>
      <c r="H36" s="29">
        <f t="shared" si="1"/>
        <v>2005</v>
      </c>
      <c r="I36" s="29" t="str">
        <f t="shared" si="2"/>
        <v>2</v>
      </c>
      <c r="T36" s="1507" t="str">
        <f>CONCATENATE(A7," Quantity And Value By ",U35)</f>
        <v>Crude Oil And Condensate Quantity And Value By Calendar Year</v>
      </c>
      <c r="U36" s="1508"/>
      <c r="V36" s="1508"/>
      <c r="W36" s="1508"/>
      <c r="X36" s="1508"/>
      <c r="Y36" s="1508"/>
      <c r="Z36" s="1509"/>
    </row>
    <row r="37" spans="1:26" x14ac:dyDescent="0.25">
      <c r="A37" s="1058">
        <v>38596</v>
      </c>
      <c r="B37" s="462">
        <v>3.6096870000000001</v>
      </c>
      <c r="C37" s="626">
        <v>1873.904747</v>
      </c>
      <c r="D37" s="455">
        <v>1.567458</v>
      </c>
      <c r="E37" s="462">
        <v>759.64761499999997</v>
      </c>
      <c r="F37" s="462">
        <f t="shared" si="0"/>
        <v>5.1771450000000003</v>
      </c>
      <c r="G37" s="463">
        <f t="shared" si="0"/>
        <v>2633.5523619999999</v>
      </c>
      <c r="H37" s="29">
        <f t="shared" si="1"/>
        <v>2005</v>
      </c>
      <c r="I37" s="29" t="str">
        <f t="shared" si="2"/>
        <v>3</v>
      </c>
      <c r="T37" s="1070"/>
      <c r="U37" s="1510" t="str">
        <f>B9</f>
        <v>Crude Oil</v>
      </c>
      <c r="V37" s="1511"/>
      <c r="W37" s="1510" t="str">
        <f>D9</f>
        <v>Condensate</v>
      </c>
      <c r="X37" s="1511"/>
      <c r="Y37" s="1512" t="str">
        <f>F9</f>
        <v>Combined Total</v>
      </c>
      <c r="Z37" s="1513"/>
    </row>
    <row r="38" spans="1:26" x14ac:dyDescent="0.25">
      <c r="A38" s="1058">
        <v>38687</v>
      </c>
      <c r="B38" s="1059">
        <v>3.1671830000000001</v>
      </c>
      <c r="C38" s="1060">
        <v>1554.1713749999999</v>
      </c>
      <c r="D38" s="1061">
        <v>1.575518</v>
      </c>
      <c r="E38" s="1059">
        <v>703.38319000000001</v>
      </c>
      <c r="F38" s="1059">
        <f t="shared" si="0"/>
        <v>4.7427010000000003</v>
      </c>
      <c r="G38" s="1062">
        <f t="shared" si="0"/>
        <v>2257.5545649999999</v>
      </c>
      <c r="H38" s="29">
        <f t="shared" si="1"/>
        <v>2005</v>
      </c>
      <c r="I38" s="29" t="str">
        <f t="shared" si="2"/>
        <v>4</v>
      </c>
      <c r="T38" s="1002" t="s">
        <v>272</v>
      </c>
      <c r="U38" s="1071" t="str">
        <f>B10</f>
        <v>Quantity (GL)</v>
      </c>
      <c r="V38" s="1072" t="str">
        <f>C10</f>
        <v>Value ($ Million)</v>
      </c>
      <c r="W38" s="1071" t="str">
        <f>D10</f>
        <v>Quantity (GL)</v>
      </c>
      <c r="X38" s="1072" t="str">
        <f>E10</f>
        <v>Value ($ Million)</v>
      </c>
      <c r="Y38" s="1073" t="str">
        <f>F10</f>
        <v>Quantity (GL)</v>
      </c>
      <c r="Z38" s="1006" t="str">
        <f>G10</f>
        <v>Value ($ Million)</v>
      </c>
    </row>
    <row r="39" spans="1:26" x14ac:dyDescent="0.25">
      <c r="A39" s="1058">
        <v>38777</v>
      </c>
      <c r="B39" s="462">
        <v>2.1416059999999999</v>
      </c>
      <c r="C39" s="626">
        <v>1170.1441870000001</v>
      </c>
      <c r="D39" s="455">
        <v>1.3033360000000001</v>
      </c>
      <c r="E39" s="462">
        <v>673.69742699999995</v>
      </c>
      <c r="F39" s="462">
        <f t="shared" si="0"/>
        <v>3.4449420000000002</v>
      </c>
      <c r="G39" s="463">
        <f t="shared" si="0"/>
        <v>1843.8416139999999</v>
      </c>
      <c r="H39" s="29">
        <f t="shared" si="1"/>
        <v>2006</v>
      </c>
      <c r="I39" s="29" t="str">
        <f t="shared" si="2"/>
        <v>1</v>
      </c>
      <c r="T39" s="1074">
        <f t="shared" ref="T39:T56" si="4">IF($U$35="Calendar Year", T40-1, LEFT(T40,4)-1 &amp; "-" &amp; MID(T40,3,2))</f>
        <v>2006</v>
      </c>
      <c r="U39" s="573">
        <f>IF($U$35="Calendar Year",SUMIF($H$11:$H$203,$T39,$B$11:$B$203),SUMIFS($B$11:$B$203,$H$11:$H$203,LEFT($T39,4),$I$11:$I$203,3)+SUMIFS($B$11:$B$203,$H$11:$H$203,LEFT($T39,4),$I$11:$I$203,4)+SUMIFS($B$11:$B$203,$H$11:$H$203,LEFT($T39,4)+1,$I$11:$I$203,1)+SUMIFS($B$11:$B$203,$H$11:$H$203,LEFT($T39,4)+1,$I$11:$I$203,2))</f>
        <v>11.953792</v>
      </c>
      <c r="V39" s="1075">
        <f>IF($U$35="Calendar Year",SUMIF($H$11:$H$203,$T39,$C$11:$C$203),SUMIFS($C$11:$C$203,$H$11:$H$203,LEFT($T39,4),$I$11:$I$203,3)+SUMIFS($C$11:$C$203,$H$11:$H$203,LEFT($T39,4),$I$11:$I$203,4)+SUMIFS($C$11:$C$203,$H$11:$H$203,LEFT($T39,4)+1,$I$11:$I$203,1)+SUMIFS($C$11:$C$203,$H$11:$H$203,LEFT($T39,4)+1,$I$11:$I$203,2))</f>
        <v>6602.8006539999997</v>
      </c>
      <c r="W39" s="548">
        <f>IF($U$35="Calendar Year",SUMIF($H$11:$H$203,$T39,$D$11:$D$203),SUMIFS($D$11:$D$203,$H$11:$H$203,LEFT($T39,4),$I$11:$I$203,3)+SUMIFS($D$11:$D$203,$H$11:$H$203,LEFT($T39,4),$I$11:$I$203,4)+SUMIFS($D$11:$D$203,$H$11:$H$203,LEFT($T39,4)+1,$I$11:$I$203,1)+SUMIFS($D$11:$D$203,$H$11:$H$203,LEFT($T39,4)+1,$I$11:$I$203,2))</f>
        <v>5.6091509999999998</v>
      </c>
      <c r="X39" s="1075">
        <f>IF($U$35="Calendar Year",SUMIF($H$11:$H$203,$T39,$E$11:$E$203),SUMIFS($E$11:$E$203,$H$11:$H$203,LEFT($T39,4),$I$11:$I$203,3)+SUMIFS($E$11:$E$203,$H$11:$H$203,LEFT($T39,4),$I$11:$I$203,4)+SUMIFS($E$11:$E$203,$H$11:$H$203,LEFT($T39,4)+1,$I$11:$I$203,1)+SUMIFS($E$11:$E$203,$H$11:$H$203,LEFT($T39,4)+1,$I$11:$I$203,2))</f>
        <v>2940.1860790000001</v>
      </c>
      <c r="Y39" s="573">
        <f>IF($U$35="Calendar Year",SUMIF($H$11:$H$203,$T39,$F$11:$F$203),SUMIFS($F$11:$F$203,$H$11:$H$203,LEFT($T39,4),$I$11:$I$203,3)+SUMIFS($F$11:$F$203,$H$11:$H$203,LEFT($T39,4),$I$11:$I$203,4)+SUMIFS($F$11:$F$203,$H$11:$H$203,LEFT($T39,4)+1,$I$11:$I$203,1)+SUMIFS($F$11:$F$203,$H$11:$H$203,LEFT($T39,4)+1,$I$11:$I$203,2))</f>
        <v>17.562943000000001</v>
      </c>
      <c r="Z39" s="851">
        <f>IF($U$35="Calendar Year",SUMIF($H$11:$H$203,$T39,$G$11:$G$203),SUMIFS($G$11:$G$203,$H$11:$H$203,LEFT($T39,4),$I$11:$I$203,3)+SUMIFS($G$11:$G$203,$H$11:$H$203,LEFT($T39,4),$I$11:$I$203,4)+SUMIFS($G$11:$G$203,$H$11:$H$203,LEFT($T39,4)+1,$I$11:$I$203,1)+SUMIFS($G$11:$G$203,$H$11:$H$203,LEFT($T39,4)+1,$I$11:$I$203,2))</f>
        <v>9542.9867329999997</v>
      </c>
    </row>
    <row r="40" spans="1:26" x14ac:dyDescent="0.25">
      <c r="A40" s="1058">
        <v>38869</v>
      </c>
      <c r="B40" s="1059">
        <v>2.2245020000000002</v>
      </c>
      <c r="C40" s="1060">
        <v>1303.0710779999999</v>
      </c>
      <c r="D40" s="1061">
        <v>1.179875</v>
      </c>
      <c r="E40" s="1059">
        <v>654.89832699999999</v>
      </c>
      <c r="F40" s="1059">
        <f t="shared" si="0"/>
        <v>3.4043770000000002</v>
      </c>
      <c r="G40" s="1062">
        <f t="shared" si="0"/>
        <v>1957.9694049999998</v>
      </c>
      <c r="H40" s="29">
        <f t="shared" si="1"/>
        <v>2006</v>
      </c>
      <c r="I40" s="29" t="str">
        <f t="shared" si="2"/>
        <v>2</v>
      </c>
      <c r="T40" s="1074">
        <f t="shared" si="4"/>
        <v>2007</v>
      </c>
      <c r="U40" s="1076">
        <f t="shared" ref="U40:U58" si="5">IF(T40="","",IF($U$35="Calendar Year",SUMIF($H$11:$H$203,$T40,$B$11:$B$203),SUMIFS($B$11:$B$203,$H$11:$H$203,LEFT($T40,4),$I$11:$I$203,3)+SUMIFS($B$11:$B$203,$H$11:$H$203,LEFT($T40,4),$I$11:$I$203,4)+SUMIFS($B$11:$B$203,$H$11:$H$203,LEFT($T40,4)+1,$I$11:$I$203,1)+SUMIFS($B$11:$B$203,$H$11:$H$203,LEFT($T40,4)+1,$I$11:$I$203,2)))</f>
        <v>13.195792000000001</v>
      </c>
      <c r="V40" s="1077">
        <f t="shared" ref="V40:V58" si="6">IF(T40="","",IF($U$35="Calendar Year",SUMIF($H$11:$H$203,$T40,$C$11:$C$203),SUMIFS($C$11:$C$203,$H$11:$H$203,LEFT($T40,4),$I$11:$I$203,3)+SUMIFS($C$11:$C$203,$H$11:$H$203,LEFT($T40,4),$I$11:$I$203,4)+SUMIFS($C$11:$C$203,$H$11:$H$203,LEFT($T40,4)+1,$I$11:$I$203,1)+SUMIFS($C$11:$C$203,$H$11:$H$203,LEFT($T40,4)+1,$I$11:$I$203,2)))</f>
        <v>7384.2922500000004</v>
      </c>
      <c r="W40" s="1078">
        <f t="shared" ref="W40:W58" si="7">IF(T40="","",IF($U$35="Calendar Year",SUMIF($H$11:$H$203,$T40,$D$11:$D$203),SUMIFS($D$11:$D$203,$H$11:$H$203,LEFT($T40,4),$I$11:$I$203,3)+SUMIFS($D$11:$D$203,$H$11:$H$203,LEFT($T40,4),$I$11:$I$203,4)+SUMIFS($D$11:$D$203,$H$11:$H$203,LEFT($T40,4)+1,$I$11:$I$203,1)+SUMIFS($D$11:$D$203,$H$11:$H$203,LEFT($T40,4)+1,$I$11:$I$203,2)))</f>
        <v>5.8556540000000004</v>
      </c>
      <c r="X40" s="1077">
        <f t="shared" ref="X40:X58" si="8">IF(T40="","",IF($U$35="Calendar Year",SUMIF($H$11:$H$203,$T40,$E$11:$E$203),SUMIFS($E$11:$E$203,$H$11:$H$203,LEFT($T40,4),$I$11:$I$203,3)+SUMIFS($E$11:$E$203,$H$11:$H$203,LEFT($T40,4),$I$11:$I$203,4)+SUMIFS($E$11:$E$203,$H$11:$H$203,LEFT($T40,4)+1,$I$11:$I$203,1)+SUMIFS($E$11:$E$203,$H$11:$H$203,LEFT($T40,4)+1,$I$11:$I$203,2)))</f>
        <v>3236.7550179999998</v>
      </c>
      <c r="Y40" s="1076">
        <f t="shared" ref="Y40:Y58" si="9">IF(T40="","",IF($U$35="Calendar Year",SUMIF($H$11:$H$203,$T40,$F$11:$F$203),SUMIFS($F$11:$F$203,$H$11:$H$203,LEFT($T40,4),$I$11:$I$203,3)+SUMIFS($F$11:$F$203,$H$11:$H$203,LEFT($T40,4),$I$11:$I$203,4)+SUMIFS($F$11:$F$203,$H$11:$H$203,LEFT($T40,4)+1,$I$11:$I$203,1)+SUMIFS($F$11:$F$203,$H$11:$H$203,LEFT($T40,4)+1,$I$11:$I$203,2)))</f>
        <v>19.051446000000002</v>
      </c>
      <c r="Z40" s="1028">
        <f t="shared" ref="Z40:Z58" si="10">IF(T40="","",IF($U$35="Calendar Year",SUMIF($H$11:$H$203,$T40,$G$11:$G$203),SUMIFS($G$11:$G$203,$H$11:$H$203,LEFT($T40,4),$I$11:$I$203,3)+SUMIFS($G$11:$G$203,$H$11:$H$203,LEFT($T40,4),$I$11:$I$203,4)+SUMIFS($G$11:$G$203,$H$11:$H$203,LEFT($T40,4)+1,$I$11:$I$203,1)+SUMIFS($G$11:$G$203,$H$11:$H$203,LEFT($T40,4)+1,$I$11:$I$203,2)))</f>
        <v>10621.047267999998</v>
      </c>
    </row>
    <row r="41" spans="1:26" x14ac:dyDescent="0.25">
      <c r="A41" s="1058">
        <v>38961</v>
      </c>
      <c r="B41" s="462">
        <v>3.8089599999999999</v>
      </c>
      <c r="C41" s="626">
        <v>2275.9902149999998</v>
      </c>
      <c r="D41" s="455">
        <v>1.4312910000000001</v>
      </c>
      <c r="E41" s="462">
        <v>805.00033199999996</v>
      </c>
      <c r="F41" s="462">
        <f t="shared" ref="F41:F104" si="11">D41+B41</f>
        <v>5.2402509999999998</v>
      </c>
      <c r="G41" s="463">
        <f t="shared" ref="G41:G104" si="12">E41+C41</f>
        <v>3080.9905469999999</v>
      </c>
      <c r="H41" s="29">
        <f t="shared" si="1"/>
        <v>2006</v>
      </c>
      <c r="I41" s="29" t="str">
        <f t="shared" si="2"/>
        <v>3</v>
      </c>
      <c r="T41" s="1074">
        <f t="shared" si="4"/>
        <v>2008</v>
      </c>
      <c r="U41" s="573">
        <f t="shared" si="5"/>
        <v>13.324422</v>
      </c>
      <c r="V41" s="433">
        <f t="shared" si="6"/>
        <v>9737.62032</v>
      </c>
      <c r="W41" s="548">
        <f t="shared" si="7"/>
        <v>5.7250130000000006</v>
      </c>
      <c r="X41" s="433">
        <f t="shared" si="8"/>
        <v>3512.4169039999997</v>
      </c>
      <c r="Y41" s="573">
        <f t="shared" si="9"/>
        <v>19.049435000000003</v>
      </c>
      <c r="Z41" s="434">
        <f t="shared" si="10"/>
        <v>13250.037224</v>
      </c>
    </row>
    <row r="42" spans="1:26" x14ac:dyDescent="0.25">
      <c r="A42" s="1058">
        <v>39052</v>
      </c>
      <c r="B42" s="1059">
        <v>3.778724</v>
      </c>
      <c r="C42" s="1060">
        <v>1853.595174</v>
      </c>
      <c r="D42" s="1061">
        <v>1.6946490000000001</v>
      </c>
      <c r="E42" s="1059">
        <v>806.58999300000005</v>
      </c>
      <c r="F42" s="1059">
        <f t="shared" si="11"/>
        <v>5.4733730000000005</v>
      </c>
      <c r="G42" s="1062">
        <f t="shared" si="12"/>
        <v>2660.1851670000001</v>
      </c>
      <c r="H42" s="29">
        <f t="shared" si="1"/>
        <v>2006</v>
      </c>
      <c r="I42" s="29" t="str">
        <f t="shared" si="2"/>
        <v>4</v>
      </c>
      <c r="T42" s="1074">
        <f t="shared" si="4"/>
        <v>2009</v>
      </c>
      <c r="U42" s="1076">
        <f t="shared" si="5"/>
        <v>11.246917</v>
      </c>
      <c r="V42" s="1077">
        <f t="shared" si="6"/>
        <v>5505.448018000001</v>
      </c>
      <c r="W42" s="1078">
        <f t="shared" si="7"/>
        <v>7.4925439999999996</v>
      </c>
      <c r="X42" s="1077">
        <f t="shared" si="8"/>
        <v>3121.9567379999999</v>
      </c>
      <c r="Y42" s="1076">
        <f t="shared" si="9"/>
        <v>18.739460999999999</v>
      </c>
      <c r="Z42" s="1028">
        <f t="shared" si="10"/>
        <v>8627.4047559999999</v>
      </c>
    </row>
    <row r="43" spans="1:26" x14ac:dyDescent="0.25">
      <c r="A43" s="1058">
        <v>39142</v>
      </c>
      <c r="B43" s="462">
        <v>3.3568169999999999</v>
      </c>
      <c r="C43" s="626">
        <v>1615.211877</v>
      </c>
      <c r="D43" s="455">
        <v>1.523692</v>
      </c>
      <c r="E43" s="462">
        <v>709.92148099999997</v>
      </c>
      <c r="F43" s="462">
        <f t="shared" si="11"/>
        <v>4.880509</v>
      </c>
      <c r="G43" s="463">
        <f t="shared" si="12"/>
        <v>2325.133358</v>
      </c>
      <c r="H43" s="29">
        <f t="shared" si="1"/>
        <v>2007</v>
      </c>
      <c r="I43" s="29" t="str">
        <f t="shared" si="2"/>
        <v>1</v>
      </c>
      <c r="T43" s="1074">
        <f t="shared" si="4"/>
        <v>2010</v>
      </c>
      <c r="U43" s="573">
        <f t="shared" si="5"/>
        <v>14.705</v>
      </c>
      <c r="V43" s="433">
        <f t="shared" si="6"/>
        <v>8247.3096310000001</v>
      </c>
      <c r="W43" s="548">
        <f t="shared" si="7"/>
        <v>7.2155889999999996</v>
      </c>
      <c r="X43" s="433">
        <f t="shared" si="8"/>
        <v>3705.4334779999999</v>
      </c>
      <c r="Y43" s="573">
        <f t="shared" si="9"/>
        <v>21.920589</v>
      </c>
      <c r="Z43" s="434">
        <f t="shared" si="10"/>
        <v>11952.743108999999</v>
      </c>
    </row>
    <row r="44" spans="1:26" x14ac:dyDescent="0.25">
      <c r="A44" s="1058">
        <v>39234</v>
      </c>
      <c r="B44" s="1059">
        <v>3.3110430000000002</v>
      </c>
      <c r="C44" s="1060">
        <v>1784.7970760000001</v>
      </c>
      <c r="D44" s="1061">
        <v>1.21044</v>
      </c>
      <c r="E44" s="1059">
        <v>650.89629300000001</v>
      </c>
      <c r="F44" s="1059">
        <f t="shared" si="11"/>
        <v>4.5214829999999999</v>
      </c>
      <c r="G44" s="1062">
        <f t="shared" si="12"/>
        <v>2435.6933690000001</v>
      </c>
      <c r="H44" s="29">
        <f t="shared" si="1"/>
        <v>2007</v>
      </c>
      <c r="I44" s="29" t="str">
        <f t="shared" si="2"/>
        <v>2</v>
      </c>
      <c r="T44" s="1074">
        <f t="shared" si="4"/>
        <v>2011</v>
      </c>
      <c r="U44" s="1076">
        <f t="shared" si="5"/>
        <v>12.053493</v>
      </c>
      <c r="V44" s="1077">
        <f t="shared" si="6"/>
        <v>8030.943573999999</v>
      </c>
      <c r="W44" s="1078">
        <f t="shared" si="7"/>
        <v>6.2822269999999998</v>
      </c>
      <c r="X44" s="1077">
        <f t="shared" si="8"/>
        <v>4088.3975260000002</v>
      </c>
      <c r="Y44" s="1076">
        <f t="shared" si="9"/>
        <v>18.335720000000002</v>
      </c>
      <c r="Z44" s="1028">
        <f t="shared" si="10"/>
        <v>12119.3411</v>
      </c>
    </row>
    <row r="45" spans="1:26" x14ac:dyDescent="0.25">
      <c r="A45" s="1058">
        <v>39326</v>
      </c>
      <c r="B45" s="462">
        <v>2.9606650000000001</v>
      </c>
      <c r="C45" s="626">
        <v>1682.4630400000001</v>
      </c>
      <c r="D45" s="455">
        <v>1.6522810000000001</v>
      </c>
      <c r="E45" s="462">
        <v>931.52293999999995</v>
      </c>
      <c r="F45" s="462">
        <f t="shared" si="11"/>
        <v>4.612946</v>
      </c>
      <c r="G45" s="463">
        <f t="shared" si="12"/>
        <v>2613.9859799999999</v>
      </c>
      <c r="H45" s="29">
        <f t="shared" si="1"/>
        <v>2007</v>
      </c>
      <c r="I45" s="29" t="str">
        <f t="shared" si="2"/>
        <v>3</v>
      </c>
      <c r="T45" s="1074">
        <f t="shared" si="4"/>
        <v>2012</v>
      </c>
      <c r="U45" s="573">
        <f t="shared" si="5"/>
        <v>9.9916809999999998</v>
      </c>
      <c r="V45" s="433">
        <f t="shared" si="6"/>
        <v>7099.5935350000009</v>
      </c>
      <c r="W45" s="548">
        <f t="shared" si="7"/>
        <v>5.9995099999999999</v>
      </c>
      <c r="X45" s="433">
        <f t="shared" si="8"/>
        <v>3862.3011149999998</v>
      </c>
      <c r="Y45" s="573">
        <f t="shared" si="9"/>
        <v>15.991191000000001</v>
      </c>
      <c r="Z45" s="434">
        <f t="shared" si="10"/>
        <v>10961.89465</v>
      </c>
    </row>
    <row r="46" spans="1:26" x14ac:dyDescent="0.25">
      <c r="A46" s="1058">
        <v>39417</v>
      </c>
      <c r="B46" s="1059">
        <v>3.5672670000000002</v>
      </c>
      <c r="C46" s="1060">
        <v>2301.8202569999999</v>
      </c>
      <c r="D46" s="1061">
        <v>1.469241</v>
      </c>
      <c r="E46" s="1059">
        <v>944.41430400000002</v>
      </c>
      <c r="F46" s="1059">
        <f t="shared" si="11"/>
        <v>5.0365080000000004</v>
      </c>
      <c r="G46" s="1062">
        <f t="shared" si="12"/>
        <v>3246.2345609999998</v>
      </c>
      <c r="H46" s="29">
        <f t="shared" si="1"/>
        <v>2007</v>
      </c>
      <c r="I46" s="29" t="str">
        <f t="shared" si="2"/>
        <v>4</v>
      </c>
      <c r="T46" s="1074">
        <f t="shared" si="4"/>
        <v>2013</v>
      </c>
      <c r="U46" s="1076">
        <f t="shared" si="5"/>
        <v>6.8709769999999999</v>
      </c>
      <c r="V46" s="1077">
        <f t="shared" si="6"/>
        <v>5111.0926730000001</v>
      </c>
      <c r="W46" s="1078">
        <f t="shared" si="7"/>
        <v>5.9572710000000004</v>
      </c>
      <c r="X46" s="1077">
        <f t="shared" si="8"/>
        <v>4116.9220370000003</v>
      </c>
      <c r="Y46" s="1076">
        <f t="shared" si="9"/>
        <v>12.828248</v>
      </c>
      <c r="Z46" s="1028">
        <f t="shared" si="10"/>
        <v>9228.0147099999995</v>
      </c>
    </row>
    <row r="47" spans="1:26" x14ac:dyDescent="0.25">
      <c r="A47" s="1058">
        <v>39508</v>
      </c>
      <c r="B47" s="462">
        <v>2.8385500000000001</v>
      </c>
      <c r="C47" s="626">
        <v>1925.871791</v>
      </c>
      <c r="D47" s="455">
        <v>1.378117</v>
      </c>
      <c r="E47" s="462">
        <v>859.90919799999995</v>
      </c>
      <c r="F47" s="462">
        <f t="shared" si="11"/>
        <v>4.2166670000000002</v>
      </c>
      <c r="G47" s="463">
        <f t="shared" si="12"/>
        <v>2785.7809889999999</v>
      </c>
      <c r="H47" s="29">
        <f t="shared" si="1"/>
        <v>2008</v>
      </c>
      <c r="I47" s="29" t="str">
        <f t="shared" si="2"/>
        <v>1</v>
      </c>
      <c r="T47" s="1074">
        <f t="shared" si="4"/>
        <v>2014</v>
      </c>
      <c r="U47" s="573">
        <f t="shared" si="5"/>
        <v>7.6083033370000006</v>
      </c>
      <c r="V47" s="433">
        <f t="shared" si="6"/>
        <v>5376.6826141111678</v>
      </c>
      <c r="W47" s="548">
        <f t="shared" si="7"/>
        <v>4.9160209720000001</v>
      </c>
      <c r="X47" s="433">
        <f t="shared" si="8"/>
        <v>3197.1917031127391</v>
      </c>
      <c r="Y47" s="573">
        <f t="shared" si="9"/>
        <v>12.524324309000001</v>
      </c>
      <c r="Z47" s="434">
        <f t="shared" si="10"/>
        <v>8573.8743172239065</v>
      </c>
    </row>
    <row r="48" spans="1:26" x14ac:dyDescent="0.25">
      <c r="A48" s="1058">
        <v>39600</v>
      </c>
      <c r="B48" s="1059">
        <v>3.2810440000000001</v>
      </c>
      <c r="C48" s="1060">
        <v>2756.0621999999998</v>
      </c>
      <c r="D48" s="1061">
        <v>1.2641169999999999</v>
      </c>
      <c r="E48" s="1059">
        <v>958.82342800000004</v>
      </c>
      <c r="F48" s="1059">
        <f t="shared" si="11"/>
        <v>4.5451610000000002</v>
      </c>
      <c r="G48" s="1062">
        <f t="shared" si="12"/>
        <v>3714.885628</v>
      </c>
      <c r="H48" s="29">
        <f t="shared" si="1"/>
        <v>2008</v>
      </c>
      <c r="I48" s="29" t="str">
        <f t="shared" si="2"/>
        <v>2</v>
      </c>
      <c r="T48" s="1074">
        <f t="shared" si="4"/>
        <v>2015</v>
      </c>
      <c r="U48" s="1076">
        <f t="shared" si="5"/>
        <v>8.3434177189999996</v>
      </c>
      <c r="V48" s="1077">
        <f t="shared" si="6"/>
        <v>3775.532080309898</v>
      </c>
      <c r="W48" s="1078">
        <f t="shared" si="7"/>
        <v>6.6301182650000001</v>
      </c>
      <c r="X48" s="1077">
        <f t="shared" si="8"/>
        <v>2461.7492792567773</v>
      </c>
      <c r="Y48" s="1076">
        <f t="shared" si="9"/>
        <v>14.973535984</v>
      </c>
      <c r="Z48" s="1028">
        <f t="shared" si="10"/>
        <v>6237.2813595666757</v>
      </c>
    </row>
    <row r="49" spans="1:26" x14ac:dyDescent="0.25">
      <c r="A49" s="1058">
        <v>39692</v>
      </c>
      <c r="B49" s="462">
        <v>3.5198800000000001</v>
      </c>
      <c r="C49" s="626">
        <v>3103.9276570000002</v>
      </c>
      <c r="D49" s="455">
        <v>1.433894</v>
      </c>
      <c r="E49" s="462">
        <v>1136.3378419999999</v>
      </c>
      <c r="F49" s="462">
        <f t="shared" si="11"/>
        <v>4.9537740000000001</v>
      </c>
      <c r="G49" s="463">
        <f t="shared" si="12"/>
        <v>4240.2654990000001</v>
      </c>
      <c r="H49" s="29">
        <f t="shared" si="1"/>
        <v>2008</v>
      </c>
      <c r="I49" s="29" t="str">
        <f t="shared" si="2"/>
        <v>3</v>
      </c>
      <c r="T49" s="1074">
        <f t="shared" si="4"/>
        <v>2016</v>
      </c>
      <c r="U49" s="573">
        <f t="shared" si="5"/>
        <v>5.8139477664729293</v>
      </c>
      <c r="V49" s="433">
        <f t="shared" si="6"/>
        <v>2141.1908967671175</v>
      </c>
      <c r="W49" s="548">
        <f t="shared" si="7"/>
        <v>6.4569410225498691</v>
      </c>
      <c r="X49" s="433">
        <f t="shared" si="8"/>
        <v>2155.8767689303104</v>
      </c>
      <c r="Y49" s="573">
        <f t="shared" si="9"/>
        <v>12.270888789022798</v>
      </c>
      <c r="Z49" s="434">
        <f t="shared" si="10"/>
        <v>4297.0676656974283</v>
      </c>
    </row>
    <row r="50" spans="1:26" x14ac:dyDescent="0.25">
      <c r="A50" s="1058">
        <v>39783</v>
      </c>
      <c r="B50" s="1059">
        <v>3.6849479999999999</v>
      </c>
      <c r="C50" s="1060">
        <v>1951.7586719999999</v>
      </c>
      <c r="D50" s="1061">
        <v>1.6488849999999999</v>
      </c>
      <c r="E50" s="1059">
        <v>557.34643600000004</v>
      </c>
      <c r="F50" s="1059">
        <f t="shared" si="11"/>
        <v>5.3338330000000003</v>
      </c>
      <c r="G50" s="1062">
        <f t="shared" si="12"/>
        <v>2509.1051079999997</v>
      </c>
      <c r="H50" s="29">
        <f t="shared" si="1"/>
        <v>2008</v>
      </c>
      <c r="I50" s="29" t="str">
        <f t="shared" si="2"/>
        <v>4</v>
      </c>
      <c r="T50" s="1074">
        <f t="shared" si="4"/>
        <v>2017</v>
      </c>
      <c r="U50" s="1076">
        <f t="shared" si="5"/>
        <v>5.2808384997993141</v>
      </c>
      <c r="V50" s="1077">
        <f t="shared" si="6"/>
        <v>2195.1027535703079</v>
      </c>
      <c r="W50" s="1078">
        <f t="shared" si="7"/>
        <v>6.2651657466368764</v>
      </c>
      <c r="X50" s="1077">
        <f t="shared" si="8"/>
        <v>2554.5251317507627</v>
      </c>
      <c r="Y50" s="1076">
        <f t="shared" si="9"/>
        <v>11.54600424643619</v>
      </c>
      <c r="Z50" s="1028">
        <f t="shared" si="10"/>
        <v>4749.6278853210706</v>
      </c>
    </row>
    <row r="51" spans="1:26" x14ac:dyDescent="0.25">
      <c r="A51" s="1058">
        <v>39873</v>
      </c>
      <c r="B51" s="462">
        <v>3.1028630000000001</v>
      </c>
      <c r="C51" s="626">
        <v>1323.92037</v>
      </c>
      <c r="D51" s="455">
        <v>1.8248139999999999</v>
      </c>
      <c r="E51" s="462">
        <v>724.52265999999997</v>
      </c>
      <c r="F51" s="462">
        <f t="shared" si="11"/>
        <v>4.9276770000000001</v>
      </c>
      <c r="G51" s="463">
        <f t="shared" si="12"/>
        <v>2048.4430299999999</v>
      </c>
      <c r="H51" s="29">
        <f t="shared" si="1"/>
        <v>2009</v>
      </c>
      <c r="I51" s="29" t="str">
        <f t="shared" si="2"/>
        <v>1</v>
      </c>
      <c r="T51" s="1074">
        <f t="shared" si="4"/>
        <v>2018</v>
      </c>
      <c r="U51" s="573">
        <f t="shared" si="5"/>
        <v>3.6381359035488847</v>
      </c>
      <c r="V51" s="433">
        <f t="shared" si="6"/>
        <v>2054.6229974472644</v>
      </c>
      <c r="W51" s="548">
        <f t="shared" si="7"/>
        <v>8.7816039429353356</v>
      </c>
      <c r="X51" s="433">
        <f t="shared" si="8"/>
        <v>4741.9925009907802</v>
      </c>
      <c r="Y51" s="573">
        <f t="shared" si="9"/>
        <v>12.419739846484219</v>
      </c>
      <c r="Z51" s="434">
        <f t="shared" si="10"/>
        <v>6796.6154984380446</v>
      </c>
    </row>
    <row r="52" spans="1:26" x14ac:dyDescent="0.25">
      <c r="A52" s="1058">
        <v>39965</v>
      </c>
      <c r="B52" s="1059">
        <v>2.7292420000000002</v>
      </c>
      <c r="C52" s="1060">
        <v>1330.8899980000001</v>
      </c>
      <c r="D52" s="1061">
        <v>1.7495080000000001</v>
      </c>
      <c r="E52" s="1059">
        <v>690.58035400000006</v>
      </c>
      <c r="F52" s="1059">
        <f t="shared" si="11"/>
        <v>4.4787499999999998</v>
      </c>
      <c r="G52" s="1062">
        <f t="shared" si="12"/>
        <v>2021.4703520000003</v>
      </c>
      <c r="H52" s="29">
        <f t="shared" si="1"/>
        <v>2009</v>
      </c>
      <c r="I52" s="29" t="str">
        <f t="shared" si="2"/>
        <v>2</v>
      </c>
      <c r="T52" s="1074">
        <f t="shared" si="4"/>
        <v>2019</v>
      </c>
      <c r="U52" s="1076">
        <f t="shared" si="5"/>
        <v>4.5553656819894508</v>
      </c>
      <c r="V52" s="1077">
        <f t="shared" si="6"/>
        <v>2644.2740359201084</v>
      </c>
      <c r="W52" s="1078">
        <f t="shared" si="7"/>
        <v>12.02705911904081</v>
      </c>
      <c r="X52" s="1077">
        <f t="shared" si="8"/>
        <v>6479.4826583047179</v>
      </c>
      <c r="Y52" s="1076">
        <f t="shared" si="9"/>
        <v>16.582424801030264</v>
      </c>
      <c r="Z52" s="1028">
        <f t="shared" si="10"/>
        <v>9123.7566942248268</v>
      </c>
    </row>
    <row r="53" spans="1:26" x14ac:dyDescent="0.25">
      <c r="A53" s="1058">
        <v>40057</v>
      </c>
      <c r="B53" s="462">
        <v>2.6091690000000001</v>
      </c>
      <c r="C53" s="626">
        <v>1363.1734309999999</v>
      </c>
      <c r="D53" s="455">
        <v>1.9320889999999999</v>
      </c>
      <c r="E53" s="462">
        <v>875.69228799999996</v>
      </c>
      <c r="F53" s="462">
        <f t="shared" si="11"/>
        <v>4.541258</v>
      </c>
      <c r="G53" s="463">
        <f t="shared" si="12"/>
        <v>2238.8657189999999</v>
      </c>
      <c r="H53" s="29">
        <f t="shared" si="1"/>
        <v>2009</v>
      </c>
      <c r="I53" s="29" t="str">
        <f t="shared" si="2"/>
        <v>3</v>
      </c>
      <c r="T53" s="1074">
        <f t="shared" si="4"/>
        <v>2020</v>
      </c>
      <c r="U53" s="573">
        <f t="shared" si="5"/>
        <v>4.580985243851238</v>
      </c>
      <c r="V53" s="433">
        <f t="shared" si="6"/>
        <v>1796.1122695246977</v>
      </c>
      <c r="W53" s="548">
        <f t="shared" si="7"/>
        <v>11.374480823490625</v>
      </c>
      <c r="X53" s="433">
        <f t="shared" si="8"/>
        <v>3563.371045540297</v>
      </c>
      <c r="Y53" s="573">
        <f t="shared" si="9"/>
        <v>15.955466067341865</v>
      </c>
      <c r="Z53" s="434">
        <f t="shared" si="10"/>
        <v>5359.4833150649956</v>
      </c>
    </row>
    <row r="54" spans="1:26" x14ac:dyDescent="0.25">
      <c r="A54" s="1058">
        <v>40148</v>
      </c>
      <c r="B54" s="1059">
        <v>2.8056429999999999</v>
      </c>
      <c r="C54" s="1060">
        <v>1487.464219</v>
      </c>
      <c r="D54" s="1061">
        <v>1.9861329999999999</v>
      </c>
      <c r="E54" s="1059">
        <v>831.16143599999998</v>
      </c>
      <c r="F54" s="1059">
        <f t="shared" si="11"/>
        <v>4.7917759999999996</v>
      </c>
      <c r="G54" s="1062">
        <f t="shared" si="12"/>
        <v>2318.6256549999998</v>
      </c>
      <c r="H54" s="29">
        <f t="shared" si="1"/>
        <v>2009</v>
      </c>
      <c r="I54" s="29" t="str">
        <f t="shared" si="2"/>
        <v>4</v>
      </c>
      <c r="T54" s="1074">
        <f t="shared" si="4"/>
        <v>2021</v>
      </c>
      <c r="U54" s="1076">
        <f t="shared" si="5"/>
        <v>4.5172197820540649</v>
      </c>
      <c r="V54" s="1077">
        <f t="shared" si="6"/>
        <v>2492.9368954415327</v>
      </c>
      <c r="W54" s="1078">
        <f t="shared" si="7"/>
        <v>12.214624609371793</v>
      </c>
      <c r="X54" s="1077">
        <f t="shared" si="8"/>
        <v>6780.1940515778169</v>
      </c>
      <c r="Y54" s="1076">
        <f t="shared" si="9"/>
        <v>16.731844391425859</v>
      </c>
      <c r="Z54" s="1028">
        <f t="shared" si="10"/>
        <v>9273.1309470193482</v>
      </c>
    </row>
    <row r="55" spans="1:26" x14ac:dyDescent="0.25">
      <c r="A55" s="1058">
        <v>40238</v>
      </c>
      <c r="B55" s="462">
        <v>2.347594</v>
      </c>
      <c r="C55" s="626">
        <v>1241.589283</v>
      </c>
      <c r="D55" s="455">
        <v>1.688388</v>
      </c>
      <c r="E55" s="462">
        <v>878.40317000000005</v>
      </c>
      <c r="F55" s="462">
        <f t="shared" si="11"/>
        <v>4.0359819999999997</v>
      </c>
      <c r="G55" s="463">
        <f t="shared" si="12"/>
        <v>2119.9924529999998</v>
      </c>
      <c r="H55" s="29">
        <f t="shared" si="1"/>
        <v>2010</v>
      </c>
      <c r="I55" s="29" t="str">
        <f t="shared" si="2"/>
        <v>1</v>
      </c>
      <c r="T55" s="1074">
        <f t="shared" si="4"/>
        <v>2022</v>
      </c>
      <c r="U55" s="573">
        <f t="shared" si="5"/>
        <v>4.4541029093435576</v>
      </c>
      <c r="V55" s="433">
        <f t="shared" si="6"/>
        <v>4121.6934546451248</v>
      </c>
      <c r="W55" s="548">
        <f t="shared" si="7"/>
        <v>11.126993708826948</v>
      </c>
      <c r="X55" s="433">
        <f t="shared" si="8"/>
        <v>9026.347293684059</v>
      </c>
      <c r="Y55" s="573">
        <f t="shared" si="9"/>
        <v>15.581096618170506</v>
      </c>
      <c r="Z55" s="434">
        <f t="shared" si="10"/>
        <v>13148.040748329182</v>
      </c>
    </row>
    <row r="56" spans="1:26" x14ac:dyDescent="0.25">
      <c r="A56" s="1058">
        <v>40330</v>
      </c>
      <c r="B56" s="1059">
        <v>4.079669</v>
      </c>
      <c r="C56" s="1060">
        <v>2292.8449110000001</v>
      </c>
      <c r="D56" s="1061">
        <v>1.811402</v>
      </c>
      <c r="E56" s="1059">
        <v>915.92936099999997</v>
      </c>
      <c r="F56" s="1059">
        <f t="shared" si="11"/>
        <v>5.8910710000000002</v>
      </c>
      <c r="G56" s="1062">
        <f t="shared" si="12"/>
        <v>3208.7742720000001</v>
      </c>
      <c r="H56" s="29">
        <f t="shared" si="1"/>
        <v>2010</v>
      </c>
      <c r="I56" s="29" t="str">
        <f t="shared" si="2"/>
        <v>2</v>
      </c>
      <c r="T56" s="1074">
        <f t="shared" si="4"/>
        <v>2023</v>
      </c>
      <c r="U56" s="1076">
        <f t="shared" si="5"/>
        <v>3.1672676180253676</v>
      </c>
      <c r="V56" s="1077">
        <f t="shared" si="6"/>
        <v>2445.4482490605565</v>
      </c>
      <c r="W56" s="1078">
        <f t="shared" si="7"/>
        <v>11.545434823832824</v>
      </c>
      <c r="X56" s="1077">
        <f t="shared" si="8"/>
        <v>7993.7520350139212</v>
      </c>
      <c r="Y56" s="1076">
        <f t="shared" si="9"/>
        <v>14.712702441858191</v>
      </c>
      <c r="Z56" s="1028">
        <f t="shared" si="10"/>
        <v>10439.200284074479</v>
      </c>
    </row>
    <row r="57" spans="1:26" x14ac:dyDescent="0.25">
      <c r="A57" s="1058">
        <v>40422</v>
      </c>
      <c r="B57" s="462">
        <v>4.3708419999999997</v>
      </c>
      <c r="C57" s="626">
        <v>2437.6289529999999</v>
      </c>
      <c r="D57" s="455">
        <v>1.901114</v>
      </c>
      <c r="E57" s="462">
        <v>942.45362899999998</v>
      </c>
      <c r="F57" s="462">
        <f t="shared" si="11"/>
        <v>6.2719559999999994</v>
      </c>
      <c r="G57" s="463">
        <f t="shared" si="12"/>
        <v>3380.082582</v>
      </c>
      <c r="H57" s="29">
        <f t="shared" si="1"/>
        <v>2010</v>
      </c>
      <c r="I57" s="29" t="str">
        <f t="shared" si="2"/>
        <v>3</v>
      </c>
      <c r="S57" s="970"/>
      <c r="T57" s="1074">
        <f>IF($U$35="Calendar Year", T58-1, LEFT(T58,4)-1 &amp; "-" &amp; MID(T58,3,2))</f>
        <v>2024</v>
      </c>
      <c r="U57" s="573">
        <f t="shared" si="5"/>
        <v>3.0554694217226648</v>
      </c>
      <c r="V57" s="433">
        <f t="shared" si="6"/>
        <v>2374.1320814876594</v>
      </c>
      <c r="W57" s="548">
        <f t="shared" si="7"/>
        <v>11.362141197008643</v>
      </c>
      <c r="X57" s="433">
        <f t="shared" si="8"/>
        <v>7929.0895441452794</v>
      </c>
      <c r="Y57" s="573">
        <f t="shared" si="9"/>
        <v>14.417610618731308</v>
      </c>
      <c r="Z57" s="434">
        <f t="shared" si="10"/>
        <v>10303.221625632939</v>
      </c>
    </row>
    <row r="58" spans="1:26" ht="15.75" thickBot="1" x14ac:dyDescent="0.3">
      <c r="A58" s="1058">
        <v>40513</v>
      </c>
      <c r="B58" s="1059">
        <v>3.906895</v>
      </c>
      <c r="C58" s="1060">
        <v>2275.2464839999998</v>
      </c>
      <c r="D58" s="1061">
        <v>1.8146850000000001</v>
      </c>
      <c r="E58" s="1059">
        <v>968.64731800000004</v>
      </c>
      <c r="F58" s="1059">
        <f t="shared" si="11"/>
        <v>5.7215800000000003</v>
      </c>
      <c r="G58" s="1062">
        <f t="shared" si="12"/>
        <v>3243.8938019999996</v>
      </c>
      <c r="H58" s="29">
        <f t="shared" si="1"/>
        <v>2010</v>
      </c>
      <c r="I58" s="29" t="str">
        <f t="shared" si="2"/>
        <v>4</v>
      </c>
      <c r="T58" s="1079">
        <f>IF($U$35="Calendar Year",
    YEAR(LARGE($A:$A, 4)),
    IF(MONTH(LARGE($A:$A, 4))&gt;6,
        YEAR(LARGE($A:$A, 4)) &amp; "-" &amp; RIGHT(YEAR(LARGE($A:$A, 4))+1, 2),
        YEAR(LARGE($A:$A, 4))-1 &amp; "-" &amp; RIGHT(YEAR(LARGE($A:$A, 4)), 2)
    ))</f>
        <v>2025</v>
      </c>
      <c r="U58" s="1080">
        <f t="shared" si="5"/>
        <v>2.5837044245077365</v>
      </c>
      <c r="V58" s="1016">
        <f t="shared" si="6"/>
        <v>1844.6232474012049</v>
      </c>
      <c r="W58" s="1081">
        <f t="shared" si="7"/>
        <v>10.119576422425228</v>
      </c>
      <c r="X58" s="1016">
        <f t="shared" si="8"/>
        <v>6702.9042690502311</v>
      </c>
      <c r="Y58" s="1080">
        <f t="shared" si="9"/>
        <v>12.703280846932966</v>
      </c>
      <c r="Z58" s="1030">
        <f t="shared" si="10"/>
        <v>8547.5275164514351</v>
      </c>
    </row>
    <row r="59" spans="1:26" x14ac:dyDescent="0.25">
      <c r="A59" s="1058">
        <v>40603</v>
      </c>
      <c r="B59" s="462">
        <v>2.6924429999999999</v>
      </c>
      <c r="C59" s="626">
        <v>1813.2272929999999</v>
      </c>
      <c r="D59" s="455">
        <v>1.6744270000000001</v>
      </c>
      <c r="E59" s="462">
        <v>1075.0738120000001</v>
      </c>
      <c r="F59" s="462">
        <f t="shared" si="11"/>
        <v>4.3668700000000005</v>
      </c>
      <c r="G59" s="463">
        <f t="shared" si="12"/>
        <v>2888.301105</v>
      </c>
      <c r="H59" s="29">
        <f t="shared" si="1"/>
        <v>2011</v>
      </c>
      <c r="I59" s="29" t="str">
        <f t="shared" si="2"/>
        <v>1</v>
      </c>
    </row>
    <row r="60" spans="1:26" x14ac:dyDescent="0.25">
      <c r="A60" s="1058">
        <v>40695</v>
      </c>
      <c r="B60" s="1059">
        <v>2.9546670000000002</v>
      </c>
      <c r="C60" s="1060">
        <v>2002.759791</v>
      </c>
      <c r="D60" s="1061">
        <v>1.491565</v>
      </c>
      <c r="E60" s="1059">
        <v>1002.349577</v>
      </c>
      <c r="F60" s="1059">
        <f t="shared" si="11"/>
        <v>4.4462320000000002</v>
      </c>
      <c r="G60" s="1062">
        <f t="shared" si="12"/>
        <v>3005.1093679999999</v>
      </c>
      <c r="H60" s="29">
        <f t="shared" si="1"/>
        <v>2011</v>
      </c>
      <c r="I60" s="29" t="str">
        <f t="shared" si="2"/>
        <v>2</v>
      </c>
    </row>
    <row r="61" spans="1:26" x14ac:dyDescent="0.25">
      <c r="A61" s="1058">
        <v>40787</v>
      </c>
      <c r="B61" s="462">
        <v>3.020804</v>
      </c>
      <c r="C61" s="626">
        <v>1952.9530339999999</v>
      </c>
      <c r="D61" s="455">
        <v>1.4885489999999999</v>
      </c>
      <c r="E61" s="462">
        <v>986.18390999999997</v>
      </c>
      <c r="F61" s="462">
        <f t="shared" si="11"/>
        <v>4.5093529999999999</v>
      </c>
      <c r="G61" s="463">
        <f t="shared" si="12"/>
        <v>2939.1369439999999</v>
      </c>
      <c r="H61" s="29">
        <f t="shared" si="1"/>
        <v>2011</v>
      </c>
      <c r="I61" s="29" t="str">
        <f t="shared" si="2"/>
        <v>3</v>
      </c>
    </row>
    <row r="62" spans="1:26" x14ac:dyDescent="0.25">
      <c r="A62" s="1058">
        <v>40878</v>
      </c>
      <c r="B62" s="1059">
        <v>3.3855789999999999</v>
      </c>
      <c r="C62" s="1060">
        <v>2262.0034559999999</v>
      </c>
      <c r="D62" s="1061">
        <v>1.627686</v>
      </c>
      <c r="E62" s="1059">
        <v>1024.790227</v>
      </c>
      <c r="F62" s="1059">
        <f t="shared" si="11"/>
        <v>5.0132649999999996</v>
      </c>
      <c r="G62" s="1062">
        <f t="shared" si="12"/>
        <v>3286.7936829999999</v>
      </c>
      <c r="H62" s="29">
        <f t="shared" si="1"/>
        <v>2011</v>
      </c>
      <c r="I62" s="29" t="str">
        <f t="shared" si="2"/>
        <v>4</v>
      </c>
    </row>
    <row r="63" spans="1:26" x14ac:dyDescent="0.25">
      <c r="A63" s="1058">
        <v>40969</v>
      </c>
      <c r="B63" s="462">
        <v>2.409443</v>
      </c>
      <c r="C63" s="626">
        <v>1822.344396</v>
      </c>
      <c r="D63" s="455">
        <v>1.5950839999999999</v>
      </c>
      <c r="E63" s="462">
        <v>1063.177745</v>
      </c>
      <c r="F63" s="462">
        <f t="shared" si="11"/>
        <v>4.0045269999999995</v>
      </c>
      <c r="G63" s="463">
        <f t="shared" si="12"/>
        <v>2885.5221409999999</v>
      </c>
      <c r="H63" s="29">
        <f t="shared" si="1"/>
        <v>2012</v>
      </c>
      <c r="I63" s="29" t="str">
        <f t="shared" si="2"/>
        <v>1</v>
      </c>
      <c r="T63" s="589" t="str">
        <f>IFERROR(IF(YEAR(MAX('Commodity Prices'!$C$11:$C1516))=VALUE(RIGHT(T62,4)),"",IF($U$35="Calendar Year",T62+1,CONCATENATE(LEFT(T62,4)+1,"-",RIGHT(T62,4)+1))),"")</f>
        <v/>
      </c>
      <c r="U63" s="773" t="str">
        <f>IF(T63="","",IF($U$35="Calendar Year",SUMIF($H$11:$H$203,$T63,$B$11:$B$203),SUMIFS($B$11:$B$203,$H$11:$H$203,LEFT($T63,4),$I$11:$I$203,3)+SUMIFS($B$11:$B$203,$H$11:$H$203,LEFT($T63,4),$I$11:$I$203,4)+SUMIFS($B$11:$B$203,$H$11:$H$203,LEFT($T63,4)+1,$I$11:$I$203,1)+SUMIFS($B$11:$B$203,$H$11:$H$203,LEFT($T63,4)+1,$I$11:$I$203,2)))</f>
        <v/>
      </c>
      <c r="V63" s="64" t="str">
        <f>IF(T63="","",IF($U$35="Calendar Year",SUMIF($H$11:$H$203,$T63,$C$11:$C$203),SUMIFS($C$11:$C$203,$H$11:$H$203,LEFT($T63,4),$I$11:$I$203,3)+SUMIFS($C$11:$C$203,$H$11:$H$203,LEFT($T63,4),$I$11:$I$203,4)+SUMIFS($C$11:$C$203,$H$11:$H$203,LEFT($T63,4)+1,$I$11:$I$203,1)+SUMIFS($C$11:$C$203,$H$11:$H$203,LEFT($T63,4)+1,$I$11:$I$203,2)))</f>
        <v/>
      </c>
      <c r="W63" s="773" t="str">
        <f>IF(T63="","",IF($U$35="Calendar Year",SUMIF($H$11:$H$203,$T63,$D$11:$D$203),SUMIFS($D$11:$D$203,$H$11:$H$203,LEFT($T63,4),$I$11:$I$203,3)+SUMIFS($D$11:$D$203,$H$11:$H$203,LEFT($T63,4),$I$11:$I$203,4)+SUMIFS($D$11:$D$203,$H$11:$H$203,LEFT($T63,4)+1,$I$11:$I$203,1)+SUMIFS($D$11:$D$203,$H$11:$H$203,LEFT($T63,4)+1,$I$11:$I$203,2)))</f>
        <v/>
      </c>
      <c r="X63" s="64" t="str">
        <f>IF(T63="","",IF($U$35="Calendar Year",SUMIF($H$11:$H$203,$T63,$E$11:$E$203),SUMIFS($E$11:$E$203,$H$11:$H$203,LEFT($T63,4),$I$11:$I$203,3)+SUMIFS($E$11:$E$203,$H$11:$H$203,LEFT($T63,4),$I$11:$I$203,4)+SUMIFS($E$11:$E$203,$H$11:$H$203,LEFT($T63,4)+1,$I$11:$I$203,1)+SUMIFS($E$11:$E$203,$H$11:$H$203,LEFT($T63,4)+1,$I$11:$I$203,2)))</f>
        <v/>
      </c>
      <c r="Y63" s="773" t="str">
        <f>IF(T63="","",IF($U$35="Calendar Year",SUMIF($H$11:$H$203,$T63,$F$11:$F$203),SUMIFS($F$11:$F$203,$H$11:$H$203,LEFT($T63,4),$I$11:$I$203,3)+SUMIFS($F$11:$F$203,$H$11:$H$203,LEFT($T63,4),$I$11:$I$203,4)+SUMIFS($F$11:$F$203,$H$11:$H$203,LEFT($T63,4)+1,$I$11:$I$203,1)+SUMIFS($F$11:$F$203,$H$11:$H$203,LEFT($T63,4)+1,$I$11:$I$203,2)))</f>
        <v/>
      </c>
      <c r="Z63" s="64" t="str">
        <f>IF(T63="","",IF($U$35="Calendar Year",SUMIF($H$11:$H$203,$T63,$G$11:$G$203),SUMIFS($G$11:$G$203,$H$11:$H$203,LEFT($T63,4),$I$11:$I$203,3)+SUMIFS($G$11:$G$203,$H$11:$H$203,LEFT($T63,4),$I$11:$I$203,4)+SUMIFS($G$11:$G$203,$H$11:$H$203,LEFT($T63,4)+1,$I$11:$I$203,1)+SUMIFS($G$11:$G$203,$H$11:$H$203,LEFT($T63,4)+1,$I$11:$I$203,2)))</f>
        <v/>
      </c>
    </row>
    <row r="64" spans="1:26" x14ac:dyDescent="0.25">
      <c r="A64" s="1058">
        <v>41061</v>
      </c>
      <c r="B64" s="1059">
        <v>2.30579</v>
      </c>
      <c r="C64" s="1060">
        <v>1639.3325729999999</v>
      </c>
      <c r="D64" s="1061">
        <v>1.177289</v>
      </c>
      <c r="E64" s="1059">
        <v>767.95968900000003</v>
      </c>
      <c r="F64" s="1059">
        <f t="shared" si="11"/>
        <v>3.483079</v>
      </c>
      <c r="G64" s="1062">
        <f t="shared" si="12"/>
        <v>2407.2922619999999</v>
      </c>
      <c r="H64" s="29">
        <f t="shared" si="1"/>
        <v>2012</v>
      </c>
      <c r="I64" s="29" t="str">
        <f t="shared" si="2"/>
        <v>2</v>
      </c>
      <c r="T64" s="589" t="str">
        <f>IFERROR(IF(YEAR(MAX('Commodity Prices'!$C$11:$C1516))=VALUE(RIGHT(T63,4)),"",IF($U$35="Calendar Year",T63+1,CONCATENATE(LEFT(T63,4)+1,"-",RIGHT(T63,4)+1))),"")</f>
        <v/>
      </c>
      <c r="U64" s="773" t="str">
        <f>IF(T64="","",IF($U$35="Calendar Year",SUMIF($H$11:$H$203,$T64,$B$11:$B$203),SUMIFS($B$11:$B$203,$H$11:$H$203,LEFT($T64,4),$I$11:$I$203,3)+SUMIFS($B$11:$B$203,$H$11:$H$203,LEFT($T64,4),$I$11:$I$203,4)+SUMIFS($B$11:$B$203,$H$11:$H$203,LEFT($T64,4)+1,$I$11:$I$203,1)+SUMIFS($B$11:$B$203,$H$11:$H$203,LEFT($T64,4)+1,$I$11:$I$203,2)))</f>
        <v/>
      </c>
      <c r="V64" s="64" t="str">
        <f>IF(T64="","",IF($U$35="Calendar Year",SUMIF($H$11:$H$203,$T64,$C$11:$C$203),SUMIFS($C$11:$C$203,$H$11:$H$203,LEFT($T64,4),$I$11:$I$203,3)+SUMIFS($C$11:$C$203,$H$11:$H$203,LEFT($T64,4),$I$11:$I$203,4)+SUMIFS($C$11:$C$203,$H$11:$H$203,LEFT($T64,4)+1,$I$11:$I$203,1)+SUMIFS($C$11:$C$203,$H$11:$H$203,LEFT($T64,4)+1,$I$11:$I$203,2)))</f>
        <v/>
      </c>
      <c r="W64" s="773" t="str">
        <f>IF(T64="","",IF($U$35="Calendar Year",SUMIF($H$11:$H$203,$T64,$D$11:$D$203),SUMIFS($D$11:$D$203,$H$11:$H$203,LEFT($T64,4),$I$11:$I$203,3)+SUMIFS($D$11:$D$203,$H$11:$H$203,LEFT($T64,4),$I$11:$I$203,4)+SUMIFS($D$11:$D$203,$H$11:$H$203,LEFT($T64,4)+1,$I$11:$I$203,1)+SUMIFS($D$11:$D$203,$H$11:$H$203,LEFT($T64,4)+1,$I$11:$I$203,2)))</f>
        <v/>
      </c>
      <c r="X64" s="64" t="str">
        <f>IF(T64="","",IF($U$35="Calendar Year",SUMIF($H$11:$H$203,$T64,$E$11:$E$203),SUMIFS($E$11:$E$203,$H$11:$H$203,LEFT($T64,4),$I$11:$I$203,3)+SUMIFS($E$11:$E$203,$H$11:$H$203,LEFT($T64,4),$I$11:$I$203,4)+SUMIFS($E$11:$E$203,$H$11:$H$203,LEFT($T64,4)+1,$I$11:$I$203,1)+SUMIFS($E$11:$E$203,$H$11:$H$203,LEFT($T64,4)+1,$I$11:$I$203,2)))</f>
        <v/>
      </c>
      <c r="Y64" s="773" t="str">
        <f>IF(T64="","",IF($U$35="Calendar Year",SUMIF($H$11:$H$203,$T64,$F$11:$F$203),SUMIFS($F$11:$F$203,$H$11:$H$203,LEFT($T64,4),$I$11:$I$203,3)+SUMIFS($F$11:$F$203,$H$11:$H$203,LEFT($T64,4),$I$11:$I$203,4)+SUMIFS($F$11:$F$203,$H$11:$H$203,LEFT($T64,4)+1,$I$11:$I$203,1)+SUMIFS($F$11:$F$203,$H$11:$H$203,LEFT($T64,4)+1,$I$11:$I$203,2)))</f>
        <v/>
      </c>
      <c r="Z64" s="64" t="str">
        <f>IF(T64="","",IF($U$35="Calendar Year",SUMIF($H$11:$H$203,$T64,$G$11:$G$203),SUMIFS($G$11:$G$203,$H$11:$H$203,LEFT($T64,4),$I$11:$I$203,3)+SUMIFS($G$11:$G$203,$H$11:$H$203,LEFT($T64,4),$I$11:$I$203,4)+SUMIFS($G$11:$G$203,$H$11:$H$203,LEFT($T64,4)+1,$I$11:$I$203,1)+SUMIFS($G$11:$G$203,$H$11:$H$203,LEFT($T64,4)+1,$I$11:$I$203,2)))</f>
        <v/>
      </c>
    </row>
    <row r="65" spans="1:9" x14ac:dyDescent="0.25">
      <c r="A65" s="1058">
        <v>41153</v>
      </c>
      <c r="B65" s="462">
        <v>2.6893250000000002</v>
      </c>
      <c r="C65" s="626">
        <v>1878.8416990000001</v>
      </c>
      <c r="D65" s="455">
        <v>1.6682189999999999</v>
      </c>
      <c r="E65" s="462">
        <v>1042.7887109999999</v>
      </c>
      <c r="F65" s="462">
        <f t="shared" si="11"/>
        <v>4.3575439999999999</v>
      </c>
      <c r="G65" s="463">
        <f t="shared" si="12"/>
        <v>2921.6304099999998</v>
      </c>
      <c r="H65" s="29">
        <f t="shared" si="1"/>
        <v>2012</v>
      </c>
      <c r="I65" s="29" t="str">
        <f t="shared" si="2"/>
        <v>3</v>
      </c>
    </row>
    <row r="66" spans="1:9" x14ac:dyDescent="0.25">
      <c r="A66" s="1058">
        <v>41244</v>
      </c>
      <c r="B66" s="1059">
        <v>2.5871230000000001</v>
      </c>
      <c r="C66" s="1060">
        <v>1759.074867</v>
      </c>
      <c r="D66" s="1061">
        <v>1.558918</v>
      </c>
      <c r="E66" s="1059">
        <v>988.37496999999996</v>
      </c>
      <c r="F66" s="1059">
        <f t="shared" si="11"/>
        <v>4.1460410000000003</v>
      </c>
      <c r="G66" s="1062">
        <f t="shared" si="12"/>
        <v>2747.4498370000001</v>
      </c>
      <c r="H66" s="29">
        <f t="shared" si="1"/>
        <v>2012</v>
      </c>
      <c r="I66" s="29" t="str">
        <f t="shared" si="2"/>
        <v>4</v>
      </c>
    </row>
    <row r="67" spans="1:9" x14ac:dyDescent="0.25">
      <c r="A67" s="1058">
        <v>41334</v>
      </c>
      <c r="B67" s="462">
        <v>1.5366310000000001</v>
      </c>
      <c r="C67" s="626">
        <v>1095.996523</v>
      </c>
      <c r="D67" s="455">
        <v>1.429154</v>
      </c>
      <c r="E67" s="462">
        <v>948.41882899999996</v>
      </c>
      <c r="F67" s="462">
        <f t="shared" si="11"/>
        <v>2.9657850000000003</v>
      </c>
      <c r="G67" s="463">
        <f t="shared" si="12"/>
        <v>2044.415352</v>
      </c>
      <c r="H67" s="29">
        <f t="shared" si="1"/>
        <v>2013</v>
      </c>
      <c r="I67" s="29" t="str">
        <f t="shared" si="2"/>
        <v>1</v>
      </c>
    </row>
    <row r="68" spans="1:9" x14ac:dyDescent="0.25">
      <c r="A68" s="1058">
        <v>41426</v>
      </c>
      <c r="B68" s="1059">
        <v>1.796346</v>
      </c>
      <c r="C68" s="1060">
        <v>1238.145111</v>
      </c>
      <c r="D68" s="1061">
        <v>1.460677</v>
      </c>
      <c r="E68" s="1059">
        <v>942.45001400000001</v>
      </c>
      <c r="F68" s="1059">
        <f t="shared" si="11"/>
        <v>3.2570230000000002</v>
      </c>
      <c r="G68" s="1062">
        <f t="shared" si="12"/>
        <v>2180.5951249999998</v>
      </c>
      <c r="H68" s="29">
        <f t="shared" si="1"/>
        <v>2013</v>
      </c>
      <c r="I68" s="29" t="str">
        <f t="shared" si="2"/>
        <v>2</v>
      </c>
    </row>
    <row r="69" spans="1:9" x14ac:dyDescent="0.25">
      <c r="A69" s="1058">
        <v>41518</v>
      </c>
      <c r="B69" s="462">
        <v>1.85368</v>
      </c>
      <c r="C69" s="626">
        <v>1453.3608859999999</v>
      </c>
      <c r="D69" s="455">
        <v>1.6749639999999999</v>
      </c>
      <c r="E69" s="462">
        <v>1203.7449919999999</v>
      </c>
      <c r="F69" s="462">
        <f t="shared" si="11"/>
        <v>3.5286439999999999</v>
      </c>
      <c r="G69" s="463">
        <f t="shared" si="12"/>
        <v>2657.1058779999998</v>
      </c>
      <c r="H69" s="29">
        <f t="shared" si="1"/>
        <v>2013</v>
      </c>
      <c r="I69" s="29" t="str">
        <f t="shared" si="2"/>
        <v>3</v>
      </c>
    </row>
    <row r="70" spans="1:9" x14ac:dyDescent="0.25">
      <c r="A70" s="1058">
        <v>41609</v>
      </c>
      <c r="B70" s="1059">
        <v>1.68432</v>
      </c>
      <c r="C70" s="1060">
        <v>1323.5901530000001</v>
      </c>
      <c r="D70" s="1061">
        <v>1.392476</v>
      </c>
      <c r="E70" s="1059">
        <v>1022.3082020000001</v>
      </c>
      <c r="F70" s="1059">
        <f t="shared" si="11"/>
        <v>3.0767959999999999</v>
      </c>
      <c r="G70" s="1062">
        <f t="shared" si="12"/>
        <v>2345.8983550000003</v>
      </c>
      <c r="H70" s="29">
        <f t="shared" si="1"/>
        <v>2013</v>
      </c>
      <c r="I70" s="29" t="str">
        <f t="shared" si="2"/>
        <v>4</v>
      </c>
    </row>
    <row r="71" spans="1:9" x14ac:dyDescent="0.25">
      <c r="A71" s="1058">
        <v>41699</v>
      </c>
      <c r="B71" s="462">
        <v>1.7543310000000001</v>
      </c>
      <c r="C71" s="626">
        <v>1407.2485658013093</v>
      </c>
      <c r="D71" s="455">
        <v>0.106236</v>
      </c>
      <c r="E71" s="462">
        <v>79.995091938622977</v>
      </c>
      <c r="F71" s="462">
        <f t="shared" si="11"/>
        <v>1.8605670000000001</v>
      </c>
      <c r="G71" s="463">
        <f t="shared" si="12"/>
        <v>1487.2436577399321</v>
      </c>
      <c r="H71" s="29">
        <f t="shared" si="1"/>
        <v>2014</v>
      </c>
      <c r="I71" s="29" t="str">
        <f t="shared" si="2"/>
        <v>1</v>
      </c>
    </row>
    <row r="72" spans="1:9" x14ac:dyDescent="0.25">
      <c r="A72" s="1058">
        <v>41791</v>
      </c>
      <c r="B72" s="1059">
        <v>1.5749711770000001</v>
      </c>
      <c r="C72" s="1060">
        <v>1201.3203590651353</v>
      </c>
      <c r="D72" s="1061">
        <v>1.225587207</v>
      </c>
      <c r="E72" s="1059">
        <v>893.83111607218905</v>
      </c>
      <c r="F72" s="1059">
        <f t="shared" si="11"/>
        <v>2.8005583840000003</v>
      </c>
      <c r="G72" s="1062">
        <f t="shared" si="12"/>
        <v>2095.1514751373243</v>
      </c>
      <c r="H72" s="29">
        <f t="shared" si="1"/>
        <v>2014</v>
      </c>
      <c r="I72" s="29" t="str">
        <f t="shared" si="2"/>
        <v>2</v>
      </c>
    </row>
    <row r="73" spans="1:9" x14ac:dyDescent="0.25">
      <c r="A73" s="1058">
        <v>41883</v>
      </c>
      <c r="B73" s="462">
        <v>1.9036463259999998</v>
      </c>
      <c r="C73" s="626">
        <v>1358.4648318863947</v>
      </c>
      <c r="D73" s="455">
        <v>1.8797281810000002</v>
      </c>
      <c r="E73" s="462">
        <v>1242.6869138642155</v>
      </c>
      <c r="F73" s="462">
        <f t="shared" si="11"/>
        <v>3.783374507</v>
      </c>
      <c r="G73" s="463">
        <f t="shared" si="12"/>
        <v>2601.1517457506102</v>
      </c>
      <c r="H73" s="29">
        <f t="shared" si="1"/>
        <v>2014</v>
      </c>
      <c r="I73" s="29" t="str">
        <f t="shared" si="2"/>
        <v>3</v>
      </c>
    </row>
    <row r="74" spans="1:9" x14ac:dyDescent="0.25">
      <c r="A74" s="1058">
        <v>41974</v>
      </c>
      <c r="B74" s="1059">
        <v>2.3753548340000004</v>
      </c>
      <c r="C74" s="1060">
        <v>1409.6488573583283</v>
      </c>
      <c r="D74" s="1061">
        <v>1.7044695839999999</v>
      </c>
      <c r="E74" s="1059">
        <v>980.67858123771146</v>
      </c>
      <c r="F74" s="1059">
        <f t="shared" si="11"/>
        <v>4.0798244180000003</v>
      </c>
      <c r="G74" s="1062">
        <f t="shared" si="12"/>
        <v>2390.3274385960399</v>
      </c>
      <c r="H74" s="29">
        <f t="shared" si="1"/>
        <v>2014</v>
      </c>
      <c r="I74" s="29" t="str">
        <f t="shared" si="2"/>
        <v>4</v>
      </c>
    </row>
    <row r="75" spans="1:9" x14ac:dyDescent="0.25">
      <c r="A75" s="1058">
        <v>42064</v>
      </c>
      <c r="B75" s="462">
        <v>1.9190555039999999</v>
      </c>
      <c r="C75" s="626">
        <v>885.96239547430002</v>
      </c>
      <c r="D75" s="455">
        <v>1.6808532540000001</v>
      </c>
      <c r="E75" s="462">
        <v>628.76823893000005</v>
      </c>
      <c r="F75" s="462">
        <f t="shared" si="11"/>
        <v>3.5999087579999998</v>
      </c>
      <c r="G75" s="463">
        <f t="shared" si="12"/>
        <v>1514.7306344043</v>
      </c>
      <c r="H75" s="29">
        <f t="shared" si="1"/>
        <v>2015</v>
      </c>
      <c r="I75" s="29" t="str">
        <f t="shared" si="2"/>
        <v>1</v>
      </c>
    </row>
    <row r="76" spans="1:9" x14ac:dyDescent="0.25">
      <c r="A76" s="1058">
        <v>42156</v>
      </c>
      <c r="B76" s="1059">
        <v>1.754421252</v>
      </c>
      <c r="C76" s="1060">
        <v>913.56207599089998</v>
      </c>
      <c r="D76" s="1061">
        <v>1.48816243</v>
      </c>
      <c r="E76" s="1059">
        <v>676.69249649000005</v>
      </c>
      <c r="F76" s="1059">
        <f t="shared" si="11"/>
        <v>3.2425836820000002</v>
      </c>
      <c r="G76" s="1062">
        <f t="shared" si="12"/>
        <v>1590.2545724809002</v>
      </c>
      <c r="H76" s="29">
        <f>YEAR(A76)</f>
        <v>2015</v>
      </c>
      <c r="I76" s="29" t="str">
        <f t="shared" si="2"/>
        <v>2</v>
      </c>
    </row>
    <row r="77" spans="1:9" x14ac:dyDescent="0.25">
      <c r="A77" s="1058">
        <v>42248</v>
      </c>
      <c r="B77" s="462">
        <v>2.632189881</v>
      </c>
      <c r="C77" s="626">
        <v>1183.07002341</v>
      </c>
      <c r="D77" s="455">
        <v>1.6907829999999999</v>
      </c>
      <c r="E77" s="462">
        <v>617.12525978999997</v>
      </c>
      <c r="F77" s="462">
        <f t="shared" si="11"/>
        <v>4.3229728810000001</v>
      </c>
      <c r="G77" s="463">
        <f t="shared" si="12"/>
        <v>1800.1952831999999</v>
      </c>
      <c r="H77" s="29">
        <f>YEAR(A77)</f>
        <v>2015</v>
      </c>
      <c r="I77" s="29" t="str">
        <f>IF(MONTH(A77)=3,"1",IF(MONTH(A77)=6,"2",IF(MONTH(A77)=9,"3","4")))</f>
        <v>3</v>
      </c>
    </row>
    <row r="78" spans="1:9" x14ac:dyDescent="0.25">
      <c r="A78" s="1058">
        <v>42339</v>
      </c>
      <c r="B78" s="1059">
        <v>2.0377510819999998</v>
      </c>
      <c r="C78" s="1060">
        <v>792.93758543469812</v>
      </c>
      <c r="D78" s="1061">
        <v>1.7703195810000003</v>
      </c>
      <c r="E78" s="1059">
        <v>539.16328404677688</v>
      </c>
      <c r="F78" s="1059">
        <f t="shared" si="11"/>
        <v>3.8080706630000001</v>
      </c>
      <c r="G78" s="1062">
        <f t="shared" si="12"/>
        <v>1332.100869481475</v>
      </c>
      <c r="H78" s="29">
        <f>YEAR(A78)</f>
        <v>2015</v>
      </c>
      <c r="I78" s="29" t="str">
        <f>IF(MONTH(A78)=3,"1",IF(MONTH(A78)=6,"2",IF(MONTH(A78)=9,"3","4")))</f>
        <v>4</v>
      </c>
    </row>
    <row r="79" spans="1:9" x14ac:dyDescent="0.25">
      <c r="A79" s="1058">
        <v>42430</v>
      </c>
      <c r="B79" s="462">
        <v>1.6235729555160001</v>
      </c>
      <c r="C79" s="626">
        <v>485.56609615765666</v>
      </c>
      <c r="D79" s="455">
        <v>1.6963439478560001</v>
      </c>
      <c r="E79" s="462">
        <v>508.22006655734356</v>
      </c>
      <c r="F79" s="462">
        <f t="shared" si="11"/>
        <v>3.3199169033720004</v>
      </c>
      <c r="G79" s="463">
        <f t="shared" si="12"/>
        <v>993.78616271500027</v>
      </c>
      <c r="H79" s="29">
        <f t="shared" ref="H79:H128" si="13">YEAR(A79)</f>
        <v>2016</v>
      </c>
      <c r="I79" s="29" t="str">
        <f t="shared" ref="I79:I128" si="14">IF(MONTH(A79)=3,"1",IF(MONTH(A79)=6,"2",IF(MONTH(A79)=9,"3","4")))</f>
        <v>1</v>
      </c>
    </row>
    <row r="80" spans="1:9" x14ac:dyDescent="0.25">
      <c r="A80" s="1058">
        <v>42522</v>
      </c>
      <c r="B80" s="1059">
        <v>1.3924080700000001</v>
      </c>
      <c r="C80" s="1060">
        <v>582.95899121498041</v>
      </c>
      <c r="D80" s="1061">
        <v>1.6176950826500001</v>
      </c>
      <c r="E80" s="1059">
        <v>549.73098896861916</v>
      </c>
      <c r="F80" s="1059">
        <f t="shared" si="11"/>
        <v>3.0101031526500002</v>
      </c>
      <c r="G80" s="1062">
        <f t="shared" si="12"/>
        <v>1132.6899801835996</v>
      </c>
      <c r="H80" s="29">
        <f t="shared" si="13"/>
        <v>2016</v>
      </c>
      <c r="I80" s="29" t="str">
        <f t="shared" si="14"/>
        <v>2</v>
      </c>
    </row>
    <row r="81" spans="1:9" x14ac:dyDescent="0.25">
      <c r="A81" s="1058">
        <v>42614</v>
      </c>
      <c r="B81" s="462">
        <v>1.4007175309569293</v>
      </c>
      <c r="C81" s="626">
        <v>499.02558391892438</v>
      </c>
      <c r="D81" s="455">
        <v>1.5939928130438696</v>
      </c>
      <c r="E81" s="462">
        <v>497.4058869341963</v>
      </c>
      <c r="F81" s="462">
        <f t="shared" si="11"/>
        <v>2.9947103440007989</v>
      </c>
      <c r="G81" s="463">
        <f t="shared" si="12"/>
        <v>996.43147085312069</v>
      </c>
      <c r="H81" s="29">
        <f t="shared" si="13"/>
        <v>2016</v>
      </c>
      <c r="I81" s="29" t="str">
        <f t="shared" si="14"/>
        <v>3</v>
      </c>
    </row>
    <row r="82" spans="1:9" x14ac:dyDescent="0.25">
      <c r="A82" s="1058">
        <v>42705</v>
      </c>
      <c r="B82" s="1059">
        <v>1.39724921</v>
      </c>
      <c r="C82" s="1060">
        <v>573.64022547555601</v>
      </c>
      <c r="D82" s="1061">
        <v>1.548909179</v>
      </c>
      <c r="E82" s="1059">
        <v>600.51982647015154</v>
      </c>
      <c r="F82" s="1059">
        <f t="shared" si="11"/>
        <v>2.9461583889999998</v>
      </c>
      <c r="G82" s="1062">
        <f t="shared" si="12"/>
        <v>1174.1600519457074</v>
      </c>
      <c r="H82" s="29">
        <f t="shared" si="13"/>
        <v>2016</v>
      </c>
      <c r="I82" s="29" t="str">
        <f t="shared" si="14"/>
        <v>4</v>
      </c>
    </row>
    <row r="83" spans="1:9" x14ac:dyDescent="0.25">
      <c r="A83" s="1058">
        <v>42795</v>
      </c>
      <c r="B83" s="462">
        <v>1.2477125822608752</v>
      </c>
      <c r="C83" s="626">
        <v>526.67458358748729</v>
      </c>
      <c r="D83" s="455">
        <v>1.4171939958479354</v>
      </c>
      <c r="E83" s="462">
        <v>585.0665542913265</v>
      </c>
      <c r="F83" s="462">
        <f t="shared" si="11"/>
        <v>2.6649065781088108</v>
      </c>
      <c r="G83" s="463">
        <f t="shared" si="12"/>
        <v>1111.7411378788138</v>
      </c>
      <c r="H83" s="29">
        <f t="shared" si="13"/>
        <v>2017</v>
      </c>
      <c r="I83" s="29" t="str">
        <f t="shared" si="14"/>
        <v>1</v>
      </c>
    </row>
    <row r="84" spans="1:9" x14ac:dyDescent="0.25">
      <c r="A84" s="1058">
        <v>42887</v>
      </c>
      <c r="B84" s="1059">
        <v>1.3586148576943344</v>
      </c>
      <c r="C84" s="1060">
        <v>528.89454245634249</v>
      </c>
      <c r="D84" s="1061">
        <v>1.4775072660383499</v>
      </c>
      <c r="E84" s="1059">
        <v>546.5878885836313</v>
      </c>
      <c r="F84" s="1059">
        <f t="shared" si="11"/>
        <v>2.8361221237326841</v>
      </c>
      <c r="G84" s="1062">
        <f t="shared" si="12"/>
        <v>1075.4824310399738</v>
      </c>
      <c r="H84" s="29">
        <f t="shared" si="13"/>
        <v>2017</v>
      </c>
      <c r="I84" s="29" t="str">
        <f t="shared" si="14"/>
        <v>2</v>
      </c>
    </row>
    <row r="85" spans="1:9" x14ac:dyDescent="0.25">
      <c r="A85" s="1058">
        <v>42979</v>
      </c>
      <c r="B85" s="462">
        <v>1.3921877598441044</v>
      </c>
      <c r="C85" s="626">
        <v>506.9114783529775</v>
      </c>
      <c r="D85" s="455">
        <v>1.6648071947505914</v>
      </c>
      <c r="E85" s="462">
        <v>636.71262850889229</v>
      </c>
      <c r="F85" s="462">
        <f t="shared" si="11"/>
        <v>3.0569949545946957</v>
      </c>
      <c r="G85" s="463">
        <f t="shared" si="12"/>
        <v>1143.6241068618697</v>
      </c>
      <c r="H85" s="29">
        <f t="shared" si="13"/>
        <v>2017</v>
      </c>
      <c r="I85" s="29" t="str">
        <f t="shared" si="14"/>
        <v>3</v>
      </c>
    </row>
    <row r="86" spans="1:9" x14ac:dyDescent="0.25">
      <c r="A86" s="1058">
        <v>43070</v>
      </c>
      <c r="B86" s="1082">
        <v>1.2823233000000001</v>
      </c>
      <c r="C86" s="1076">
        <v>632.6221491735007</v>
      </c>
      <c r="D86" s="1077">
        <v>1.70565729</v>
      </c>
      <c r="E86" s="1082">
        <v>786.15806036691288</v>
      </c>
      <c r="F86" s="1082">
        <f t="shared" si="11"/>
        <v>2.9879805900000003</v>
      </c>
      <c r="G86" s="1083">
        <f t="shared" si="12"/>
        <v>1418.7802095404136</v>
      </c>
      <c r="H86" s="29">
        <f t="shared" si="13"/>
        <v>2017</v>
      </c>
      <c r="I86" s="29" t="str">
        <f t="shared" si="14"/>
        <v>4</v>
      </c>
    </row>
    <row r="87" spans="1:9" x14ac:dyDescent="0.25">
      <c r="A87" s="1058">
        <v>43160</v>
      </c>
      <c r="B87" s="569">
        <v>1.2871270533178567</v>
      </c>
      <c r="C87" s="573">
        <v>648.75302970104542</v>
      </c>
      <c r="D87" s="433">
        <v>1.8437004932619911</v>
      </c>
      <c r="E87" s="569">
        <v>837.49113341345833</v>
      </c>
      <c r="F87" s="569">
        <f t="shared" si="11"/>
        <v>3.1308275465798481</v>
      </c>
      <c r="G87" s="674">
        <f t="shared" si="12"/>
        <v>1486.2441631145039</v>
      </c>
      <c r="H87" s="29">
        <f t="shared" si="13"/>
        <v>2018</v>
      </c>
      <c r="I87" s="29" t="str">
        <f t="shared" si="14"/>
        <v>1</v>
      </c>
    </row>
    <row r="88" spans="1:9" x14ac:dyDescent="0.25">
      <c r="A88" s="1058">
        <v>43252</v>
      </c>
      <c r="B88" s="1082">
        <v>0.91577308126753398</v>
      </c>
      <c r="C88" s="1076">
        <v>534.13893120498051</v>
      </c>
      <c r="D88" s="1077">
        <v>1.8986285042582385</v>
      </c>
      <c r="E88" s="1082">
        <v>1040.5909760239833</v>
      </c>
      <c r="F88" s="1082">
        <f t="shared" si="11"/>
        <v>2.8144015855257725</v>
      </c>
      <c r="G88" s="1083">
        <f t="shared" si="12"/>
        <v>1574.7299072289638</v>
      </c>
      <c r="H88" s="29">
        <f t="shared" si="13"/>
        <v>2018</v>
      </c>
      <c r="I88" s="29" t="str">
        <f t="shared" si="14"/>
        <v>2</v>
      </c>
    </row>
    <row r="89" spans="1:9" x14ac:dyDescent="0.25">
      <c r="A89" s="1058">
        <v>43344</v>
      </c>
      <c r="B89" s="569">
        <v>0.63538361652746322</v>
      </c>
      <c r="C89" s="573">
        <v>380.5316104664991</v>
      </c>
      <c r="D89" s="433">
        <v>2.3432807112617002</v>
      </c>
      <c r="E89" s="569">
        <v>1519.4288573760846</v>
      </c>
      <c r="F89" s="569">
        <f t="shared" si="11"/>
        <v>2.9786643277891636</v>
      </c>
      <c r="G89" s="674">
        <f t="shared" si="12"/>
        <v>1899.9604678425837</v>
      </c>
      <c r="H89" s="29">
        <f t="shared" si="13"/>
        <v>2018</v>
      </c>
      <c r="I89" s="29" t="str">
        <f t="shared" si="14"/>
        <v>3</v>
      </c>
    </row>
    <row r="90" spans="1:9" x14ac:dyDescent="0.25">
      <c r="A90" s="1058">
        <v>43435</v>
      </c>
      <c r="B90" s="1082">
        <v>0.79985215243603103</v>
      </c>
      <c r="C90" s="1076">
        <v>491.19942607473945</v>
      </c>
      <c r="D90" s="1077">
        <v>2.6959942341534053</v>
      </c>
      <c r="E90" s="1082">
        <v>1344.4815341772542</v>
      </c>
      <c r="F90" s="1082">
        <f t="shared" si="11"/>
        <v>3.4958463865894362</v>
      </c>
      <c r="G90" s="1083">
        <f t="shared" si="12"/>
        <v>1835.6809602519936</v>
      </c>
      <c r="H90" s="29">
        <f t="shared" si="13"/>
        <v>2018</v>
      </c>
      <c r="I90" s="29" t="str">
        <f t="shared" si="14"/>
        <v>4</v>
      </c>
    </row>
    <row r="91" spans="1:9" x14ac:dyDescent="0.25">
      <c r="A91" s="1058">
        <v>43525</v>
      </c>
      <c r="B91" s="569">
        <v>0.88089487599810112</v>
      </c>
      <c r="C91" s="573">
        <v>469.62301152520376</v>
      </c>
      <c r="D91" s="433">
        <v>2.7377172066187061</v>
      </c>
      <c r="E91" s="569">
        <v>1402.8779243355536</v>
      </c>
      <c r="F91" s="569">
        <f t="shared" si="11"/>
        <v>3.6186120826168073</v>
      </c>
      <c r="G91" s="674">
        <f t="shared" si="12"/>
        <v>1872.5009358607574</v>
      </c>
      <c r="H91" s="29">
        <f t="shared" si="13"/>
        <v>2019</v>
      </c>
      <c r="I91" s="29" t="str">
        <f t="shared" si="14"/>
        <v>1</v>
      </c>
    </row>
    <row r="92" spans="1:9" x14ac:dyDescent="0.25">
      <c r="A92" s="1058">
        <v>43617</v>
      </c>
      <c r="B92" s="1082">
        <v>0.91576380431925286</v>
      </c>
      <c r="C92" s="1076">
        <v>595.80242147410729</v>
      </c>
      <c r="D92" s="1077">
        <v>3.3736247696243802</v>
      </c>
      <c r="E92" s="1082">
        <v>1898.2460825781077</v>
      </c>
      <c r="F92" s="1082">
        <f t="shared" si="11"/>
        <v>4.2893885739436328</v>
      </c>
      <c r="G92" s="1083">
        <f t="shared" si="12"/>
        <v>2494.0485040522149</v>
      </c>
      <c r="H92" s="29">
        <f t="shared" si="13"/>
        <v>2019</v>
      </c>
      <c r="I92" s="29" t="str">
        <f t="shared" si="14"/>
        <v>2</v>
      </c>
    </row>
    <row r="93" spans="1:9" x14ac:dyDescent="0.25">
      <c r="A93" s="1058">
        <v>43709</v>
      </c>
      <c r="B93" s="462">
        <v>1.2818681401166698</v>
      </c>
      <c r="C93" s="626">
        <v>729.84716428907461</v>
      </c>
      <c r="D93" s="455">
        <v>3.0400553061105522</v>
      </c>
      <c r="E93" s="462">
        <v>1594.5744662093975</v>
      </c>
      <c r="F93" s="462">
        <f t="shared" si="11"/>
        <v>4.3219234462272222</v>
      </c>
      <c r="G93" s="463">
        <f t="shared" si="12"/>
        <v>2324.421630498472</v>
      </c>
      <c r="H93" s="29">
        <f t="shared" si="13"/>
        <v>2019</v>
      </c>
      <c r="I93" s="29" t="str">
        <f t="shared" si="14"/>
        <v>3</v>
      </c>
    </row>
    <row r="94" spans="1:9" x14ac:dyDescent="0.25">
      <c r="A94" s="1058">
        <v>43800</v>
      </c>
      <c r="B94" s="1059">
        <v>1.4768388615554269</v>
      </c>
      <c r="C94" s="1060">
        <v>849.00143863172298</v>
      </c>
      <c r="D94" s="1061">
        <v>2.8756618366871716</v>
      </c>
      <c r="E94" s="1059">
        <v>1583.7841851816597</v>
      </c>
      <c r="F94" s="1059">
        <f t="shared" si="11"/>
        <v>4.3525006982425989</v>
      </c>
      <c r="G94" s="1062">
        <f t="shared" si="12"/>
        <v>2432.7856238133827</v>
      </c>
      <c r="H94" s="29">
        <f t="shared" si="13"/>
        <v>2019</v>
      </c>
      <c r="I94" s="29" t="str">
        <f t="shared" si="14"/>
        <v>4</v>
      </c>
    </row>
    <row r="95" spans="1:9" x14ac:dyDescent="0.25">
      <c r="A95" s="1058">
        <v>43891</v>
      </c>
      <c r="B95" s="462">
        <v>1.0679276310914303</v>
      </c>
      <c r="C95" s="626">
        <v>543.4383545512984</v>
      </c>
      <c r="D95" s="455">
        <v>3.0512182388705806</v>
      </c>
      <c r="E95" s="462">
        <v>1408.5139162279745</v>
      </c>
      <c r="F95" s="462">
        <f t="shared" si="11"/>
        <v>4.1191458699620114</v>
      </c>
      <c r="G95" s="463">
        <f t="shared" si="12"/>
        <v>1951.952270779273</v>
      </c>
      <c r="H95" s="29">
        <f t="shared" si="13"/>
        <v>2020</v>
      </c>
      <c r="I95" s="29" t="str">
        <f t="shared" si="14"/>
        <v>1</v>
      </c>
    </row>
    <row r="96" spans="1:9" x14ac:dyDescent="0.25">
      <c r="A96" s="1058">
        <v>43983</v>
      </c>
      <c r="B96" s="1059">
        <v>1.1511282205819031</v>
      </c>
      <c r="C96" s="1060">
        <v>488.49113454065753</v>
      </c>
      <c r="D96" s="1061">
        <v>2.8158788112902973</v>
      </c>
      <c r="E96" s="1059">
        <v>514.8270113662561</v>
      </c>
      <c r="F96" s="1059">
        <f t="shared" si="11"/>
        <v>3.9670070318722006</v>
      </c>
      <c r="G96" s="1062">
        <f t="shared" si="12"/>
        <v>1003.3181459069136</v>
      </c>
      <c r="H96" s="29">
        <f t="shared" si="13"/>
        <v>2020</v>
      </c>
      <c r="I96" s="29" t="str">
        <f t="shared" si="14"/>
        <v>2</v>
      </c>
    </row>
    <row r="97" spans="1:9" x14ac:dyDescent="0.25">
      <c r="A97" s="1058">
        <v>44075</v>
      </c>
      <c r="B97" s="462">
        <v>1.1443116782878964</v>
      </c>
      <c r="C97" s="626">
        <v>357.96996611971264</v>
      </c>
      <c r="D97" s="455">
        <v>2.689350431684427</v>
      </c>
      <c r="E97" s="462">
        <v>798.01922553708835</v>
      </c>
      <c r="F97" s="462">
        <f t="shared" si="11"/>
        <v>3.8336621099723232</v>
      </c>
      <c r="G97" s="463">
        <f t="shared" si="12"/>
        <v>1155.989191656801</v>
      </c>
      <c r="H97" s="29">
        <f t="shared" si="13"/>
        <v>2020</v>
      </c>
      <c r="I97" s="29" t="str">
        <f t="shared" si="14"/>
        <v>3</v>
      </c>
    </row>
    <row r="98" spans="1:9" x14ac:dyDescent="0.25">
      <c r="A98" s="1058">
        <v>44166</v>
      </c>
      <c r="B98" s="1059">
        <v>1.2176177138900082</v>
      </c>
      <c r="C98" s="1060">
        <v>406.21281431302918</v>
      </c>
      <c r="D98" s="1061">
        <v>2.8180333416453225</v>
      </c>
      <c r="E98" s="1059">
        <v>842.01089240897829</v>
      </c>
      <c r="F98" s="1059">
        <f t="shared" si="11"/>
        <v>4.0356510555353307</v>
      </c>
      <c r="G98" s="1062">
        <f t="shared" si="12"/>
        <v>1248.2237067220076</v>
      </c>
      <c r="H98" s="29">
        <f t="shared" si="13"/>
        <v>2020</v>
      </c>
      <c r="I98" s="29" t="str">
        <f t="shared" si="14"/>
        <v>4</v>
      </c>
    </row>
    <row r="99" spans="1:9" x14ac:dyDescent="0.25">
      <c r="A99" s="1058">
        <v>44256</v>
      </c>
      <c r="B99" s="462">
        <v>1.003367921011026</v>
      </c>
      <c r="C99" s="626">
        <v>380.53301579593204</v>
      </c>
      <c r="D99" s="455">
        <v>2.9984190379076647</v>
      </c>
      <c r="E99" s="462">
        <v>1289.3245490344764</v>
      </c>
      <c r="F99" s="462">
        <f t="shared" si="11"/>
        <v>4.0017869589186912</v>
      </c>
      <c r="G99" s="463">
        <f t="shared" si="12"/>
        <v>1669.8575648304084</v>
      </c>
      <c r="H99" s="29">
        <f t="shared" si="13"/>
        <v>2021</v>
      </c>
      <c r="I99" s="29" t="str">
        <f t="shared" si="14"/>
        <v>1</v>
      </c>
    </row>
    <row r="100" spans="1:9" x14ac:dyDescent="0.25">
      <c r="A100" s="1058">
        <v>44348</v>
      </c>
      <c r="B100" s="1059">
        <v>0.98030471335617619</v>
      </c>
      <c r="C100" s="1060">
        <v>533.46856404365928</v>
      </c>
      <c r="D100" s="1061">
        <v>2.6172890444299748</v>
      </c>
      <c r="E100" s="1059">
        <v>1351.0046915089988</v>
      </c>
      <c r="F100" s="1059">
        <f t="shared" si="11"/>
        <v>3.597593757786151</v>
      </c>
      <c r="G100" s="1062">
        <f t="shared" si="12"/>
        <v>1884.473255552658</v>
      </c>
      <c r="H100" s="29">
        <f t="shared" si="13"/>
        <v>2021</v>
      </c>
      <c r="I100" s="29" t="str">
        <f t="shared" si="14"/>
        <v>2</v>
      </c>
    </row>
    <row r="101" spans="1:9" x14ac:dyDescent="0.25">
      <c r="A101" s="1058">
        <v>44440</v>
      </c>
      <c r="B101" s="455">
        <v>1.2375280186408495</v>
      </c>
      <c r="C101" s="626">
        <v>756.81752663469581</v>
      </c>
      <c r="D101" s="455">
        <v>3.4269549709693816</v>
      </c>
      <c r="E101" s="462">
        <v>1955.0128754621135</v>
      </c>
      <c r="F101" s="462">
        <f t="shared" si="11"/>
        <v>4.6644829896102316</v>
      </c>
      <c r="G101" s="463">
        <f t="shared" si="12"/>
        <v>2711.8304020968094</v>
      </c>
      <c r="H101" s="29">
        <f t="shared" si="13"/>
        <v>2021</v>
      </c>
      <c r="I101" s="29" t="str">
        <f t="shared" si="14"/>
        <v>3</v>
      </c>
    </row>
    <row r="102" spans="1:9" x14ac:dyDescent="0.25">
      <c r="A102" s="1058">
        <v>44531</v>
      </c>
      <c r="B102" s="1059">
        <v>1.296019129046013</v>
      </c>
      <c r="C102" s="1060">
        <v>822.11778896724536</v>
      </c>
      <c r="D102" s="1061">
        <v>3.1719615560647725</v>
      </c>
      <c r="E102" s="1059">
        <v>2184.8519355722283</v>
      </c>
      <c r="F102" s="1059">
        <f t="shared" si="11"/>
        <v>4.4679806851107857</v>
      </c>
      <c r="G102" s="1062">
        <f t="shared" si="12"/>
        <v>3006.9697245394736</v>
      </c>
      <c r="H102" s="29">
        <f t="shared" si="13"/>
        <v>2021</v>
      </c>
      <c r="I102" s="29" t="str">
        <f t="shared" si="14"/>
        <v>4</v>
      </c>
    </row>
    <row r="103" spans="1:9" x14ac:dyDescent="0.25">
      <c r="A103" s="1058">
        <v>44621</v>
      </c>
      <c r="B103" s="455">
        <v>1.0785355845096718</v>
      </c>
      <c r="C103" s="626">
        <v>816.31574928410885</v>
      </c>
      <c r="D103" s="455">
        <v>2.5071982376491815</v>
      </c>
      <c r="E103" s="462">
        <v>1673.9002274661927</v>
      </c>
      <c r="F103" s="462">
        <f t="shared" si="11"/>
        <v>3.5857338221588533</v>
      </c>
      <c r="G103" s="463">
        <f t="shared" si="12"/>
        <v>2490.2159767503017</v>
      </c>
      <c r="H103" s="29">
        <f t="shared" si="13"/>
        <v>2022</v>
      </c>
      <c r="I103" s="29" t="str">
        <f t="shared" si="14"/>
        <v>1</v>
      </c>
    </row>
    <row r="104" spans="1:9" x14ac:dyDescent="0.25">
      <c r="A104" s="1058">
        <v>44713</v>
      </c>
      <c r="B104" s="1059">
        <v>1.2073598369393475</v>
      </c>
      <c r="C104" s="1060">
        <v>1173.7627046110117</v>
      </c>
      <c r="D104" s="1061">
        <v>2.9785775912710033</v>
      </c>
      <c r="E104" s="1059">
        <v>2808.4391926462895</v>
      </c>
      <c r="F104" s="1059">
        <f t="shared" si="11"/>
        <v>4.1859374282103508</v>
      </c>
      <c r="G104" s="1062">
        <f t="shared" si="12"/>
        <v>3982.2018972573014</v>
      </c>
      <c r="H104" s="29">
        <f t="shared" si="13"/>
        <v>2022</v>
      </c>
      <c r="I104" s="29" t="str">
        <f t="shared" si="14"/>
        <v>2</v>
      </c>
    </row>
    <row r="105" spans="1:9" x14ac:dyDescent="0.25">
      <c r="A105" s="1058">
        <v>44805</v>
      </c>
      <c r="B105" s="455">
        <v>1.0175349232913671</v>
      </c>
      <c r="C105" s="626">
        <v>1023.5920440584905</v>
      </c>
      <c r="D105" s="455">
        <v>2.7171368322048828</v>
      </c>
      <c r="E105" s="462">
        <v>2372.0974769330555</v>
      </c>
      <c r="F105" s="462">
        <f t="shared" ref="F105:F116" si="15">D105+B105</f>
        <v>3.7346717554962501</v>
      </c>
      <c r="G105" s="463">
        <f t="shared" ref="G105:G116" si="16">E105+C105</f>
        <v>3395.689520991546</v>
      </c>
      <c r="H105" s="29">
        <f t="shared" si="13"/>
        <v>2022</v>
      </c>
      <c r="I105" s="29" t="str">
        <f t="shared" si="14"/>
        <v>3</v>
      </c>
    </row>
    <row r="106" spans="1:9" x14ac:dyDescent="0.25">
      <c r="A106" s="1058">
        <v>44896</v>
      </c>
      <c r="B106" s="1059">
        <v>1.1506725646031712</v>
      </c>
      <c r="C106" s="1060">
        <v>1108.0229566915132</v>
      </c>
      <c r="D106" s="1061">
        <v>2.9240810477018817</v>
      </c>
      <c r="E106" s="1059">
        <v>2171.9103966385201</v>
      </c>
      <c r="F106" s="1059">
        <f t="shared" si="15"/>
        <v>4.0747536123050532</v>
      </c>
      <c r="G106" s="1062">
        <f t="shared" si="16"/>
        <v>3279.9333533300332</v>
      </c>
      <c r="H106" s="29">
        <f>YEAR(A106)</f>
        <v>2022</v>
      </c>
      <c r="I106" s="29" t="str">
        <f>IF(MONTH(A106)=3,"1",IF(MONTH(A106)=6,"2",IF(MONTH(A106)=9,"3","4")))</f>
        <v>4</v>
      </c>
    </row>
    <row r="107" spans="1:9" x14ac:dyDescent="0.25">
      <c r="A107" s="1058">
        <v>44986</v>
      </c>
      <c r="B107" s="455">
        <v>0.73189512093936304</v>
      </c>
      <c r="C107" s="626">
        <v>589.11065841854816</v>
      </c>
      <c r="D107" s="455">
        <v>3.1193149031828087</v>
      </c>
      <c r="E107" s="462">
        <v>2105.9731425139171</v>
      </c>
      <c r="F107" s="462">
        <f t="shared" si="15"/>
        <v>3.8512100241221718</v>
      </c>
      <c r="G107" s="463">
        <f t="shared" si="16"/>
        <v>2695.0838009324652</v>
      </c>
      <c r="H107" s="29">
        <f t="shared" si="13"/>
        <v>2023</v>
      </c>
      <c r="I107" s="29" t="str">
        <f t="shared" si="14"/>
        <v>1</v>
      </c>
    </row>
    <row r="108" spans="1:9" x14ac:dyDescent="0.25">
      <c r="A108" s="1058">
        <v>45078</v>
      </c>
      <c r="B108" s="1059">
        <v>0.57587845610947852</v>
      </c>
      <c r="C108" s="1060">
        <v>432.7343810193679</v>
      </c>
      <c r="D108" s="1061">
        <v>3.0734412501588873</v>
      </c>
      <c r="E108" s="1059">
        <v>2093.6400663376035</v>
      </c>
      <c r="F108" s="1059">
        <f t="shared" si="15"/>
        <v>3.6493197062683658</v>
      </c>
      <c r="G108" s="1062">
        <f t="shared" si="16"/>
        <v>2526.3744473569714</v>
      </c>
      <c r="H108" s="29">
        <f t="shared" si="13"/>
        <v>2023</v>
      </c>
      <c r="I108" s="29" t="str">
        <f t="shared" si="14"/>
        <v>2</v>
      </c>
    </row>
    <row r="109" spans="1:9" x14ac:dyDescent="0.25">
      <c r="A109" s="1058">
        <v>45170</v>
      </c>
      <c r="B109" s="455">
        <v>0.88749234825968648</v>
      </c>
      <c r="C109" s="626">
        <v>692.41290723689269</v>
      </c>
      <c r="D109" s="455">
        <v>2.779188467053006</v>
      </c>
      <c r="E109" s="462">
        <v>1958.2255205090373</v>
      </c>
      <c r="F109" s="462">
        <f t="shared" si="15"/>
        <v>3.6666808153126924</v>
      </c>
      <c r="G109" s="463">
        <f t="shared" si="16"/>
        <v>2650.6384277459301</v>
      </c>
      <c r="H109" s="29">
        <f t="shared" si="13"/>
        <v>2023</v>
      </c>
      <c r="I109" s="29" t="str">
        <f t="shared" si="14"/>
        <v>3</v>
      </c>
    </row>
    <row r="110" spans="1:9" x14ac:dyDescent="0.25">
      <c r="A110" s="1058">
        <v>45261</v>
      </c>
      <c r="B110" s="1059">
        <v>0.97200169271683934</v>
      </c>
      <c r="C110" s="1060">
        <v>731.1903023857476</v>
      </c>
      <c r="D110" s="1061">
        <v>2.573490203438122</v>
      </c>
      <c r="E110" s="1059">
        <v>1835.9133056533638</v>
      </c>
      <c r="F110" s="1059">
        <f t="shared" si="15"/>
        <v>3.5454918961549611</v>
      </c>
      <c r="G110" s="1062">
        <f t="shared" si="16"/>
        <v>2567.1036080391114</v>
      </c>
      <c r="H110" s="29">
        <f t="shared" si="13"/>
        <v>2023</v>
      </c>
      <c r="I110" s="29" t="str">
        <f t="shared" si="14"/>
        <v>4</v>
      </c>
    </row>
    <row r="111" spans="1:9" x14ac:dyDescent="0.25">
      <c r="A111" s="1058">
        <v>45352</v>
      </c>
      <c r="B111" s="455">
        <v>0.65267196267170235</v>
      </c>
      <c r="C111" s="626">
        <v>528.6595894295607</v>
      </c>
      <c r="D111" s="455">
        <v>3.1281587156174875</v>
      </c>
      <c r="E111" s="462">
        <v>2219.2617761386109</v>
      </c>
      <c r="F111" s="462">
        <f t="shared" si="15"/>
        <v>3.7808306782891901</v>
      </c>
      <c r="G111" s="463">
        <f t="shared" si="16"/>
        <v>2747.9213655681715</v>
      </c>
      <c r="H111" s="29">
        <f t="shared" si="13"/>
        <v>2024</v>
      </c>
      <c r="I111" s="29" t="str">
        <f t="shared" si="14"/>
        <v>1</v>
      </c>
    </row>
    <row r="112" spans="1:9" x14ac:dyDescent="0.25">
      <c r="A112" s="1058">
        <v>45444</v>
      </c>
      <c r="B112" s="1059">
        <v>0.70329681147502154</v>
      </c>
      <c r="C112" s="1060">
        <v>577.22187898124446</v>
      </c>
      <c r="D112" s="1061">
        <v>2.8552164036642296</v>
      </c>
      <c r="E112" s="1059">
        <v>2116.8046100398183</v>
      </c>
      <c r="F112" s="1059">
        <f t="shared" si="15"/>
        <v>3.5585132151392509</v>
      </c>
      <c r="G112" s="1062">
        <f t="shared" si="16"/>
        <v>2694.0264890210628</v>
      </c>
      <c r="H112" s="29">
        <f t="shared" si="13"/>
        <v>2024</v>
      </c>
      <c r="I112" s="29" t="str">
        <f t="shared" si="14"/>
        <v>2</v>
      </c>
    </row>
    <row r="113" spans="1:9" x14ac:dyDescent="0.25">
      <c r="A113" s="1058">
        <v>45536</v>
      </c>
      <c r="B113" s="455">
        <v>0.85802411690316405</v>
      </c>
      <c r="C113" s="626">
        <v>662.66572672320308</v>
      </c>
      <c r="D113" s="455">
        <v>2.6172552289815951</v>
      </c>
      <c r="E113" s="462">
        <v>1769.0020942878753</v>
      </c>
      <c r="F113" s="462">
        <f t="shared" si="15"/>
        <v>3.4752793458847591</v>
      </c>
      <c r="G113" s="463">
        <f t="shared" si="16"/>
        <v>2431.6678210110786</v>
      </c>
      <c r="H113" s="29">
        <f t="shared" si="13"/>
        <v>2024</v>
      </c>
      <c r="I113" s="29" t="str">
        <f t="shared" si="14"/>
        <v>3</v>
      </c>
    </row>
    <row r="114" spans="1:9" x14ac:dyDescent="0.25">
      <c r="A114" s="1058">
        <v>45627</v>
      </c>
      <c r="B114" s="1059">
        <v>0.84147653067277695</v>
      </c>
      <c r="C114" s="1060">
        <v>605.58488635365109</v>
      </c>
      <c r="D114" s="1061">
        <v>2.7615108487453313</v>
      </c>
      <c r="E114" s="1059">
        <v>1824.0210636789755</v>
      </c>
      <c r="F114" s="1059">
        <f t="shared" si="15"/>
        <v>3.6029873794181082</v>
      </c>
      <c r="G114" s="1062">
        <f t="shared" si="16"/>
        <v>2429.6059500326264</v>
      </c>
      <c r="H114" s="29">
        <f t="shared" si="13"/>
        <v>2024</v>
      </c>
      <c r="I114" s="29" t="str">
        <f t="shared" si="14"/>
        <v>4</v>
      </c>
    </row>
    <row r="115" spans="1:9" x14ac:dyDescent="0.25">
      <c r="A115" s="1058">
        <v>45717</v>
      </c>
      <c r="B115" s="455">
        <v>0.60027465718778261</v>
      </c>
      <c r="C115" s="626">
        <v>458.0310898298153</v>
      </c>
      <c r="D115" s="455">
        <v>2.5622797170672809</v>
      </c>
      <c r="E115" s="462">
        <v>1919.6361555467847</v>
      </c>
      <c r="F115" s="462">
        <f t="shared" si="15"/>
        <v>3.1625543742550635</v>
      </c>
      <c r="G115" s="463">
        <f t="shared" si="16"/>
        <v>2377.6672453766</v>
      </c>
      <c r="H115" s="29">
        <f t="shared" si="13"/>
        <v>2025</v>
      </c>
      <c r="I115" s="29" t="str">
        <f t="shared" si="14"/>
        <v>1</v>
      </c>
    </row>
    <row r="116" spans="1:9" x14ac:dyDescent="0.25">
      <c r="A116" s="1058">
        <v>45809</v>
      </c>
      <c r="B116" s="1059">
        <v>0.78068897140306381</v>
      </c>
      <c r="C116" s="1060">
        <v>574.63616507039217</v>
      </c>
      <c r="D116" s="1061">
        <v>2.8003367114201989</v>
      </c>
      <c r="E116" s="1059">
        <v>1975.2467772409343</v>
      </c>
      <c r="F116" s="1059">
        <f t="shared" si="15"/>
        <v>3.5810256828232627</v>
      </c>
      <c r="G116" s="1062">
        <f t="shared" si="16"/>
        <v>2549.8829423113266</v>
      </c>
      <c r="H116" s="29">
        <f t="shared" si="13"/>
        <v>2025</v>
      </c>
      <c r="I116" s="29" t="str">
        <f t="shared" si="14"/>
        <v>2</v>
      </c>
    </row>
    <row r="117" spans="1:9" x14ac:dyDescent="0.25">
      <c r="A117" s="1058">
        <v>45901</v>
      </c>
      <c r="B117" s="455">
        <v>0.60492738588761585</v>
      </c>
      <c r="C117" s="626">
        <v>413.5155176232264</v>
      </c>
      <c r="D117" s="455">
        <v>2.4001080179894876</v>
      </c>
      <c r="E117" s="462">
        <v>1371.4856135649195</v>
      </c>
      <c r="F117" s="462">
        <f t="shared" ref="F117:F118" si="17">D117+B117</f>
        <v>3.0050354038771037</v>
      </c>
      <c r="G117" s="463">
        <f t="shared" ref="G117:G118" si="18">E117+C117</f>
        <v>1785.0011311881458</v>
      </c>
      <c r="H117" s="29">
        <f t="shared" si="13"/>
        <v>2025</v>
      </c>
      <c r="I117" s="29" t="str">
        <f t="shared" si="14"/>
        <v>3</v>
      </c>
    </row>
    <row r="118" spans="1:9" ht="15.75" thickBot="1" x14ac:dyDescent="0.3">
      <c r="A118" s="1067">
        <v>45992</v>
      </c>
      <c r="B118" s="1084">
        <v>0.59781341002927435</v>
      </c>
      <c r="C118" s="1085">
        <v>398.44047487777095</v>
      </c>
      <c r="D118" s="1086">
        <v>2.3568519759482611</v>
      </c>
      <c r="E118" s="1084">
        <v>1436.5357226975923</v>
      </c>
      <c r="F118" s="1086">
        <f t="shared" si="17"/>
        <v>2.9546653859775356</v>
      </c>
      <c r="G118" s="1087">
        <f t="shared" si="18"/>
        <v>1834.9761975753631</v>
      </c>
      <c r="H118" s="29">
        <f t="shared" si="13"/>
        <v>2025</v>
      </c>
      <c r="I118" s="29" t="str">
        <f t="shared" si="14"/>
        <v>4</v>
      </c>
    </row>
    <row r="119" spans="1:9" x14ac:dyDescent="0.25">
      <c r="G119" s="193"/>
      <c r="H119" s="29">
        <f t="shared" si="13"/>
        <v>1900</v>
      </c>
      <c r="I119" s="29" t="str">
        <f t="shared" si="14"/>
        <v>4</v>
      </c>
    </row>
    <row r="120" spans="1:9" x14ac:dyDescent="0.25">
      <c r="G120" s="193"/>
      <c r="H120" s="29">
        <f t="shared" si="13"/>
        <v>1900</v>
      </c>
      <c r="I120" s="29" t="str">
        <f t="shared" si="14"/>
        <v>4</v>
      </c>
    </row>
    <row r="121" spans="1:9" x14ac:dyDescent="0.25">
      <c r="G121" s="193"/>
      <c r="H121" s="29">
        <f t="shared" si="13"/>
        <v>1900</v>
      </c>
      <c r="I121" s="29" t="str">
        <f t="shared" si="14"/>
        <v>4</v>
      </c>
    </row>
    <row r="122" spans="1:9" x14ac:dyDescent="0.25">
      <c r="G122" s="193"/>
      <c r="H122" s="29">
        <f t="shared" si="13"/>
        <v>1900</v>
      </c>
      <c r="I122" s="29" t="str">
        <f t="shared" si="14"/>
        <v>4</v>
      </c>
    </row>
    <row r="123" spans="1:9" x14ac:dyDescent="0.25">
      <c r="G123" s="193"/>
      <c r="H123" s="29">
        <f t="shared" si="13"/>
        <v>1900</v>
      </c>
      <c r="I123" s="29" t="str">
        <f t="shared" si="14"/>
        <v>4</v>
      </c>
    </row>
    <row r="124" spans="1:9" x14ac:dyDescent="0.25">
      <c r="G124" s="193"/>
      <c r="H124" s="29">
        <f t="shared" si="13"/>
        <v>1900</v>
      </c>
      <c r="I124" s="29" t="str">
        <f t="shared" si="14"/>
        <v>4</v>
      </c>
    </row>
    <row r="125" spans="1:9" x14ac:dyDescent="0.25">
      <c r="G125" s="193"/>
      <c r="H125" s="29">
        <f t="shared" si="13"/>
        <v>1900</v>
      </c>
      <c r="I125" s="29" t="str">
        <f t="shared" si="14"/>
        <v>4</v>
      </c>
    </row>
    <row r="126" spans="1:9" x14ac:dyDescent="0.25">
      <c r="G126" s="193"/>
      <c r="H126" s="29">
        <f t="shared" si="13"/>
        <v>1900</v>
      </c>
      <c r="I126" s="29" t="str">
        <f t="shared" si="14"/>
        <v>4</v>
      </c>
    </row>
    <row r="127" spans="1:9" x14ac:dyDescent="0.25">
      <c r="G127" s="193"/>
      <c r="H127" s="29">
        <f t="shared" si="13"/>
        <v>1900</v>
      </c>
      <c r="I127" s="29" t="str">
        <f t="shared" si="14"/>
        <v>4</v>
      </c>
    </row>
    <row r="128" spans="1:9" x14ac:dyDescent="0.25">
      <c r="G128" s="193"/>
      <c r="H128" s="29">
        <f t="shared" si="13"/>
        <v>1900</v>
      </c>
      <c r="I128" s="29" t="str">
        <f t="shared" si="14"/>
        <v>4</v>
      </c>
    </row>
  </sheetData>
  <mergeCells count="12">
    <mergeCell ref="T12:V12"/>
    <mergeCell ref="U35:Z35"/>
    <mergeCell ref="T36:Z36"/>
    <mergeCell ref="U37:V37"/>
    <mergeCell ref="W37:X37"/>
    <mergeCell ref="Y37:Z37"/>
    <mergeCell ref="T11:V11"/>
    <mergeCell ref="A7:G7"/>
    <mergeCell ref="A8:G8"/>
    <mergeCell ref="B9:C9"/>
    <mergeCell ref="D9:E9"/>
    <mergeCell ref="F9:G9"/>
  </mergeCells>
  <dataValidations count="1">
    <dataValidation type="list" allowBlank="1" showInputMessage="1" showErrorMessage="1" promptTitle="Select a Period:" prompt="Select Financial or Calendar years." sqref="U35:Z35" xr:uid="{6BD70D2A-2293-4C10-8072-0353BA705819}">
      <formula1>$A$1:$A$2</formula1>
    </dataValidation>
  </dataValidation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1FD6F-4976-4F12-B401-0965FC79AF05}">
  <sheetPr>
    <tabColor theme="8" tint="0.39997558519241921"/>
  </sheetPr>
  <dimension ref="A1:AY252"/>
  <sheetViews>
    <sheetView showGridLines="0" topLeftCell="B1" zoomScale="85" zoomScaleNormal="85" workbookViewId="0">
      <pane ySplit="10" topLeftCell="A11" activePane="bottomLeft" state="frozen"/>
      <selection activeCell="B1" sqref="B1"/>
      <selection pane="bottomLeft"/>
    </sheetView>
  </sheetViews>
  <sheetFormatPr defaultColWidth="9.140625" defaultRowHeight="15" x14ac:dyDescent="0.25"/>
  <cols>
    <col min="1" max="1" width="7" hidden="1" customWidth="1"/>
    <col min="2" max="2" width="12.7109375" customWidth="1"/>
    <col min="3" max="11" width="25.7109375" customWidth="1"/>
    <col min="12" max="12" width="5.140625" style="2" hidden="1" customWidth="1"/>
    <col min="13" max="13" width="2.140625" style="2" hidden="1" customWidth="1"/>
    <col min="14" max="14" width="11.28515625" hidden="1" customWidth="1"/>
    <col min="15" max="15" width="5.5703125" customWidth="1"/>
    <col min="19" max="19" width="10" bestFit="1" customWidth="1"/>
    <col min="20" max="22" width="10" customWidth="1"/>
    <col min="26" max="26" width="12.7109375" customWidth="1"/>
    <col min="27" max="28" width="15.7109375" customWidth="1"/>
    <col min="30" max="30" width="12.7109375" customWidth="1"/>
    <col min="31" max="39" width="25.7109375" customWidth="1"/>
  </cols>
  <sheetData>
    <row r="1" spans="1:51" x14ac:dyDescent="0.25">
      <c r="B1" s="64" t="s">
        <v>178</v>
      </c>
    </row>
    <row r="2" spans="1:51" x14ac:dyDescent="0.25">
      <c r="B2" s="64" t="s">
        <v>179</v>
      </c>
    </row>
    <row r="7" spans="1:51" x14ac:dyDescent="0.25">
      <c r="B7" s="1407" t="s">
        <v>658</v>
      </c>
      <c r="C7" s="1407"/>
      <c r="D7" s="1407"/>
      <c r="E7" s="1407"/>
      <c r="F7" s="1407"/>
      <c r="G7" s="1407"/>
      <c r="H7" s="1407"/>
      <c r="I7" s="1407"/>
      <c r="J7" s="1407"/>
      <c r="K7" s="1407"/>
      <c r="L7" s="422"/>
      <c r="M7" s="422"/>
      <c r="N7" s="145"/>
    </row>
    <row r="8" spans="1:51" ht="15.75" thickBot="1" x14ac:dyDescent="0.3">
      <c r="B8" s="1408" t="s">
        <v>555</v>
      </c>
      <c r="C8" s="1408"/>
      <c r="D8" s="1408"/>
      <c r="E8" s="1408"/>
      <c r="F8" s="1408"/>
      <c r="G8" s="1408"/>
      <c r="H8" s="1408"/>
      <c r="I8" s="1408"/>
      <c r="J8" s="1408"/>
      <c r="K8" s="1408"/>
      <c r="L8" s="422"/>
      <c r="M8" s="422"/>
      <c r="N8" s="145"/>
    </row>
    <row r="9" spans="1:51" ht="15.75" thickBot="1" x14ac:dyDescent="0.3">
      <c r="B9" s="1052"/>
      <c r="C9" s="1501" t="s">
        <v>189</v>
      </c>
      <c r="D9" s="1502"/>
      <c r="E9" s="1502"/>
      <c r="F9" s="1501" t="s">
        <v>603</v>
      </c>
      <c r="G9" s="1502"/>
      <c r="H9" s="1503"/>
      <c r="I9" s="1502" t="s">
        <v>170</v>
      </c>
      <c r="J9" s="1502"/>
      <c r="K9" s="1504"/>
      <c r="L9" s="1088"/>
      <c r="M9" s="1088"/>
      <c r="N9" s="1089" t="s">
        <v>616</v>
      </c>
    </row>
    <row r="10" spans="1:51" ht="15.75" thickBot="1" x14ac:dyDescent="0.3">
      <c r="B10" s="1053" t="s">
        <v>557</v>
      </c>
      <c r="C10" s="1054" t="s">
        <v>577</v>
      </c>
      <c r="D10" s="1055" t="s">
        <v>604</v>
      </c>
      <c r="E10" s="1055" t="s">
        <v>559</v>
      </c>
      <c r="F10" s="1054" t="s">
        <v>577</v>
      </c>
      <c r="G10" s="1055" t="s">
        <v>604</v>
      </c>
      <c r="H10" s="1056" t="s">
        <v>559</v>
      </c>
      <c r="I10" s="1055" t="s">
        <v>605</v>
      </c>
      <c r="J10" s="1055" t="s">
        <v>604</v>
      </c>
      <c r="K10" s="1057" t="s">
        <v>559</v>
      </c>
      <c r="L10" s="1088"/>
      <c r="M10" s="1088"/>
      <c r="N10" s="1089" t="s">
        <v>606</v>
      </c>
      <c r="AY10" s="58" t="s">
        <v>608</v>
      </c>
    </row>
    <row r="11" spans="1:51" x14ac:dyDescent="0.25">
      <c r="A11" s="646">
        <f>L11*10+M11</f>
        <v>19991</v>
      </c>
      <c r="B11" s="1090">
        <v>36220</v>
      </c>
      <c r="C11" s="462">
        <v>1958763.1998843055</v>
      </c>
      <c r="D11" s="462">
        <v>108.5803059149417</v>
      </c>
      <c r="E11" s="626">
        <v>356.46952299999998</v>
      </c>
      <c r="F11" s="455">
        <v>153243</v>
      </c>
      <c r="G11" s="462">
        <v>7.5582420514199997</v>
      </c>
      <c r="H11" s="462">
        <v>33.472211000000001</v>
      </c>
      <c r="I11" s="462">
        <v>1507746</v>
      </c>
      <c r="J11" s="462">
        <v>57.328745247148291</v>
      </c>
      <c r="K11" s="463">
        <v>119.96062225999999</v>
      </c>
      <c r="L11">
        <f>YEAR(B11)</f>
        <v>1999</v>
      </c>
      <c r="M11" t="str">
        <f>IF(MONTH(B11)=3,"1",IF(MONTH(B11)=6,"2",IF(MONTH(B11)=9,"3","4")))</f>
        <v>1</v>
      </c>
      <c r="N11" s="1091">
        <f>K11/J11</f>
        <v>2.0925038868867833</v>
      </c>
      <c r="O11" s="193"/>
      <c r="Z11" s="1393" t="s">
        <v>607</v>
      </c>
      <c r="AA11" s="1393"/>
      <c r="AB11" s="1393"/>
    </row>
    <row r="12" spans="1:51" ht="15.75" thickBot="1" x14ac:dyDescent="0.3">
      <c r="A12" s="646">
        <f t="shared" ref="A12:A75" si="0">L12*10+M12</f>
        <v>19992</v>
      </c>
      <c r="B12" s="1058">
        <v>36312</v>
      </c>
      <c r="C12" s="1059">
        <v>1849570.946425338</v>
      </c>
      <c r="D12" s="1059">
        <v>102.52744139062513</v>
      </c>
      <c r="E12" s="1060">
        <v>306.81904800000001</v>
      </c>
      <c r="F12" s="1061">
        <v>150734</v>
      </c>
      <c r="G12" s="1059">
        <v>7.4344933039599992</v>
      </c>
      <c r="H12" s="1059">
        <v>29.206621759999997</v>
      </c>
      <c r="I12" s="1059">
        <v>1579152.59</v>
      </c>
      <c r="J12" s="1059">
        <v>60.043824714828901</v>
      </c>
      <c r="K12" s="1062">
        <v>154.37989433999999</v>
      </c>
      <c r="L12">
        <f t="shared" ref="L12:L75" si="1">YEAR(B12)</f>
        <v>1999</v>
      </c>
      <c r="M12" t="str">
        <f t="shared" ref="M12:M75" si="2">IF(MONTH(B12)=3,"1",IF(MONTH(B12)=6,"2",IF(MONTH(B12)=9,"3","4")))</f>
        <v>2</v>
      </c>
      <c r="N12" s="1091">
        <f t="shared" ref="N12:N75" si="3">K12/J12</f>
        <v>2.5711202621286899</v>
      </c>
      <c r="O12" s="193"/>
      <c r="Z12" s="1395" t="s">
        <v>561</v>
      </c>
      <c r="AA12" s="1395"/>
      <c r="AB12" s="1395"/>
    </row>
    <row r="13" spans="1:51" x14ac:dyDescent="0.25">
      <c r="A13" s="646">
        <f t="shared" si="0"/>
        <v>19993</v>
      </c>
      <c r="B13" s="1058">
        <v>36404</v>
      </c>
      <c r="C13" s="462">
        <v>2084706.9189070782</v>
      </c>
      <c r="D13" s="462">
        <v>115.56175601588593</v>
      </c>
      <c r="E13" s="626">
        <v>386.41965900000002</v>
      </c>
      <c r="F13" s="455">
        <v>190605</v>
      </c>
      <c r="G13" s="462">
        <v>9.4010083736999999</v>
      </c>
      <c r="H13" s="462">
        <v>75.648521000000002</v>
      </c>
      <c r="I13" s="462">
        <v>1724018.8900000001</v>
      </c>
      <c r="J13" s="462">
        <v>65.552049049429669</v>
      </c>
      <c r="K13" s="463">
        <v>145.599974</v>
      </c>
      <c r="L13">
        <f t="shared" si="1"/>
        <v>1999</v>
      </c>
      <c r="M13" t="str">
        <f t="shared" si="2"/>
        <v>3</v>
      </c>
      <c r="N13" s="1091">
        <f t="shared" si="3"/>
        <v>2.2211353590215008</v>
      </c>
      <c r="O13" s="193"/>
      <c r="Z13" s="1092" t="s">
        <v>557</v>
      </c>
      <c r="AA13" s="1064" t="str">
        <f>C10</f>
        <v>Quantity (t)</v>
      </c>
      <c r="AB13" s="1065" t="str">
        <f>E10</f>
        <v>Value ($ Million)</v>
      </c>
    </row>
    <row r="14" spans="1:51" x14ac:dyDescent="0.25">
      <c r="A14" s="646">
        <f t="shared" si="0"/>
        <v>19994</v>
      </c>
      <c r="B14" s="1058">
        <v>36495</v>
      </c>
      <c r="C14" s="1059">
        <v>1971267.1436505031</v>
      </c>
      <c r="D14" s="1059">
        <v>109.27343821360708</v>
      </c>
      <c r="E14" s="1060">
        <v>436.61461000000003</v>
      </c>
      <c r="F14" s="1061">
        <v>155936</v>
      </c>
      <c r="G14" s="1059">
        <v>7.6910660358399996</v>
      </c>
      <c r="H14" s="1059">
        <v>59.992863999999997</v>
      </c>
      <c r="I14" s="1059">
        <v>1650392</v>
      </c>
      <c r="J14" s="1059">
        <v>62.752547528517113</v>
      </c>
      <c r="K14" s="1062">
        <v>136.11511400000001</v>
      </c>
      <c r="L14">
        <f t="shared" si="1"/>
        <v>1999</v>
      </c>
      <c r="M14" t="str">
        <f t="shared" si="2"/>
        <v>4</v>
      </c>
      <c r="N14" s="1091">
        <f t="shared" si="3"/>
        <v>2.169077103015526</v>
      </c>
      <c r="O14" s="193"/>
      <c r="Z14" s="1009">
        <f>LARGE($B:$B, 9)</f>
        <v>45261</v>
      </c>
      <c r="AA14" s="462">
        <f t="shared" ref="AA14:AA22" si="4">SUMIF($B$11:$B$741,$Z14,C$11:C$741)</f>
        <v>11763031.099801024</v>
      </c>
      <c r="AB14" s="463">
        <f t="shared" ref="AB14:AB22" si="5">SUMIF($B$11:$B$741,$Z14,E$11:E$741)</f>
        <v>9759.7429481689906</v>
      </c>
    </row>
    <row r="15" spans="1:51" x14ac:dyDescent="0.25">
      <c r="A15" s="646">
        <f t="shared" si="0"/>
        <v>20001</v>
      </c>
      <c r="B15" s="1058">
        <v>36586</v>
      </c>
      <c r="C15" s="462">
        <v>2097435.7809139923</v>
      </c>
      <c r="D15" s="462">
        <v>116.26735622868422</v>
      </c>
      <c r="E15" s="626">
        <v>577.53799300000003</v>
      </c>
      <c r="F15" s="455">
        <v>227598</v>
      </c>
      <c r="G15" s="462">
        <v>11.22557490012</v>
      </c>
      <c r="H15" s="462">
        <v>107.01597599999999</v>
      </c>
      <c r="I15" s="462">
        <v>1450035</v>
      </c>
      <c r="J15" s="462">
        <v>55.134410646387835</v>
      </c>
      <c r="K15" s="463">
        <v>133.13102900000001</v>
      </c>
      <c r="L15">
        <f t="shared" si="1"/>
        <v>2000</v>
      </c>
      <c r="M15" t="str">
        <f t="shared" si="2"/>
        <v>1</v>
      </c>
      <c r="N15" s="1091">
        <f t="shared" si="3"/>
        <v>2.4146631375794381</v>
      </c>
      <c r="O15" s="193"/>
      <c r="Z15" s="1007">
        <f>LARGE($B:$B, 8)</f>
        <v>45352</v>
      </c>
      <c r="AA15" s="1059">
        <f t="shared" si="4"/>
        <v>12514813.679246552</v>
      </c>
      <c r="AB15" s="1062">
        <f t="shared" si="5"/>
        <v>9613.6318564179201</v>
      </c>
    </row>
    <row r="16" spans="1:51" x14ac:dyDescent="0.25">
      <c r="A16" s="646">
        <f t="shared" si="0"/>
        <v>20002</v>
      </c>
      <c r="B16" s="1058">
        <v>36678</v>
      </c>
      <c r="C16" s="1059">
        <v>1837452.6869932078</v>
      </c>
      <c r="D16" s="1059">
        <v>101.8556887681667</v>
      </c>
      <c r="E16" s="1060">
        <v>570.48816299999999</v>
      </c>
      <c r="F16" s="1061">
        <v>204010</v>
      </c>
      <c r="G16" s="1059">
        <v>10.062168979399999</v>
      </c>
      <c r="H16" s="1059">
        <v>94.180988999999997</v>
      </c>
      <c r="I16" s="1059">
        <v>1622694</v>
      </c>
      <c r="J16" s="1059">
        <v>61.699391634980991</v>
      </c>
      <c r="K16" s="1062">
        <v>154.53788299999999</v>
      </c>
      <c r="L16">
        <f t="shared" si="1"/>
        <v>2000</v>
      </c>
      <c r="M16" t="str">
        <f t="shared" si="2"/>
        <v>2</v>
      </c>
      <c r="N16" s="1091">
        <f t="shared" si="3"/>
        <v>2.5046905472627614</v>
      </c>
      <c r="O16" s="193"/>
      <c r="Z16" s="1009">
        <f>LARGE($B:$B, 7)</f>
        <v>45444</v>
      </c>
      <c r="AA16" s="462">
        <f t="shared" si="4"/>
        <v>11468922.402049195</v>
      </c>
      <c r="AB16" s="463">
        <f t="shared" si="5"/>
        <v>7898.8149657259219</v>
      </c>
    </row>
    <row r="17" spans="1:28" x14ac:dyDescent="0.25">
      <c r="A17" s="646">
        <f t="shared" si="0"/>
        <v>20003</v>
      </c>
      <c r="B17" s="1058">
        <v>36770</v>
      </c>
      <c r="C17" s="462">
        <v>2005254.4437920377</v>
      </c>
      <c r="D17" s="462">
        <v>111.15745944027131</v>
      </c>
      <c r="E17" s="626">
        <v>650.62348799999995</v>
      </c>
      <c r="F17" s="455">
        <v>187206</v>
      </c>
      <c r="G17" s="462">
        <v>9.2333630996399982</v>
      </c>
      <c r="H17" s="462">
        <v>102.37838499999999</v>
      </c>
      <c r="I17" s="462">
        <v>1860774</v>
      </c>
      <c r="J17" s="462">
        <v>70.751863117870727</v>
      </c>
      <c r="K17" s="463">
        <v>154.509299</v>
      </c>
      <c r="L17">
        <f t="shared" si="1"/>
        <v>2000</v>
      </c>
      <c r="M17" t="str">
        <f t="shared" si="2"/>
        <v>3</v>
      </c>
      <c r="N17" s="1091">
        <f t="shared" si="3"/>
        <v>2.1838195093547093</v>
      </c>
      <c r="O17" s="193"/>
      <c r="Z17" s="1007">
        <f>LARGE($B:$B, 6)</f>
        <v>45536</v>
      </c>
      <c r="AA17" s="1059">
        <f t="shared" si="4"/>
        <v>12102881.709110316</v>
      </c>
      <c r="AB17" s="1062">
        <f t="shared" si="5"/>
        <v>8930.3718609523967</v>
      </c>
    </row>
    <row r="18" spans="1:28" x14ac:dyDescent="0.25">
      <c r="A18" s="646">
        <f t="shared" si="0"/>
        <v>20004</v>
      </c>
      <c r="B18" s="1058">
        <v>36861</v>
      </c>
      <c r="C18" s="1059">
        <v>1868494.2057932222</v>
      </c>
      <c r="D18" s="1059">
        <v>103.57641621881977</v>
      </c>
      <c r="E18" s="1060">
        <v>726.18060110999988</v>
      </c>
      <c r="F18" s="1061">
        <v>196290</v>
      </c>
      <c r="G18" s="1059">
        <v>9.6814036025999997</v>
      </c>
      <c r="H18" s="1059">
        <v>105.14746</v>
      </c>
      <c r="I18" s="1059">
        <v>1940481</v>
      </c>
      <c r="J18" s="1059">
        <v>73.782547528517114</v>
      </c>
      <c r="K18" s="1062">
        <v>160.779822</v>
      </c>
      <c r="L18">
        <f t="shared" si="1"/>
        <v>2000</v>
      </c>
      <c r="M18" t="str">
        <f t="shared" si="2"/>
        <v>4</v>
      </c>
      <c r="N18" s="1091">
        <f t="shared" si="3"/>
        <v>2.1791036957331711</v>
      </c>
      <c r="O18" s="193"/>
      <c r="Z18" s="1009">
        <f>LARGE($B:$B, 5)</f>
        <v>45627</v>
      </c>
      <c r="AA18" s="462">
        <f t="shared" si="4"/>
        <v>11984074.443569288</v>
      </c>
      <c r="AB18" s="463">
        <f t="shared" si="5"/>
        <v>9242.737156355739</v>
      </c>
    </row>
    <row r="19" spans="1:28" x14ac:dyDescent="0.25">
      <c r="A19" s="646">
        <f t="shared" si="0"/>
        <v>20011</v>
      </c>
      <c r="B19" s="1058">
        <v>36951</v>
      </c>
      <c r="C19" s="462">
        <v>1910664.5478073962</v>
      </c>
      <c r="D19" s="462">
        <v>105.91404878038065</v>
      </c>
      <c r="E19" s="626">
        <v>841.42728009753</v>
      </c>
      <c r="F19" s="455">
        <v>208659</v>
      </c>
      <c r="G19" s="462">
        <v>10.291466678460001</v>
      </c>
      <c r="H19" s="462">
        <v>107.916927</v>
      </c>
      <c r="I19" s="462">
        <v>1854412</v>
      </c>
      <c r="J19" s="462">
        <v>70.509961977186308</v>
      </c>
      <c r="K19" s="463">
        <v>148.41992200000001</v>
      </c>
      <c r="L19">
        <f t="shared" si="1"/>
        <v>2001</v>
      </c>
      <c r="M19" t="str">
        <f t="shared" si="2"/>
        <v>1</v>
      </c>
      <c r="N19" s="1091">
        <f t="shared" si="3"/>
        <v>2.104949681408447</v>
      </c>
      <c r="O19" s="193"/>
      <c r="Z19" s="1007">
        <f>LARGE($B:$B, 4)</f>
        <v>45717</v>
      </c>
      <c r="AA19" s="1059">
        <f t="shared" si="4"/>
        <v>11032082.914300151</v>
      </c>
      <c r="AB19" s="1062">
        <f t="shared" si="5"/>
        <v>9257.5203291933449</v>
      </c>
    </row>
    <row r="20" spans="1:28" x14ac:dyDescent="0.25">
      <c r="A20" s="646">
        <f t="shared" si="0"/>
        <v>20012</v>
      </c>
      <c r="B20" s="1058">
        <v>37043</v>
      </c>
      <c r="C20" s="1059">
        <v>1803422.4795584281</v>
      </c>
      <c r="D20" s="1059">
        <v>99.969289057453565</v>
      </c>
      <c r="E20" s="1060">
        <v>794.19952266501014</v>
      </c>
      <c r="F20" s="1061">
        <v>204417</v>
      </c>
      <c r="G20" s="1059">
        <v>10.082243008980001</v>
      </c>
      <c r="H20" s="1059">
        <v>94.066592</v>
      </c>
      <c r="I20" s="1059">
        <v>1904422</v>
      </c>
      <c r="J20" s="1059">
        <v>72.411482889733847</v>
      </c>
      <c r="K20" s="1062">
        <v>162.46897921454945</v>
      </c>
      <c r="L20">
        <f t="shared" si="1"/>
        <v>2001</v>
      </c>
      <c r="M20" t="str">
        <f t="shared" si="2"/>
        <v>2</v>
      </c>
      <c r="N20" s="1091">
        <f t="shared" si="3"/>
        <v>2.2436908171312084</v>
      </c>
      <c r="O20" s="193"/>
      <c r="Z20" s="1009">
        <f>LARGE($B:$B, 3)</f>
        <v>45809</v>
      </c>
      <c r="AA20" s="462">
        <f t="shared" si="4"/>
        <v>10822500.328575438</v>
      </c>
      <c r="AB20" s="463">
        <f t="shared" si="5"/>
        <v>7274.1235993603786</v>
      </c>
    </row>
    <row r="21" spans="1:28" x14ac:dyDescent="0.25">
      <c r="A21" s="646">
        <f t="shared" si="0"/>
        <v>20013</v>
      </c>
      <c r="B21" s="1058">
        <v>37135</v>
      </c>
      <c r="C21" s="462">
        <v>2096353.0817614915</v>
      </c>
      <c r="D21" s="462">
        <v>116.20733886405365</v>
      </c>
      <c r="E21" s="626">
        <v>923.20165448972296</v>
      </c>
      <c r="F21" s="455">
        <v>261719</v>
      </c>
      <c r="G21" s="462">
        <v>12.90848881486</v>
      </c>
      <c r="H21" s="462">
        <v>117.05665999999999</v>
      </c>
      <c r="I21" s="462">
        <v>1960449</v>
      </c>
      <c r="J21" s="462">
        <v>74.541787072243352</v>
      </c>
      <c r="K21" s="463">
        <v>164.66447600000001</v>
      </c>
      <c r="L21">
        <f t="shared" si="1"/>
        <v>2001</v>
      </c>
      <c r="M21" t="str">
        <f t="shared" si="2"/>
        <v>3</v>
      </c>
      <c r="N21" s="1091">
        <f t="shared" si="3"/>
        <v>2.209022381505461</v>
      </c>
      <c r="O21" s="193"/>
      <c r="Z21" s="1007">
        <f>LARGE($B:$B, 2)</f>
        <v>45901</v>
      </c>
      <c r="AA21" s="1059">
        <f t="shared" si="4"/>
        <v>11226308.019656746</v>
      </c>
      <c r="AB21" s="1062">
        <f t="shared" si="5"/>
        <v>7758.3336979305168</v>
      </c>
    </row>
    <row r="22" spans="1:28" ht="15.75" thickBot="1" x14ac:dyDescent="0.3">
      <c r="A22" s="646">
        <f t="shared" si="0"/>
        <v>20014</v>
      </c>
      <c r="B22" s="1058">
        <v>37226</v>
      </c>
      <c r="C22" s="1059">
        <v>2098266.9888792098</v>
      </c>
      <c r="D22" s="1059">
        <v>116.31343265851891</v>
      </c>
      <c r="E22" s="1060">
        <v>924.04450974773681</v>
      </c>
      <c r="F22" s="1061">
        <v>186285</v>
      </c>
      <c r="G22" s="1059">
        <v>9.1879375929000009</v>
      </c>
      <c r="H22" s="1059">
        <v>83.581271999999998</v>
      </c>
      <c r="I22" s="1059">
        <v>1946250</v>
      </c>
      <c r="J22" s="1059">
        <v>74.00190114068441</v>
      </c>
      <c r="K22" s="1062">
        <v>166.52129199999999</v>
      </c>
      <c r="L22">
        <f t="shared" si="1"/>
        <v>2001</v>
      </c>
      <c r="M22" t="str">
        <f t="shared" si="2"/>
        <v>4</v>
      </c>
      <c r="N22" s="1091">
        <f t="shared" si="3"/>
        <v>2.2502299188696209</v>
      </c>
      <c r="O22" s="193"/>
      <c r="Z22" s="1019">
        <f>LARGE($B:$B, 1)</f>
        <v>45992</v>
      </c>
      <c r="AA22" s="467">
        <f t="shared" si="4"/>
        <v>11234855.556556832</v>
      </c>
      <c r="AB22" s="468">
        <f t="shared" si="5"/>
        <v>7561.5348336975367</v>
      </c>
    </row>
    <row r="23" spans="1:28" x14ac:dyDescent="0.25">
      <c r="A23" s="646">
        <f t="shared" si="0"/>
        <v>20021</v>
      </c>
      <c r="B23" s="1058">
        <v>37316</v>
      </c>
      <c r="C23" s="462">
        <v>1914514.0532256914</v>
      </c>
      <c r="D23" s="462">
        <v>106.1274387787043</v>
      </c>
      <c r="E23" s="626">
        <v>551.07352300000002</v>
      </c>
      <c r="F23" s="455">
        <v>217388</v>
      </c>
      <c r="G23" s="462">
        <v>10.721997892719999</v>
      </c>
      <c r="H23" s="462">
        <v>85.772964999999999</v>
      </c>
      <c r="I23" s="462">
        <v>1852945</v>
      </c>
      <c r="J23" s="462">
        <v>70.454182509505699</v>
      </c>
      <c r="K23" s="463">
        <v>150.462389</v>
      </c>
      <c r="L23">
        <f t="shared" si="1"/>
        <v>2002</v>
      </c>
      <c r="M23" t="str">
        <f t="shared" si="2"/>
        <v>1</v>
      </c>
      <c r="N23" s="1091">
        <f t="shared" si="3"/>
        <v>2.1356062002379996</v>
      </c>
      <c r="O23" s="193"/>
      <c r="Z23" s="469"/>
    </row>
    <row r="24" spans="1:28" x14ac:dyDescent="0.25">
      <c r="A24" s="646">
        <f t="shared" si="0"/>
        <v>20022</v>
      </c>
      <c r="B24" s="1058">
        <v>37408</v>
      </c>
      <c r="C24" s="1059">
        <v>1953455.4217422921</v>
      </c>
      <c r="D24" s="1059">
        <v>108.28607934665489</v>
      </c>
      <c r="E24" s="1060">
        <v>608.07784800000013</v>
      </c>
      <c r="F24" s="1061">
        <v>191130</v>
      </c>
      <c r="G24" s="1059">
        <v>9.4269023921999988</v>
      </c>
      <c r="H24" s="1059">
        <v>75.167028000000002</v>
      </c>
      <c r="I24" s="1059">
        <v>1697095</v>
      </c>
      <c r="J24" s="1059">
        <v>64.52832699619772</v>
      </c>
      <c r="K24" s="1062">
        <v>157.231076</v>
      </c>
      <c r="L24">
        <f t="shared" si="1"/>
        <v>2002</v>
      </c>
      <c r="M24" t="str">
        <f t="shared" si="2"/>
        <v>2</v>
      </c>
      <c r="N24" s="1091">
        <f t="shared" si="3"/>
        <v>2.4366209898679805</v>
      </c>
      <c r="O24" s="193"/>
      <c r="Z24" s="469"/>
    </row>
    <row r="25" spans="1:28" x14ac:dyDescent="0.25">
      <c r="A25" s="646">
        <f t="shared" si="0"/>
        <v>20023</v>
      </c>
      <c r="B25" s="1058">
        <v>37500</v>
      </c>
      <c r="C25" s="462">
        <v>2152154.5174200633</v>
      </c>
      <c r="D25" s="462">
        <v>119.30058513019677</v>
      </c>
      <c r="E25" s="626">
        <v>850.14068999999995</v>
      </c>
      <c r="F25" s="455">
        <v>222884</v>
      </c>
      <c r="G25" s="462">
        <v>10.99307127496</v>
      </c>
      <c r="H25" s="462">
        <v>96.977897999999996</v>
      </c>
      <c r="I25" s="462">
        <v>2172461</v>
      </c>
      <c r="J25" s="462">
        <v>82.603079847908745</v>
      </c>
      <c r="K25" s="463">
        <v>171.79498599999999</v>
      </c>
      <c r="L25">
        <f t="shared" si="1"/>
        <v>2002</v>
      </c>
      <c r="M25" t="str">
        <f t="shared" si="2"/>
        <v>3</v>
      </c>
      <c r="N25" s="1091">
        <f t="shared" si="3"/>
        <v>2.0797648987945005</v>
      </c>
      <c r="O25" s="193"/>
      <c r="Z25" s="469"/>
    </row>
    <row r="26" spans="1:28" x14ac:dyDescent="0.25">
      <c r="A26" s="646">
        <f t="shared" si="0"/>
        <v>20024</v>
      </c>
      <c r="B26" s="1058">
        <v>37591</v>
      </c>
      <c r="C26" s="1059">
        <v>1980869.1366087762</v>
      </c>
      <c r="D26" s="1059">
        <v>109.80570639838</v>
      </c>
      <c r="E26" s="1060">
        <v>781.92438900000002</v>
      </c>
      <c r="F26" s="1061">
        <v>184164</v>
      </c>
      <c r="G26" s="1059">
        <v>9.0833257581599991</v>
      </c>
      <c r="H26" s="1059">
        <v>105.525927</v>
      </c>
      <c r="I26" s="1059">
        <v>2027096</v>
      </c>
      <c r="J26" s="1059">
        <v>77.075893536121669</v>
      </c>
      <c r="K26" s="1062">
        <v>170.71493799999999</v>
      </c>
      <c r="L26">
        <f t="shared" si="1"/>
        <v>2002</v>
      </c>
      <c r="M26" t="str">
        <f t="shared" si="2"/>
        <v>4</v>
      </c>
      <c r="N26" s="1091">
        <f t="shared" si="3"/>
        <v>2.2148940501091214</v>
      </c>
      <c r="O26" s="193"/>
      <c r="Z26" s="469"/>
    </row>
    <row r="27" spans="1:28" x14ac:dyDescent="0.25">
      <c r="A27" s="646">
        <f t="shared" si="0"/>
        <v>20031</v>
      </c>
      <c r="B27" s="1058">
        <v>37681</v>
      </c>
      <c r="C27" s="462">
        <v>2047023.6024221559</v>
      </c>
      <c r="D27" s="462">
        <v>113.47285316531976</v>
      </c>
      <c r="E27" s="626">
        <v>772.56395799999996</v>
      </c>
      <c r="F27" s="455">
        <v>167903</v>
      </c>
      <c r="G27" s="462">
        <v>8.2813016918199995</v>
      </c>
      <c r="H27" s="462">
        <v>99.681422999999995</v>
      </c>
      <c r="I27" s="462">
        <v>1958098</v>
      </c>
      <c r="J27" s="462">
        <v>74.452395437262354</v>
      </c>
      <c r="K27" s="463">
        <v>159.82396399999999</v>
      </c>
      <c r="L27">
        <f t="shared" si="1"/>
        <v>2003</v>
      </c>
      <c r="M27" t="str">
        <f t="shared" si="2"/>
        <v>1</v>
      </c>
      <c r="N27" s="1091">
        <f t="shared" si="3"/>
        <v>2.1466597959856961</v>
      </c>
      <c r="O27" s="193"/>
      <c r="Z27" s="469"/>
    </row>
    <row r="28" spans="1:28" x14ac:dyDescent="0.25">
      <c r="A28" s="646">
        <f t="shared" si="0"/>
        <v>20032</v>
      </c>
      <c r="B28" s="1058">
        <v>37773</v>
      </c>
      <c r="C28" s="1059">
        <v>2018138.4484287524</v>
      </c>
      <c r="D28" s="1059">
        <v>111.87165968915623</v>
      </c>
      <c r="E28" s="1060">
        <v>726.19900600000017</v>
      </c>
      <c r="F28" s="1061">
        <v>232112</v>
      </c>
      <c r="G28" s="1059">
        <v>11.448214137280001</v>
      </c>
      <c r="H28" s="1059">
        <v>91.677954999999997</v>
      </c>
      <c r="I28" s="1059">
        <v>1962450</v>
      </c>
      <c r="J28" s="1059">
        <v>74.617870722433466</v>
      </c>
      <c r="K28" s="1062">
        <v>159.586656</v>
      </c>
      <c r="L28">
        <f t="shared" si="1"/>
        <v>2003</v>
      </c>
      <c r="M28" t="str">
        <f t="shared" si="2"/>
        <v>2</v>
      </c>
      <c r="N28" s="1091">
        <f t="shared" si="3"/>
        <v>2.1387189751586027</v>
      </c>
      <c r="O28" s="193"/>
      <c r="Z28" s="469"/>
    </row>
    <row r="29" spans="1:28" x14ac:dyDescent="0.25">
      <c r="A29" s="646">
        <f t="shared" si="0"/>
        <v>20033</v>
      </c>
      <c r="B29" s="1058">
        <v>37865</v>
      </c>
      <c r="C29" s="462">
        <v>2219445.4507048135</v>
      </c>
      <c r="D29" s="462">
        <v>123.03072980607779</v>
      </c>
      <c r="E29" s="626">
        <v>752.43159899999989</v>
      </c>
      <c r="F29" s="455">
        <v>170079</v>
      </c>
      <c r="G29" s="462">
        <v>8.3886262332600001</v>
      </c>
      <c r="H29" s="462">
        <v>67.386379000000005</v>
      </c>
      <c r="I29" s="462">
        <v>2110943</v>
      </c>
      <c r="J29" s="462">
        <v>80.263992395437256</v>
      </c>
      <c r="K29" s="463">
        <v>188.401556</v>
      </c>
      <c r="L29">
        <f t="shared" si="1"/>
        <v>2003</v>
      </c>
      <c r="M29" t="str">
        <f t="shared" si="2"/>
        <v>3</v>
      </c>
      <c r="N29" s="1091">
        <f t="shared" si="3"/>
        <v>2.3472736700138279</v>
      </c>
      <c r="O29" s="193"/>
      <c r="Z29" s="469"/>
    </row>
    <row r="30" spans="1:28" x14ac:dyDescent="0.25">
      <c r="A30" s="646">
        <f t="shared" si="0"/>
        <v>20034</v>
      </c>
      <c r="B30" s="1058">
        <v>37956</v>
      </c>
      <c r="C30" s="1059">
        <v>2003850.0192975404</v>
      </c>
      <c r="D30" s="1059">
        <v>111.07960784429689</v>
      </c>
      <c r="E30" s="1060">
        <v>623.41959999999995</v>
      </c>
      <c r="F30" s="1061">
        <v>175075</v>
      </c>
      <c r="G30" s="1059">
        <v>8.6350386454999981</v>
      </c>
      <c r="H30" s="1059">
        <v>66.801114999999996</v>
      </c>
      <c r="I30" s="1059">
        <v>2081126</v>
      </c>
      <c r="J30" s="1059">
        <v>79.130266159695822</v>
      </c>
      <c r="K30" s="1062">
        <v>182.642709</v>
      </c>
      <c r="L30">
        <f t="shared" si="1"/>
        <v>2003</v>
      </c>
      <c r="M30" t="str">
        <f t="shared" si="2"/>
        <v>4</v>
      </c>
      <c r="N30" s="1091">
        <f t="shared" si="3"/>
        <v>2.308127065204125</v>
      </c>
      <c r="O30" s="193"/>
    </row>
    <row r="31" spans="1:28" x14ac:dyDescent="0.25">
      <c r="A31" s="646">
        <f t="shared" si="0"/>
        <v>20041</v>
      </c>
      <c r="B31" s="1058">
        <v>38047</v>
      </c>
      <c r="C31" s="462">
        <v>1980160.9456250088</v>
      </c>
      <c r="D31" s="462">
        <v>109.76644918052529</v>
      </c>
      <c r="E31" s="626">
        <v>696.88724400000001</v>
      </c>
      <c r="F31" s="455">
        <v>189587</v>
      </c>
      <c r="G31" s="462">
        <v>9.3507986387799988</v>
      </c>
      <c r="H31" s="462">
        <v>76.295843000000005</v>
      </c>
      <c r="I31" s="462">
        <v>1958982</v>
      </c>
      <c r="J31" s="462">
        <v>74.486007604562744</v>
      </c>
      <c r="K31" s="463">
        <v>151.96587700000001</v>
      </c>
      <c r="L31">
        <f t="shared" si="1"/>
        <v>2004</v>
      </c>
      <c r="M31" t="str">
        <f t="shared" si="2"/>
        <v>1</v>
      </c>
      <c r="N31" s="1091">
        <f t="shared" si="3"/>
        <v>2.0401936133665344</v>
      </c>
      <c r="O31" s="193"/>
    </row>
    <row r="32" spans="1:28" x14ac:dyDescent="0.25">
      <c r="A32" s="646">
        <f t="shared" si="0"/>
        <v>20042</v>
      </c>
      <c r="B32" s="1058">
        <v>38139</v>
      </c>
      <c r="C32" s="1059">
        <v>2017308.1044479285</v>
      </c>
      <c r="D32" s="1059">
        <v>111.82563115265023</v>
      </c>
      <c r="E32" s="1060">
        <v>703.14304900000002</v>
      </c>
      <c r="F32" s="1061">
        <v>160521</v>
      </c>
      <c r="G32" s="1059">
        <v>7.9172071307399996</v>
      </c>
      <c r="H32" s="1059">
        <v>71.667344999999997</v>
      </c>
      <c r="I32" s="1059">
        <v>1909759</v>
      </c>
      <c r="J32" s="1059">
        <v>72.614410646387839</v>
      </c>
      <c r="K32" s="1062">
        <v>158.03351499999999</v>
      </c>
      <c r="L32">
        <f t="shared" si="1"/>
        <v>2004</v>
      </c>
      <c r="M32" t="str">
        <f t="shared" si="2"/>
        <v>2</v>
      </c>
      <c r="N32" s="1091">
        <f t="shared" si="3"/>
        <v>2.1763381895307208</v>
      </c>
      <c r="O32" s="193"/>
    </row>
    <row r="33" spans="1:39" x14ac:dyDescent="0.25">
      <c r="A33" s="646">
        <f t="shared" si="0"/>
        <v>20043</v>
      </c>
      <c r="B33" s="1058">
        <v>38231</v>
      </c>
      <c r="C33" s="462">
        <v>2434155.8057928775</v>
      </c>
      <c r="D33" s="462">
        <v>134.93278924845691</v>
      </c>
      <c r="E33" s="626">
        <v>814.84290999999996</v>
      </c>
      <c r="F33" s="455">
        <v>229492</v>
      </c>
      <c r="G33" s="462">
        <v>11.318990654479999</v>
      </c>
      <c r="H33" s="462">
        <v>111.539199</v>
      </c>
      <c r="I33" s="462">
        <v>1843652</v>
      </c>
      <c r="J33" s="462">
        <v>70.100836501901142</v>
      </c>
      <c r="K33" s="463">
        <v>169.58207899999999</v>
      </c>
      <c r="L33">
        <f t="shared" si="1"/>
        <v>2004</v>
      </c>
      <c r="M33" t="str">
        <f t="shared" si="2"/>
        <v>3</v>
      </c>
      <c r="N33" s="1091">
        <f t="shared" si="3"/>
        <v>2.4191163395803543</v>
      </c>
      <c r="O33" s="193"/>
    </row>
    <row r="34" spans="1:39" ht="15.75" thickBot="1" x14ac:dyDescent="0.3">
      <c r="A34" s="646">
        <f t="shared" si="0"/>
        <v>20044</v>
      </c>
      <c r="B34" s="1058">
        <v>38322</v>
      </c>
      <c r="C34" s="1059">
        <v>2787683.4293645131</v>
      </c>
      <c r="D34" s="1059">
        <v>154.52991947790875</v>
      </c>
      <c r="E34" s="1060">
        <v>935.93642699999998</v>
      </c>
      <c r="F34" s="1061">
        <v>142088</v>
      </c>
      <c r="G34" s="1059">
        <v>7.0080558107199993</v>
      </c>
      <c r="H34" s="1059">
        <v>80.915570000000002</v>
      </c>
      <c r="I34" s="1059">
        <v>2001298</v>
      </c>
      <c r="J34" s="1059">
        <v>76.09498098859315</v>
      </c>
      <c r="K34" s="1062">
        <v>175.87676099999999</v>
      </c>
      <c r="L34">
        <f t="shared" si="1"/>
        <v>2004</v>
      </c>
      <c r="M34" t="str">
        <f t="shared" si="2"/>
        <v>4</v>
      </c>
      <c r="N34" s="1091">
        <f t="shared" si="3"/>
        <v>2.3112793868279486</v>
      </c>
      <c r="O34" s="193"/>
    </row>
    <row r="35" spans="1:39" x14ac:dyDescent="0.25">
      <c r="A35" s="646">
        <f t="shared" si="0"/>
        <v>20051</v>
      </c>
      <c r="B35" s="1058">
        <v>38412</v>
      </c>
      <c r="C35" s="462">
        <v>2765700</v>
      </c>
      <c r="D35" s="462">
        <v>153.311309956554</v>
      </c>
      <c r="E35" s="626">
        <v>990.53453766112727</v>
      </c>
      <c r="F35" s="455">
        <v>193680</v>
      </c>
      <c r="G35" s="462">
        <v>9.5526733392000001</v>
      </c>
      <c r="H35" s="462">
        <v>114.8085584005612</v>
      </c>
      <c r="I35" s="462">
        <v>1864648</v>
      </c>
      <c r="J35" s="462">
        <v>70.899163498098858</v>
      </c>
      <c r="K35" s="463">
        <v>166.87281999999999</v>
      </c>
      <c r="L35">
        <f t="shared" si="1"/>
        <v>2005</v>
      </c>
      <c r="M35" t="str">
        <f t="shared" si="2"/>
        <v>1</v>
      </c>
      <c r="N35" s="1091">
        <f t="shared" si="3"/>
        <v>2.3536641585972258</v>
      </c>
      <c r="O35" s="1093"/>
      <c r="Z35" s="1393" t="s">
        <v>609</v>
      </c>
      <c r="AA35" s="1393"/>
      <c r="AB35" s="1393"/>
      <c r="AD35" s="1094" t="s">
        <v>158</v>
      </c>
      <c r="AE35" s="1514" t="s">
        <v>178</v>
      </c>
      <c r="AF35" s="1514"/>
      <c r="AG35" s="1514"/>
      <c r="AH35" s="1514"/>
      <c r="AI35" s="1514"/>
      <c r="AJ35" s="1514"/>
      <c r="AK35" s="1514"/>
      <c r="AL35" s="1514"/>
      <c r="AM35" s="1515"/>
    </row>
    <row r="36" spans="1:39" ht="15.75" thickBot="1" x14ac:dyDescent="0.3">
      <c r="A36" s="646">
        <f t="shared" si="0"/>
        <v>20052</v>
      </c>
      <c r="B36" s="1058">
        <v>38504</v>
      </c>
      <c r="C36" s="1059">
        <v>2941484</v>
      </c>
      <c r="D36" s="1059">
        <v>163.05556107178805</v>
      </c>
      <c r="E36" s="1060">
        <v>1053.4915189563594</v>
      </c>
      <c r="F36" s="1061">
        <v>198926</v>
      </c>
      <c r="G36" s="1059">
        <v>9.8114162364399995</v>
      </c>
      <c r="H36" s="1059">
        <v>96.238425912268809</v>
      </c>
      <c r="I36" s="1059">
        <v>1933203</v>
      </c>
      <c r="J36" s="1059">
        <v>73.505817490494294</v>
      </c>
      <c r="K36" s="1062">
        <v>166.391311</v>
      </c>
      <c r="L36">
        <f t="shared" si="1"/>
        <v>2005</v>
      </c>
      <c r="M36" t="str">
        <f t="shared" si="2"/>
        <v>2</v>
      </c>
      <c r="N36" s="1091">
        <f t="shared" si="3"/>
        <v>2.2636481938523789</v>
      </c>
      <c r="O36" s="193"/>
      <c r="Z36" s="1395" t="s">
        <v>561</v>
      </c>
      <c r="AA36" s="1395"/>
      <c r="AB36" s="1395"/>
      <c r="AD36" s="1404" t="str">
        <f>CONCATENATE(J7," Quantity And Value By ",AE35)</f>
        <v xml:space="preserve"> Quantity And Value By Calendar Year</v>
      </c>
      <c r="AE36" s="1405"/>
      <c r="AF36" s="1405"/>
      <c r="AG36" s="1405"/>
      <c r="AH36" s="1405"/>
      <c r="AI36" s="1405"/>
      <c r="AJ36" s="1405"/>
      <c r="AK36" s="1405"/>
      <c r="AL36" s="1405"/>
      <c r="AM36" s="1406"/>
    </row>
    <row r="37" spans="1:39" x14ac:dyDescent="0.25">
      <c r="A37" s="646">
        <f t="shared" si="0"/>
        <v>20053</v>
      </c>
      <c r="B37" s="1058">
        <v>38596</v>
      </c>
      <c r="C37" s="462">
        <v>2816304</v>
      </c>
      <c r="D37" s="462">
        <v>156.11644627974212</v>
      </c>
      <c r="E37" s="626">
        <v>1109.5212301645097</v>
      </c>
      <c r="F37" s="455">
        <v>237820</v>
      </c>
      <c r="G37" s="462">
        <v>11.729743770800001</v>
      </c>
      <c r="H37" s="462">
        <v>132.4409622798909</v>
      </c>
      <c r="I37" s="462">
        <v>1969628</v>
      </c>
      <c r="J37" s="462">
        <v>74.890798479087451</v>
      </c>
      <c r="K37" s="463">
        <v>175.05570499999999</v>
      </c>
      <c r="L37">
        <f t="shared" si="1"/>
        <v>2005</v>
      </c>
      <c r="M37" t="str">
        <f t="shared" si="2"/>
        <v>3</v>
      </c>
      <c r="N37" s="1091">
        <f t="shared" si="3"/>
        <v>2.3374794841970159</v>
      </c>
      <c r="O37" s="193"/>
      <c r="Z37" s="1063" t="s">
        <v>557</v>
      </c>
      <c r="AA37" s="1064" t="str">
        <f>F10</f>
        <v>Quantity (t)</v>
      </c>
      <c r="AB37" s="1065" t="str">
        <f>H10</f>
        <v>Value ($ Million)</v>
      </c>
      <c r="AD37" s="1047"/>
      <c r="AE37" s="1510" t="str">
        <f>C9</f>
        <v>LNG</v>
      </c>
      <c r="AF37" s="1512"/>
      <c r="AG37" s="1511"/>
      <c r="AH37" s="1510" t="str">
        <f>F9</f>
        <v>LPG - Butane And Propane</v>
      </c>
      <c r="AI37" s="1512"/>
      <c r="AJ37" s="1511"/>
      <c r="AK37" s="1512" t="str">
        <f>I9</f>
        <v>Domestic Gas</v>
      </c>
      <c r="AL37" s="1512"/>
      <c r="AM37" s="1513"/>
    </row>
    <row r="38" spans="1:39" x14ac:dyDescent="0.25">
      <c r="A38" s="646">
        <f t="shared" si="0"/>
        <v>20054</v>
      </c>
      <c r="B38" s="1058">
        <v>38687</v>
      </c>
      <c r="C38" s="1059">
        <v>3077124</v>
      </c>
      <c r="D38" s="1059">
        <v>170.5745060341871</v>
      </c>
      <c r="E38" s="1060">
        <v>1292.7891994264205</v>
      </c>
      <c r="F38" s="1061">
        <v>240304</v>
      </c>
      <c r="G38" s="1059">
        <v>11.852259469759998</v>
      </c>
      <c r="H38" s="1059">
        <v>200.73407476360785</v>
      </c>
      <c r="I38" s="1059">
        <v>1638770</v>
      </c>
      <c r="J38" s="1059">
        <v>62.310646387832698</v>
      </c>
      <c r="K38" s="1062">
        <v>153.29080999999999</v>
      </c>
      <c r="L38">
        <f t="shared" si="1"/>
        <v>2005</v>
      </c>
      <c r="M38" t="str">
        <f t="shared" si="2"/>
        <v>4</v>
      </c>
      <c r="N38" s="1091">
        <f t="shared" si="3"/>
        <v>2.4601062400458882</v>
      </c>
      <c r="O38" s="193"/>
      <c r="Z38" s="1009">
        <f>LARGE($B:$B, 9)</f>
        <v>45261</v>
      </c>
      <c r="AA38" s="462">
        <f t="shared" ref="AA38:AA46" si="6">SUMIF($B$11:$B$741,$Z38,F$11:F$741)</f>
        <v>117268.65834860383</v>
      </c>
      <c r="AB38" s="463">
        <f t="shared" ref="AB38:AB46" si="7">SUMIF($B$11:$B$741,$Z38,H$11:H$741)</f>
        <v>94.878573084950787</v>
      </c>
      <c r="AD38" s="1005" t="s">
        <v>272</v>
      </c>
      <c r="AE38" s="1071" t="str">
        <f>C10</f>
        <v>Quantity (t)</v>
      </c>
      <c r="AF38" s="1073" t="str">
        <f>D10</f>
        <v>Quantity (PJ)</v>
      </c>
      <c r="AG38" s="1072" t="str">
        <f>E10</f>
        <v>Value ($ Million)</v>
      </c>
      <c r="AH38" s="1071" t="str">
        <f>F10</f>
        <v>Quantity (t)</v>
      </c>
      <c r="AI38" s="1073" t="str">
        <f>G10</f>
        <v>Quantity (PJ)</v>
      </c>
      <c r="AJ38" s="1072" t="str">
        <f>H10</f>
        <v>Value ($ Million)</v>
      </c>
      <c r="AK38" s="1073" t="str">
        <f>I10</f>
        <v>Quantity (000 cubic metres)</v>
      </c>
      <c r="AL38" s="1073" t="str">
        <f>J10</f>
        <v>Quantity (PJ)</v>
      </c>
      <c r="AM38" s="1006" t="str">
        <f>K10</f>
        <v>Value ($ Million)</v>
      </c>
    </row>
    <row r="39" spans="1:39" x14ac:dyDescent="0.25">
      <c r="A39" s="646">
        <f t="shared" si="0"/>
        <v>20061</v>
      </c>
      <c r="B39" s="1058">
        <v>38777</v>
      </c>
      <c r="C39" s="462">
        <v>2809980</v>
      </c>
      <c r="D39" s="462">
        <v>155.76588738898565</v>
      </c>
      <c r="E39" s="626">
        <v>1136.0294052345751</v>
      </c>
      <c r="F39" s="455">
        <v>211950</v>
      </c>
      <c r="G39" s="462">
        <v>10.453785183000001</v>
      </c>
      <c r="H39" s="462">
        <v>200.41766147273182</v>
      </c>
      <c r="I39" s="462">
        <v>1971203</v>
      </c>
      <c r="J39" s="462">
        <v>74.950684410646389</v>
      </c>
      <c r="K39" s="463">
        <v>179.124033</v>
      </c>
      <c r="L39">
        <f t="shared" si="1"/>
        <v>2006</v>
      </c>
      <c r="M39" t="str">
        <f t="shared" si="2"/>
        <v>1</v>
      </c>
      <c r="N39" s="1091">
        <f t="shared" si="3"/>
        <v>2.3898918923621766</v>
      </c>
      <c r="O39" s="193"/>
      <c r="Z39" s="1007">
        <f>LARGE($B:$B, 8)</f>
        <v>45352</v>
      </c>
      <c r="AA39" s="1059">
        <f t="shared" si="6"/>
        <v>166359.72104137004</v>
      </c>
      <c r="AB39" s="1062">
        <f t="shared" si="7"/>
        <v>142.28655369599912</v>
      </c>
      <c r="AD39" s="1095">
        <f t="shared" ref="AD39:AD56" si="8">IF($AE$35="Calendar Year", AD40-1, LEFT(AD40,4)-1 &amp; "-" &amp; MID(AD40,3,2))</f>
        <v>2006</v>
      </c>
      <c r="AE39" s="548">
        <f>IF($AE$35="Calendar Year",SUMIF($L$11:$L$203,$AD39,$C$11:$C$203),SUMIFS($C$11:$C$203,$L$11:$L$203,LEFT($AD39,4),$M$11:$M$203,3)+SUMIFS($C$11:$C$203,$L$11:$L$203,LEFT($AD39,4),$M$11:$M$203,4)+SUMIFS($C$11:$C$203,$L$11:$L$203,LEFT($AD39,4)+1,$M$11:$M$203,1)+SUMIFS($C$11:$C$203,$L$11:$L$203,LEFT($AD39,4)+1,$M$11:$M$203,2))</f>
        <v>11958780</v>
      </c>
      <c r="AF39" s="1075">
        <f>IF($AE$35="Calendar Year",SUMIF($L$11:$L$203,$AD39,$D$11:$D$203),SUMIFS($D$11:$D$203,$L$11:$L$203,LEFT($AD39,4),$M$11:$M$203,3)+SUMIFS($D$11:$D$203,$L$11:$L$203,LEFT($AD39,4),$M$11:$M$203,4)+SUMIFS($D$11:$D$203,$L$11:$L$203,LEFT($AD39,4)+1,$M$11:$M$203,1)+SUMIFS($D$11:$D$203,$L$11:$L$203,LEFT($AD39,4)+1,$M$11:$M$203,2))</f>
        <v>662.91218399762761</v>
      </c>
      <c r="AG39" s="569">
        <f>IF($AE$35="Calendar Year",SUMIF($L$11:$L$203,$AD39,$E$11:$E$203),SUMIFS($E$11:$E$203,$L$11:$L$203,LEFT($AD39,4),$M$11:$M$203,3)+SUMIFS($E$11:$E$203,$L$11:$L$203,LEFT($AD39,4),$M$11:$M$203,4)+SUMIFS($E$11:$E$203,$L$11:$L$203,LEFT($AD39,4)+1,$M$11:$M$203,1)+SUMIFS($E$11:$E$203,$L$11:$L$203,LEFT($AD39,4)+1,$M$11:$M$203,2))</f>
        <v>4550.7623777269846</v>
      </c>
      <c r="AH39" s="548">
        <f>IF($AE$35="Calendar Year",SUMIF($L$11:$L$203,$AD39,$F$11:$F$203),SUMIFS($F$11:$F$203,$L$11:$L$203,LEFT($AD39,4),$M$11:$M$203,3)+SUMIFS($F$11:$F$203,$L$11:$L$203,LEFT($AD39,4),$M$11:$M$203,4)+SUMIFS($F$11:$F$203,$L$11:$L$203,LEFT($AD39,4)+1,$M$11:$M$203,1)+SUMIFS($F$11:$F$203,$L$11:$L$203,LEFT($AD39,4)+1,$M$11:$M$203,2))</f>
        <v>862231</v>
      </c>
      <c r="AI39" s="1075">
        <f>IF($AE$35="Calendar Year",SUMIF($L$11:$L$203,$AD39,$G$11:$G$203),SUMIFS($G$11:$G$203,$L$11:$L$203,LEFT($AD39,4),$M$11:$M$203,3)+SUMIFS($G$11:$G$203,$L$11:$L$203,LEFT($AD39,4),$M$11:$M$203,4)+SUMIFS($G$11:$G$203,$L$11:$L$203,LEFT($AD39,4)+1,$M$11:$M$203,1)+SUMIFS($G$11:$G$203,$L$11:$L$203,LEFT($AD39,4)+1,$M$11:$M$203,2))</f>
        <v>42.526905648140001</v>
      </c>
      <c r="AJ39" s="569">
        <f>IF($AE$35="Calendar Year",SUMIF($L$11:$L$203,$AD39,$H$11:$H$203),SUMIFS($H$11:$H$203,$L$11:$L$203,LEFT($AD39,4),$M$11:$M$203,3)+SUMIFS($H$11:$H$203,$L$11:$L$203,LEFT($AD39,4),$M$11:$M$203,4)+SUMIFS($H$11:$H$203,$L$11:$L$203,LEFT($AD39,4)+1,$M$11:$M$203,1)+SUMIFS($H$11:$H$203,$L$11:$L$203,LEFT($AD39,4)+1,$M$11:$M$203,2))</f>
        <v>613.83007330998862</v>
      </c>
      <c r="AK39" s="573">
        <f>IF($AE$35="Calendar Year",SUMIF($L$11:$L$203,$AD39,$I$11:$I$203),SUMIFS($I$11:$I$203,$L$11:$L$203,LEFT($AD39,4),$M$11:$M$203,3)+SUMIFS($I$11:$I$203,$L$11:$L$203,LEFT($AD39,4),$M$11:$M$203,4)+SUMIFS($I$11:$I$203,$L$11:$L$203,LEFT($AD39,4)+1,$M$11:$M$203,1)+SUMIFS($I$11:$I$203,$L$11:$L$203,LEFT($AD39,4)+1,$M$11:$M$203,2))</f>
        <v>8364468</v>
      </c>
      <c r="AL39" s="1075">
        <f>IF($AE$35="Calendar Year",SUMIF($L$11:$L$203,$AD39,$J$11:$J$203),SUMIFS($J$11:$J$203,$L$11:$L$203,LEFT($AD39,4),$M$11:$M$203,3)+SUMIFS($J$11:$J$203,$L$11:$L$203,LEFT($AD39,4),$M$11:$M$203,4)+SUMIFS($J$11:$J$203,$L$11:$L$203,LEFT($AD39,4)+1,$M$11:$M$203,1)+SUMIFS($J$11:$J$203,$L$11:$L$203,LEFT($AD39,4)+1,$M$11:$M$203,2))</f>
        <v>318.04060836501901</v>
      </c>
      <c r="AM39" s="674">
        <f>IF($AE$35="Calendar Year",SUMIF($L$11:$L$203,$AD39,$K$11:$K$203),SUMIFS($K$11:$K$203,$L$11:$L$203,LEFT($AD39,4),$M$11:$M$203,3)+SUMIFS($K$11:$K$203,$L$11:$L$203,LEFT($AD39,4),$M$11:$M$203,4)+SUMIFS($K$11:$K$203,$L$11:$L$203,LEFT($AD39,4)+1,$M$11:$M$203,1)+SUMIFS($K$11:$K$203,$L$11:$L$203,LEFT($AD39,4)+1,$M$11:$M$203,2))</f>
        <v>816.67366399999992</v>
      </c>
    </row>
    <row r="40" spans="1:39" x14ac:dyDescent="0.25">
      <c r="A40" s="646">
        <f t="shared" si="0"/>
        <v>20062</v>
      </c>
      <c r="B40" s="1058">
        <v>38869</v>
      </c>
      <c r="C40" s="1059">
        <v>2976428</v>
      </c>
      <c r="D40" s="1059">
        <v>164.99261513228697</v>
      </c>
      <c r="E40" s="1060">
        <v>1110.6196977902448</v>
      </c>
      <c r="F40" s="1061">
        <v>181909</v>
      </c>
      <c r="G40" s="1059">
        <v>8.9721047834600007</v>
      </c>
      <c r="H40" s="1059">
        <v>120.83113587726857</v>
      </c>
      <c r="I40" s="1059">
        <v>2133813</v>
      </c>
      <c r="J40" s="1059">
        <v>81.133574144486687</v>
      </c>
      <c r="K40" s="1062">
        <v>193.51226299999999</v>
      </c>
      <c r="L40">
        <f t="shared" si="1"/>
        <v>2006</v>
      </c>
      <c r="M40" t="str">
        <f t="shared" si="2"/>
        <v>2</v>
      </c>
      <c r="N40" s="1091">
        <f t="shared" si="3"/>
        <v>2.3851070908744112</v>
      </c>
      <c r="O40" s="193"/>
      <c r="Z40" s="1009">
        <f>LARGE($B:$B, 7)</f>
        <v>45444</v>
      </c>
      <c r="AA40" s="462">
        <f t="shared" si="6"/>
        <v>213257.10238466944</v>
      </c>
      <c r="AB40" s="463">
        <f t="shared" si="7"/>
        <v>182.61724802081574</v>
      </c>
      <c r="AD40" s="1095">
        <f t="shared" si="8"/>
        <v>2007</v>
      </c>
      <c r="AE40" s="1078">
        <f t="shared" ref="AE40:AE58" si="9">IF($AD40="","",IF($AE$35="Calendar Year",SUMIF($L$11:$L$203,$AD40,$C$11:$C$203),SUMIFS($C$11:$C$203,$L$11:$L$203,LEFT($AD40,4),$M$11:$M$203,3)+SUMIFS($C$11:$C$203,$L$11:$L$203,LEFT($AD40,4),$M$11:$M$203,4)+SUMIFS($C$11:$C$203,$L$11:$L$203,LEFT($AD40,4)+1,$M$11:$M$203,1)+SUMIFS($C$11:$C$203,$L$11:$L$203,LEFT($AD40,4)+1,$M$11:$M$203,2)))</f>
        <v>12375731</v>
      </c>
      <c r="AF40" s="1077">
        <f t="shared" ref="AF40:AF58" si="10">IF($AD40="","",IF($AE$35="Calendar Year",SUMIF($L$11:$L$203,$AD40,$D$11:$D$203),SUMIFS($D$11:$D$203,$L$11:$L$203,LEFT($AD40,4),$M$11:$M$203,3)+SUMIFS($D$11:$D$203,$L$11:$L$203,LEFT($AD40,4),$M$11:$M$203,4)+SUMIFS($D$11:$D$203,$L$11:$L$203,LEFT($AD40,4)+1,$M$11:$M$203,1)+SUMIFS($D$11:$D$203,$L$11:$L$203,LEFT($AD40,4)+1,$M$11:$M$203,2)))</f>
        <v>686.02506825756006</v>
      </c>
      <c r="AG40" s="1082">
        <f t="shared" ref="AG40:AG58" si="11">IF($AD40="","",IF($AE$35="Calendar Year",SUMIF($L$11:$L$203,$AD40,$E$11:$E$203),SUMIFS($E$11:$E$203,$L$11:$L$203,LEFT($AD40,4),$M$11:$M$203,3)+SUMIFS($E$11:$E$203,$L$11:$L$203,LEFT($AD40,4),$M$11:$M$203,4)+SUMIFS($E$11:$E$203,$L$11:$L$203,LEFT($AD40,4)+1,$M$11:$M$203,1)+SUMIFS($E$11:$E$203,$L$11:$L$203,LEFT($AD40,4)+1,$M$11:$M$203,2)))</f>
        <v>4448.5751194258501</v>
      </c>
      <c r="AH40" s="1078">
        <f t="shared" ref="AH40:AH58" si="12">IF($AD40="","",IF($AE$35="Calendar Year",SUMIF($L$11:$L$203,$AD40,$F$11:$F$203),SUMIFS($F$11:$F$203,$L$11:$L$203,LEFT($AD40,4),$M$11:$M$203,3)+SUMIFS($F$11:$F$203,$L$11:$L$203,LEFT($AD40,4),$M$11:$M$203,4)+SUMIFS($F$11:$F$203,$L$11:$L$203,LEFT($AD40,4)+1,$M$11:$M$203,1)+SUMIFS($F$11:$F$203,$L$11:$L$203,LEFT($AD40,4)+1,$M$11:$M$203,2)))</f>
        <v>893914</v>
      </c>
      <c r="AI40" s="1077">
        <f t="shared" ref="AI40:AI58" si="13">IF($AD40="","",IF($AE$35="Calendar Year",SUMIF($L$11:$L$203,$AD40,$G$11:$G$203),SUMIFS($G$11:$G$203,$L$11:$L$203,LEFT($AD40,4),$M$11:$M$203,3)+SUMIFS($G$11:$G$203,$L$11:$L$203,LEFT($AD40,4),$M$11:$M$203,4)+SUMIFS($G$11:$G$203,$L$11:$L$203,LEFT($AD40,4)+1,$M$11:$M$203,1)+SUMIFS($G$11:$G$203,$L$11:$L$203,LEFT($AD40,4)+1,$M$11:$M$203,2)))</f>
        <v>44.089572673159999</v>
      </c>
      <c r="AJ40" s="1082">
        <f t="shared" ref="AJ40:AJ58" si="14">IF($AD40="","",IF($AE$35="Calendar Year",SUMIF($L$11:$L$203,$AD40,$H$11:$H$203),SUMIFS($H$11:$H$203,$L$11:$L$203,LEFT($AD40,4),$M$11:$M$203,3)+SUMIFS($H$11:$H$203,$L$11:$L$203,LEFT($AD40,4),$M$11:$M$203,4)+SUMIFS($H$11:$H$203,$L$11:$L$203,LEFT($AD40,4)+1,$M$11:$M$203,1)+SUMIFS($H$11:$H$203,$L$11:$L$203,LEFT($AD40,4)+1,$M$11:$M$203,2)))</f>
        <v>686.63688681833992</v>
      </c>
      <c r="AK40" s="1076">
        <f t="shared" ref="AK40:AK58" si="15">IF($AD40="","",IF($AE$35="Calendar Year",SUMIF($L$11:$L$203,$AD40,$I$11:$I$203),SUMIFS($I$11:$I$203,$L$11:$L$203,LEFT($AD40,4),$M$11:$M$203,3)+SUMIFS($I$11:$I$203,$L$11:$L$203,LEFT($AD40,4),$M$11:$M$203,4)+SUMIFS($I$11:$I$203,$L$11:$L$203,LEFT($AD40,4)+1,$M$11:$M$203,1)+SUMIFS($I$11:$I$203,$L$11:$L$203,LEFT($AD40,4)+1,$M$11:$M$203,2)))</f>
        <v>9174076</v>
      </c>
      <c r="AL40" s="1077">
        <f t="shared" ref="AL40:AL58" si="16">IF($AD40="","",IF($AE$35="Calendar Year",SUMIF($L$11:$L$203,$AD40,$J$11:$J$203),SUMIFS($J$11:$J$203,$L$11:$L$203,LEFT($AD40,4),$M$11:$M$203,3)+SUMIFS($J$11:$J$203,$L$11:$L$203,LEFT($AD40,4),$M$11:$M$203,4)+SUMIFS($J$11:$J$203,$L$11:$L$203,LEFT($AD40,4)+1,$M$11:$M$203,1)+SUMIFS($J$11:$J$203,$L$11:$L$203,LEFT($AD40,4)+1,$M$11:$M$203,2)))</f>
        <v>348.8241825095057</v>
      </c>
      <c r="AM40" s="1083">
        <f t="shared" ref="AM40:AM58" si="17">IF($AD40="","",IF($AE$35="Calendar Year",SUMIF($L$11:$L$203,$AD40,$K$11:$K$203),SUMIFS($K$11:$K$203,$L$11:$L$203,LEFT($AD40,4),$M$11:$M$203,3)+SUMIFS($K$11:$K$203,$L$11:$L$203,LEFT($AD40,4),$M$11:$M$203,4)+SUMIFS($K$11:$K$203,$L$11:$L$203,LEFT($AD40,4)+1,$M$11:$M$203,1)+SUMIFS($K$11:$K$203,$L$11:$L$203,LEFT($AD40,4)+1,$M$11:$M$203,2)))</f>
        <v>1002.465839</v>
      </c>
    </row>
    <row r="41" spans="1:39" x14ac:dyDescent="0.25">
      <c r="A41" s="646">
        <f t="shared" si="0"/>
        <v>20063</v>
      </c>
      <c r="B41" s="1058">
        <v>38961</v>
      </c>
      <c r="C41" s="462">
        <v>2907016</v>
      </c>
      <c r="D41" s="462">
        <v>161.14489316435686</v>
      </c>
      <c r="E41" s="626">
        <v>1154.3685845124028</v>
      </c>
      <c r="F41" s="455">
        <v>231472</v>
      </c>
      <c r="G41" s="462">
        <v>11.416648095679999</v>
      </c>
      <c r="H41" s="462">
        <v>138.79321319144731</v>
      </c>
      <c r="I41" s="462">
        <v>2111195</v>
      </c>
      <c r="J41" s="462">
        <v>80.273574144486687</v>
      </c>
      <c r="K41" s="463">
        <v>219.081705</v>
      </c>
      <c r="L41">
        <f t="shared" si="1"/>
        <v>2006</v>
      </c>
      <c r="M41" t="str">
        <f t="shared" si="2"/>
        <v>3</v>
      </c>
      <c r="N41" s="1091">
        <f t="shared" si="3"/>
        <v>2.7291883703305477</v>
      </c>
      <c r="O41" s="193"/>
      <c r="Z41" s="1007">
        <f>LARGE($B:$B, 6)</f>
        <v>45536</v>
      </c>
      <c r="AA41" s="1059">
        <f t="shared" si="6"/>
        <v>217334.2820420716</v>
      </c>
      <c r="AB41" s="1062">
        <f t="shared" si="7"/>
        <v>177.5999204019262</v>
      </c>
      <c r="AD41" s="1095">
        <f t="shared" si="8"/>
        <v>2008</v>
      </c>
      <c r="AE41" s="548">
        <f t="shared" si="9"/>
        <v>12381004</v>
      </c>
      <c r="AF41" s="433">
        <f t="shared" si="10"/>
        <v>686.31736696580776</v>
      </c>
      <c r="AG41" s="569">
        <f t="shared" si="11"/>
        <v>8157.4775156968399</v>
      </c>
      <c r="AH41" s="548">
        <f t="shared" si="12"/>
        <v>764668</v>
      </c>
      <c r="AI41" s="433">
        <f t="shared" si="13"/>
        <v>37.714909215920002</v>
      </c>
      <c r="AJ41" s="569">
        <f t="shared" si="14"/>
        <v>754.34074919629415</v>
      </c>
      <c r="AK41" s="573">
        <f t="shared" si="15"/>
        <v>8502567</v>
      </c>
      <c r="AL41" s="433">
        <f t="shared" si="16"/>
        <v>323.29152091254753</v>
      </c>
      <c r="AM41" s="674">
        <f t="shared" si="17"/>
        <v>1191.442427</v>
      </c>
    </row>
    <row r="42" spans="1:39" x14ac:dyDescent="0.25">
      <c r="A42" s="646">
        <f t="shared" si="0"/>
        <v>20064</v>
      </c>
      <c r="B42" s="1058">
        <v>39052</v>
      </c>
      <c r="C42" s="1059">
        <v>3265356</v>
      </c>
      <c r="D42" s="1059">
        <v>181.00878831199816</v>
      </c>
      <c r="E42" s="1060">
        <v>1149.744690189762</v>
      </c>
      <c r="F42" s="1061">
        <v>236900</v>
      </c>
      <c r="G42" s="1059">
        <v>11.684367585999999</v>
      </c>
      <c r="H42" s="1059">
        <v>153.78806276854101</v>
      </c>
      <c r="I42" s="1059">
        <v>2148257</v>
      </c>
      <c r="J42" s="1059">
        <v>81.682775665399234</v>
      </c>
      <c r="K42" s="1062">
        <v>224.95566299999999</v>
      </c>
      <c r="L42">
        <f t="shared" si="1"/>
        <v>2006</v>
      </c>
      <c r="M42" t="str">
        <f t="shared" si="2"/>
        <v>4</v>
      </c>
      <c r="N42" s="1091">
        <f t="shared" si="3"/>
        <v>2.7540159007511673</v>
      </c>
      <c r="O42" s="193"/>
      <c r="Z42" s="1009">
        <f>LARGE($B:$B, 5)</f>
        <v>45627</v>
      </c>
      <c r="AA42" s="462">
        <f t="shared" si="6"/>
        <v>208978.34773016852</v>
      </c>
      <c r="AB42" s="463">
        <f t="shared" si="7"/>
        <v>194.3851587531166</v>
      </c>
      <c r="AD42" s="1095">
        <f t="shared" si="8"/>
        <v>2009</v>
      </c>
      <c r="AE42" s="1078">
        <f t="shared" si="9"/>
        <v>15252516</v>
      </c>
      <c r="AF42" s="1077">
        <f t="shared" si="10"/>
        <v>845.49416353664492</v>
      </c>
      <c r="AG42" s="1082">
        <f t="shared" si="11"/>
        <v>6320.7449907749478</v>
      </c>
      <c r="AH42" s="1078">
        <f t="shared" si="12"/>
        <v>950524</v>
      </c>
      <c r="AI42" s="1077">
        <f t="shared" si="13"/>
        <v>46.88168769656</v>
      </c>
      <c r="AJ42" s="1082">
        <f t="shared" si="14"/>
        <v>612.77696613916544</v>
      </c>
      <c r="AK42" s="1076">
        <f t="shared" si="15"/>
        <v>9312415</v>
      </c>
      <c r="AL42" s="1077">
        <f t="shared" si="16"/>
        <v>354.08422053231942</v>
      </c>
      <c r="AM42" s="1083">
        <f t="shared" si="17"/>
        <v>1156.2353419999999</v>
      </c>
    </row>
    <row r="43" spans="1:39" x14ac:dyDescent="0.25">
      <c r="A43" s="646">
        <f t="shared" si="0"/>
        <v>20071</v>
      </c>
      <c r="B43" s="1058">
        <v>39142</v>
      </c>
      <c r="C43" s="462">
        <v>3029400</v>
      </c>
      <c r="D43" s="462">
        <v>167.92901702367743</v>
      </c>
      <c r="E43" s="626">
        <v>1124.2681843924527</v>
      </c>
      <c r="F43" s="455">
        <v>230580</v>
      </c>
      <c r="G43" s="462">
        <v>11.372652925200001</v>
      </c>
      <c r="H43" s="462">
        <v>168.17121464226287</v>
      </c>
      <c r="I43" s="462">
        <v>2217246</v>
      </c>
      <c r="J43" s="462">
        <v>84.305931558935356</v>
      </c>
      <c r="K43" s="463">
        <v>236.06044</v>
      </c>
      <c r="L43">
        <f t="shared" si="1"/>
        <v>2007</v>
      </c>
      <c r="M43" t="str">
        <f t="shared" si="2"/>
        <v>1</v>
      </c>
      <c r="N43" s="1091">
        <f t="shared" si="3"/>
        <v>2.8000454491743363</v>
      </c>
      <c r="O43" s="193"/>
      <c r="Z43" s="1007">
        <f>LARGE($B:$B, 4)</f>
        <v>45717</v>
      </c>
      <c r="AA43" s="1059">
        <f t="shared" si="6"/>
        <v>142984.80730682853</v>
      </c>
      <c r="AB43" s="1062">
        <f t="shared" si="7"/>
        <v>59.635327133643045</v>
      </c>
      <c r="AD43" s="1095">
        <f t="shared" si="8"/>
        <v>2010</v>
      </c>
      <c r="AE43" s="548">
        <f t="shared" si="9"/>
        <v>16527193</v>
      </c>
      <c r="AF43" s="433">
        <f t="shared" si="10"/>
        <v>916.15345436409939</v>
      </c>
      <c r="AG43" s="569">
        <f t="shared" si="11"/>
        <v>8754.6824736822309</v>
      </c>
      <c r="AH43" s="548">
        <f t="shared" si="12"/>
        <v>988724</v>
      </c>
      <c r="AI43" s="433">
        <f t="shared" si="13"/>
        <v>48.765785804560004</v>
      </c>
      <c r="AJ43" s="569">
        <f t="shared" si="14"/>
        <v>763.32843501571767</v>
      </c>
      <c r="AK43" s="573">
        <f t="shared" si="15"/>
        <v>9226158</v>
      </c>
      <c r="AL43" s="433">
        <f t="shared" si="16"/>
        <v>350.80448669201519</v>
      </c>
      <c r="AM43" s="674">
        <f t="shared" si="17"/>
        <v>1391.1696790000001</v>
      </c>
    </row>
    <row r="44" spans="1:39" x14ac:dyDescent="0.25">
      <c r="A44" s="646">
        <f t="shared" si="0"/>
        <v>20072</v>
      </c>
      <c r="B44" s="1058">
        <v>39234</v>
      </c>
      <c r="C44" s="1059">
        <v>3009279</v>
      </c>
      <c r="D44" s="1059">
        <v>166.81364772562057</v>
      </c>
      <c r="E44" s="1060">
        <v>1005.9778949852993</v>
      </c>
      <c r="F44" s="1061">
        <v>199654</v>
      </c>
      <c r="G44" s="1059">
        <v>9.847322608759999</v>
      </c>
      <c r="H44" s="1059">
        <v>144.33223682367117</v>
      </c>
      <c r="I44" s="1059">
        <v>2238213</v>
      </c>
      <c r="J44" s="1059">
        <v>85.103155893536126</v>
      </c>
      <c r="K44" s="1062">
        <v>237.924226</v>
      </c>
      <c r="L44">
        <f t="shared" si="1"/>
        <v>2007</v>
      </c>
      <c r="M44" t="str">
        <f t="shared" si="2"/>
        <v>2</v>
      </c>
      <c r="N44" s="1091">
        <f t="shared" si="3"/>
        <v>2.7957156641481395</v>
      </c>
      <c r="O44" s="193"/>
      <c r="Z44" s="1009">
        <f>LARGE($B:$B, 3)</f>
        <v>45809</v>
      </c>
      <c r="AA44" s="462">
        <f t="shared" si="6"/>
        <v>224004.93929995998</v>
      </c>
      <c r="AB44" s="463">
        <f t="shared" si="7"/>
        <v>186.68275218032045</v>
      </c>
      <c r="AD44" s="1095">
        <f t="shared" si="8"/>
        <v>2011</v>
      </c>
      <c r="AE44" s="1078">
        <f t="shared" si="9"/>
        <v>16554099.919233976</v>
      </c>
      <c r="AF44" s="1077">
        <f t="shared" si="10"/>
        <v>917.64498816554419</v>
      </c>
      <c r="AG44" s="1082">
        <f t="shared" si="11"/>
        <v>8552.0712839999997</v>
      </c>
      <c r="AH44" s="1078">
        <f t="shared" si="12"/>
        <v>861480</v>
      </c>
      <c r="AI44" s="1077">
        <f t="shared" si="13"/>
        <v>42.489864871199998</v>
      </c>
      <c r="AJ44" s="1082">
        <f t="shared" si="14"/>
        <v>745.87995994549283</v>
      </c>
      <c r="AK44" s="1076">
        <f t="shared" si="15"/>
        <v>8869413</v>
      </c>
      <c r="AL44" s="1077">
        <f t="shared" si="16"/>
        <v>337.24003802281368</v>
      </c>
      <c r="AM44" s="1083">
        <f t="shared" si="17"/>
        <v>1421.1261059999999</v>
      </c>
    </row>
    <row r="45" spans="1:39" x14ac:dyDescent="0.25">
      <c r="A45" s="646">
        <f t="shared" si="0"/>
        <v>20073</v>
      </c>
      <c r="B45" s="1058">
        <v>39326</v>
      </c>
      <c r="C45" s="462">
        <v>3100492</v>
      </c>
      <c r="D45" s="462">
        <v>171.86986659067</v>
      </c>
      <c r="E45" s="626">
        <v>1044.8234946183363</v>
      </c>
      <c r="F45" s="455">
        <v>234784</v>
      </c>
      <c r="G45" s="462">
        <v>11.58000236096</v>
      </c>
      <c r="H45" s="462">
        <v>162.74337660861909</v>
      </c>
      <c r="I45" s="462">
        <v>2346730</v>
      </c>
      <c r="J45" s="462">
        <v>89.22927756653992</v>
      </c>
      <c r="K45" s="463">
        <v>261.01907199999999</v>
      </c>
      <c r="L45">
        <f t="shared" si="1"/>
        <v>2007</v>
      </c>
      <c r="M45" t="str">
        <f t="shared" si="2"/>
        <v>3</v>
      </c>
      <c r="N45" s="1091">
        <f t="shared" si="3"/>
        <v>2.925262639332177</v>
      </c>
      <c r="O45" s="193"/>
      <c r="Z45" s="1007">
        <f>LARGE($B:$B, 2)</f>
        <v>45901</v>
      </c>
      <c r="AA45" s="1059">
        <f t="shared" si="6"/>
        <v>155969.89815555001</v>
      </c>
      <c r="AB45" s="1062">
        <f t="shared" si="7"/>
        <v>55.016882096986855</v>
      </c>
      <c r="AD45" s="1095">
        <f t="shared" si="8"/>
        <v>2012</v>
      </c>
      <c r="AE45" s="548">
        <f t="shared" si="9"/>
        <v>18260551</v>
      </c>
      <c r="AF45" s="433">
        <f t="shared" si="10"/>
        <v>1012.2388524924836</v>
      </c>
      <c r="AG45" s="569">
        <f t="shared" si="11"/>
        <v>11271.620675400678</v>
      </c>
      <c r="AH45" s="548">
        <f t="shared" si="12"/>
        <v>809878</v>
      </c>
      <c r="AI45" s="433">
        <f t="shared" si="13"/>
        <v>39.944754123319996</v>
      </c>
      <c r="AJ45" s="569">
        <f t="shared" si="14"/>
        <v>729.15576319075694</v>
      </c>
      <c r="AK45" s="573">
        <f t="shared" si="15"/>
        <v>9009209</v>
      </c>
      <c r="AL45" s="433">
        <f t="shared" si="16"/>
        <v>342.5554752851711</v>
      </c>
      <c r="AM45" s="674">
        <f t="shared" si="17"/>
        <v>1470.5418970000001</v>
      </c>
    </row>
    <row r="46" spans="1:39" ht="15.75" thickBot="1" x14ac:dyDescent="0.3">
      <c r="A46" s="646">
        <f t="shared" si="0"/>
        <v>20074</v>
      </c>
      <c r="B46" s="1058">
        <v>39417</v>
      </c>
      <c r="C46" s="1059">
        <v>3236560</v>
      </c>
      <c r="D46" s="1059">
        <v>179.41253691759206</v>
      </c>
      <c r="E46" s="1060">
        <v>1273.5055454297612</v>
      </c>
      <c r="F46" s="1061">
        <v>228896</v>
      </c>
      <c r="G46" s="1059">
        <v>11.28959477824</v>
      </c>
      <c r="H46" s="1059">
        <v>211.39005874378671</v>
      </c>
      <c r="I46" s="1059">
        <v>2371887</v>
      </c>
      <c r="J46" s="1059">
        <v>90.185817490494301</v>
      </c>
      <c r="K46" s="1062">
        <v>267.46210100000002</v>
      </c>
      <c r="L46">
        <f t="shared" si="1"/>
        <v>2007</v>
      </c>
      <c r="M46" t="str">
        <f t="shared" si="2"/>
        <v>4</v>
      </c>
      <c r="N46" s="1091">
        <f t="shared" si="3"/>
        <v>2.9656780682637915</v>
      </c>
      <c r="O46" s="193"/>
      <c r="Z46" s="1019">
        <f>LARGE($B:$B, 1)</f>
        <v>45992</v>
      </c>
      <c r="AA46" s="656">
        <f t="shared" si="6"/>
        <v>150699.30029326121</v>
      </c>
      <c r="AB46" s="468">
        <f t="shared" si="7"/>
        <v>80.601005498022815</v>
      </c>
      <c r="AD46" s="1095">
        <f t="shared" si="8"/>
        <v>2013</v>
      </c>
      <c r="AE46" s="1078">
        <f t="shared" si="9"/>
        <v>19220443</v>
      </c>
      <c r="AF46" s="1077">
        <f t="shared" si="10"/>
        <v>1065.4486366110852</v>
      </c>
      <c r="AG46" s="1082">
        <f t="shared" si="11"/>
        <v>13287.960818379126</v>
      </c>
      <c r="AH46" s="1078">
        <f t="shared" si="12"/>
        <v>685934</v>
      </c>
      <c r="AI46" s="1077">
        <f t="shared" si="13"/>
        <v>33.831595591959996</v>
      </c>
      <c r="AJ46" s="1082">
        <f t="shared" si="14"/>
        <v>600.13530129233538</v>
      </c>
      <c r="AK46" s="1076">
        <f t="shared" si="15"/>
        <v>9297667</v>
      </c>
      <c r="AL46" s="1077">
        <f t="shared" si="16"/>
        <v>353.52346007604564</v>
      </c>
      <c r="AM46" s="1083">
        <f t="shared" si="17"/>
        <v>1559.45633</v>
      </c>
    </row>
    <row r="47" spans="1:39" x14ac:dyDescent="0.25">
      <c r="A47" s="646">
        <f t="shared" si="0"/>
        <v>20081</v>
      </c>
      <c r="B47" s="1058">
        <v>39508</v>
      </c>
      <c r="C47" s="462">
        <v>2840040</v>
      </c>
      <c r="D47" s="462">
        <v>157.43220621506728</v>
      </c>
      <c r="E47" s="626">
        <v>1358.0934923032426</v>
      </c>
      <c r="F47" s="455">
        <v>164520</v>
      </c>
      <c r="G47" s="462">
        <v>8.114445568799999</v>
      </c>
      <c r="H47" s="462">
        <v>141.442818386764</v>
      </c>
      <c r="I47" s="462">
        <v>2273911</v>
      </c>
      <c r="J47" s="462">
        <v>86.460494296577949</v>
      </c>
      <c r="K47" s="463">
        <v>249.61325500000001</v>
      </c>
      <c r="L47">
        <f t="shared" si="1"/>
        <v>2008</v>
      </c>
      <c r="M47" t="str">
        <f t="shared" si="2"/>
        <v>1</v>
      </c>
      <c r="N47" s="1091">
        <f t="shared" si="3"/>
        <v>2.8870209108887726</v>
      </c>
      <c r="O47" s="193"/>
      <c r="AD47" s="1095">
        <f t="shared" si="8"/>
        <v>2014</v>
      </c>
      <c r="AE47" s="548">
        <f t="shared" si="9"/>
        <v>20852601</v>
      </c>
      <c r="AF47" s="433">
        <f t="shared" si="10"/>
        <v>1155.9242055578507</v>
      </c>
      <c r="AG47" s="569">
        <f t="shared" si="11"/>
        <v>15487.317250651384</v>
      </c>
      <c r="AH47" s="548">
        <f t="shared" si="12"/>
        <v>357609</v>
      </c>
      <c r="AI47" s="433">
        <f t="shared" si="13"/>
        <v>17.63796964146</v>
      </c>
      <c r="AJ47" s="569">
        <f t="shared" si="14"/>
        <v>309.00702295666264</v>
      </c>
      <c r="AK47" s="573">
        <f t="shared" si="15"/>
        <v>9590165.3870000001</v>
      </c>
      <c r="AL47" s="433">
        <f t="shared" si="16"/>
        <v>364.64507174904941</v>
      </c>
      <c r="AM47" s="674">
        <f t="shared" si="17"/>
        <v>1779.2849022361886</v>
      </c>
    </row>
    <row r="48" spans="1:39" x14ac:dyDescent="0.25">
      <c r="A48" s="646">
        <f t="shared" si="0"/>
        <v>20082</v>
      </c>
      <c r="B48" s="1058">
        <v>39600</v>
      </c>
      <c r="C48" s="1059">
        <v>2970968</v>
      </c>
      <c r="D48" s="1059">
        <v>164.68995043533403</v>
      </c>
      <c r="E48" s="1060">
        <v>1543.2622323577853</v>
      </c>
      <c r="F48" s="1061">
        <v>190190</v>
      </c>
      <c r="G48" s="1059">
        <v>9.3805397686000003</v>
      </c>
      <c r="H48" s="1059">
        <v>167.77596325593262</v>
      </c>
      <c r="I48" s="1059">
        <v>2166545</v>
      </c>
      <c r="J48" s="1059">
        <v>82.378136882129283</v>
      </c>
      <c r="K48" s="1062">
        <v>275.92380000000003</v>
      </c>
      <c r="L48">
        <f t="shared" si="1"/>
        <v>2008</v>
      </c>
      <c r="M48" t="str">
        <f t="shared" si="2"/>
        <v>2</v>
      </c>
      <c r="N48" s="1091">
        <f t="shared" si="3"/>
        <v>3.3494785199476587</v>
      </c>
      <c r="O48" s="193"/>
      <c r="AD48" s="1095">
        <f t="shared" si="8"/>
        <v>2015</v>
      </c>
      <c r="AE48" s="1078">
        <f t="shared" si="9"/>
        <v>20385653</v>
      </c>
      <c r="AF48" s="1077">
        <f t="shared" si="10"/>
        <v>1130.0398328632009</v>
      </c>
      <c r="AG48" s="1082">
        <f t="shared" si="11"/>
        <v>11554.349752904898</v>
      </c>
      <c r="AH48" s="1078">
        <f t="shared" si="12"/>
        <v>501903</v>
      </c>
      <c r="AI48" s="1077">
        <f t="shared" si="13"/>
        <v>24.75482965182</v>
      </c>
      <c r="AJ48" s="1082">
        <f t="shared" si="14"/>
        <v>254.10829640322834</v>
      </c>
      <c r="AK48" s="1076">
        <f t="shared" si="15"/>
        <v>10016682.171999998</v>
      </c>
      <c r="AL48" s="1077">
        <f t="shared" si="16"/>
        <v>380.86243999999999</v>
      </c>
      <c r="AM48" s="1083">
        <f t="shared" si="17"/>
        <v>1861.5234301979999</v>
      </c>
    </row>
    <row r="49" spans="1:39" x14ac:dyDescent="0.25">
      <c r="A49" s="646">
        <f t="shared" si="0"/>
        <v>20083</v>
      </c>
      <c r="B49" s="1058">
        <v>39692</v>
      </c>
      <c r="C49" s="462">
        <v>2939308</v>
      </c>
      <c r="D49" s="462">
        <v>162.93493865776432</v>
      </c>
      <c r="E49" s="626">
        <v>1770.7536942865688</v>
      </c>
      <c r="F49" s="455">
        <v>189704</v>
      </c>
      <c r="G49" s="462">
        <v>9.3565693057600008</v>
      </c>
      <c r="H49" s="462">
        <v>190.61439712057589</v>
      </c>
      <c r="I49" s="462">
        <v>1959122</v>
      </c>
      <c r="J49" s="462">
        <v>74.491330798479083</v>
      </c>
      <c r="K49" s="463">
        <v>370.36701599999998</v>
      </c>
      <c r="L49">
        <f t="shared" si="1"/>
        <v>2008</v>
      </c>
      <c r="M49" t="str">
        <f t="shared" si="2"/>
        <v>3</v>
      </c>
      <c r="N49" s="1091">
        <f t="shared" si="3"/>
        <v>4.9719479036017153</v>
      </c>
      <c r="O49" s="193"/>
      <c r="AD49" s="1095">
        <f t="shared" si="8"/>
        <v>2016</v>
      </c>
      <c r="AE49" s="548">
        <f t="shared" si="9"/>
        <v>23774656.646750003</v>
      </c>
      <c r="AF49" s="433">
        <f t="shared" si="10"/>
        <v>1317.9027928844544</v>
      </c>
      <c r="AG49" s="569">
        <f t="shared" si="11"/>
        <v>10620.614121943232</v>
      </c>
      <c r="AH49" s="548">
        <f t="shared" si="12"/>
        <v>575755</v>
      </c>
      <c r="AI49" s="433">
        <f t="shared" si="13"/>
        <v>28.397353564699998</v>
      </c>
      <c r="AJ49" s="569">
        <f t="shared" si="14"/>
        <v>288.14071602423235</v>
      </c>
      <c r="AK49" s="573">
        <f t="shared" si="15"/>
        <v>10044024.695659999</v>
      </c>
      <c r="AL49" s="433">
        <f t="shared" si="16"/>
        <v>381.90207968289002</v>
      </c>
      <c r="AM49" s="674">
        <f t="shared" si="17"/>
        <v>1901.5378175870001</v>
      </c>
    </row>
    <row r="50" spans="1:39" x14ac:dyDescent="0.25">
      <c r="A50" s="646">
        <f t="shared" si="0"/>
        <v>20084</v>
      </c>
      <c r="B50" s="1058">
        <v>39783</v>
      </c>
      <c r="C50" s="1059">
        <v>3630688</v>
      </c>
      <c r="D50" s="1059">
        <v>201.26027165764222</v>
      </c>
      <c r="E50" s="1060">
        <v>3485.3680967492428</v>
      </c>
      <c r="F50" s="1061">
        <v>220254</v>
      </c>
      <c r="G50" s="1059">
        <v>10.863354572759999</v>
      </c>
      <c r="H50" s="1059">
        <v>254.50757043302164</v>
      </c>
      <c r="I50" s="1059">
        <v>2102989</v>
      </c>
      <c r="J50" s="1059">
        <v>79.961558935361211</v>
      </c>
      <c r="K50" s="1062">
        <v>295.53835600000002</v>
      </c>
      <c r="L50">
        <f t="shared" si="1"/>
        <v>2008</v>
      </c>
      <c r="M50" t="str">
        <f t="shared" si="2"/>
        <v>4</v>
      </c>
      <c r="N50" s="1091">
        <f t="shared" si="3"/>
        <v>3.6960054297954015</v>
      </c>
      <c r="O50" s="193"/>
      <c r="AD50" s="1095">
        <f t="shared" si="8"/>
        <v>2017</v>
      </c>
      <c r="AE50" s="1078">
        <f t="shared" si="9"/>
        <v>32729696.569625001</v>
      </c>
      <c r="AF50" s="1077">
        <f t="shared" si="10"/>
        <v>1814.3083687926169</v>
      </c>
      <c r="AG50" s="1082">
        <f t="shared" si="11"/>
        <v>14989.360185607753</v>
      </c>
      <c r="AH50" s="1078">
        <f t="shared" si="12"/>
        <v>456275</v>
      </c>
      <c r="AI50" s="1077">
        <f t="shared" si="13"/>
        <v>22.504368173499998</v>
      </c>
      <c r="AJ50" s="1082">
        <f t="shared" si="14"/>
        <v>288.49812577110589</v>
      </c>
      <c r="AK50" s="1076">
        <f t="shared" si="15"/>
        <v>10148197.224273</v>
      </c>
      <c r="AL50" s="1077">
        <f t="shared" si="16"/>
        <v>385.863012329772</v>
      </c>
      <c r="AM50" s="1083">
        <f t="shared" si="17"/>
        <v>1796.3566788560001</v>
      </c>
    </row>
    <row r="51" spans="1:39" x14ac:dyDescent="0.25">
      <c r="A51" s="646">
        <f t="shared" si="0"/>
        <v>20091</v>
      </c>
      <c r="B51" s="1058">
        <v>39873</v>
      </c>
      <c r="C51" s="462">
        <v>3538260</v>
      </c>
      <c r="D51" s="462">
        <v>196.13670158255658</v>
      </c>
      <c r="E51" s="626">
        <v>1930.1242373667289</v>
      </c>
      <c r="F51" s="455">
        <v>218520</v>
      </c>
      <c r="G51" s="462">
        <v>10.7778303288</v>
      </c>
      <c r="H51" s="462">
        <v>149.23570283270979</v>
      </c>
      <c r="I51" s="462">
        <v>2234020</v>
      </c>
      <c r="J51" s="462">
        <v>84.943726235741451</v>
      </c>
      <c r="K51" s="463">
        <v>289.40481799999998</v>
      </c>
      <c r="L51">
        <f t="shared" si="1"/>
        <v>2009</v>
      </c>
      <c r="M51" t="str">
        <f t="shared" si="2"/>
        <v>1</v>
      </c>
      <c r="N51" s="1091">
        <f t="shared" si="3"/>
        <v>3.4070181616100119</v>
      </c>
      <c r="O51" s="193"/>
      <c r="AD51" s="1095">
        <f t="shared" si="8"/>
        <v>2018</v>
      </c>
      <c r="AE51" s="548">
        <f t="shared" si="9"/>
        <v>44542484.37063162</v>
      </c>
      <c r="AF51" s="433">
        <f t="shared" si="10"/>
        <v>2469.1277534008991</v>
      </c>
      <c r="AG51" s="569">
        <f t="shared" si="11"/>
        <v>27586.900679211456</v>
      </c>
      <c r="AH51" s="548">
        <f t="shared" si="12"/>
        <v>463110</v>
      </c>
      <c r="AI51" s="433">
        <f t="shared" si="13"/>
        <v>22.841483633399999</v>
      </c>
      <c r="AJ51" s="569">
        <f t="shared" si="14"/>
        <v>348.82439421846777</v>
      </c>
      <c r="AK51" s="573">
        <f t="shared" si="15"/>
        <v>10222884.855462998</v>
      </c>
      <c r="AL51" s="433">
        <f t="shared" si="16"/>
        <v>388.70284621532301</v>
      </c>
      <c r="AM51" s="674">
        <f t="shared" si="17"/>
        <v>1543.1121670929001</v>
      </c>
    </row>
    <row r="52" spans="1:39" x14ac:dyDescent="0.25">
      <c r="A52" s="646">
        <f t="shared" si="0"/>
        <v>20092</v>
      </c>
      <c r="B52" s="1058">
        <v>39965</v>
      </c>
      <c r="C52" s="1059">
        <v>3835468</v>
      </c>
      <c r="D52" s="1059">
        <v>212.61186078621839</v>
      </c>
      <c r="E52" s="1060">
        <v>1331.2578457442125</v>
      </c>
      <c r="F52" s="1061">
        <v>238056</v>
      </c>
      <c r="G52" s="1059">
        <v>11.741383748639999</v>
      </c>
      <c r="H52" s="1059">
        <v>156.46767543030072</v>
      </c>
      <c r="I52" s="1059">
        <v>2301904</v>
      </c>
      <c r="J52" s="1059">
        <v>87.524866920152093</v>
      </c>
      <c r="K52" s="1062">
        <v>276.898798</v>
      </c>
      <c r="L52">
        <f t="shared" si="1"/>
        <v>2009</v>
      </c>
      <c r="M52" t="str">
        <f t="shared" si="2"/>
        <v>2</v>
      </c>
      <c r="N52" s="1091">
        <f t="shared" si="3"/>
        <v>3.1636586006193133</v>
      </c>
      <c r="O52" s="193"/>
      <c r="AD52" s="1095">
        <f t="shared" si="8"/>
        <v>2019</v>
      </c>
      <c r="AE52" s="1078">
        <f t="shared" si="9"/>
        <v>44584685.399831846</v>
      </c>
      <c r="AF52" s="1077">
        <f t="shared" si="10"/>
        <v>2471.4670870481473</v>
      </c>
      <c r="AG52" s="1082">
        <f t="shared" si="11"/>
        <v>26746.308803143744</v>
      </c>
      <c r="AH52" s="1078">
        <f t="shared" si="12"/>
        <v>519453.81927710841</v>
      </c>
      <c r="AI52" s="1077">
        <f t="shared" si="13"/>
        <v>25.553199156934127</v>
      </c>
      <c r="AJ52" s="1082">
        <f t="shared" si="14"/>
        <v>378.73178336639558</v>
      </c>
      <c r="AK52" s="1076">
        <f t="shared" si="15"/>
        <v>11125072.782876607</v>
      </c>
      <c r="AL52" s="1077">
        <f t="shared" si="16"/>
        <v>416.51339509085011</v>
      </c>
      <c r="AM52" s="1083">
        <f t="shared" si="17"/>
        <v>1461.314564111849</v>
      </c>
    </row>
    <row r="53" spans="1:39" x14ac:dyDescent="0.25">
      <c r="A53" s="646">
        <f t="shared" si="0"/>
        <v>20093</v>
      </c>
      <c r="B53" s="1058">
        <v>40057</v>
      </c>
      <c r="C53" s="462">
        <v>3816160</v>
      </c>
      <c r="D53" s="462">
        <v>211.5415585941364</v>
      </c>
      <c r="E53" s="626">
        <v>1403.95057207019</v>
      </c>
      <c r="F53" s="455">
        <v>240488</v>
      </c>
      <c r="G53" s="462">
        <v>11.861334706720001</v>
      </c>
      <c r="H53" s="462">
        <v>148.21523542469916</v>
      </c>
      <c r="I53" s="462">
        <v>2462220</v>
      </c>
      <c r="J53" s="462">
        <v>93.620532319391629</v>
      </c>
      <c r="K53" s="463">
        <v>297.41039699999999</v>
      </c>
      <c r="L53">
        <f t="shared" si="1"/>
        <v>2009</v>
      </c>
      <c r="M53" t="str">
        <f t="shared" si="2"/>
        <v>3</v>
      </c>
      <c r="N53" s="1091">
        <f t="shared" si="3"/>
        <v>3.1767646437361408</v>
      </c>
      <c r="O53" s="193"/>
      <c r="AD53" s="1095">
        <f t="shared" si="8"/>
        <v>2020</v>
      </c>
      <c r="AE53" s="548">
        <f t="shared" si="9"/>
        <v>44064357.32577163</v>
      </c>
      <c r="AF53" s="433">
        <f t="shared" si="10"/>
        <v>2442.6236916540911</v>
      </c>
      <c r="AG53" s="569">
        <f t="shared" si="11"/>
        <v>19215.29316960799</v>
      </c>
      <c r="AH53" s="548">
        <f t="shared" si="12"/>
        <v>453184.40963855421</v>
      </c>
      <c r="AI53" s="433">
        <f t="shared" si="13"/>
        <v>22.293245413860262</v>
      </c>
      <c r="AJ53" s="569">
        <f t="shared" si="14"/>
        <v>247.23123420624256</v>
      </c>
      <c r="AK53" s="573">
        <f t="shared" si="15"/>
        <v>10992855.743000001</v>
      </c>
      <c r="AL53" s="433">
        <f t="shared" si="16"/>
        <v>411.56330000000003</v>
      </c>
      <c r="AM53" s="674">
        <f t="shared" si="17"/>
        <v>1756.9243565955067</v>
      </c>
    </row>
    <row r="54" spans="1:39" x14ac:dyDescent="0.25">
      <c r="A54" s="646">
        <f t="shared" si="0"/>
        <v>20094</v>
      </c>
      <c r="B54" s="1058">
        <v>40148</v>
      </c>
      <c r="C54" s="1059">
        <v>4062628</v>
      </c>
      <c r="D54" s="1059">
        <v>225.2040425737336</v>
      </c>
      <c r="E54" s="1060">
        <v>1655.4123355938166</v>
      </c>
      <c r="F54" s="1061">
        <v>253460</v>
      </c>
      <c r="G54" s="1059">
        <v>12.5011389124</v>
      </c>
      <c r="H54" s="1059">
        <v>158.85835245145574</v>
      </c>
      <c r="I54" s="1059">
        <v>2314271</v>
      </c>
      <c r="J54" s="1059">
        <v>87.99509505703422</v>
      </c>
      <c r="K54" s="1062">
        <v>292.52132899999998</v>
      </c>
      <c r="L54">
        <f t="shared" si="1"/>
        <v>2009</v>
      </c>
      <c r="M54" t="str">
        <f t="shared" si="2"/>
        <v>4</v>
      </c>
      <c r="N54" s="1091">
        <f t="shared" si="3"/>
        <v>3.3242913006730843</v>
      </c>
      <c r="O54" s="193"/>
      <c r="AD54" s="1095">
        <f t="shared" si="8"/>
        <v>2021</v>
      </c>
      <c r="AE54" s="1078">
        <f t="shared" si="9"/>
        <v>45637085.72443305</v>
      </c>
      <c r="AF54" s="1077">
        <f t="shared" si="10"/>
        <v>2529.8048938830589</v>
      </c>
      <c r="AG54" s="1082">
        <f t="shared" si="11"/>
        <v>27072.614240758579</v>
      </c>
      <c r="AH54" s="1078">
        <f t="shared" si="12"/>
        <v>645819.04819277104</v>
      </c>
      <c r="AI54" s="1077">
        <f t="shared" si="13"/>
        <v>31.76941268961572</v>
      </c>
      <c r="AJ54" s="1082">
        <f t="shared" si="14"/>
        <v>536.71560228877081</v>
      </c>
      <c r="AK54" s="1076">
        <f t="shared" si="15"/>
        <v>10168814.849000001</v>
      </c>
      <c r="AL54" s="1077">
        <f t="shared" si="16"/>
        <v>380.71190000000001</v>
      </c>
      <c r="AM54" s="1083">
        <f t="shared" si="17"/>
        <v>1965.9108979559655</v>
      </c>
    </row>
    <row r="55" spans="1:39" x14ac:dyDescent="0.25">
      <c r="A55" s="646">
        <f t="shared" si="0"/>
        <v>20101</v>
      </c>
      <c r="B55" s="1058">
        <v>40238</v>
      </c>
      <c r="C55" s="462">
        <v>4122450</v>
      </c>
      <c r="D55" s="462">
        <v>228.52016116368225</v>
      </c>
      <c r="E55" s="626">
        <v>1980.7299442502526</v>
      </c>
      <c r="F55" s="455">
        <v>240488</v>
      </c>
      <c r="G55" s="462">
        <v>11.861334706720001</v>
      </c>
      <c r="H55" s="462">
        <v>193.55883149789358</v>
      </c>
      <c r="I55" s="462">
        <v>2306420</v>
      </c>
      <c r="J55" s="462">
        <v>87.696577946768059</v>
      </c>
      <c r="K55" s="463">
        <v>408.50648100000001</v>
      </c>
      <c r="L55">
        <f t="shared" si="1"/>
        <v>2010</v>
      </c>
      <c r="M55" t="str">
        <f t="shared" si="2"/>
        <v>1</v>
      </c>
      <c r="N55" s="1091">
        <f t="shared" si="3"/>
        <v>4.6581804052600999</v>
      </c>
      <c r="O55" s="193"/>
      <c r="AD55" s="1095">
        <f t="shared" si="8"/>
        <v>2022</v>
      </c>
      <c r="AE55" s="548">
        <f t="shared" si="9"/>
        <v>48608467.014604136</v>
      </c>
      <c r="AF55" s="433">
        <f t="shared" si="10"/>
        <v>2694.5177542715765</v>
      </c>
      <c r="AG55" s="569">
        <f t="shared" si="11"/>
        <v>54477.946827522363</v>
      </c>
      <c r="AH55" s="548">
        <f t="shared" si="12"/>
        <v>706846.15355983807</v>
      </c>
      <c r="AI55" s="433">
        <f t="shared" si="13"/>
        <v>34.771484711313505</v>
      </c>
      <c r="AJ55" s="569">
        <f t="shared" si="14"/>
        <v>761.43462905630315</v>
      </c>
      <c r="AK55" s="573">
        <f t="shared" si="15"/>
        <v>10639056.20482</v>
      </c>
      <c r="AL55" s="433">
        <f t="shared" si="16"/>
        <v>398.31734200000005</v>
      </c>
      <c r="AM55" s="674">
        <f t="shared" si="17"/>
        <v>2152.7301253252094</v>
      </c>
    </row>
    <row r="56" spans="1:39" x14ac:dyDescent="0.25">
      <c r="A56" s="646">
        <f t="shared" si="0"/>
        <v>20102</v>
      </c>
      <c r="B56" s="1058">
        <v>40330</v>
      </c>
      <c r="C56" s="1059">
        <v>3715803</v>
      </c>
      <c r="D56" s="1059">
        <v>205.97845951133283</v>
      </c>
      <c r="E56" s="1060">
        <v>2454.155468455072</v>
      </c>
      <c r="F56" s="1061">
        <v>253460</v>
      </c>
      <c r="G56" s="1059">
        <v>12.5011389124</v>
      </c>
      <c r="H56" s="1059">
        <v>196.26957282149678</v>
      </c>
      <c r="I56" s="1059">
        <v>2274115</v>
      </c>
      <c r="J56" s="1059">
        <v>86.468250950570336</v>
      </c>
      <c r="K56" s="1062">
        <v>322.36356999999998</v>
      </c>
      <c r="L56">
        <f t="shared" si="1"/>
        <v>2010</v>
      </c>
      <c r="M56" t="str">
        <f t="shared" si="2"/>
        <v>2</v>
      </c>
      <c r="N56" s="1091">
        <f t="shared" si="3"/>
        <v>3.7281148451155723</v>
      </c>
      <c r="O56" s="193"/>
      <c r="AD56" s="1095">
        <f t="shared" si="8"/>
        <v>2023</v>
      </c>
      <c r="AE56" s="1078">
        <f t="shared" si="9"/>
        <v>48028219.391891696</v>
      </c>
      <c r="AF56" s="1077">
        <f t="shared" si="10"/>
        <v>2662.3528328638959</v>
      </c>
      <c r="AG56" s="1082">
        <f t="shared" si="11"/>
        <v>42354.627972561764</v>
      </c>
      <c r="AH56" s="1078">
        <f t="shared" si="12"/>
        <v>676967.71410848713</v>
      </c>
      <c r="AI56" s="1077">
        <f t="shared" si="13"/>
        <v>33.301691467977136</v>
      </c>
      <c r="AJ56" s="1082">
        <f t="shared" si="14"/>
        <v>595.05627131774986</v>
      </c>
      <c r="AK56" s="1076">
        <f t="shared" si="15"/>
        <v>10537517.245035</v>
      </c>
      <c r="AL56" s="1077">
        <f t="shared" si="16"/>
        <v>394.51580849999999</v>
      </c>
      <c r="AM56" s="1083">
        <f t="shared" si="17"/>
        <v>2718.9526449922187</v>
      </c>
    </row>
    <row r="57" spans="1:39" x14ac:dyDescent="0.25">
      <c r="A57" s="646">
        <f t="shared" si="0"/>
        <v>20103</v>
      </c>
      <c r="B57" s="1058">
        <v>40422</v>
      </c>
      <c r="C57" s="462">
        <v>4293548</v>
      </c>
      <c r="D57" s="462">
        <v>238.00465279724571</v>
      </c>
      <c r="E57" s="626">
        <v>2230.0945024886864</v>
      </c>
      <c r="F57" s="455">
        <v>255760</v>
      </c>
      <c r="G57" s="462">
        <v>12.6145793744</v>
      </c>
      <c r="H57" s="462">
        <v>179.52403018763414</v>
      </c>
      <c r="I57" s="462">
        <v>2356434</v>
      </c>
      <c r="J57" s="462">
        <v>89.598250950570346</v>
      </c>
      <c r="K57" s="463">
        <v>337.33160199999998</v>
      </c>
      <c r="L57">
        <f t="shared" si="1"/>
        <v>2010</v>
      </c>
      <c r="M57" t="str">
        <f t="shared" si="2"/>
        <v>3</v>
      </c>
      <c r="N57" s="1091">
        <f t="shared" si="3"/>
        <v>3.764935123411052</v>
      </c>
      <c r="O57" s="193"/>
      <c r="AD57" s="1095">
        <f>IF($AE$35="Calendar Year", AD58-1, LEFT(AD58,4)-1 &amp; "-" &amp; MID(AD58,3,2))</f>
        <v>2024</v>
      </c>
      <c r="AE57" s="548">
        <f t="shared" si="9"/>
        <v>48070692.233975351</v>
      </c>
      <c r="AF57" s="433">
        <f t="shared" si="10"/>
        <v>2664.7072339404494</v>
      </c>
      <c r="AG57" s="569">
        <f t="shared" si="11"/>
        <v>35685.555839451976</v>
      </c>
      <c r="AH57" s="548">
        <f t="shared" si="12"/>
        <v>805929.4531982796</v>
      </c>
      <c r="AI57" s="433">
        <f t="shared" si="13"/>
        <v>39.645633663208322</v>
      </c>
      <c r="AJ57" s="569">
        <f t="shared" si="14"/>
        <v>696.88888087185762</v>
      </c>
      <c r="AK57" s="573">
        <f t="shared" si="15"/>
        <v>11724959.96228</v>
      </c>
      <c r="AL57" s="433">
        <f t="shared" si="16"/>
        <v>438.97266799999994</v>
      </c>
      <c r="AM57" s="674">
        <f t="shared" si="17"/>
        <v>3171.3579945775127</v>
      </c>
    </row>
    <row r="58" spans="1:39" ht="15.75" thickBot="1" x14ac:dyDescent="0.3">
      <c r="A58" s="646">
        <f t="shared" si="0"/>
        <v>20104</v>
      </c>
      <c r="B58" s="1058">
        <v>40513</v>
      </c>
      <c r="C58" s="1059">
        <v>4395392</v>
      </c>
      <c r="D58" s="1059">
        <v>243.65018089183849</v>
      </c>
      <c r="E58" s="1060">
        <v>2089.7025584882199</v>
      </c>
      <c r="F58" s="1061">
        <v>239016</v>
      </c>
      <c r="G58" s="1059">
        <v>11.788732811039999</v>
      </c>
      <c r="H58" s="1059">
        <v>193.97600050869315</v>
      </c>
      <c r="I58" s="1059">
        <v>2289189</v>
      </c>
      <c r="J58" s="1059">
        <v>87.041406844106461</v>
      </c>
      <c r="K58" s="1062">
        <v>322.96802600000001</v>
      </c>
      <c r="L58">
        <f t="shared" si="1"/>
        <v>2010</v>
      </c>
      <c r="M58" t="str">
        <f t="shared" si="2"/>
        <v>4</v>
      </c>
      <c r="N58" s="1091">
        <f t="shared" si="3"/>
        <v>3.7105101779713254</v>
      </c>
      <c r="O58" s="193"/>
      <c r="AD58" s="1096">
        <f>IF($AE$35="Calendar Year",
    YEAR(LARGE($B:$B, 4)),
    IF(MONTH(LARGE($B:$B, 4))&gt;6,
        YEAR(LARGE($B:$B, 4)) &amp; "-" &amp; RIGHT(YEAR(LARGE($B:$B, 4))+1, 2),
        YEAR(LARGE($B:$B, 4))-1 &amp; "-" &amp; RIGHT(YEAR(LARGE($B:$B, 4)), 2)
    ))</f>
        <v>2025</v>
      </c>
      <c r="AE58" s="1081">
        <f t="shared" si="9"/>
        <v>44315746.819089174</v>
      </c>
      <c r="AF58" s="1016">
        <f t="shared" si="10"/>
        <v>2456.5589892387266</v>
      </c>
      <c r="AG58" s="1097">
        <f t="shared" si="11"/>
        <v>31851.512460181777</v>
      </c>
      <c r="AH58" s="1081">
        <f t="shared" si="12"/>
        <v>673658.94505559967</v>
      </c>
      <c r="AI58" s="1016">
        <f t="shared" si="13"/>
        <v>33.138925055574205</v>
      </c>
      <c r="AJ58" s="1097">
        <f t="shared" si="14"/>
        <v>381.93596690897317</v>
      </c>
      <c r="AK58" s="1080">
        <f t="shared" si="15"/>
        <v>11567007.172079999</v>
      </c>
      <c r="AL58" s="1016">
        <f t="shared" si="16"/>
        <v>433.05904799999996</v>
      </c>
      <c r="AM58" s="1017">
        <f t="shared" si="17"/>
        <v>3279.049874192759</v>
      </c>
    </row>
    <row r="59" spans="1:39" x14ac:dyDescent="0.25">
      <c r="A59" s="646">
        <f t="shared" si="0"/>
        <v>20111</v>
      </c>
      <c r="B59" s="1058">
        <v>40603</v>
      </c>
      <c r="C59" s="462">
        <v>4212461.8979238467</v>
      </c>
      <c r="D59" s="462">
        <v>233.50979922362387</v>
      </c>
      <c r="E59" s="626">
        <v>1909.710272</v>
      </c>
      <c r="F59" s="455">
        <v>228150</v>
      </c>
      <c r="G59" s="462">
        <v>11.252800611</v>
      </c>
      <c r="H59" s="462">
        <v>208.8153857492498</v>
      </c>
      <c r="I59" s="462">
        <v>2179351</v>
      </c>
      <c r="J59" s="462">
        <v>82.865057034220527</v>
      </c>
      <c r="K59" s="463">
        <v>356.78536600000001</v>
      </c>
      <c r="L59">
        <f t="shared" si="1"/>
        <v>2011</v>
      </c>
      <c r="M59" t="str">
        <f t="shared" si="2"/>
        <v>1</v>
      </c>
      <c r="N59" s="1091">
        <f t="shared" si="3"/>
        <v>4.3056190241039651</v>
      </c>
      <c r="O59" s="193"/>
      <c r="Z59" s="1393" t="s">
        <v>610</v>
      </c>
      <c r="AA59" s="1393"/>
      <c r="AB59" s="1393"/>
    </row>
    <row r="60" spans="1:39" ht="15.75" thickBot="1" x14ac:dyDescent="0.3">
      <c r="A60" s="646">
        <f t="shared" si="0"/>
        <v>20112</v>
      </c>
      <c r="B60" s="1058">
        <v>40695</v>
      </c>
      <c r="C60" s="1059">
        <v>4388803.3003013609</v>
      </c>
      <c r="D60" s="1059">
        <v>243.28494887762557</v>
      </c>
      <c r="E60" s="1060">
        <v>2099.211785</v>
      </c>
      <c r="F60" s="1061">
        <v>200837</v>
      </c>
      <c r="G60" s="1059">
        <v>9.9056704637799982</v>
      </c>
      <c r="H60" s="1059">
        <v>191.88204256440841</v>
      </c>
      <c r="I60" s="1059">
        <v>2156521</v>
      </c>
      <c r="J60" s="1059">
        <v>81.99699619771863</v>
      </c>
      <c r="K60" s="1062">
        <v>347.50407300000001</v>
      </c>
      <c r="L60">
        <f t="shared" si="1"/>
        <v>2011</v>
      </c>
      <c r="M60" t="str">
        <f t="shared" si="2"/>
        <v>2</v>
      </c>
      <c r="N60" s="1091">
        <f t="shared" si="3"/>
        <v>4.2380097944327924</v>
      </c>
      <c r="O60" s="193"/>
      <c r="Z60" s="1395" t="s">
        <v>561</v>
      </c>
      <c r="AA60" s="1395"/>
      <c r="AB60" s="1395"/>
    </row>
    <row r="61" spans="1:39" x14ac:dyDescent="0.25">
      <c r="A61" s="646">
        <f t="shared" si="0"/>
        <v>20113</v>
      </c>
      <c r="B61" s="1058">
        <v>40787</v>
      </c>
      <c r="C61" s="462">
        <v>4004613.5082542924</v>
      </c>
      <c r="D61" s="462">
        <v>221.98811975998007</v>
      </c>
      <c r="E61" s="626">
        <v>2259.712493</v>
      </c>
      <c r="F61" s="455">
        <v>231656</v>
      </c>
      <c r="G61" s="462">
        <v>11.425723332640001</v>
      </c>
      <c r="H61" s="462">
        <v>184.7865875884506</v>
      </c>
      <c r="I61" s="462">
        <v>2315170</v>
      </c>
      <c r="J61" s="462">
        <v>88.029277566539918</v>
      </c>
      <c r="K61" s="463">
        <v>366.92107600000003</v>
      </c>
      <c r="L61">
        <f t="shared" si="1"/>
        <v>2011</v>
      </c>
      <c r="M61" t="str">
        <f t="shared" si="2"/>
        <v>3</v>
      </c>
      <c r="N61" s="1091">
        <f t="shared" si="3"/>
        <v>4.1681709329336512</v>
      </c>
      <c r="O61" s="193"/>
      <c r="Z61" s="1063" t="s">
        <v>557</v>
      </c>
      <c r="AA61" s="1064" t="str">
        <f>I10</f>
        <v>Quantity (000 cubic metres)</v>
      </c>
      <c r="AB61" s="1065" t="str">
        <f>K10</f>
        <v>Value ($ Million)</v>
      </c>
    </row>
    <row r="62" spans="1:39" x14ac:dyDescent="0.25">
      <c r="A62" s="646">
        <f t="shared" si="0"/>
        <v>20114</v>
      </c>
      <c r="B62" s="1058">
        <v>40878</v>
      </c>
      <c r="C62" s="1059">
        <v>3948221.2127544754</v>
      </c>
      <c r="D62" s="1059">
        <v>218.8621203043146</v>
      </c>
      <c r="E62" s="1060">
        <v>2283.4367339999999</v>
      </c>
      <c r="F62" s="1061">
        <v>200837</v>
      </c>
      <c r="G62" s="1059">
        <v>9.9056704637799982</v>
      </c>
      <c r="H62" s="1059">
        <v>160.39594404338405</v>
      </c>
      <c r="I62" s="1059">
        <v>2218371</v>
      </c>
      <c r="J62" s="1059">
        <v>84.348707224334603</v>
      </c>
      <c r="K62" s="1062">
        <v>349.91559100000001</v>
      </c>
      <c r="L62">
        <f t="shared" si="1"/>
        <v>2011</v>
      </c>
      <c r="M62" t="str">
        <f t="shared" si="2"/>
        <v>4</v>
      </c>
      <c r="N62" s="1091">
        <f t="shared" si="3"/>
        <v>4.1484404742488969</v>
      </c>
      <c r="O62" s="193"/>
      <c r="Z62" s="1025">
        <f>LARGE($B:$B, 9)</f>
        <v>45261</v>
      </c>
      <c r="AA62" s="1098">
        <f t="shared" ref="AA62:AA70" si="18">SUMIF($B$11:$B$741,$Z62,I$11:I$741)</f>
        <v>2820180.6252250001</v>
      </c>
      <c r="AB62" s="463">
        <f t="shared" ref="AB62:AB70" si="19">SUMIF($B$11:$B$741,$Z62,K$11:K$741)</f>
        <v>764.26163214900214</v>
      </c>
    </row>
    <row r="63" spans="1:39" x14ac:dyDescent="0.25">
      <c r="A63" s="646">
        <f t="shared" si="0"/>
        <v>20121</v>
      </c>
      <c r="B63" s="1058">
        <v>40969</v>
      </c>
      <c r="C63" s="462">
        <v>3482190</v>
      </c>
      <c r="D63" s="462">
        <v>193.02856796384739</v>
      </c>
      <c r="E63" s="626">
        <v>2203.7846126964223</v>
      </c>
      <c r="F63" s="455">
        <v>220050</v>
      </c>
      <c r="G63" s="462">
        <v>10.853292896999999</v>
      </c>
      <c r="H63" s="462">
        <v>228.20920569408236</v>
      </c>
      <c r="I63" s="462">
        <v>2312801</v>
      </c>
      <c r="J63" s="462">
        <v>87.939201520912547</v>
      </c>
      <c r="K63" s="463">
        <v>373.44706400000001</v>
      </c>
      <c r="L63">
        <f t="shared" si="1"/>
        <v>2012</v>
      </c>
      <c r="M63" t="str">
        <f t="shared" si="2"/>
        <v>1</v>
      </c>
      <c r="N63" s="1091">
        <f t="shared" si="3"/>
        <v>4.2466506124824406</v>
      </c>
      <c r="O63" s="193"/>
      <c r="Z63" s="1024">
        <f>LARGE($B:$B, 8)</f>
        <v>45352</v>
      </c>
      <c r="AA63" s="1061">
        <f t="shared" si="18"/>
        <v>2681709.6549549997</v>
      </c>
      <c r="AB63" s="1062">
        <f t="shared" si="19"/>
        <v>721.26678504470715</v>
      </c>
      <c r="AD63" s="589" t="str">
        <f>IFERROR(IF(YEAR(MAX('Commodity Prices'!$C$11:$C1516))=VALUE(RIGHT(AD62,4)),"",IF($AE$35="Calendar Year",AD62+1,CONCATENATE(LEFT(AD62,4)+1,"-",RIGHT(AD62,4)+1))),"")</f>
        <v/>
      </c>
      <c r="AE63" s="265" t="str">
        <f>IF($AD63="","",IF($AE$35="Calendar Year",SUMIF($L$11:$L$203,$AD63,$C$11:$C$203),SUMIFS($C$11:$C$203,$L$11:$L$203,LEFT($AD63,4),$M$11:$M$203,3)+SUMIFS($C$11:$C$203,$L$11:$L$203,LEFT($AD63,4),$M$11:$M$203,4)+SUMIFS($C$11:$C$203,$L$11:$L$203,LEFT($AD63,4)+1,$M$11:$M$203,1)+SUMIFS($C$11:$C$203,$L$11:$L$203,LEFT($AD63,4)+1,$M$11:$M$203,2)))</f>
        <v/>
      </c>
      <c r="AF63" s="265" t="str">
        <f>IF($AD63="","",IF($AE$35="Calendar Year",SUMIF($L$11:$L$203,$AD63,$D$11:$D$203),SUMIFS($D$11:$D$203,$L$11:$L$203,LEFT($AD63,4),$M$11:$M$203,3)+SUMIFS($D$11:$D$203,$L$11:$L$203,LEFT($AD63,4),$M$11:$M$203,4)+SUMIFS($D$11:$D$203,$L$11:$L$203,LEFT($AD63,4)+1,$M$11:$M$203,1)+SUMIFS($D$11:$D$203,$L$11:$L$203,LEFT($AD63,4)+1,$M$11:$M$203,2)))</f>
        <v/>
      </c>
      <c r="AG63" s="64" t="str">
        <f>IF($AD63="","",IF($AE$35="Calendar Year",SUMIF($L$11:$L$203,$AD63,$E$11:$E$203),SUMIFS($E$11:$E$203,$L$11:$L$203,LEFT($AD63,4),$M$11:$M$203,3)+SUMIFS($E$11:$E$203,$L$11:$L$203,LEFT($AD63,4),$M$11:$M$203,4)+SUMIFS($E$11:$E$203,$L$11:$L$203,LEFT($AD63,4)+1,$M$11:$M$203,1)+SUMIFS($E$11:$E$203,$L$11:$L$203,LEFT($AD63,4)+1,$M$11:$M$203,2)))</f>
        <v/>
      </c>
      <c r="AH63" s="265" t="str">
        <f>IF($AD63="","",IF($AE$35="Calendar Year",SUMIF($L$11:$L$203,$AD63,$F$11:$F$203),SUMIFS($F$11:$F$203,$L$11:$L$203,LEFT($AD63,4),$M$11:$M$203,3)+SUMIFS($F$11:$F$203,$L$11:$L$203,LEFT($AD63,4),$M$11:$M$203,4)+SUMIFS($F$11:$F$203,$L$11:$L$203,LEFT($AD63,4)+1,$M$11:$M$203,1)+SUMIFS($F$11:$F$203,$L$11:$L$203,LEFT($AD63,4)+1,$M$11:$M$203,2)))</f>
        <v/>
      </c>
      <c r="AI63" s="265" t="str">
        <f>IF($AD63="","",IF($AE$35="Calendar Year",SUMIF($L$11:$L$203,$AD63,$G$11:$G$203),SUMIFS($G$11:$G$203,$L$11:$L$203,LEFT($AD63,4),$M$11:$M$203,3)+SUMIFS($G$11:$G$203,$L$11:$L$203,LEFT($AD63,4),$M$11:$M$203,4)+SUMIFS($G$11:$G$203,$L$11:$L$203,LEFT($AD63,4)+1,$M$11:$M$203,1)+SUMIFS($G$11:$G$203,$L$11:$L$203,LEFT($AD63,4)+1,$M$11:$M$203,2)))</f>
        <v/>
      </c>
      <c r="AJ63" s="64" t="str">
        <f>IF($AD63="","",IF($AE$35="Calendar Year",SUMIF($L$11:$L$203,$AD63,$H$11:$H$203),SUMIFS($H$11:$H$203,$L$11:$L$203,LEFT($AD63,4),$M$11:$M$203,3)+SUMIFS($H$11:$H$203,$L$11:$L$203,LEFT($AD63,4),$M$11:$M$203,4)+SUMIFS($H$11:$H$203,$L$11:$L$203,LEFT($AD63,4)+1,$M$11:$M$203,1)+SUMIFS($H$11:$H$203,$L$11:$L$203,LEFT($AD63,4)+1,$M$11:$M$203,2)))</f>
        <v/>
      </c>
      <c r="AK63" s="265" t="str">
        <f>IF($AD63="","",IF($AE$35="Calendar Year",SUMIF($L$11:$L$203,$AD63,$I$11:$I$203),SUMIFS($I$11:$I$203,$L$11:$L$203,LEFT($AD63,4),$M$11:$M$203,3)+SUMIFS($I$11:$I$203,$L$11:$L$203,LEFT($AD63,4),$M$11:$M$203,4)+SUMIFS($I$11:$I$203,$L$11:$L$203,LEFT($AD63,4)+1,$M$11:$M$203,1)+SUMIFS($I$11:$I$203,$L$11:$L$203,LEFT($AD63,4)+1,$M$11:$M$203,2)))</f>
        <v/>
      </c>
      <c r="AL63" s="265" t="str">
        <f>IF($AD63="","",IF($AE$35="Calendar Year",SUMIF($L$11:$L$203,$AD63,$J$11:$J$203),SUMIFS($J$11:$J$203,$L$11:$L$203,LEFT($AD63,4),$M$11:$M$203,3)+SUMIFS($J$11:$J$203,$L$11:$L$203,LEFT($AD63,4),$M$11:$M$203,4)+SUMIFS($J$11:$J$203,$L$11:$L$203,LEFT($AD63,4)+1,$M$11:$M$203,1)+SUMIFS($J$11:$J$203,$L$11:$L$203,LEFT($AD63,4)+1,$M$11:$M$203,2)))</f>
        <v/>
      </c>
      <c r="AM63" s="64" t="str">
        <f>IF($AD63="","",IF($AE$35="Calendar Year",SUMIF($L$11:$L$203,$AD63,$K$11:$K$203),SUMIFS($K$11:$K$203,$L$11:$L$203,LEFT($AD63,4),$M$11:$M$203,3)+SUMIFS($K$11:$K$203,$L$11:$L$203,LEFT($AD63,4),$M$11:$M$203,4)+SUMIFS($K$11:$K$203,$L$11:$L$203,LEFT($AD63,4)+1,$M$11:$M$203,1)+SUMIFS($K$11:$K$203,$L$11:$L$203,LEFT($AD63,4)+1,$M$11:$M$203,2)))</f>
        <v/>
      </c>
    </row>
    <row r="64" spans="1:39" x14ac:dyDescent="0.25">
      <c r="A64" s="646">
        <f t="shared" si="0"/>
        <v>20122</v>
      </c>
      <c r="B64" s="1058">
        <v>41061</v>
      </c>
      <c r="C64" s="1059">
        <v>4175545</v>
      </c>
      <c r="D64" s="1059">
        <v>231.46338132571833</v>
      </c>
      <c r="E64" s="1060">
        <v>2748.6092927351433</v>
      </c>
      <c r="F64" s="1061">
        <v>182728</v>
      </c>
      <c r="G64" s="1059">
        <v>9.0124994523200002</v>
      </c>
      <c r="H64" s="1059">
        <v>161.09291595506599</v>
      </c>
      <c r="I64" s="1059">
        <v>2234313</v>
      </c>
      <c r="J64" s="1059">
        <v>84.954866920152085</v>
      </c>
      <c r="K64" s="1062">
        <v>359.526498</v>
      </c>
      <c r="L64">
        <f t="shared" si="1"/>
        <v>2012</v>
      </c>
      <c r="M64" t="str">
        <f t="shared" si="2"/>
        <v>2</v>
      </c>
      <c r="N64" s="1091">
        <f t="shared" si="3"/>
        <v>4.231970586663552</v>
      </c>
      <c r="O64" s="193"/>
      <c r="Z64" s="1025">
        <f>LARGE($B:$B, 7)</f>
        <v>45444</v>
      </c>
      <c r="AA64" s="455">
        <f t="shared" si="18"/>
        <v>3007627.3853699993</v>
      </c>
      <c r="AB64" s="463">
        <f t="shared" si="19"/>
        <v>814.55086151165563</v>
      </c>
      <c r="AD64" s="589" t="str">
        <f>IFERROR(IF(YEAR(MAX('Commodity Prices'!$C$11:$C1516))=VALUE(RIGHT(AD63,4)),"",IF($AE$35="Calendar Year",AD63+1,CONCATENATE(LEFT(AD63,4)+1,"-",RIGHT(AD63,4)+1))),"")</f>
        <v/>
      </c>
      <c r="AE64" s="265" t="str">
        <f>IF($AD64="","",IF($AE$35="Calendar Year",SUMIF($L$11:$L$203,$AD64,$C$11:$C$203),SUMIFS($C$11:$C$203,$L$11:$L$203,LEFT($AD64,4),$M$11:$M$203,3)+SUMIFS($C$11:$C$203,$L$11:$L$203,LEFT($AD64,4),$M$11:$M$203,4)+SUMIFS($C$11:$C$203,$L$11:$L$203,LEFT($AD64,4)+1,$M$11:$M$203,1)+SUMIFS($C$11:$C$203,$L$11:$L$203,LEFT($AD64,4)+1,$M$11:$M$203,2)))</f>
        <v/>
      </c>
      <c r="AF64" s="265" t="str">
        <f>IF($AD64="","",IF($AE$35="Calendar Year",SUMIF($L$11:$L$203,$AD64,$D$11:$D$203),SUMIFS($D$11:$D$203,$L$11:$L$203,LEFT($AD64,4),$M$11:$M$203,3)+SUMIFS($D$11:$D$203,$L$11:$L$203,LEFT($AD64,4),$M$11:$M$203,4)+SUMIFS($D$11:$D$203,$L$11:$L$203,LEFT($AD64,4)+1,$M$11:$M$203,1)+SUMIFS($D$11:$D$203,$L$11:$L$203,LEFT($AD64,4)+1,$M$11:$M$203,2)))</f>
        <v/>
      </c>
      <c r="AG64" s="64" t="str">
        <f>IF($AD64="","",IF($AE$35="Calendar Year",SUMIF($L$11:$L$203,$AD64,$E$11:$E$203),SUMIFS($E$11:$E$203,$L$11:$L$203,LEFT($AD64,4),$M$11:$M$203,3)+SUMIFS($E$11:$E$203,$L$11:$L$203,LEFT($AD64,4),$M$11:$M$203,4)+SUMIFS($E$11:$E$203,$L$11:$L$203,LEFT($AD64,4)+1,$M$11:$M$203,1)+SUMIFS($E$11:$E$203,$L$11:$L$203,LEFT($AD64,4)+1,$M$11:$M$203,2)))</f>
        <v/>
      </c>
      <c r="AH64" s="265" t="str">
        <f>IF($AD64="","",IF($AE$35="Calendar Year",SUMIF($L$11:$L$203,$AD64,$F$11:$F$203),SUMIFS($F$11:$F$203,$L$11:$L$203,LEFT($AD64,4),$M$11:$M$203,3)+SUMIFS($F$11:$F$203,$L$11:$L$203,LEFT($AD64,4),$M$11:$M$203,4)+SUMIFS($F$11:$F$203,$L$11:$L$203,LEFT($AD64,4)+1,$M$11:$M$203,1)+SUMIFS($F$11:$F$203,$L$11:$L$203,LEFT($AD64,4)+1,$M$11:$M$203,2)))</f>
        <v/>
      </c>
      <c r="AI64" s="265" t="str">
        <f>IF($AD64="","",IF($AE$35="Calendar Year",SUMIF($L$11:$L$203,$AD64,$G$11:$G$203),SUMIFS($G$11:$G$203,$L$11:$L$203,LEFT($AD64,4),$M$11:$M$203,3)+SUMIFS($G$11:$G$203,$L$11:$L$203,LEFT($AD64,4),$M$11:$M$203,4)+SUMIFS($G$11:$G$203,$L$11:$L$203,LEFT($AD64,4)+1,$M$11:$M$203,1)+SUMIFS($G$11:$G$203,$L$11:$L$203,LEFT($AD64,4)+1,$M$11:$M$203,2)))</f>
        <v/>
      </c>
      <c r="AJ64" s="64" t="str">
        <f>IF($AD64="","",IF($AE$35="Calendar Year",SUMIF($L$11:$L$203,$AD64,$H$11:$H$203),SUMIFS($H$11:$H$203,$L$11:$L$203,LEFT($AD64,4),$M$11:$M$203,3)+SUMIFS($H$11:$H$203,$L$11:$L$203,LEFT($AD64,4),$M$11:$M$203,4)+SUMIFS($H$11:$H$203,$L$11:$L$203,LEFT($AD64,4)+1,$M$11:$M$203,1)+SUMIFS($H$11:$H$203,$L$11:$L$203,LEFT($AD64,4)+1,$M$11:$M$203,2)))</f>
        <v/>
      </c>
      <c r="AK64" s="265" t="str">
        <f>IF($AD64="","",IF($AE$35="Calendar Year",SUMIF($L$11:$L$203,$AD64,$I$11:$I$203),SUMIFS($I$11:$I$203,$L$11:$L$203,LEFT($AD64,4),$M$11:$M$203,3)+SUMIFS($I$11:$I$203,$L$11:$L$203,LEFT($AD64,4),$M$11:$M$203,4)+SUMIFS($I$11:$I$203,$L$11:$L$203,LEFT($AD64,4)+1,$M$11:$M$203,1)+SUMIFS($I$11:$I$203,$L$11:$L$203,LEFT($AD64,4)+1,$M$11:$M$203,2)))</f>
        <v/>
      </c>
      <c r="AL64" s="265" t="str">
        <f>IF($AD64="","",IF($AE$35="Calendar Year",SUMIF($L$11:$L$203,$AD64,$J$11:$J$203),SUMIFS($J$11:$J$203,$L$11:$L$203,LEFT($AD64,4),$M$11:$M$203,3)+SUMIFS($J$11:$J$203,$L$11:$L$203,LEFT($AD64,4),$M$11:$M$203,4)+SUMIFS($J$11:$J$203,$L$11:$L$203,LEFT($AD64,4)+1,$M$11:$M$203,1)+SUMIFS($J$11:$J$203,$L$11:$L$203,LEFT($AD64,4)+1,$M$11:$M$203,2)))</f>
        <v/>
      </c>
      <c r="AM64" s="64" t="str">
        <f>IF($AD64="","",IF($AE$35="Calendar Year",SUMIF($L$11:$L$203,$AD64,$K$11:$K$203),SUMIFS($K$11:$K$203,$L$11:$L$203,LEFT($AD64,4),$M$11:$M$203,3)+SUMIFS($K$11:$K$203,$L$11:$L$203,LEFT($AD64,4),$M$11:$M$203,4)+SUMIFS($K$11:$K$203,$L$11:$L$203,LEFT($AD64,4)+1,$M$11:$M$203,1)+SUMIFS($K$11:$K$203,$L$11:$L$203,LEFT($AD64,4)+1,$M$11:$M$203,2)))</f>
        <v/>
      </c>
    </row>
    <row r="65" spans="1:28" x14ac:dyDescent="0.25">
      <c r="A65" s="646">
        <f t="shared" si="0"/>
        <v>20123</v>
      </c>
      <c r="B65" s="1058">
        <v>41153</v>
      </c>
      <c r="C65" s="462">
        <v>5371788</v>
      </c>
      <c r="D65" s="462">
        <v>297.7748328050393</v>
      </c>
      <c r="E65" s="626">
        <v>3200.1858504462862</v>
      </c>
      <c r="F65" s="455">
        <v>215188</v>
      </c>
      <c r="G65" s="462">
        <v>10.61348962472</v>
      </c>
      <c r="H65" s="462">
        <v>152.63031786087535</v>
      </c>
      <c r="I65" s="462">
        <v>2250413</v>
      </c>
      <c r="J65" s="462">
        <v>85.567034220532321</v>
      </c>
      <c r="K65" s="463">
        <v>373.45979399999999</v>
      </c>
      <c r="L65">
        <f t="shared" si="1"/>
        <v>2012</v>
      </c>
      <c r="M65" t="str">
        <f t="shared" si="2"/>
        <v>3</v>
      </c>
      <c r="N65" s="1091">
        <f t="shared" si="3"/>
        <v>4.3645289030058034</v>
      </c>
      <c r="O65" s="193"/>
      <c r="Z65" s="1024">
        <f>LARGE($B:$B, 6)</f>
        <v>45536</v>
      </c>
      <c r="AA65" s="1061">
        <f t="shared" si="18"/>
        <v>3020128.3598300004</v>
      </c>
      <c r="AB65" s="1062">
        <f t="shared" si="19"/>
        <v>811.17306860135579</v>
      </c>
    </row>
    <row r="66" spans="1:28" x14ac:dyDescent="0.25">
      <c r="A66" s="646">
        <f t="shared" si="0"/>
        <v>20124</v>
      </c>
      <c r="B66" s="1058">
        <v>41244</v>
      </c>
      <c r="C66" s="1059">
        <v>5231028</v>
      </c>
      <c r="D66" s="1059">
        <v>289.97207039787855</v>
      </c>
      <c r="E66" s="1060">
        <v>3119.0409195228258</v>
      </c>
      <c r="F66" s="1061">
        <v>191912</v>
      </c>
      <c r="G66" s="1059">
        <v>9.46547214928</v>
      </c>
      <c r="H66" s="1059">
        <v>187.22332368073322</v>
      </c>
      <c r="I66" s="1059">
        <v>2211682</v>
      </c>
      <c r="J66" s="1059">
        <v>84.094372623574145</v>
      </c>
      <c r="K66" s="1062">
        <v>364.108541</v>
      </c>
      <c r="L66">
        <f t="shared" si="1"/>
        <v>2012</v>
      </c>
      <c r="M66" t="str">
        <f t="shared" si="2"/>
        <v>4</v>
      </c>
      <c r="N66" s="1091">
        <f t="shared" si="3"/>
        <v>4.3297610724778695</v>
      </c>
      <c r="O66" s="193"/>
      <c r="Z66" s="1025">
        <f>LARGE($B:$B, 5)</f>
        <v>45627</v>
      </c>
      <c r="AA66" s="455">
        <f t="shared" si="18"/>
        <v>3015494.5621249997</v>
      </c>
      <c r="AB66" s="463">
        <f t="shared" si="19"/>
        <v>824.36727941979416</v>
      </c>
    </row>
    <row r="67" spans="1:28" x14ac:dyDescent="0.25">
      <c r="A67" s="646">
        <f t="shared" si="0"/>
        <v>20131</v>
      </c>
      <c r="B67" s="1058">
        <v>41334</v>
      </c>
      <c r="C67" s="462">
        <v>4865670</v>
      </c>
      <c r="D67" s="462">
        <v>269.7191457917728</v>
      </c>
      <c r="E67" s="626">
        <v>2966.8551408577659</v>
      </c>
      <c r="F67" s="455">
        <v>171090</v>
      </c>
      <c r="G67" s="462">
        <v>8.4384907146000003</v>
      </c>
      <c r="H67" s="462">
        <v>161.17027358210854</v>
      </c>
      <c r="I67" s="462">
        <v>2219755</v>
      </c>
      <c r="J67" s="462">
        <v>84.401330798479094</v>
      </c>
      <c r="K67" s="463">
        <v>356.27825999999999</v>
      </c>
      <c r="L67">
        <f t="shared" si="1"/>
        <v>2013</v>
      </c>
      <c r="M67" t="str">
        <f t="shared" si="2"/>
        <v>1</v>
      </c>
      <c r="N67" s="1091">
        <f t="shared" si="3"/>
        <v>4.2212398386308392</v>
      </c>
      <c r="O67" s="193"/>
      <c r="Z67" s="1024">
        <f>LARGE($B:$B, 4)</f>
        <v>45717</v>
      </c>
      <c r="AA67" s="1061">
        <f t="shared" si="18"/>
        <v>2707730.7639899999</v>
      </c>
      <c r="AB67" s="1062">
        <f t="shared" si="19"/>
        <v>783.42163817933692</v>
      </c>
    </row>
    <row r="68" spans="1:28" x14ac:dyDescent="0.25">
      <c r="A68" s="646">
        <f t="shared" si="0"/>
        <v>20132</v>
      </c>
      <c r="B68" s="1058">
        <v>41426</v>
      </c>
      <c r="C68" s="1059">
        <v>4336433</v>
      </c>
      <c r="D68" s="1059">
        <v>240.38190106259873</v>
      </c>
      <c r="E68" s="1060">
        <v>2861.1324864049229</v>
      </c>
      <c r="F68" s="1061">
        <v>174720</v>
      </c>
      <c r="G68" s="1059">
        <v>8.6175293567999987</v>
      </c>
      <c r="H68" s="1059">
        <v>133.02871979584953</v>
      </c>
      <c r="I68" s="1059">
        <v>2032099</v>
      </c>
      <c r="J68" s="1059">
        <v>77.266121673003809</v>
      </c>
      <c r="K68" s="1062">
        <v>340.70417700000002</v>
      </c>
      <c r="L68">
        <f t="shared" si="1"/>
        <v>2013</v>
      </c>
      <c r="M68" t="str">
        <f t="shared" si="2"/>
        <v>2</v>
      </c>
      <c r="N68" s="1091">
        <f t="shared" si="3"/>
        <v>4.409489820673107</v>
      </c>
      <c r="O68" s="193"/>
      <c r="P68" s="193"/>
      <c r="Z68" s="1025">
        <f>LARGE($B:$B, 3)</f>
        <v>45809</v>
      </c>
      <c r="AA68" s="455">
        <f t="shared" si="18"/>
        <v>3050034.2914599995</v>
      </c>
      <c r="AB68" s="463">
        <f t="shared" si="19"/>
        <v>849.71368013731467</v>
      </c>
    </row>
    <row r="69" spans="1:28" x14ac:dyDescent="0.25">
      <c r="A69" s="646">
        <f t="shared" si="0"/>
        <v>20133</v>
      </c>
      <c r="B69" s="1058">
        <v>41518</v>
      </c>
      <c r="C69" s="462">
        <v>4969932</v>
      </c>
      <c r="D69" s="462">
        <v>275.49871110930189</v>
      </c>
      <c r="E69" s="626">
        <v>3454.8150984037952</v>
      </c>
      <c r="F69" s="455">
        <v>203872</v>
      </c>
      <c r="G69" s="462">
        <v>10.05536255168</v>
      </c>
      <c r="H69" s="462">
        <v>189.00954320584475</v>
      </c>
      <c r="I69" s="462">
        <v>2524173</v>
      </c>
      <c r="J69" s="462">
        <v>95.976159695817486</v>
      </c>
      <c r="K69" s="463">
        <v>413.88590299999998</v>
      </c>
      <c r="L69">
        <f t="shared" si="1"/>
        <v>2013</v>
      </c>
      <c r="M69" t="str">
        <f t="shared" si="2"/>
        <v>3</v>
      </c>
      <c r="N69" s="1091">
        <f t="shared" si="3"/>
        <v>4.3123824115462766</v>
      </c>
      <c r="O69" s="193"/>
      <c r="Z69" s="1024">
        <f>LARGE($B:$B, 2)</f>
        <v>45901</v>
      </c>
      <c r="AA69" s="1061">
        <f t="shared" si="18"/>
        <v>2916296.3064800003</v>
      </c>
      <c r="AB69" s="1062">
        <f t="shared" si="19"/>
        <v>838.52155741592333</v>
      </c>
    </row>
    <row r="70" spans="1:28" ht="15.75" thickBot="1" x14ac:dyDescent="0.3">
      <c r="A70" s="646">
        <f t="shared" si="0"/>
        <v>20134</v>
      </c>
      <c r="B70" s="1058">
        <v>41609</v>
      </c>
      <c r="C70" s="1059">
        <v>5048408</v>
      </c>
      <c r="D70" s="1059">
        <v>279.84887864741177</v>
      </c>
      <c r="E70" s="1060">
        <v>4005.1580927126415</v>
      </c>
      <c r="F70" s="1061">
        <v>136252</v>
      </c>
      <c r="G70" s="1059">
        <v>6.7202129688799994</v>
      </c>
      <c r="H70" s="1059">
        <v>116.92676470853257</v>
      </c>
      <c r="I70" s="1059">
        <v>2521640</v>
      </c>
      <c r="J70" s="1059">
        <v>95.879847908745248</v>
      </c>
      <c r="K70" s="1062">
        <v>448.58798999999999</v>
      </c>
      <c r="L70">
        <f t="shared" si="1"/>
        <v>2013</v>
      </c>
      <c r="M70" t="str">
        <f t="shared" si="2"/>
        <v>4</v>
      </c>
      <c r="N70" s="1091">
        <f t="shared" si="3"/>
        <v>4.6786472839104709</v>
      </c>
      <c r="O70" s="193"/>
      <c r="Z70" s="1099">
        <f>LARGE($B:$B, 1)</f>
        <v>45992</v>
      </c>
      <c r="AA70" s="656">
        <f t="shared" si="18"/>
        <v>2892945.8101500003</v>
      </c>
      <c r="AB70" s="468">
        <f t="shared" si="19"/>
        <v>807.392998460184</v>
      </c>
    </row>
    <row r="71" spans="1:28" x14ac:dyDescent="0.25">
      <c r="A71" s="646">
        <f t="shared" si="0"/>
        <v>20141</v>
      </c>
      <c r="B71" s="1058">
        <v>41699</v>
      </c>
      <c r="C71" s="462">
        <v>4863240</v>
      </c>
      <c r="D71" s="462">
        <v>269.58444337170033</v>
      </c>
      <c r="E71" s="626">
        <v>3609.712857637357</v>
      </c>
      <c r="F71" s="455">
        <v>24930</v>
      </c>
      <c r="G71" s="462">
        <v>1.2295959642000001</v>
      </c>
      <c r="H71" s="462">
        <v>24.843911468531239</v>
      </c>
      <c r="I71" s="462">
        <v>2341223</v>
      </c>
      <c r="J71" s="462">
        <v>89.019885931558932</v>
      </c>
      <c r="K71" s="463">
        <v>421.88753400000002</v>
      </c>
      <c r="L71">
        <f t="shared" si="1"/>
        <v>2014</v>
      </c>
      <c r="M71" t="str">
        <f t="shared" si="2"/>
        <v>1</v>
      </c>
      <c r="N71" s="1091">
        <f t="shared" si="3"/>
        <v>4.7392504448316117</v>
      </c>
      <c r="O71" s="193"/>
    </row>
    <row r="72" spans="1:28" x14ac:dyDescent="0.25">
      <c r="A72" s="646">
        <f t="shared" si="0"/>
        <v>20142</v>
      </c>
      <c r="B72" s="1058">
        <v>41791</v>
      </c>
      <c r="C72" s="1059">
        <v>4944485</v>
      </c>
      <c r="D72" s="1059">
        <v>274.0881051489792</v>
      </c>
      <c r="E72" s="1060">
        <v>3581.8367247574915</v>
      </c>
      <c r="F72" s="1061">
        <v>24479</v>
      </c>
      <c r="G72" s="1059">
        <v>1.20735176926</v>
      </c>
      <c r="H72" s="1059">
        <v>22.761114376250173</v>
      </c>
      <c r="I72" s="1059">
        <v>2349784</v>
      </c>
      <c r="J72" s="1059">
        <v>89.345399239543724</v>
      </c>
      <c r="K72" s="1062">
        <v>450.59903200000002</v>
      </c>
      <c r="L72">
        <f t="shared" si="1"/>
        <v>2014</v>
      </c>
      <c r="M72" t="str">
        <f t="shared" si="2"/>
        <v>2</v>
      </c>
      <c r="N72" s="1091">
        <f t="shared" si="3"/>
        <v>5.0433378308814776</v>
      </c>
      <c r="O72" s="193"/>
      <c r="P72" s="193"/>
    </row>
    <row r="73" spans="1:28" x14ac:dyDescent="0.25">
      <c r="A73" s="646">
        <f t="shared" si="0"/>
        <v>20143</v>
      </c>
      <c r="B73" s="1058">
        <v>41883</v>
      </c>
      <c r="C73" s="462">
        <v>5835100</v>
      </c>
      <c r="D73" s="462">
        <v>323.45765076743254</v>
      </c>
      <c r="E73" s="626">
        <v>4338.3672567656658</v>
      </c>
      <c r="F73" s="455">
        <v>159620</v>
      </c>
      <c r="G73" s="462">
        <v>7.8727680627999996</v>
      </c>
      <c r="H73" s="462">
        <v>138.86373114397765</v>
      </c>
      <c r="I73" s="462">
        <v>2395064.7549999999</v>
      </c>
      <c r="J73" s="462">
        <v>91.067100950570335</v>
      </c>
      <c r="K73" s="463">
        <v>445.20685447794887</v>
      </c>
      <c r="L73">
        <f t="shared" si="1"/>
        <v>2014</v>
      </c>
      <c r="M73" t="str">
        <f t="shared" si="2"/>
        <v>3</v>
      </c>
      <c r="N73" s="1091">
        <f t="shared" si="3"/>
        <v>4.8887781628142477</v>
      </c>
      <c r="O73" s="193"/>
    </row>
    <row r="74" spans="1:28" x14ac:dyDescent="0.25">
      <c r="A74" s="646">
        <f t="shared" si="0"/>
        <v>20144</v>
      </c>
      <c r="B74" s="1058">
        <v>41974</v>
      </c>
      <c r="C74" s="1059">
        <v>5209776</v>
      </c>
      <c r="D74" s="1059">
        <v>288.79400626973859</v>
      </c>
      <c r="E74" s="1060">
        <v>3957.4004114908698</v>
      </c>
      <c r="F74" s="1061">
        <v>148580</v>
      </c>
      <c r="G74" s="1059">
        <v>7.328253845199999</v>
      </c>
      <c r="H74" s="1059">
        <v>122.53826596790357</v>
      </c>
      <c r="I74" s="1059">
        <v>2504093.6320000002</v>
      </c>
      <c r="J74" s="1059">
        <v>95.21268562737643</v>
      </c>
      <c r="K74" s="1062">
        <v>461.59148175823981</v>
      </c>
      <c r="L74">
        <f t="shared" si="1"/>
        <v>2014</v>
      </c>
      <c r="M74" t="str">
        <f t="shared" si="2"/>
        <v>4</v>
      </c>
      <c r="N74" s="1091">
        <f t="shared" si="3"/>
        <v>4.8480040103555151</v>
      </c>
      <c r="O74" s="193"/>
    </row>
    <row r="75" spans="1:28" x14ac:dyDescent="0.25">
      <c r="A75" s="646">
        <f t="shared" si="0"/>
        <v>20151</v>
      </c>
      <c r="B75" s="1058">
        <v>42064</v>
      </c>
      <c r="C75" s="462">
        <v>5058720</v>
      </c>
      <c r="D75" s="462">
        <v>280.42050471975222</v>
      </c>
      <c r="E75" s="626">
        <v>3466.8432032243586</v>
      </c>
      <c r="F75" s="455">
        <v>141570</v>
      </c>
      <c r="G75" s="462">
        <v>6.9825070457999994</v>
      </c>
      <c r="H75" s="462">
        <v>82.497857403522531</v>
      </c>
      <c r="I75" s="462">
        <v>2483406.8170000003</v>
      </c>
      <c r="J75" s="462">
        <v>94.426114714828913</v>
      </c>
      <c r="K75" s="463">
        <v>457.599551292</v>
      </c>
      <c r="L75">
        <f t="shared" si="1"/>
        <v>2015</v>
      </c>
      <c r="M75" t="str">
        <f t="shared" si="2"/>
        <v>1</v>
      </c>
      <c r="N75" s="1091">
        <f t="shared" si="3"/>
        <v>4.8461122505566507</v>
      </c>
      <c r="O75" s="193"/>
    </row>
    <row r="76" spans="1:28" x14ac:dyDescent="0.25">
      <c r="A76" s="646">
        <f t="shared" ref="A76:A139" si="20">L76*10+M76</f>
        <v>20152</v>
      </c>
      <c r="B76" s="1058">
        <v>42156</v>
      </c>
      <c r="C76" s="1059">
        <v>4344249</v>
      </c>
      <c r="D76" s="1059">
        <v>240.81516613061783</v>
      </c>
      <c r="E76" s="1060">
        <v>2054.4316153610985</v>
      </c>
      <c r="F76" s="1061">
        <v>103285</v>
      </c>
      <c r="G76" s="1059">
        <v>5.0942165728999997</v>
      </c>
      <c r="H76" s="1059">
        <v>61.665661356598967</v>
      </c>
      <c r="I76" s="1059">
        <v>2492773.5079999999</v>
      </c>
      <c r="J76" s="1059">
        <v>94.78226266159696</v>
      </c>
      <c r="K76" s="1062">
        <v>455.799167576</v>
      </c>
      <c r="L76">
        <f t="shared" ref="L76:L139" si="21">YEAR(B76)</f>
        <v>2015</v>
      </c>
      <c r="M76" t="str">
        <f t="shared" ref="M76:M139" si="22">IF(MONTH(B76)=3,"1",IF(MONTH(B76)=6,"2",IF(MONTH(B76)=9,"3","4")))</f>
        <v>2</v>
      </c>
      <c r="N76" s="1091">
        <f t="shared" ref="N76:N139" si="23">K76/J76</f>
        <v>4.8089078565611905</v>
      </c>
      <c r="O76" s="193"/>
      <c r="P76" s="193"/>
    </row>
    <row r="77" spans="1:28" x14ac:dyDescent="0.25">
      <c r="A77" s="646">
        <f t="shared" si="20"/>
        <v>20153</v>
      </c>
      <c r="B77" s="1058">
        <v>42248</v>
      </c>
      <c r="C77" s="462">
        <v>5451644</v>
      </c>
      <c r="D77" s="462">
        <v>302.20149801380762</v>
      </c>
      <c r="E77" s="626">
        <v>2973.1531033352376</v>
      </c>
      <c r="F77" s="455">
        <v>123464</v>
      </c>
      <c r="G77" s="462">
        <v>6.0894840001599997</v>
      </c>
      <c r="H77" s="462">
        <v>53.953957081642599</v>
      </c>
      <c r="I77" s="462">
        <v>2636710.9539999994</v>
      </c>
      <c r="J77" s="462">
        <v>100.25516935361215</v>
      </c>
      <c r="K77" s="463">
        <v>491.83885099999998</v>
      </c>
      <c r="L77">
        <f t="shared" si="21"/>
        <v>2015</v>
      </c>
      <c r="M77" t="str">
        <f t="shared" si="22"/>
        <v>3</v>
      </c>
      <c r="N77" s="1091">
        <f t="shared" si="23"/>
        <v>4.9058702326383257</v>
      </c>
      <c r="O77" s="193"/>
      <c r="P77" s="1100"/>
    </row>
    <row r="78" spans="1:28" x14ac:dyDescent="0.25">
      <c r="A78" s="646">
        <f t="shared" si="20"/>
        <v>20154</v>
      </c>
      <c r="B78" s="1058">
        <v>42339</v>
      </c>
      <c r="C78" s="1059">
        <v>5531040</v>
      </c>
      <c r="D78" s="1059">
        <v>306.60266399902315</v>
      </c>
      <c r="E78" s="1060">
        <v>3059.9218309842045</v>
      </c>
      <c r="F78" s="1061">
        <v>133584</v>
      </c>
      <c r="G78" s="1059">
        <v>6.5886220329599992</v>
      </c>
      <c r="H78" s="1059">
        <v>55.990820561464247</v>
      </c>
      <c r="I78" s="1059">
        <v>2403790.8930000002</v>
      </c>
      <c r="J78" s="1059">
        <v>91.398893269961988</v>
      </c>
      <c r="K78" s="1062">
        <v>456.28586032999999</v>
      </c>
      <c r="L78">
        <f t="shared" si="21"/>
        <v>2015</v>
      </c>
      <c r="M78" t="str">
        <f t="shared" si="22"/>
        <v>4</v>
      </c>
      <c r="N78" s="1091">
        <f t="shared" si="23"/>
        <v>4.9922471050309447</v>
      </c>
      <c r="O78" s="193"/>
      <c r="P78" s="1100"/>
    </row>
    <row r="79" spans="1:28" x14ac:dyDescent="0.25">
      <c r="A79" s="646">
        <f t="shared" si="20"/>
        <v>20161</v>
      </c>
      <c r="B79" s="1058">
        <v>42430</v>
      </c>
      <c r="C79" s="462">
        <v>5323767</v>
      </c>
      <c r="D79" s="462">
        <v>295.11288016540965</v>
      </c>
      <c r="E79" s="626">
        <v>2713.6890704221591</v>
      </c>
      <c r="F79" s="455">
        <v>139321</v>
      </c>
      <c r="G79" s="462">
        <v>6.8715820027399994</v>
      </c>
      <c r="H79" s="462">
        <v>64.980488740447953</v>
      </c>
      <c r="I79" s="462">
        <v>2502839.2610499999</v>
      </c>
      <c r="J79" s="462">
        <v>95.164990914449007</v>
      </c>
      <c r="K79" s="463">
        <v>456.43841822399997</v>
      </c>
      <c r="L79">
        <f t="shared" si="21"/>
        <v>2016</v>
      </c>
      <c r="M79" t="str">
        <f t="shared" si="22"/>
        <v>1</v>
      </c>
      <c r="N79" s="1091">
        <f t="shared" si="23"/>
        <v>4.7962849976450572</v>
      </c>
      <c r="O79" s="193"/>
    </row>
    <row r="80" spans="1:28" x14ac:dyDescent="0.25">
      <c r="A80" s="646">
        <f t="shared" si="20"/>
        <v>20162</v>
      </c>
      <c r="B80" s="1058">
        <v>42522</v>
      </c>
      <c r="C80" s="1059">
        <v>4649190</v>
      </c>
      <c r="D80" s="1059">
        <v>257.71898945544029</v>
      </c>
      <c r="E80" s="1060">
        <v>2017.7813481911735</v>
      </c>
      <c r="F80" s="1061">
        <v>135226</v>
      </c>
      <c r="G80" s="1059">
        <v>6.6696086584399996</v>
      </c>
      <c r="H80" s="1059">
        <v>74.133806139989474</v>
      </c>
      <c r="I80" s="1059">
        <v>2514418.1465699999</v>
      </c>
      <c r="J80" s="1059">
        <v>95.605252721292999</v>
      </c>
      <c r="K80" s="1062">
        <v>476.90319774800003</v>
      </c>
      <c r="L80">
        <f t="shared" si="21"/>
        <v>2016</v>
      </c>
      <c r="M80" t="str">
        <f t="shared" si="22"/>
        <v>2</v>
      </c>
      <c r="N80" s="1091">
        <f t="shared" si="23"/>
        <v>4.9882530946104087</v>
      </c>
      <c r="O80" s="193"/>
      <c r="P80" s="193"/>
    </row>
    <row r="81" spans="1:15" x14ac:dyDescent="0.25">
      <c r="A81" s="646">
        <f t="shared" si="20"/>
        <v>20163</v>
      </c>
      <c r="B81" s="1058">
        <v>42614</v>
      </c>
      <c r="C81" s="462">
        <v>6803067.7071249997</v>
      </c>
      <c r="D81" s="462">
        <v>377.11509632370246</v>
      </c>
      <c r="E81" s="626">
        <v>2712.9153543355424</v>
      </c>
      <c r="F81" s="455">
        <v>157964</v>
      </c>
      <c r="G81" s="462">
        <v>7.7910909301600002</v>
      </c>
      <c r="H81" s="462">
        <v>67.829171529252321</v>
      </c>
      <c r="I81" s="462">
        <v>2513434.9693999998</v>
      </c>
      <c r="J81" s="462">
        <v>95.567869558935001</v>
      </c>
      <c r="K81" s="463">
        <v>489.32512997399999</v>
      </c>
      <c r="L81">
        <f t="shared" si="21"/>
        <v>2016</v>
      </c>
      <c r="M81" t="str">
        <f t="shared" si="22"/>
        <v>3</v>
      </c>
      <c r="N81" s="1091">
        <f t="shared" si="23"/>
        <v>5.1201845581818892</v>
      </c>
      <c r="O81" s="193"/>
    </row>
    <row r="82" spans="1:15" x14ac:dyDescent="0.25">
      <c r="A82" s="646">
        <f t="shared" si="20"/>
        <v>20164</v>
      </c>
      <c r="B82" s="1058">
        <v>42705</v>
      </c>
      <c r="C82" s="1059">
        <v>6998631.9396250006</v>
      </c>
      <c r="D82" s="1059">
        <v>387.95582693990207</v>
      </c>
      <c r="E82" s="1060">
        <v>3176.2283489943566</v>
      </c>
      <c r="F82" s="1061">
        <v>143244</v>
      </c>
      <c r="G82" s="1059">
        <v>7.0650719733599994</v>
      </c>
      <c r="H82" s="1059">
        <v>81.197249614542599</v>
      </c>
      <c r="I82" s="1059">
        <v>2513332.3186400002</v>
      </c>
      <c r="J82" s="1059">
        <v>95.563966488212998</v>
      </c>
      <c r="K82" s="1062">
        <v>478.87107164100001</v>
      </c>
      <c r="L82">
        <f t="shared" si="21"/>
        <v>2016</v>
      </c>
      <c r="M82" t="str">
        <f t="shared" si="22"/>
        <v>4</v>
      </c>
      <c r="N82" s="1091">
        <f t="shared" si="23"/>
        <v>5.0110003721964036</v>
      </c>
      <c r="O82" s="933"/>
    </row>
    <row r="83" spans="1:15" x14ac:dyDescent="0.25">
      <c r="A83" s="646">
        <f t="shared" si="20"/>
        <v>20171</v>
      </c>
      <c r="B83" s="1058">
        <v>42795</v>
      </c>
      <c r="C83" s="462">
        <v>6972485.1932500005</v>
      </c>
      <c r="D83" s="462">
        <v>386.506431872522</v>
      </c>
      <c r="E83" s="626">
        <v>3126.8409743271582</v>
      </c>
      <c r="F83" s="455">
        <v>110340</v>
      </c>
      <c r="G83" s="462">
        <v>5.4421828595999999</v>
      </c>
      <c r="H83" s="462">
        <v>77.866747796917679</v>
      </c>
      <c r="I83" s="462">
        <v>2377804.69777</v>
      </c>
      <c r="J83" s="462">
        <v>90.410825010265995</v>
      </c>
      <c r="K83" s="463">
        <v>441.36716657099998</v>
      </c>
      <c r="L83">
        <f t="shared" si="21"/>
        <v>2017</v>
      </c>
      <c r="M83" t="str">
        <f t="shared" si="22"/>
        <v>1</v>
      </c>
      <c r="N83" s="1091">
        <f t="shared" si="23"/>
        <v>4.881795587208539</v>
      </c>
    </row>
    <row r="84" spans="1:15" x14ac:dyDescent="0.25">
      <c r="A84" s="646">
        <f t="shared" si="20"/>
        <v>20172</v>
      </c>
      <c r="B84" s="1058">
        <v>42887</v>
      </c>
      <c r="C84" s="1059">
        <v>7911291.8422500007</v>
      </c>
      <c r="D84" s="1059">
        <v>438.54738973277898</v>
      </c>
      <c r="E84" s="1060">
        <v>3712.3253604128122</v>
      </c>
      <c r="F84" s="1061">
        <v>115843</v>
      </c>
      <c r="G84" s="1059">
        <v>5.7136014954199998</v>
      </c>
      <c r="H84" s="1059">
        <v>46.204139266223834</v>
      </c>
      <c r="I84" s="1059">
        <v>2525282.7222000002</v>
      </c>
      <c r="J84" s="1059">
        <v>96.018354456273997</v>
      </c>
      <c r="K84" s="1062">
        <v>466.06720589899999</v>
      </c>
      <c r="L84">
        <f t="shared" si="21"/>
        <v>2017</v>
      </c>
      <c r="M84" t="str">
        <f t="shared" si="22"/>
        <v>2</v>
      </c>
      <c r="N84" s="1091">
        <f t="shared" si="23"/>
        <v>4.8539386926407211</v>
      </c>
    </row>
    <row r="85" spans="1:15" x14ac:dyDescent="0.25">
      <c r="A85" s="646">
        <f t="shared" si="20"/>
        <v>20173</v>
      </c>
      <c r="B85" s="1058">
        <v>42979</v>
      </c>
      <c r="C85" s="462">
        <v>8806567.7899999991</v>
      </c>
      <c r="D85" s="462">
        <v>488.17530610915662</v>
      </c>
      <c r="E85" s="626">
        <v>3831.2571748245896</v>
      </c>
      <c r="F85" s="455">
        <v>117208</v>
      </c>
      <c r="G85" s="462">
        <v>5.7809259435199998</v>
      </c>
      <c r="H85" s="462">
        <v>67.451136598380842</v>
      </c>
      <c r="I85" s="462">
        <v>2656293.0504529998</v>
      </c>
      <c r="J85" s="462">
        <v>100.999735758669</v>
      </c>
      <c r="K85" s="463">
        <v>482.21090230099998</v>
      </c>
      <c r="L85">
        <f t="shared" si="21"/>
        <v>2017</v>
      </c>
      <c r="M85" t="str">
        <f t="shared" si="22"/>
        <v>3</v>
      </c>
      <c r="N85" s="1091">
        <f t="shared" si="23"/>
        <v>4.7743778602867373</v>
      </c>
    </row>
    <row r="86" spans="1:15" x14ac:dyDescent="0.25">
      <c r="A86" s="646">
        <f t="shared" si="20"/>
        <v>20174</v>
      </c>
      <c r="B86" s="1058">
        <v>43070</v>
      </c>
      <c r="C86" s="1082">
        <v>9039351.7441250011</v>
      </c>
      <c r="D86" s="1082">
        <v>501.07924107815921</v>
      </c>
      <c r="E86" s="1076">
        <v>4318.9366760431931</v>
      </c>
      <c r="F86" s="1077">
        <v>112884</v>
      </c>
      <c r="G86" s="1082">
        <v>5.5676578749600001</v>
      </c>
      <c r="H86" s="1082">
        <v>96.97610210958355</v>
      </c>
      <c r="I86" s="1082">
        <v>2588816.75385</v>
      </c>
      <c r="J86" s="1082">
        <v>98.434097104562994</v>
      </c>
      <c r="K86" s="1083">
        <v>406.71140408500003</v>
      </c>
      <c r="L86">
        <f t="shared" si="21"/>
        <v>2017</v>
      </c>
      <c r="M86" t="str">
        <f t="shared" si="22"/>
        <v>4</v>
      </c>
      <c r="N86" s="1091">
        <f t="shared" si="23"/>
        <v>4.1318142396629609</v>
      </c>
    </row>
    <row r="87" spans="1:15" x14ac:dyDescent="0.25">
      <c r="A87" s="646">
        <f t="shared" si="20"/>
        <v>20181</v>
      </c>
      <c r="B87" s="1058">
        <v>43160</v>
      </c>
      <c r="C87" s="569">
        <v>10062182.32725</v>
      </c>
      <c r="D87" s="569">
        <v>557.77790563415567</v>
      </c>
      <c r="E87" s="573">
        <v>5344.7501164823307</v>
      </c>
      <c r="F87" s="433">
        <v>112860</v>
      </c>
      <c r="G87" s="569">
        <v>5.5664741483999993</v>
      </c>
      <c r="H87" s="569">
        <v>85.801210917674538</v>
      </c>
      <c r="I87" s="569">
        <v>2482222.5129399998</v>
      </c>
      <c r="J87" s="569">
        <v>94.381084142204998</v>
      </c>
      <c r="K87" s="674">
        <v>387.150083446</v>
      </c>
      <c r="L87">
        <f t="shared" si="21"/>
        <v>2018</v>
      </c>
      <c r="M87" t="str">
        <f t="shared" si="22"/>
        <v>1</v>
      </c>
      <c r="N87" s="1091">
        <f t="shared" si="23"/>
        <v>4.1019880939561659</v>
      </c>
    </row>
    <row r="88" spans="1:15" x14ac:dyDescent="0.25">
      <c r="A88" s="646">
        <f t="shared" si="20"/>
        <v>20182</v>
      </c>
      <c r="B88" s="1058">
        <v>43252</v>
      </c>
      <c r="C88" s="1082">
        <v>10074876.71525</v>
      </c>
      <c r="D88" s="1082">
        <v>558.48159484606481</v>
      </c>
      <c r="E88" s="1076">
        <v>5463.5292588997572</v>
      </c>
      <c r="F88" s="1077">
        <v>108290</v>
      </c>
      <c r="G88" s="1082">
        <v>5.3410728825999998</v>
      </c>
      <c r="H88" s="1082">
        <v>81.042960637905693</v>
      </c>
      <c r="I88" s="1082">
        <v>2552825.3883099998</v>
      </c>
      <c r="J88" s="1082">
        <v>97.065604118251002</v>
      </c>
      <c r="K88" s="1083">
        <v>399.03999868699998</v>
      </c>
      <c r="L88">
        <f t="shared" si="21"/>
        <v>2018</v>
      </c>
      <c r="M88" t="str">
        <f t="shared" si="22"/>
        <v>2</v>
      </c>
      <c r="N88" s="1091">
        <f t="shared" si="23"/>
        <v>4.1110339992410294</v>
      </c>
    </row>
    <row r="89" spans="1:15" x14ac:dyDescent="0.25">
      <c r="A89" s="646">
        <f t="shared" si="20"/>
        <v>20183</v>
      </c>
      <c r="B89" s="1058">
        <v>43344</v>
      </c>
      <c r="C89" s="569">
        <v>12027865.142000001</v>
      </c>
      <c r="D89" s="569">
        <v>666.74178721509691</v>
      </c>
      <c r="E89" s="573">
        <v>7938.5600138310774</v>
      </c>
      <c r="F89" s="433">
        <v>128248</v>
      </c>
      <c r="G89" s="569">
        <v>6.3254401611199995</v>
      </c>
      <c r="H89" s="569">
        <v>98.743038662887543</v>
      </c>
      <c r="I89" s="569">
        <v>2545829.3741199998</v>
      </c>
      <c r="J89" s="569">
        <v>96.799595974145006</v>
      </c>
      <c r="K89" s="674">
        <v>406.83719191099999</v>
      </c>
      <c r="L89">
        <f t="shared" si="21"/>
        <v>2018</v>
      </c>
      <c r="M89" t="str">
        <f t="shared" si="22"/>
        <v>3</v>
      </c>
      <c r="N89" s="1091">
        <f t="shared" si="23"/>
        <v>4.202881094872188</v>
      </c>
    </row>
    <row r="90" spans="1:15" x14ac:dyDescent="0.25">
      <c r="A90" s="646">
        <f t="shared" si="20"/>
        <v>20184</v>
      </c>
      <c r="B90" s="1058">
        <v>43435</v>
      </c>
      <c r="C90" s="1082">
        <v>12377560.186131621</v>
      </c>
      <c r="D90" s="1082">
        <v>686.12646570558161</v>
      </c>
      <c r="E90" s="1076">
        <v>8840.0612899982916</v>
      </c>
      <c r="F90" s="1077">
        <v>113712</v>
      </c>
      <c r="G90" s="1082">
        <v>5.6084964412799998</v>
      </c>
      <c r="H90" s="1082">
        <v>83.237183999999999</v>
      </c>
      <c r="I90" s="1082">
        <v>2642007.5800930001</v>
      </c>
      <c r="J90" s="1082">
        <v>100.456561980722</v>
      </c>
      <c r="K90" s="1083">
        <v>350.08489304890003</v>
      </c>
      <c r="L90">
        <f t="shared" si="21"/>
        <v>2018</v>
      </c>
      <c r="M90" t="str">
        <f t="shared" si="22"/>
        <v>4</v>
      </c>
      <c r="N90" s="1091">
        <f t="shared" si="23"/>
        <v>3.484938028399605</v>
      </c>
    </row>
    <row r="91" spans="1:15" x14ac:dyDescent="0.25">
      <c r="A91" s="646">
        <f t="shared" si="20"/>
        <v>20191</v>
      </c>
      <c r="B91" s="1058">
        <v>43525</v>
      </c>
      <c r="C91" s="569">
        <v>10058680.871588673</v>
      </c>
      <c r="D91" s="569">
        <v>557.58380911096299</v>
      </c>
      <c r="E91" s="573">
        <v>6796.0182610984975</v>
      </c>
      <c r="F91" s="433">
        <v>92520</v>
      </c>
      <c r="G91" s="569">
        <v>4.5512842494634667</v>
      </c>
      <c r="H91" s="569">
        <v>60.963801900807397</v>
      </c>
      <c r="I91" s="569">
        <v>2590616.4144626865</v>
      </c>
      <c r="J91" s="569">
        <v>96.990505970149258</v>
      </c>
      <c r="K91" s="674">
        <v>336.46394013417597</v>
      </c>
      <c r="L91">
        <f t="shared" si="21"/>
        <v>2019</v>
      </c>
      <c r="M91" t="str">
        <f t="shared" si="22"/>
        <v>1</v>
      </c>
      <c r="N91" s="1091">
        <f t="shared" si="23"/>
        <v>3.4690399515776256</v>
      </c>
    </row>
    <row r="92" spans="1:15" x14ac:dyDescent="0.25">
      <c r="A92" s="646">
        <f t="shared" si="20"/>
        <v>20192</v>
      </c>
      <c r="B92" s="1058">
        <v>43617</v>
      </c>
      <c r="C92" s="1082">
        <v>11419491.885983117</v>
      </c>
      <c r="D92" s="1082">
        <v>633.01777491351538</v>
      </c>
      <c r="E92" s="1076">
        <v>6383.7717495342486</v>
      </c>
      <c r="F92" s="1077">
        <v>112749</v>
      </c>
      <c r="G92" s="1082">
        <v>5.5463980527751442</v>
      </c>
      <c r="H92" s="1082">
        <v>74.568558601153214</v>
      </c>
      <c r="I92" s="1082">
        <v>2835100.7963425373</v>
      </c>
      <c r="J92" s="1082">
        <v>106.14379619402985</v>
      </c>
      <c r="K92" s="1083">
        <v>360.63282584700045</v>
      </c>
      <c r="L92">
        <f t="shared" si="21"/>
        <v>2019</v>
      </c>
      <c r="M92" t="str">
        <f t="shared" si="22"/>
        <v>2</v>
      </c>
      <c r="N92" s="1091">
        <f t="shared" si="23"/>
        <v>3.3975874123417169</v>
      </c>
    </row>
    <row r="93" spans="1:15" x14ac:dyDescent="0.25">
      <c r="A93" s="646">
        <f t="shared" si="20"/>
        <v>20193</v>
      </c>
      <c r="B93" s="1058">
        <v>43709</v>
      </c>
      <c r="C93" s="569">
        <v>11823673.859392609</v>
      </c>
      <c r="D93" s="569">
        <v>655.42283251348431</v>
      </c>
      <c r="E93" s="573">
        <v>7030.1782227800086</v>
      </c>
      <c r="F93" s="433">
        <v>154470.40963855421</v>
      </c>
      <c r="G93" s="569">
        <v>7.5987758581509013</v>
      </c>
      <c r="H93" s="569">
        <v>141.77141170612589</v>
      </c>
      <c r="I93" s="569">
        <v>2898825.7754626865</v>
      </c>
      <c r="J93" s="569">
        <v>108.52960597014925</v>
      </c>
      <c r="K93" s="674">
        <v>394.59806995567516</v>
      </c>
      <c r="L93">
        <f t="shared" si="21"/>
        <v>2019</v>
      </c>
      <c r="M93" t="str">
        <f t="shared" si="22"/>
        <v>3</v>
      </c>
      <c r="N93" s="1091">
        <f t="shared" si="23"/>
        <v>3.6358564691021562</v>
      </c>
    </row>
    <row r="94" spans="1:15" x14ac:dyDescent="0.25">
      <c r="A94" s="646">
        <f t="shared" si="20"/>
        <v>20194</v>
      </c>
      <c r="B94" s="1058">
        <v>43800</v>
      </c>
      <c r="C94" s="1059">
        <v>11282838.782867443</v>
      </c>
      <c r="D94" s="1059">
        <v>625.44267051018448</v>
      </c>
      <c r="E94" s="1060">
        <v>6536.3405697309881</v>
      </c>
      <c r="F94" s="1061">
        <v>159714.40963855421</v>
      </c>
      <c r="G94" s="1059">
        <v>7.8567409965446151</v>
      </c>
      <c r="H94" s="1059">
        <v>101.42801115830905</v>
      </c>
      <c r="I94" s="1059">
        <v>2800529.7966086953</v>
      </c>
      <c r="J94" s="1059">
        <v>104.84948695652173</v>
      </c>
      <c r="K94" s="1062">
        <v>369.61972817499736</v>
      </c>
      <c r="L94">
        <f t="shared" si="21"/>
        <v>2019</v>
      </c>
      <c r="M94" t="str">
        <f t="shared" si="22"/>
        <v>4</v>
      </c>
      <c r="N94" s="1091">
        <f t="shared" si="23"/>
        <v>3.5252411709774867</v>
      </c>
    </row>
    <row r="95" spans="1:15" x14ac:dyDescent="0.25">
      <c r="A95" s="646">
        <f t="shared" si="20"/>
        <v>20201</v>
      </c>
      <c r="B95" s="1058">
        <v>43891</v>
      </c>
      <c r="C95" s="462">
        <v>11482175.682438305</v>
      </c>
      <c r="D95" s="462">
        <v>636.49253173731938</v>
      </c>
      <c r="E95" s="626">
        <v>7054.5485451575869</v>
      </c>
      <c r="F95" s="455">
        <v>154888.40963855421</v>
      </c>
      <c r="G95" s="462">
        <v>7.6193382967185155</v>
      </c>
      <c r="H95" s="462">
        <v>101.97154586016161</v>
      </c>
      <c r="I95" s="462">
        <v>2680214.9500000002</v>
      </c>
      <c r="J95" s="462">
        <v>100.34500000000001</v>
      </c>
      <c r="K95" s="463">
        <v>405.88629187732482</v>
      </c>
      <c r="L95">
        <f t="shared" si="21"/>
        <v>2020</v>
      </c>
      <c r="M95" t="str">
        <f t="shared" si="22"/>
        <v>1</v>
      </c>
      <c r="N95" s="1091">
        <f t="shared" si="23"/>
        <v>4.0449079862207862</v>
      </c>
    </row>
    <row r="96" spans="1:15" x14ac:dyDescent="0.25">
      <c r="A96" s="646">
        <f t="shared" si="20"/>
        <v>20202</v>
      </c>
      <c r="B96" s="1058">
        <v>43983</v>
      </c>
      <c r="C96" s="1059">
        <v>11365255.640666666</v>
      </c>
      <c r="D96" s="1059">
        <v>630.01129199179923</v>
      </c>
      <c r="E96" s="1060">
        <v>5225.4327899926238</v>
      </c>
      <c r="F96" s="1061">
        <v>114296</v>
      </c>
      <c r="G96" s="1059">
        <v>5.6224987524500252</v>
      </c>
      <c r="H96" s="1059">
        <v>46.225546568800098</v>
      </c>
      <c r="I96" s="1059">
        <v>2959099.4019999998</v>
      </c>
      <c r="J96" s="1059">
        <v>110.78619999999999</v>
      </c>
      <c r="K96" s="1062">
        <v>470.44905137961825</v>
      </c>
      <c r="L96">
        <f t="shared" si="21"/>
        <v>2020</v>
      </c>
      <c r="M96" t="str">
        <f t="shared" si="22"/>
        <v>2</v>
      </c>
      <c r="N96" s="1091">
        <f t="shared" si="23"/>
        <v>4.2464589577006731</v>
      </c>
    </row>
    <row r="97" spans="1:14" x14ac:dyDescent="0.25">
      <c r="A97" s="646">
        <f t="shared" si="20"/>
        <v>20203</v>
      </c>
      <c r="B97" s="1058">
        <v>44075</v>
      </c>
      <c r="C97" s="462">
        <v>10462242.36475</v>
      </c>
      <c r="D97" s="462">
        <v>579.95447157058834</v>
      </c>
      <c r="E97" s="626">
        <v>3159.4894348806442</v>
      </c>
      <c r="F97" s="455">
        <v>87859.999999999985</v>
      </c>
      <c r="G97" s="462">
        <v>4.3220474941402953</v>
      </c>
      <c r="H97" s="462">
        <v>45.3028035754661</v>
      </c>
      <c r="I97" s="462">
        <v>2720902.2930000005</v>
      </c>
      <c r="J97" s="462">
        <v>101.86830000000002</v>
      </c>
      <c r="K97" s="463">
        <v>442.349273413893</v>
      </c>
      <c r="L97">
        <f t="shared" si="21"/>
        <v>2020</v>
      </c>
      <c r="M97" t="str">
        <f t="shared" si="22"/>
        <v>3</v>
      </c>
      <c r="N97" s="1091">
        <f t="shared" si="23"/>
        <v>4.3423643411531643</v>
      </c>
    </row>
    <row r="98" spans="1:14" x14ac:dyDescent="0.25">
      <c r="A98" s="646">
        <f t="shared" si="20"/>
        <v>20204</v>
      </c>
      <c r="B98" s="1058">
        <v>44166</v>
      </c>
      <c r="C98" s="1059">
        <v>10754683.637916664</v>
      </c>
      <c r="D98" s="1059">
        <v>596.16539635438403</v>
      </c>
      <c r="E98" s="1060">
        <v>3775.8223995771332</v>
      </c>
      <c r="F98" s="1061">
        <v>96140</v>
      </c>
      <c r="G98" s="1059">
        <v>4.7293608705514227</v>
      </c>
      <c r="H98" s="1059">
        <v>53.731338201814765</v>
      </c>
      <c r="I98" s="1059">
        <v>2632639.0979999998</v>
      </c>
      <c r="J98" s="1059">
        <v>98.563799999999986</v>
      </c>
      <c r="K98" s="1062">
        <v>438.23973992467069</v>
      </c>
      <c r="L98">
        <f t="shared" si="21"/>
        <v>2020</v>
      </c>
      <c r="M98" t="str">
        <f t="shared" si="22"/>
        <v>4</v>
      </c>
      <c r="N98" s="1091">
        <f t="shared" si="23"/>
        <v>4.4462545064686099</v>
      </c>
    </row>
    <row r="99" spans="1:14" x14ac:dyDescent="0.25">
      <c r="A99" s="646">
        <f t="shared" si="20"/>
        <v>20211</v>
      </c>
      <c r="B99" s="1058">
        <v>44256</v>
      </c>
      <c r="C99" s="462">
        <v>11214787.966248056</v>
      </c>
      <c r="D99" s="462">
        <v>621.67040314946894</v>
      </c>
      <c r="E99" s="626">
        <v>4610.6000864898633</v>
      </c>
      <c r="F99" s="455">
        <v>148792.40963855421</v>
      </c>
      <c r="G99" s="462">
        <v>7.3194612022013388</v>
      </c>
      <c r="H99" s="462">
        <v>102.0916128231448</v>
      </c>
      <c r="I99" s="462">
        <v>2459090.8730000006</v>
      </c>
      <c r="J99" s="462">
        <v>92.066300000000027</v>
      </c>
      <c r="K99" s="463">
        <v>438.80029091592826</v>
      </c>
      <c r="L99">
        <f t="shared" si="21"/>
        <v>2021</v>
      </c>
      <c r="M99" t="str">
        <f t="shared" si="22"/>
        <v>1</v>
      </c>
      <c r="N99" s="1091">
        <f t="shared" si="23"/>
        <v>4.7661336549413642</v>
      </c>
    </row>
    <row r="100" spans="1:14" x14ac:dyDescent="0.25">
      <c r="A100" s="646">
        <f t="shared" si="20"/>
        <v>20212</v>
      </c>
      <c r="B100" s="1058">
        <v>44348</v>
      </c>
      <c r="C100" s="1059">
        <v>10815705.780224221</v>
      </c>
      <c r="D100" s="1059">
        <v>599.54804254649707</v>
      </c>
      <c r="E100" s="1060">
        <v>4908.8317822207719</v>
      </c>
      <c r="F100" s="1061">
        <v>148063.40963855421</v>
      </c>
      <c r="G100" s="1059">
        <v>7.2835999157999245</v>
      </c>
      <c r="H100" s="1059">
        <v>100.62583096773423</v>
      </c>
      <c r="I100" s="1059">
        <v>2543585.287</v>
      </c>
      <c r="J100" s="1059">
        <v>95.229699999999994</v>
      </c>
      <c r="K100" s="1062">
        <v>478.29779089324762</v>
      </c>
      <c r="L100">
        <f t="shared" si="21"/>
        <v>2021</v>
      </c>
      <c r="M100" t="str">
        <f t="shared" si="22"/>
        <v>2</v>
      </c>
      <c r="N100" s="1091">
        <f t="shared" si="23"/>
        <v>5.0225695438843934</v>
      </c>
    </row>
    <row r="101" spans="1:14" x14ac:dyDescent="0.25">
      <c r="A101" s="646">
        <f t="shared" si="20"/>
        <v>20213</v>
      </c>
      <c r="B101" s="1058">
        <v>44440</v>
      </c>
      <c r="C101" s="455">
        <v>12008132.52057986</v>
      </c>
      <c r="D101" s="462">
        <v>665.64794694362854</v>
      </c>
      <c r="E101" s="626">
        <v>7701.5389788902739</v>
      </c>
      <c r="F101" s="455">
        <v>195504.81927710841</v>
      </c>
      <c r="G101" s="462">
        <v>9.617358459469358</v>
      </c>
      <c r="H101" s="462">
        <v>170.04594138337367</v>
      </c>
      <c r="I101" s="462">
        <v>2619364.2280000001</v>
      </c>
      <c r="J101" s="462">
        <v>98.066800000000001</v>
      </c>
      <c r="K101" s="463">
        <v>535.34544000735616</v>
      </c>
      <c r="L101">
        <f t="shared" si="21"/>
        <v>2021</v>
      </c>
      <c r="M101" t="str">
        <f t="shared" si="22"/>
        <v>3</v>
      </c>
      <c r="N101" s="1091">
        <f t="shared" si="23"/>
        <v>5.4589875473387135</v>
      </c>
    </row>
    <row r="102" spans="1:14" x14ac:dyDescent="0.25">
      <c r="A102" s="646">
        <f t="shared" si="20"/>
        <v>20214</v>
      </c>
      <c r="B102" s="1058">
        <v>44531</v>
      </c>
      <c r="C102" s="1059">
        <v>11598459.457380913</v>
      </c>
      <c r="D102" s="1059">
        <v>642.93850124346409</v>
      </c>
      <c r="E102" s="1060">
        <v>9851.6433931576685</v>
      </c>
      <c r="F102" s="1061">
        <v>153458.40963855421</v>
      </c>
      <c r="G102" s="1059">
        <v>7.5489931121450971</v>
      </c>
      <c r="H102" s="1059">
        <v>163.95221711451813</v>
      </c>
      <c r="I102" s="1059">
        <v>2546774.4610000006</v>
      </c>
      <c r="J102" s="1059">
        <v>95.349100000000021</v>
      </c>
      <c r="K102" s="1062">
        <v>513.46737613943321</v>
      </c>
      <c r="L102">
        <f t="shared" si="21"/>
        <v>2021</v>
      </c>
      <c r="M102" t="str">
        <f t="shared" si="22"/>
        <v>4</v>
      </c>
      <c r="N102" s="1091">
        <f t="shared" si="23"/>
        <v>5.385130810248163</v>
      </c>
    </row>
    <row r="103" spans="1:14" x14ac:dyDescent="0.25">
      <c r="A103" s="646">
        <f t="shared" si="20"/>
        <v>20221</v>
      </c>
      <c r="B103" s="1058">
        <v>44621</v>
      </c>
      <c r="C103" s="455">
        <v>10878213.079374997</v>
      </c>
      <c r="D103" s="462">
        <v>603.0130155785148</v>
      </c>
      <c r="E103" s="626">
        <v>9037.371109615844</v>
      </c>
      <c r="F103" s="455">
        <v>98880</v>
      </c>
      <c r="G103" s="462">
        <v>4.8641481472865067</v>
      </c>
      <c r="H103" s="462">
        <v>113.1349998826515</v>
      </c>
      <c r="I103" s="462">
        <v>2466449.4779999997</v>
      </c>
      <c r="J103" s="462">
        <v>92.341799999999992</v>
      </c>
      <c r="K103" s="463">
        <v>480.34378127667111</v>
      </c>
      <c r="L103">
        <f t="shared" si="21"/>
        <v>2022</v>
      </c>
      <c r="M103" t="str">
        <f t="shared" si="22"/>
        <v>1</v>
      </c>
      <c r="N103" s="1091">
        <f t="shared" si="23"/>
        <v>5.201802231239494</v>
      </c>
    </row>
    <row r="104" spans="1:14" x14ac:dyDescent="0.25">
      <c r="A104" s="646">
        <f t="shared" si="20"/>
        <v>20222</v>
      </c>
      <c r="B104" s="1058">
        <v>44713</v>
      </c>
      <c r="C104" s="1059">
        <v>12119728.164180033</v>
      </c>
      <c r="D104" s="1059">
        <v>671.83403882119546</v>
      </c>
      <c r="E104" s="1060">
        <v>11807.643794815463</v>
      </c>
      <c r="F104" s="1061">
        <v>239649.94492906515</v>
      </c>
      <c r="G104" s="1059">
        <v>11.788964761569838</v>
      </c>
      <c r="H104" s="1059">
        <v>265.53969430399297</v>
      </c>
      <c r="I104" s="1059">
        <v>2522240.5113450005</v>
      </c>
      <c r="J104" s="1059">
        <v>94.430569500000018</v>
      </c>
      <c r="K104" s="1062">
        <v>498.23820837824718</v>
      </c>
      <c r="L104">
        <f t="shared" si="21"/>
        <v>2022</v>
      </c>
      <c r="M104" t="str">
        <f t="shared" si="22"/>
        <v>2</v>
      </c>
      <c r="N104" s="1091">
        <f t="shared" si="23"/>
        <v>5.2762385212369924</v>
      </c>
    </row>
    <row r="105" spans="1:14" x14ac:dyDescent="0.25">
      <c r="A105" s="646">
        <f t="shared" si="20"/>
        <v>20223</v>
      </c>
      <c r="B105" s="1058">
        <v>44805</v>
      </c>
      <c r="C105" s="455">
        <v>12954593.198018208</v>
      </c>
      <c r="D105" s="462">
        <v>718.11319128699199</v>
      </c>
      <c r="E105" s="626">
        <v>17041.314085829301</v>
      </c>
      <c r="F105" s="455">
        <v>189836.80506776823</v>
      </c>
      <c r="G105" s="462">
        <v>9.3385350288953735</v>
      </c>
      <c r="H105" s="462">
        <v>202.40303504029367</v>
      </c>
      <c r="I105" s="462">
        <v>2877482.1624900005</v>
      </c>
      <c r="J105" s="462">
        <v>107.73051900000002</v>
      </c>
      <c r="K105" s="463">
        <v>555.35694356185184</v>
      </c>
      <c r="L105">
        <f t="shared" si="21"/>
        <v>2022</v>
      </c>
      <c r="M105" t="str">
        <f t="shared" si="22"/>
        <v>3</v>
      </c>
      <c r="N105" s="1091">
        <f t="shared" si="23"/>
        <v>5.1550567909345331</v>
      </c>
    </row>
    <row r="106" spans="1:14" x14ac:dyDescent="0.25">
      <c r="A106" s="646">
        <f t="shared" si="20"/>
        <v>20224</v>
      </c>
      <c r="B106" s="1058">
        <v>44896</v>
      </c>
      <c r="C106" s="1059">
        <v>12655932.573030896</v>
      </c>
      <c r="D106" s="1059">
        <v>701.55750858487397</v>
      </c>
      <c r="E106" s="1060">
        <v>16591.617837261761</v>
      </c>
      <c r="F106" s="1061">
        <v>178479.40356300471</v>
      </c>
      <c r="G106" s="1059">
        <v>8.7798367735617919</v>
      </c>
      <c r="H106" s="1059">
        <v>180.35689982936501</v>
      </c>
      <c r="I106" s="1059">
        <v>2772884.0529849995</v>
      </c>
      <c r="J106" s="1059">
        <v>103.81445349999998</v>
      </c>
      <c r="K106" s="1062">
        <v>618.79119210843908</v>
      </c>
      <c r="L106">
        <f t="shared" si="21"/>
        <v>2022</v>
      </c>
      <c r="M106" t="str">
        <f t="shared" si="22"/>
        <v>4</v>
      </c>
      <c r="N106" s="1091">
        <f t="shared" si="23"/>
        <v>5.9605495308843404</v>
      </c>
    </row>
    <row r="107" spans="1:14" x14ac:dyDescent="0.25">
      <c r="A107" s="646">
        <f t="shared" si="20"/>
        <v>20231</v>
      </c>
      <c r="B107" s="1058">
        <v>44986</v>
      </c>
      <c r="C107" s="455">
        <v>12646608.2452485</v>
      </c>
      <c r="D107" s="462">
        <v>701.04063224008473</v>
      </c>
      <c r="E107" s="626">
        <v>13646.386290829836</v>
      </c>
      <c r="F107" s="455">
        <v>164838.73554136517</v>
      </c>
      <c r="G107" s="462">
        <v>8.1088190744799942</v>
      </c>
      <c r="H107" s="462">
        <v>162.37889530927603</v>
      </c>
      <c r="I107" s="462">
        <v>2376063.7995600002</v>
      </c>
      <c r="J107" s="462">
        <v>88.957836</v>
      </c>
      <c r="K107" s="463">
        <v>625.24792960113075</v>
      </c>
      <c r="L107">
        <f t="shared" si="21"/>
        <v>2023</v>
      </c>
      <c r="M107" t="str">
        <f t="shared" si="22"/>
        <v>1</v>
      </c>
      <c r="N107" s="1091">
        <f t="shared" si="23"/>
        <v>7.0285874490149549</v>
      </c>
    </row>
    <row r="108" spans="1:14" x14ac:dyDescent="0.25">
      <c r="A108" s="646">
        <f t="shared" si="20"/>
        <v>20232</v>
      </c>
      <c r="B108" s="1058">
        <v>45078</v>
      </c>
      <c r="C108" s="1059">
        <v>12084039.884629669</v>
      </c>
      <c r="D108" s="1059">
        <v>669.85572704191281</v>
      </c>
      <c r="E108" s="1060">
        <v>9785.2191144640965</v>
      </c>
      <c r="F108" s="1061">
        <v>227363.78519581852</v>
      </c>
      <c r="G108" s="1059">
        <v>11.184578625811973</v>
      </c>
      <c r="H108" s="1059">
        <v>205.93797500519383</v>
      </c>
      <c r="I108" s="1059">
        <v>2662846.8125649998</v>
      </c>
      <c r="J108" s="1059">
        <v>99.694751499999995</v>
      </c>
      <c r="K108" s="1062">
        <v>660.26141702521659</v>
      </c>
      <c r="L108">
        <f t="shared" si="21"/>
        <v>2023</v>
      </c>
      <c r="M108" t="str">
        <f t="shared" si="22"/>
        <v>2</v>
      </c>
      <c r="N108" s="1091">
        <f t="shared" si="23"/>
        <v>6.6228302602792146</v>
      </c>
    </row>
    <row r="109" spans="1:14" x14ac:dyDescent="0.25">
      <c r="A109" s="646">
        <f t="shared" si="20"/>
        <v>20233</v>
      </c>
      <c r="B109" s="1058">
        <v>45170</v>
      </c>
      <c r="C109" s="455">
        <v>11534540.162212498</v>
      </c>
      <c r="D109" s="462">
        <v>639.39525690251264</v>
      </c>
      <c r="E109" s="626">
        <v>9163.2796190988411</v>
      </c>
      <c r="F109" s="455">
        <v>167496.53502269959</v>
      </c>
      <c r="G109" s="462">
        <v>8.2395627073986013</v>
      </c>
      <c r="H109" s="462">
        <v>131.86082791832922</v>
      </c>
      <c r="I109" s="462">
        <v>2678426.0076850001</v>
      </c>
      <c r="J109" s="462">
        <v>100.2780235</v>
      </c>
      <c r="K109" s="463">
        <v>669.18166621686885</v>
      </c>
      <c r="L109">
        <f t="shared" si="21"/>
        <v>2023</v>
      </c>
      <c r="M109" t="str">
        <f t="shared" si="22"/>
        <v>3</v>
      </c>
      <c r="N109" s="1091">
        <f t="shared" si="23"/>
        <v>6.6732634216396258</v>
      </c>
    </row>
    <row r="110" spans="1:14" x14ac:dyDescent="0.25">
      <c r="A110" s="646">
        <f t="shared" si="20"/>
        <v>20234</v>
      </c>
      <c r="B110" s="1058">
        <v>45261</v>
      </c>
      <c r="C110" s="1059">
        <v>11763031.099801024</v>
      </c>
      <c r="D110" s="1059">
        <v>652.06121667938589</v>
      </c>
      <c r="E110" s="1060">
        <v>9759.7429481689906</v>
      </c>
      <c r="F110" s="1061">
        <v>117268.65834860383</v>
      </c>
      <c r="G110" s="1059">
        <v>5.7687310602865658</v>
      </c>
      <c r="H110" s="1059">
        <v>94.878573084950787</v>
      </c>
      <c r="I110" s="1059">
        <v>2820180.6252250001</v>
      </c>
      <c r="J110" s="1059">
        <v>105.58519750000001</v>
      </c>
      <c r="K110" s="1062">
        <v>764.26163214900214</v>
      </c>
      <c r="L110">
        <f t="shared" si="21"/>
        <v>2023</v>
      </c>
      <c r="M110" t="str">
        <f t="shared" si="22"/>
        <v>4</v>
      </c>
      <c r="N110" s="1091">
        <f t="shared" si="23"/>
        <v>7.2383406977952767</v>
      </c>
    </row>
    <row r="111" spans="1:14" x14ac:dyDescent="0.25">
      <c r="A111" s="646">
        <f t="shared" si="20"/>
        <v>20241</v>
      </c>
      <c r="B111" s="1058">
        <v>45352</v>
      </c>
      <c r="C111" s="455">
        <v>12514813.679246552</v>
      </c>
      <c r="D111" s="462">
        <v>693.73485158458561</v>
      </c>
      <c r="E111" s="626">
        <v>9613.6318564179201</v>
      </c>
      <c r="F111" s="455">
        <v>166359.72104137004</v>
      </c>
      <c r="G111" s="462">
        <v>8.1836400575088994</v>
      </c>
      <c r="H111" s="462">
        <v>142.28655369599912</v>
      </c>
      <c r="I111" s="462">
        <v>2681709.6549549997</v>
      </c>
      <c r="J111" s="462">
        <v>100.40096049999998</v>
      </c>
      <c r="K111" s="463">
        <v>721.26678504470715</v>
      </c>
      <c r="L111">
        <f t="shared" si="21"/>
        <v>2024</v>
      </c>
      <c r="M111" t="str">
        <f t="shared" si="22"/>
        <v>1</v>
      </c>
      <c r="N111" s="1091">
        <f t="shared" si="23"/>
        <v>7.1838633958557327</v>
      </c>
    </row>
    <row r="112" spans="1:14" ht="15.75" thickBot="1" x14ac:dyDescent="0.3">
      <c r="A112" s="646">
        <f t="shared" si="20"/>
        <v>20242</v>
      </c>
      <c r="B112" s="1058">
        <v>45444</v>
      </c>
      <c r="C112" s="1059">
        <v>11468922.402049195</v>
      </c>
      <c r="D112" s="1059">
        <v>635.75786139068884</v>
      </c>
      <c r="E112" s="1060">
        <v>7898.8149657259219</v>
      </c>
      <c r="F112" s="1061">
        <v>213257.10238466944</v>
      </c>
      <c r="G112" s="1059">
        <v>10.490636523665843</v>
      </c>
      <c r="H112" s="1059">
        <v>182.61724802081574</v>
      </c>
      <c r="I112" s="1059">
        <v>3007627.3853699993</v>
      </c>
      <c r="J112" s="1059">
        <v>112.60304699999998</v>
      </c>
      <c r="K112" s="1062">
        <v>814.55086151165563</v>
      </c>
      <c r="L112" s="1164">
        <f t="shared" si="21"/>
        <v>2024</v>
      </c>
      <c r="M112" s="1164" t="str">
        <f t="shared" si="22"/>
        <v>2</v>
      </c>
      <c r="N112" s="1101">
        <f t="shared" si="23"/>
        <v>7.2338261105106314</v>
      </c>
    </row>
    <row r="113" spans="1:14" x14ac:dyDescent="0.25">
      <c r="A113" s="646">
        <f t="shared" si="20"/>
        <v>20243</v>
      </c>
      <c r="B113" s="1058">
        <v>45536</v>
      </c>
      <c r="C113" s="455">
        <v>12102881.709110316</v>
      </c>
      <c r="D113" s="462">
        <v>670.90018768229311</v>
      </c>
      <c r="E113" s="626">
        <v>8930.3718609523967</v>
      </c>
      <c r="F113" s="455">
        <v>217334.2820420716</v>
      </c>
      <c r="G113" s="462">
        <v>10.691202926140631</v>
      </c>
      <c r="H113" s="462">
        <v>177.5999204019262</v>
      </c>
      <c r="I113" s="462">
        <v>3020128.3598300004</v>
      </c>
      <c r="J113" s="462">
        <v>113.07107300000001</v>
      </c>
      <c r="K113" s="463">
        <v>811.17306860135579</v>
      </c>
      <c r="L113">
        <f t="shared" si="21"/>
        <v>2024</v>
      </c>
      <c r="M113" t="str">
        <f t="shared" si="22"/>
        <v>3</v>
      </c>
      <c r="N113" s="193">
        <f t="shared" si="23"/>
        <v>7.1740105323079026</v>
      </c>
    </row>
    <row r="114" spans="1:14" x14ac:dyDescent="0.25">
      <c r="A114" s="646">
        <f t="shared" si="20"/>
        <v>20244</v>
      </c>
      <c r="B114" s="1058">
        <v>45627</v>
      </c>
      <c r="C114" s="1059">
        <v>11984074.443569288</v>
      </c>
      <c r="D114" s="1059">
        <v>664.31433328288199</v>
      </c>
      <c r="E114" s="1060">
        <v>9242.737156355739</v>
      </c>
      <c r="F114" s="1061">
        <v>208978.34773016852</v>
      </c>
      <c r="G114" s="1059">
        <v>10.280154155892946</v>
      </c>
      <c r="H114" s="1059">
        <v>194.3851587531166</v>
      </c>
      <c r="I114" s="1059">
        <v>3015494.5621249997</v>
      </c>
      <c r="J114" s="1059">
        <v>112.89758749999999</v>
      </c>
      <c r="K114" s="1062">
        <v>824.36727941979416</v>
      </c>
      <c r="L114">
        <f t="shared" si="21"/>
        <v>2024</v>
      </c>
      <c r="M114" t="str">
        <f t="shared" si="22"/>
        <v>4</v>
      </c>
      <c r="N114" s="193">
        <f t="shared" si="23"/>
        <v>7.3019034124160918</v>
      </c>
    </row>
    <row r="115" spans="1:14" x14ac:dyDescent="0.25">
      <c r="A115" s="646">
        <f t="shared" si="20"/>
        <v>20251</v>
      </c>
      <c r="B115" s="1058">
        <v>45717</v>
      </c>
      <c r="C115" s="455">
        <v>11032082.914300151</v>
      </c>
      <c r="D115" s="462">
        <v>611.54249670632112</v>
      </c>
      <c r="E115" s="626">
        <v>9257.5203291933449</v>
      </c>
      <c r="F115" s="455">
        <v>142984.80730682853</v>
      </c>
      <c r="G115" s="462">
        <v>7.0337710917438114</v>
      </c>
      <c r="H115" s="462">
        <v>59.635327133643045</v>
      </c>
      <c r="I115" s="462">
        <v>2707730.7639899999</v>
      </c>
      <c r="J115" s="462">
        <v>101.375169</v>
      </c>
      <c r="K115" s="463">
        <v>783.42163817933692</v>
      </c>
      <c r="L115">
        <f t="shared" si="21"/>
        <v>2025</v>
      </c>
      <c r="M115" t="str">
        <f t="shared" si="22"/>
        <v>1</v>
      </c>
      <c r="N115" s="193">
        <f t="shared" si="23"/>
        <v>7.7279440903258756</v>
      </c>
    </row>
    <row r="116" spans="1:14" x14ac:dyDescent="0.25">
      <c r="A116" s="646">
        <f t="shared" si="20"/>
        <v>20252</v>
      </c>
      <c r="B116" s="1058">
        <v>45809</v>
      </c>
      <c r="C116" s="1059">
        <v>10822500.328575438</v>
      </c>
      <c r="D116" s="1059">
        <v>599.92468538855803</v>
      </c>
      <c r="E116" s="1060">
        <v>7274.1235993603786</v>
      </c>
      <c r="F116" s="1061">
        <v>224004.93929995998</v>
      </c>
      <c r="G116" s="1059">
        <v>11.019348811477817</v>
      </c>
      <c r="H116" s="1059">
        <v>186.68275218032045</v>
      </c>
      <c r="I116" s="1059">
        <v>3050034.2914599995</v>
      </c>
      <c r="J116" s="1059">
        <v>114.19072599999998</v>
      </c>
      <c r="K116" s="1062">
        <v>849.71368013731467</v>
      </c>
      <c r="L116">
        <f t="shared" si="21"/>
        <v>2025</v>
      </c>
      <c r="M116" t="str">
        <f t="shared" si="22"/>
        <v>2</v>
      </c>
      <c r="N116" s="193">
        <f t="shared" si="23"/>
        <v>7.4411794188725517</v>
      </c>
    </row>
    <row r="117" spans="1:14" x14ac:dyDescent="0.25">
      <c r="A117" s="646">
        <f t="shared" si="20"/>
        <v>20253</v>
      </c>
      <c r="B117" s="1058">
        <v>45901</v>
      </c>
      <c r="C117" s="455">
        <v>11226308.019656746</v>
      </c>
      <c r="D117" s="462">
        <v>622.30899536079176</v>
      </c>
      <c r="E117" s="626">
        <v>7758.3336979305168</v>
      </c>
      <c r="F117" s="455">
        <v>155969.89815555001</v>
      </c>
      <c r="G117" s="462">
        <v>7.6725393522025049</v>
      </c>
      <c r="H117" s="462">
        <v>55.016882096986855</v>
      </c>
      <c r="I117" s="462">
        <v>2916296.3064800003</v>
      </c>
      <c r="J117" s="462">
        <v>109.183688</v>
      </c>
      <c r="K117" s="463">
        <v>838.52155741592333</v>
      </c>
      <c r="L117">
        <f t="shared" si="21"/>
        <v>2025</v>
      </c>
      <c r="M117" t="str">
        <f t="shared" si="22"/>
        <v>3</v>
      </c>
      <c r="N117" s="193">
        <f t="shared" si="23"/>
        <v>7.6799160458467322</v>
      </c>
    </row>
    <row r="118" spans="1:14" ht="15.75" thickBot="1" x14ac:dyDescent="0.3">
      <c r="A118" s="646">
        <f t="shared" si="20"/>
        <v>20254</v>
      </c>
      <c r="B118" s="1067">
        <v>45992</v>
      </c>
      <c r="C118" s="1084">
        <v>11234855.556556832</v>
      </c>
      <c r="D118" s="1084">
        <v>622.78281178305531</v>
      </c>
      <c r="E118" s="1085">
        <v>7561.5348336975367</v>
      </c>
      <c r="F118" s="1086">
        <v>150699.30029326121</v>
      </c>
      <c r="G118" s="1084">
        <v>7.4132658001500742</v>
      </c>
      <c r="H118" s="1084">
        <v>80.601005498022815</v>
      </c>
      <c r="I118" s="1084">
        <v>2892945.8101500003</v>
      </c>
      <c r="J118" s="1084">
        <v>108.309465</v>
      </c>
      <c r="K118" s="1087">
        <v>807.392998460184</v>
      </c>
      <c r="L118">
        <f t="shared" si="21"/>
        <v>2025</v>
      </c>
      <c r="M118" t="str">
        <f t="shared" si="22"/>
        <v>4</v>
      </c>
      <c r="N118" s="193">
        <f t="shared" si="23"/>
        <v>7.4545008458880666</v>
      </c>
    </row>
    <row r="119" spans="1:14" x14ac:dyDescent="0.25">
      <c r="A119" s="646">
        <f t="shared" si="20"/>
        <v>19004</v>
      </c>
      <c r="B119" s="469"/>
      <c r="E119" s="403"/>
      <c r="H119" s="193"/>
      <c r="I119" s="193"/>
      <c r="J119" s="193"/>
      <c r="K119" s="193"/>
      <c r="L119">
        <f t="shared" si="21"/>
        <v>1900</v>
      </c>
      <c r="M119" t="str">
        <f t="shared" si="22"/>
        <v>4</v>
      </c>
      <c r="N119" s="193" t="e">
        <f t="shared" si="23"/>
        <v>#DIV/0!</v>
      </c>
    </row>
    <row r="120" spans="1:14" x14ac:dyDescent="0.25">
      <c r="A120" s="646">
        <f t="shared" si="20"/>
        <v>19004</v>
      </c>
      <c r="B120" s="469"/>
      <c r="E120" s="403"/>
      <c r="H120" s="193"/>
      <c r="I120" s="193"/>
      <c r="J120" s="193"/>
      <c r="K120" s="193"/>
      <c r="L120">
        <f t="shared" si="21"/>
        <v>1900</v>
      </c>
      <c r="M120" t="str">
        <f t="shared" si="22"/>
        <v>4</v>
      </c>
      <c r="N120" s="193" t="e">
        <f t="shared" si="23"/>
        <v>#DIV/0!</v>
      </c>
    </row>
    <row r="121" spans="1:14" x14ac:dyDescent="0.25">
      <c r="A121" s="646">
        <f t="shared" si="20"/>
        <v>19004</v>
      </c>
      <c r="B121" s="469"/>
      <c r="E121" s="403"/>
      <c r="H121" s="193"/>
      <c r="I121" s="193"/>
      <c r="J121" s="193"/>
      <c r="K121" s="193"/>
      <c r="L121">
        <f t="shared" si="21"/>
        <v>1900</v>
      </c>
      <c r="M121" t="str">
        <f t="shared" si="22"/>
        <v>4</v>
      </c>
      <c r="N121" s="193" t="e">
        <f t="shared" si="23"/>
        <v>#DIV/0!</v>
      </c>
    </row>
    <row r="122" spans="1:14" x14ac:dyDescent="0.25">
      <c r="A122" s="646">
        <f t="shared" si="20"/>
        <v>19004</v>
      </c>
      <c r="B122" s="469"/>
      <c r="E122" s="403"/>
      <c r="H122" s="193"/>
      <c r="I122" s="193"/>
      <c r="J122" s="193"/>
      <c r="K122" s="193"/>
      <c r="L122">
        <f t="shared" si="21"/>
        <v>1900</v>
      </c>
      <c r="M122" t="str">
        <f t="shared" si="22"/>
        <v>4</v>
      </c>
      <c r="N122" s="193" t="e">
        <f t="shared" si="23"/>
        <v>#DIV/0!</v>
      </c>
    </row>
    <row r="123" spans="1:14" x14ac:dyDescent="0.25">
      <c r="A123" s="646">
        <f t="shared" si="20"/>
        <v>19004</v>
      </c>
      <c r="B123" s="469"/>
      <c r="E123" s="403"/>
      <c r="H123" s="193"/>
      <c r="I123" s="193"/>
      <c r="J123" s="193"/>
      <c r="K123" s="193"/>
      <c r="L123">
        <f t="shared" si="21"/>
        <v>1900</v>
      </c>
      <c r="M123" t="str">
        <f t="shared" si="22"/>
        <v>4</v>
      </c>
      <c r="N123" s="193" t="e">
        <f t="shared" si="23"/>
        <v>#DIV/0!</v>
      </c>
    </row>
    <row r="124" spans="1:14" x14ac:dyDescent="0.25">
      <c r="A124" s="646">
        <f t="shared" si="20"/>
        <v>19004</v>
      </c>
      <c r="B124" s="469"/>
      <c r="E124" s="403"/>
      <c r="H124" s="193"/>
      <c r="I124" s="193"/>
      <c r="J124" s="193"/>
      <c r="K124" s="193"/>
      <c r="L124">
        <f t="shared" si="21"/>
        <v>1900</v>
      </c>
      <c r="M124" t="str">
        <f t="shared" si="22"/>
        <v>4</v>
      </c>
      <c r="N124" s="193" t="e">
        <f t="shared" si="23"/>
        <v>#DIV/0!</v>
      </c>
    </row>
    <row r="125" spans="1:14" x14ac:dyDescent="0.25">
      <c r="A125" s="646">
        <f t="shared" si="20"/>
        <v>19004</v>
      </c>
      <c r="B125" s="469"/>
      <c r="E125" s="403"/>
      <c r="H125" s="193"/>
      <c r="I125" s="193"/>
      <c r="J125" s="193"/>
      <c r="K125" s="193"/>
      <c r="L125">
        <f t="shared" si="21"/>
        <v>1900</v>
      </c>
      <c r="M125" t="str">
        <f t="shared" si="22"/>
        <v>4</v>
      </c>
      <c r="N125" s="193" t="e">
        <f t="shared" si="23"/>
        <v>#DIV/0!</v>
      </c>
    </row>
    <row r="126" spans="1:14" x14ac:dyDescent="0.25">
      <c r="A126" s="646">
        <f t="shared" si="20"/>
        <v>19004</v>
      </c>
      <c r="B126" s="469"/>
      <c r="E126" s="403"/>
      <c r="H126" s="193"/>
      <c r="I126" s="193"/>
      <c r="J126" s="193"/>
      <c r="K126" s="193"/>
      <c r="L126">
        <f t="shared" si="21"/>
        <v>1900</v>
      </c>
      <c r="M126" t="str">
        <f t="shared" si="22"/>
        <v>4</v>
      </c>
      <c r="N126" s="193" t="e">
        <f t="shared" si="23"/>
        <v>#DIV/0!</v>
      </c>
    </row>
    <row r="127" spans="1:14" x14ac:dyDescent="0.25">
      <c r="A127" s="646">
        <f t="shared" si="20"/>
        <v>19004</v>
      </c>
      <c r="B127" s="469"/>
      <c r="E127" s="403"/>
      <c r="H127" s="193"/>
      <c r="I127" s="193"/>
      <c r="J127" s="193"/>
      <c r="K127" s="193"/>
      <c r="L127">
        <f t="shared" si="21"/>
        <v>1900</v>
      </c>
      <c r="M127" t="str">
        <f t="shared" si="22"/>
        <v>4</v>
      </c>
      <c r="N127" s="193" t="e">
        <f t="shared" si="23"/>
        <v>#DIV/0!</v>
      </c>
    </row>
    <row r="128" spans="1:14" x14ac:dyDescent="0.25">
      <c r="A128" s="646">
        <f t="shared" si="20"/>
        <v>19004</v>
      </c>
      <c r="B128" s="469"/>
      <c r="E128" s="403"/>
      <c r="H128" s="193"/>
      <c r="I128" s="193"/>
      <c r="J128" s="193"/>
      <c r="K128" s="193"/>
      <c r="L128">
        <f t="shared" si="21"/>
        <v>1900</v>
      </c>
      <c r="M128" t="str">
        <f t="shared" si="22"/>
        <v>4</v>
      </c>
      <c r="N128" s="193" t="e">
        <f t="shared" si="23"/>
        <v>#DIV/0!</v>
      </c>
    </row>
    <row r="129" spans="1:14" x14ac:dyDescent="0.25">
      <c r="A129" s="646">
        <f t="shared" si="20"/>
        <v>19004</v>
      </c>
      <c r="B129" s="469"/>
      <c r="E129" s="403"/>
      <c r="H129" s="193"/>
      <c r="I129" s="193"/>
      <c r="J129" s="193"/>
      <c r="K129" s="193"/>
      <c r="L129">
        <f t="shared" si="21"/>
        <v>1900</v>
      </c>
      <c r="M129" t="str">
        <f t="shared" si="22"/>
        <v>4</v>
      </c>
      <c r="N129" s="193" t="e">
        <f t="shared" si="23"/>
        <v>#DIV/0!</v>
      </c>
    </row>
    <row r="130" spans="1:14" x14ac:dyDescent="0.25">
      <c r="A130" s="646">
        <f t="shared" si="20"/>
        <v>19004</v>
      </c>
      <c r="B130" s="469"/>
      <c r="E130" s="403"/>
      <c r="H130" s="193"/>
      <c r="I130" s="193"/>
      <c r="J130" s="193"/>
      <c r="K130" s="193"/>
      <c r="L130">
        <f t="shared" si="21"/>
        <v>1900</v>
      </c>
      <c r="M130" t="str">
        <f t="shared" si="22"/>
        <v>4</v>
      </c>
      <c r="N130" s="193" t="e">
        <f t="shared" si="23"/>
        <v>#DIV/0!</v>
      </c>
    </row>
    <row r="131" spans="1:14" x14ac:dyDescent="0.25">
      <c r="A131" s="646">
        <f t="shared" si="20"/>
        <v>19004</v>
      </c>
      <c r="B131" s="469"/>
      <c r="E131" s="403"/>
      <c r="H131" s="193"/>
      <c r="I131" s="193"/>
      <c r="J131" s="193"/>
      <c r="K131" s="193"/>
      <c r="L131">
        <f t="shared" si="21"/>
        <v>1900</v>
      </c>
      <c r="M131" t="str">
        <f t="shared" si="22"/>
        <v>4</v>
      </c>
      <c r="N131" s="193" t="e">
        <f t="shared" si="23"/>
        <v>#DIV/0!</v>
      </c>
    </row>
    <row r="132" spans="1:14" x14ac:dyDescent="0.25">
      <c r="A132" s="646">
        <f t="shared" si="20"/>
        <v>19004</v>
      </c>
      <c r="B132" s="469"/>
      <c r="E132" s="403"/>
      <c r="H132" s="193"/>
      <c r="I132" s="193"/>
      <c r="J132" s="193"/>
      <c r="K132" s="193"/>
      <c r="L132">
        <f t="shared" si="21"/>
        <v>1900</v>
      </c>
      <c r="M132" t="str">
        <f t="shared" si="22"/>
        <v>4</v>
      </c>
      <c r="N132" s="193" t="e">
        <f t="shared" si="23"/>
        <v>#DIV/0!</v>
      </c>
    </row>
    <row r="133" spans="1:14" x14ac:dyDescent="0.25">
      <c r="A133" s="646">
        <f t="shared" si="20"/>
        <v>19004</v>
      </c>
      <c r="B133" s="469"/>
      <c r="E133" s="403"/>
      <c r="H133" s="193"/>
      <c r="I133" s="193"/>
      <c r="J133" s="193"/>
      <c r="K133" s="193"/>
      <c r="L133">
        <f t="shared" si="21"/>
        <v>1900</v>
      </c>
      <c r="M133" t="str">
        <f t="shared" si="22"/>
        <v>4</v>
      </c>
      <c r="N133" s="193" t="e">
        <f t="shared" si="23"/>
        <v>#DIV/0!</v>
      </c>
    </row>
    <row r="134" spans="1:14" x14ac:dyDescent="0.25">
      <c r="A134" s="646">
        <f t="shared" si="20"/>
        <v>19004</v>
      </c>
      <c r="B134" s="469"/>
      <c r="E134" s="403"/>
      <c r="H134" s="193"/>
      <c r="I134" s="193"/>
      <c r="J134" s="193"/>
      <c r="K134" s="193"/>
      <c r="L134">
        <f t="shared" si="21"/>
        <v>1900</v>
      </c>
      <c r="M134" t="str">
        <f t="shared" si="22"/>
        <v>4</v>
      </c>
      <c r="N134" s="193" t="e">
        <f t="shared" si="23"/>
        <v>#DIV/0!</v>
      </c>
    </row>
    <row r="135" spans="1:14" x14ac:dyDescent="0.25">
      <c r="A135" s="646">
        <f t="shared" si="20"/>
        <v>19004</v>
      </c>
      <c r="B135" s="469"/>
      <c r="E135" s="403"/>
      <c r="H135" s="193"/>
      <c r="I135" s="193"/>
      <c r="J135" s="193"/>
      <c r="K135" s="193"/>
      <c r="L135">
        <f t="shared" si="21"/>
        <v>1900</v>
      </c>
      <c r="M135" t="str">
        <f t="shared" si="22"/>
        <v>4</v>
      </c>
      <c r="N135" s="193" t="e">
        <f t="shared" si="23"/>
        <v>#DIV/0!</v>
      </c>
    </row>
    <row r="136" spans="1:14" x14ac:dyDescent="0.25">
      <c r="A136" s="646">
        <f t="shared" si="20"/>
        <v>19004</v>
      </c>
      <c r="B136" s="469"/>
      <c r="E136" s="403"/>
      <c r="H136" s="193"/>
      <c r="I136" s="193"/>
      <c r="J136" s="193"/>
      <c r="K136" s="193"/>
      <c r="L136">
        <f t="shared" si="21"/>
        <v>1900</v>
      </c>
      <c r="M136" t="str">
        <f t="shared" si="22"/>
        <v>4</v>
      </c>
      <c r="N136" s="193" t="e">
        <f t="shared" si="23"/>
        <v>#DIV/0!</v>
      </c>
    </row>
    <row r="137" spans="1:14" x14ac:dyDescent="0.25">
      <c r="A137" s="646">
        <f t="shared" si="20"/>
        <v>19004</v>
      </c>
      <c r="B137" s="469"/>
      <c r="E137" s="403"/>
      <c r="H137" s="193"/>
      <c r="I137" s="193"/>
      <c r="J137" s="193"/>
      <c r="K137" s="193"/>
      <c r="L137">
        <f t="shared" si="21"/>
        <v>1900</v>
      </c>
      <c r="M137" t="str">
        <f t="shared" si="22"/>
        <v>4</v>
      </c>
      <c r="N137" s="193" t="e">
        <f t="shared" si="23"/>
        <v>#DIV/0!</v>
      </c>
    </row>
    <row r="138" spans="1:14" x14ac:dyDescent="0.25">
      <c r="A138" s="646">
        <f t="shared" si="20"/>
        <v>19004</v>
      </c>
      <c r="B138" s="469"/>
      <c r="E138" s="403"/>
      <c r="H138" s="193"/>
      <c r="I138" s="193"/>
      <c r="J138" s="193"/>
      <c r="K138" s="193"/>
      <c r="L138">
        <f t="shared" si="21"/>
        <v>1900</v>
      </c>
      <c r="M138" t="str">
        <f t="shared" si="22"/>
        <v>4</v>
      </c>
      <c r="N138" s="193" t="e">
        <f t="shared" si="23"/>
        <v>#DIV/0!</v>
      </c>
    </row>
    <row r="139" spans="1:14" x14ac:dyDescent="0.25">
      <c r="A139" s="646">
        <f t="shared" si="20"/>
        <v>19004</v>
      </c>
      <c r="B139" s="469"/>
      <c r="E139" s="403"/>
      <c r="H139" s="193"/>
      <c r="I139" s="193"/>
      <c r="J139" s="193"/>
      <c r="K139" s="193"/>
      <c r="L139">
        <f t="shared" si="21"/>
        <v>1900</v>
      </c>
      <c r="M139" t="str">
        <f t="shared" si="22"/>
        <v>4</v>
      </c>
      <c r="N139" s="193" t="e">
        <f t="shared" si="23"/>
        <v>#DIV/0!</v>
      </c>
    </row>
    <row r="140" spans="1:14" x14ac:dyDescent="0.25">
      <c r="A140" s="646">
        <f t="shared" ref="A140:A203" si="24">L140*10+M140</f>
        <v>19004</v>
      </c>
      <c r="B140" s="469"/>
      <c r="E140" s="403"/>
      <c r="H140" s="193"/>
      <c r="I140" s="193"/>
      <c r="J140" s="193"/>
      <c r="K140" s="193"/>
      <c r="L140">
        <f t="shared" ref="L140:L203" si="25">YEAR(B140)</f>
        <v>1900</v>
      </c>
      <c r="M140" t="str">
        <f t="shared" ref="M140:M203" si="26">IF(MONTH(B140)=3,"1",IF(MONTH(B140)=6,"2",IF(MONTH(B140)=9,"3","4")))</f>
        <v>4</v>
      </c>
      <c r="N140" s="193" t="e">
        <f t="shared" ref="N140:N203" si="27">K140/J140</f>
        <v>#DIV/0!</v>
      </c>
    </row>
    <row r="141" spans="1:14" x14ac:dyDescent="0.25">
      <c r="A141" s="646">
        <f t="shared" si="24"/>
        <v>19004</v>
      </c>
      <c r="B141" s="469"/>
      <c r="E141" s="403"/>
      <c r="H141" s="193"/>
      <c r="I141" s="193"/>
      <c r="J141" s="193"/>
      <c r="K141" s="193"/>
      <c r="L141">
        <f t="shared" si="25"/>
        <v>1900</v>
      </c>
      <c r="M141" t="str">
        <f t="shared" si="26"/>
        <v>4</v>
      </c>
      <c r="N141" s="193" t="e">
        <f t="shared" si="27"/>
        <v>#DIV/0!</v>
      </c>
    </row>
    <row r="142" spans="1:14" x14ac:dyDescent="0.25">
      <c r="A142" s="646">
        <f t="shared" si="24"/>
        <v>19004</v>
      </c>
      <c r="B142" s="469"/>
      <c r="E142" s="403"/>
      <c r="H142" s="193"/>
      <c r="I142" s="193"/>
      <c r="J142" s="193"/>
      <c r="K142" s="193"/>
      <c r="L142">
        <f t="shared" si="25"/>
        <v>1900</v>
      </c>
      <c r="M142" t="str">
        <f t="shared" si="26"/>
        <v>4</v>
      </c>
      <c r="N142" s="193" t="e">
        <f t="shared" si="27"/>
        <v>#DIV/0!</v>
      </c>
    </row>
    <row r="143" spans="1:14" x14ac:dyDescent="0.25">
      <c r="A143" s="646">
        <f t="shared" si="24"/>
        <v>19004</v>
      </c>
      <c r="B143" s="469"/>
      <c r="E143" s="403"/>
      <c r="H143" s="193"/>
      <c r="I143" s="193"/>
      <c r="J143" s="193"/>
      <c r="K143" s="193"/>
      <c r="L143">
        <f t="shared" si="25"/>
        <v>1900</v>
      </c>
      <c r="M143" t="str">
        <f t="shared" si="26"/>
        <v>4</v>
      </c>
      <c r="N143" s="193" t="e">
        <f t="shared" si="27"/>
        <v>#DIV/0!</v>
      </c>
    </row>
    <row r="144" spans="1:14" x14ac:dyDescent="0.25">
      <c r="A144" s="646">
        <f t="shared" si="24"/>
        <v>19004</v>
      </c>
      <c r="B144" s="469"/>
      <c r="E144" s="403"/>
      <c r="H144" s="193"/>
      <c r="I144" s="193"/>
      <c r="J144" s="193"/>
      <c r="K144" s="193"/>
      <c r="L144">
        <f t="shared" si="25"/>
        <v>1900</v>
      </c>
      <c r="M144" t="str">
        <f t="shared" si="26"/>
        <v>4</v>
      </c>
      <c r="N144" s="193" t="e">
        <f t="shared" si="27"/>
        <v>#DIV/0!</v>
      </c>
    </row>
    <row r="145" spans="1:14" x14ac:dyDescent="0.25">
      <c r="A145" s="646">
        <f t="shared" si="24"/>
        <v>19004</v>
      </c>
      <c r="B145" s="469"/>
      <c r="E145" s="403"/>
      <c r="H145" s="193"/>
      <c r="I145" s="193"/>
      <c r="J145" s="193"/>
      <c r="K145" s="193"/>
      <c r="L145">
        <f t="shared" si="25"/>
        <v>1900</v>
      </c>
      <c r="M145" t="str">
        <f t="shared" si="26"/>
        <v>4</v>
      </c>
      <c r="N145" s="193" t="e">
        <f t="shared" si="27"/>
        <v>#DIV/0!</v>
      </c>
    </row>
    <row r="146" spans="1:14" x14ac:dyDescent="0.25">
      <c r="A146" s="646">
        <f t="shared" si="24"/>
        <v>19004</v>
      </c>
      <c r="B146" s="469"/>
      <c r="E146" s="403"/>
      <c r="H146" s="193"/>
      <c r="I146" s="193"/>
      <c r="J146" s="193"/>
      <c r="K146" s="193"/>
      <c r="L146">
        <f t="shared" si="25"/>
        <v>1900</v>
      </c>
      <c r="M146" t="str">
        <f t="shared" si="26"/>
        <v>4</v>
      </c>
      <c r="N146" s="193" t="e">
        <f t="shared" si="27"/>
        <v>#DIV/0!</v>
      </c>
    </row>
    <row r="147" spans="1:14" x14ac:dyDescent="0.25">
      <c r="A147" s="646">
        <f t="shared" si="24"/>
        <v>19004</v>
      </c>
      <c r="B147" s="469"/>
      <c r="E147" s="403"/>
      <c r="H147" s="193"/>
      <c r="I147" s="193"/>
      <c r="J147" s="193"/>
      <c r="K147" s="193"/>
      <c r="L147">
        <f t="shared" si="25"/>
        <v>1900</v>
      </c>
      <c r="M147" t="str">
        <f t="shared" si="26"/>
        <v>4</v>
      </c>
      <c r="N147" s="193" t="e">
        <f t="shared" si="27"/>
        <v>#DIV/0!</v>
      </c>
    </row>
    <row r="148" spans="1:14" x14ac:dyDescent="0.25">
      <c r="A148" s="646">
        <f t="shared" si="24"/>
        <v>19004</v>
      </c>
      <c r="B148" s="469"/>
      <c r="H148" s="193"/>
      <c r="I148" s="193"/>
      <c r="J148" s="193"/>
      <c r="K148" s="193"/>
      <c r="L148">
        <f t="shared" si="25"/>
        <v>1900</v>
      </c>
      <c r="M148" t="str">
        <f t="shared" si="26"/>
        <v>4</v>
      </c>
      <c r="N148" s="193" t="e">
        <f t="shared" si="27"/>
        <v>#DIV/0!</v>
      </c>
    </row>
    <row r="149" spans="1:14" x14ac:dyDescent="0.25">
      <c r="A149" s="646">
        <f t="shared" si="24"/>
        <v>19004</v>
      </c>
      <c r="B149" s="469"/>
      <c r="H149" s="193"/>
      <c r="I149" s="193"/>
      <c r="J149" s="193"/>
      <c r="K149" s="193"/>
      <c r="L149">
        <f t="shared" si="25"/>
        <v>1900</v>
      </c>
      <c r="M149" t="str">
        <f t="shared" si="26"/>
        <v>4</v>
      </c>
      <c r="N149" s="193" t="e">
        <f t="shared" si="27"/>
        <v>#DIV/0!</v>
      </c>
    </row>
    <row r="150" spans="1:14" x14ac:dyDescent="0.25">
      <c r="A150" s="646">
        <f t="shared" si="24"/>
        <v>19004</v>
      </c>
      <c r="B150" s="469"/>
      <c r="H150" s="193"/>
      <c r="I150" s="193"/>
      <c r="J150" s="193"/>
      <c r="K150" s="193"/>
      <c r="L150">
        <f t="shared" si="25"/>
        <v>1900</v>
      </c>
      <c r="M150" t="str">
        <f t="shared" si="26"/>
        <v>4</v>
      </c>
      <c r="N150" s="193" t="e">
        <f t="shared" si="27"/>
        <v>#DIV/0!</v>
      </c>
    </row>
    <row r="151" spans="1:14" x14ac:dyDescent="0.25">
      <c r="A151" s="646">
        <f t="shared" si="24"/>
        <v>19004</v>
      </c>
      <c r="B151" s="469"/>
      <c r="H151" s="193"/>
      <c r="I151" s="193"/>
      <c r="J151" s="193"/>
      <c r="K151" s="193"/>
      <c r="L151">
        <f t="shared" si="25"/>
        <v>1900</v>
      </c>
      <c r="M151" t="str">
        <f t="shared" si="26"/>
        <v>4</v>
      </c>
      <c r="N151" s="193" t="e">
        <f t="shared" si="27"/>
        <v>#DIV/0!</v>
      </c>
    </row>
    <row r="152" spans="1:14" x14ac:dyDescent="0.25">
      <c r="A152" s="646">
        <f t="shared" si="24"/>
        <v>19004</v>
      </c>
      <c r="B152" s="469"/>
      <c r="H152" s="193"/>
      <c r="I152" s="193"/>
      <c r="J152" s="193"/>
      <c r="K152" s="193"/>
      <c r="L152">
        <f t="shared" si="25"/>
        <v>1900</v>
      </c>
      <c r="M152" t="str">
        <f t="shared" si="26"/>
        <v>4</v>
      </c>
      <c r="N152" s="193" t="e">
        <f t="shared" si="27"/>
        <v>#DIV/0!</v>
      </c>
    </row>
    <row r="153" spans="1:14" x14ac:dyDescent="0.25">
      <c r="A153" s="646">
        <f t="shared" si="24"/>
        <v>19004</v>
      </c>
      <c r="B153" s="469"/>
      <c r="H153" s="193"/>
      <c r="I153" s="193"/>
      <c r="J153" s="193"/>
      <c r="K153" s="193"/>
      <c r="L153">
        <f t="shared" si="25"/>
        <v>1900</v>
      </c>
      <c r="M153" t="str">
        <f t="shared" si="26"/>
        <v>4</v>
      </c>
      <c r="N153" s="193" t="e">
        <f t="shared" si="27"/>
        <v>#DIV/0!</v>
      </c>
    </row>
    <row r="154" spans="1:14" x14ac:dyDescent="0.25">
      <c r="A154" s="646">
        <f t="shared" si="24"/>
        <v>19004</v>
      </c>
      <c r="B154" s="469"/>
      <c r="H154" s="193"/>
      <c r="I154" s="193"/>
      <c r="J154" s="193"/>
      <c r="K154" s="193"/>
      <c r="L154">
        <f t="shared" si="25"/>
        <v>1900</v>
      </c>
      <c r="M154" t="str">
        <f t="shared" si="26"/>
        <v>4</v>
      </c>
      <c r="N154" s="193" t="e">
        <f t="shared" si="27"/>
        <v>#DIV/0!</v>
      </c>
    </row>
    <row r="155" spans="1:14" x14ac:dyDescent="0.25">
      <c r="A155" s="646">
        <f t="shared" si="24"/>
        <v>19004</v>
      </c>
      <c r="B155" s="469"/>
      <c r="H155" s="193"/>
      <c r="I155" s="193"/>
      <c r="J155" s="193"/>
      <c r="K155" s="193"/>
      <c r="L155">
        <f t="shared" si="25"/>
        <v>1900</v>
      </c>
      <c r="M155" t="str">
        <f t="shared" si="26"/>
        <v>4</v>
      </c>
      <c r="N155" s="193" t="e">
        <f t="shared" si="27"/>
        <v>#DIV/0!</v>
      </c>
    </row>
    <row r="156" spans="1:14" x14ac:dyDescent="0.25">
      <c r="A156" s="646">
        <f t="shared" si="24"/>
        <v>19004</v>
      </c>
      <c r="B156" s="469"/>
      <c r="H156" s="193"/>
      <c r="I156" s="193"/>
      <c r="J156" s="193"/>
      <c r="K156" s="193"/>
      <c r="L156">
        <f t="shared" si="25"/>
        <v>1900</v>
      </c>
      <c r="M156" t="str">
        <f t="shared" si="26"/>
        <v>4</v>
      </c>
      <c r="N156" s="193" t="e">
        <f t="shared" si="27"/>
        <v>#DIV/0!</v>
      </c>
    </row>
    <row r="157" spans="1:14" x14ac:dyDescent="0.25">
      <c r="A157" s="646">
        <f t="shared" si="24"/>
        <v>19004</v>
      </c>
      <c r="B157" s="469"/>
      <c r="H157" s="193"/>
      <c r="I157" s="193"/>
      <c r="J157" s="193"/>
      <c r="K157" s="193"/>
      <c r="L157">
        <f t="shared" si="25"/>
        <v>1900</v>
      </c>
      <c r="M157" t="str">
        <f t="shared" si="26"/>
        <v>4</v>
      </c>
      <c r="N157" s="193" t="e">
        <f t="shared" si="27"/>
        <v>#DIV/0!</v>
      </c>
    </row>
    <row r="158" spans="1:14" x14ac:dyDescent="0.25">
      <c r="A158" s="646">
        <f t="shared" si="24"/>
        <v>19004</v>
      </c>
      <c r="B158" s="469"/>
      <c r="H158" s="193"/>
      <c r="I158" s="193"/>
      <c r="J158" s="193"/>
      <c r="K158" s="193"/>
      <c r="L158">
        <f t="shared" si="25"/>
        <v>1900</v>
      </c>
      <c r="M158" t="str">
        <f t="shared" si="26"/>
        <v>4</v>
      </c>
      <c r="N158" s="193" t="e">
        <f t="shared" si="27"/>
        <v>#DIV/0!</v>
      </c>
    </row>
    <row r="159" spans="1:14" x14ac:dyDescent="0.25">
      <c r="A159" s="646">
        <f t="shared" si="24"/>
        <v>19004</v>
      </c>
      <c r="B159" s="469"/>
      <c r="H159" s="193"/>
      <c r="I159" s="193"/>
      <c r="J159" s="193"/>
      <c r="K159" s="193"/>
      <c r="L159">
        <f t="shared" si="25"/>
        <v>1900</v>
      </c>
      <c r="M159" t="str">
        <f t="shared" si="26"/>
        <v>4</v>
      </c>
      <c r="N159" s="193" t="e">
        <f t="shared" si="27"/>
        <v>#DIV/0!</v>
      </c>
    </row>
    <row r="160" spans="1:14" x14ac:dyDescent="0.25">
      <c r="A160" s="646">
        <f t="shared" si="24"/>
        <v>19004</v>
      </c>
      <c r="B160" s="469"/>
      <c r="H160" s="193"/>
      <c r="I160" s="193"/>
      <c r="J160" s="193"/>
      <c r="K160" s="193"/>
      <c r="L160">
        <f t="shared" si="25"/>
        <v>1900</v>
      </c>
      <c r="M160" t="str">
        <f t="shared" si="26"/>
        <v>4</v>
      </c>
      <c r="N160" s="193" t="e">
        <f t="shared" si="27"/>
        <v>#DIV/0!</v>
      </c>
    </row>
    <row r="161" spans="1:14" x14ac:dyDescent="0.25">
      <c r="A161" s="646">
        <f t="shared" si="24"/>
        <v>19004</v>
      </c>
      <c r="B161" s="469"/>
      <c r="H161" s="193"/>
      <c r="I161" s="193"/>
      <c r="J161" s="193"/>
      <c r="K161" s="193"/>
      <c r="L161">
        <f t="shared" si="25"/>
        <v>1900</v>
      </c>
      <c r="M161" t="str">
        <f t="shared" si="26"/>
        <v>4</v>
      </c>
      <c r="N161" s="193" t="e">
        <f t="shared" si="27"/>
        <v>#DIV/0!</v>
      </c>
    </row>
    <row r="162" spans="1:14" x14ac:dyDescent="0.25">
      <c r="A162" s="646">
        <f t="shared" si="24"/>
        <v>19004</v>
      </c>
      <c r="B162" s="469"/>
      <c r="H162" s="193"/>
      <c r="I162" s="193"/>
      <c r="J162" s="193"/>
      <c r="K162" s="193"/>
      <c r="L162">
        <f t="shared" si="25"/>
        <v>1900</v>
      </c>
      <c r="M162" t="str">
        <f t="shared" si="26"/>
        <v>4</v>
      </c>
      <c r="N162" s="193" t="e">
        <f t="shared" si="27"/>
        <v>#DIV/0!</v>
      </c>
    </row>
    <row r="163" spans="1:14" x14ac:dyDescent="0.25">
      <c r="A163" s="646">
        <f t="shared" si="24"/>
        <v>19004</v>
      </c>
      <c r="B163" s="469"/>
      <c r="H163" s="193"/>
      <c r="I163" s="193"/>
      <c r="J163" s="193"/>
      <c r="K163" s="193"/>
      <c r="L163">
        <f t="shared" si="25"/>
        <v>1900</v>
      </c>
      <c r="M163" t="str">
        <f t="shared" si="26"/>
        <v>4</v>
      </c>
      <c r="N163" s="193" t="e">
        <f t="shared" si="27"/>
        <v>#DIV/0!</v>
      </c>
    </row>
    <row r="164" spans="1:14" x14ac:dyDescent="0.25">
      <c r="A164" s="646">
        <f t="shared" si="24"/>
        <v>19004</v>
      </c>
      <c r="B164" s="469"/>
      <c r="H164" s="193"/>
      <c r="I164" s="193"/>
      <c r="J164" s="193"/>
      <c r="K164" s="193"/>
      <c r="L164">
        <f t="shared" si="25"/>
        <v>1900</v>
      </c>
      <c r="M164" t="str">
        <f t="shared" si="26"/>
        <v>4</v>
      </c>
      <c r="N164" s="193" t="e">
        <f t="shared" si="27"/>
        <v>#DIV/0!</v>
      </c>
    </row>
    <row r="165" spans="1:14" x14ac:dyDescent="0.25">
      <c r="A165" s="646">
        <f t="shared" si="24"/>
        <v>19004</v>
      </c>
      <c r="B165" s="469"/>
      <c r="H165" s="193"/>
      <c r="I165" s="193"/>
      <c r="J165" s="193"/>
      <c r="K165" s="193"/>
      <c r="L165">
        <f t="shared" si="25"/>
        <v>1900</v>
      </c>
      <c r="M165" t="str">
        <f t="shared" si="26"/>
        <v>4</v>
      </c>
      <c r="N165" s="193" t="e">
        <f t="shared" si="27"/>
        <v>#DIV/0!</v>
      </c>
    </row>
    <row r="166" spans="1:14" x14ac:dyDescent="0.25">
      <c r="A166" s="646">
        <f t="shared" si="24"/>
        <v>19004</v>
      </c>
      <c r="B166" s="469"/>
      <c r="H166" s="193"/>
      <c r="I166" s="193"/>
      <c r="J166" s="193"/>
      <c r="K166" s="193"/>
      <c r="L166">
        <f t="shared" si="25"/>
        <v>1900</v>
      </c>
      <c r="M166" t="str">
        <f t="shared" si="26"/>
        <v>4</v>
      </c>
      <c r="N166" s="193" t="e">
        <f t="shared" si="27"/>
        <v>#DIV/0!</v>
      </c>
    </row>
    <row r="167" spans="1:14" x14ac:dyDescent="0.25">
      <c r="A167" s="646">
        <f t="shared" si="24"/>
        <v>19004</v>
      </c>
      <c r="B167" s="469"/>
      <c r="H167" s="193"/>
      <c r="I167" s="193"/>
      <c r="J167" s="193"/>
      <c r="K167" s="193"/>
      <c r="L167">
        <f t="shared" si="25"/>
        <v>1900</v>
      </c>
      <c r="M167" t="str">
        <f t="shared" si="26"/>
        <v>4</v>
      </c>
      <c r="N167" s="193" t="e">
        <f t="shared" si="27"/>
        <v>#DIV/0!</v>
      </c>
    </row>
    <row r="168" spans="1:14" x14ac:dyDescent="0.25">
      <c r="A168" s="646">
        <f t="shared" si="24"/>
        <v>19004</v>
      </c>
      <c r="B168" s="469"/>
      <c r="H168" s="193"/>
      <c r="I168" s="193"/>
      <c r="J168" s="193"/>
      <c r="K168" s="193"/>
      <c r="L168">
        <f t="shared" si="25"/>
        <v>1900</v>
      </c>
      <c r="M168" t="str">
        <f t="shared" si="26"/>
        <v>4</v>
      </c>
      <c r="N168" s="193" t="e">
        <f t="shared" si="27"/>
        <v>#DIV/0!</v>
      </c>
    </row>
    <row r="169" spans="1:14" x14ac:dyDescent="0.25">
      <c r="A169" s="646">
        <f t="shared" si="24"/>
        <v>19004</v>
      </c>
      <c r="B169" s="469"/>
      <c r="H169" s="193"/>
      <c r="I169" s="193"/>
      <c r="J169" s="193"/>
      <c r="K169" s="193"/>
      <c r="L169">
        <f t="shared" si="25"/>
        <v>1900</v>
      </c>
      <c r="M169" t="str">
        <f t="shared" si="26"/>
        <v>4</v>
      </c>
      <c r="N169" s="193" t="e">
        <f t="shared" si="27"/>
        <v>#DIV/0!</v>
      </c>
    </row>
    <row r="170" spans="1:14" x14ac:dyDescent="0.25">
      <c r="A170" s="646">
        <f t="shared" si="24"/>
        <v>19004</v>
      </c>
      <c r="B170" s="469"/>
      <c r="H170" s="193"/>
      <c r="I170" s="193"/>
      <c r="J170" s="193"/>
      <c r="K170" s="193"/>
      <c r="L170">
        <f t="shared" si="25"/>
        <v>1900</v>
      </c>
      <c r="M170" t="str">
        <f t="shared" si="26"/>
        <v>4</v>
      </c>
      <c r="N170" s="193" t="e">
        <f t="shared" si="27"/>
        <v>#DIV/0!</v>
      </c>
    </row>
    <row r="171" spans="1:14" x14ac:dyDescent="0.25">
      <c r="A171" s="646">
        <f t="shared" si="24"/>
        <v>19004</v>
      </c>
      <c r="B171" s="469"/>
      <c r="H171" s="193"/>
      <c r="I171" s="193"/>
      <c r="J171" s="193"/>
      <c r="K171" s="193"/>
      <c r="L171">
        <f t="shared" si="25"/>
        <v>1900</v>
      </c>
      <c r="M171" t="str">
        <f t="shared" si="26"/>
        <v>4</v>
      </c>
      <c r="N171" s="193" t="e">
        <f t="shared" si="27"/>
        <v>#DIV/0!</v>
      </c>
    </row>
    <row r="172" spans="1:14" x14ac:dyDescent="0.25">
      <c r="A172" s="646">
        <f t="shared" si="24"/>
        <v>19004</v>
      </c>
      <c r="B172" s="469"/>
      <c r="H172" s="193"/>
      <c r="I172" s="193"/>
      <c r="J172" s="193"/>
      <c r="K172" s="193"/>
      <c r="L172">
        <f t="shared" si="25"/>
        <v>1900</v>
      </c>
      <c r="M172" t="str">
        <f t="shared" si="26"/>
        <v>4</v>
      </c>
      <c r="N172" s="193" t="e">
        <f t="shared" si="27"/>
        <v>#DIV/0!</v>
      </c>
    </row>
    <row r="173" spans="1:14" x14ac:dyDescent="0.25">
      <c r="A173" s="646">
        <f t="shared" si="24"/>
        <v>19004</v>
      </c>
      <c r="B173" s="469"/>
      <c r="H173" s="193"/>
      <c r="I173" s="193"/>
      <c r="J173" s="193"/>
      <c r="K173" s="193"/>
      <c r="L173">
        <f t="shared" si="25"/>
        <v>1900</v>
      </c>
      <c r="M173" t="str">
        <f t="shared" si="26"/>
        <v>4</v>
      </c>
      <c r="N173" s="193" t="e">
        <f t="shared" si="27"/>
        <v>#DIV/0!</v>
      </c>
    </row>
    <row r="174" spans="1:14" x14ac:dyDescent="0.25">
      <c r="A174" s="646">
        <f t="shared" si="24"/>
        <v>19004</v>
      </c>
      <c r="B174" s="469"/>
      <c r="H174" s="193"/>
      <c r="I174" s="193"/>
      <c r="J174" s="193"/>
      <c r="K174" s="193"/>
      <c r="L174">
        <f t="shared" si="25"/>
        <v>1900</v>
      </c>
      <c r="M174" t="str">
        <f t="shared" si="26"/>
        <v>4</v>
      </c>
      <c r="N174" s="193" t="e">
        <f t="shared" si="27"/>
        <v>#DIV/0!</v>
      </c>
    </row>
    <row r="175" spans="1:14" x14ac:dyDescent="0.25">
      <c r="A175" s="646">
        <f t="shared" si="24"/>
        <v>19004</v>
      </c>
      <c r="B175" s="469"/>
      <c r="H175" s="193"/>
      <c r="I175" s="193"/>
      <c r="J175" s="193"/>
      <c r="K175" s="193"/>
      <c r="L175">
        <f t="shared" si="25"/>
        <v>1900</v>
      </c>
      <c r="M175" t="str">
        <f t="shared" si="26"/>
        <v>4</v>
      </c>
      <c r="N175" s="193" t="e">
        <f t="shared" si="27"/>
        <v>#DIV/0!</v>
      </c>
    </row>
    <row r="176" spans="1:14" x14ac:dyDescent="0.25">
      <c r="A176" s="646">
        <f t="shared" si="24"/>
        <v>19004</v>
      </c>
      <c r="B176" s="469"/>
      <c r="H176" s="193"/>
      <c r="I176" s="193"/>
      <c r="J176" s="193"/>
      <c r="K176" s="193"/>
      <c r="L176">
        <f t="shared" si="25"/>
        <v>1900</v>
      </c>
      <c r="M176" t="str">
        <f t="shared" si="26"/>
        <v>4</v>
      </c>
      <c r="N176" s="193" t="e">
        <f t="shared" si="27"/>
        <v>#DIV/0!</v>
      </c>
    </row>
    <row r="177" spans="1:14" x14ac:dyDescent="0.25">
      <c r="A177" s="646">
        <f t="shared" si="24"/>
        <v>19004</v>
      </c>
      <c r="B177" s="469"/>
      <c r="H177" s="193"/>
      <c r="I177" s="193"/>
      <c r="J177" s="193"/>
      <c r="K177" s="193"/>
      <c r="L177">
        <f t="shared" si="25"/>
        <v>1900</v>
      </c>
      <c r="M177" t="str">
        <f t="shared" si="26"/>
        <v>4</v>
      </c>
      <c r="N177" s="193" t="e">
        <f t="shared" si="27"/>
        <v>#DIV/0!</v>
      </c>
    </row>
    <row r="178" spans="1:14" x14ac:dyDescent="0.25">
      <c r="A178" s="646">
        <f t="shared" si="24"/>
        <v>19004</v>
      </c>
      <c r="B178" s="469"/>
      <c r="H178" s="193"/>
      <c r="I178" s="193"/>
      <c r="J178" s="193"/>
      <c r="K178" s="193"/>
      <c r="L178">
        <f t="shared" si="25"/>
        <v>1900</v>
      </c>
      <c r="M178" t="str">
        <f t="shared" si="26"/>
        <v>4</v>
      </c>
      <c r="N178" s="193" t="e">
        <f t="shared" si="27"/>
        <v>#DIV/0!</v>
      </c>
    </row>
    <row r="179" spans="1:14" x14ac:dyDescent="0.25">
      <c r="A179" s="646">
        <f t="shared" si="24"/>
        <v>19004</v>
      </c>
      <c r="B179" s="469"/>
      <c r="H179" s="193"/>
      <c r="I179" s="193"/>
      <c r="J179" s="193"/>
      <c r="K179" s="193"/>
      <c r="L179">
        <f t="shared" si="25"/>
        <v>1900</v>
      </c>
      <c r="M179" t="str">
        <f t="shared" si="26"/>
        <v>4</v>
      </c>
      <c r="N179" s="193" t="e">
        <f t="shared" si="27"/>
        <v>#DIV/0!</v>
      </c>
    </row>
    <row r="180" spans="1:14" x14ac:dyDescent="0.25">
      <c r="A180" s="646">
        <f t="shared" si="24"/>
        <v>19004</v>
      </c>
      <c r="B180" s="469"/>
      <c r="H180" s="193"/>
      <c r="I180" s="193"/>
      <c r="J180" s="193"/>
      <c r="K180" s="193"/>
      <c r="L180">
        <f t="shared" si="25"/>
        <v>1900</v>
      </c>
      <c r="M180" t="str">
        <f t="shared" si="26"/>
        <v>4</v>
      </c>
      <c r="N180" s="193" t="e">
        <f t="shared" si="27"/>
        <v>#DIV/0!</v>
      </c>
    </row>
    <row r="181" spans="1:14" x14ac:dyDescent="0.25">
      <c r="A181" s="646">
        <f t="shared" si="24"/>
        <v>19004</v>
      </c>
      <c r="B181" s="469"/>
      <c r="H181" s="193"/>
      <c r="I181" s="193"/>
      <c r="J181" s="193"/>
      <c r="K181" s="193"/>
      <c r="L181">
        <f t="shared" si="25"/>
        <v>1900</v>
      </c>
      <c r="M181" t="str">
        <f t="shared" si="26"/>
        <v>4</v>
      </c>
      <c r="N181" s="193" t="e">
        <f t="shared" si="27"/>
        <v>#DIV/0!</v>
      </c>
    </row>
    <row r="182" spans="1:14" x14ac:dyDescent="0.25">
      <c r="A182" s="646">
        <f t="shared" si="24"/>
        <v>19004</v>
      </c>
      <c r="B182" s="469"/>
      <c r="H182" s="193"/>
      <c r="I182" s="193"/>
      <c r="J182" s="193"/>
      <c r="K182" s="193"/>
      <c r="L182">
        <f t="shared" si="25"/>
        <v>1900</v>
      </c>
      <c r="M182" t="str">
        <f t="shared" si="26"/>
        <v>4</v>
      </c>
      <c r="N182" s="193" t="e">
        <f t="shared" si="27"/>
        <v>#DIV/0!</v>
      </c>
    </row>
    <row r="183" spans="1:14" x14ac:dyDescent="0.25">
      <c r="A183" s="646">
        <f t="shared" si="24"/>
        <v>19004</v>
      </c>
      <c r="H183" s="193"/>
      <c r="I183" s="193"/>
      <c r="J183" s="193"/>
      <c r="K183" s="193"/>
      <c r="L183">
        <f t="shared" si="25"/>
        <v>1900</v>
      </c>
      <c r="M183" t="str">
        <f t="shared" si="26"/>
        <v>4</v>
      </c>
      <c r="N183" s="193" t="e">
        <f t="shared" si="27"/>
        <v>#DIV/0!</v>
      </c>
    </row>
    <row r="184" spans="1:14" x14ac:dyDescent="0.25">
      <c r="A184" s="646">
        <f t="shared" si="24"/>
        <v>19004</v>
      </c>
      <c r="H184" s="193"/>
      <c r="I184" s="193"/>
      <c r="J184" s="193"/>
      <c r="K184" s="193"/>
      <c r="L184">
        <f t="shared" si="25"/>
        <v>1900</v>
      </c>
      <c r="M184" t="str">
        <f t="shared" si="26"/>
        <v>4</v>
      </c>
      <c r="N184" s="193" t="e">
        <f t="shared" si="27"/>
        <v>#DIV/0!</v>
      </c>
    </row>
    <row r="185" spans="1:14" x14ac:dyDescent="0.25">
      <c r="A185" s="646">
        <f t="shared" si="24"/>
        <v>19004</v>
      </c>
      <c r="H185" s="193"/>
      <c r="I185" s="193"/>
      <c r="J185" s="193"/>
      <c r="K185" s="193"/>
      <c r="L185">
        <f t="shared" si="25"/>
        <v>1900</v>
      </c>
      <c r="M185" t="str">
        <f t="shared" si="26"/>
        <v>4</v>
      </c>
      <c r="N185" s="193" t="e">
        <f t="shared" si="27"/>
        <v>#DIV/0!</v>
      </c>
    </row>
    <row r="186" spans="1:14" x14ac:dyDescent="0.25">
      <c r="A186" s="646">
        <f t="shared" si="24"/>
        <v>19004</v>
      </c>
      <c r="H186" s="193"/>
      <c r="I186" s="193"/>
      <c r="J186" s="193"/>
      <c r="K186" s="193"/>
      <c r="L186">
        <f t="shared" si="25"/>
        <v>1900</v>
      </c>
      <c r="M186" t="str">
        <f t="shared" si="26"/>
        <v>4</v>
      </c>
      <c r="N186" s="193" t="e">
        <f t="shared" si="27"/>
        <v>#DIV/0!</v>
      </c>
    </row>
    <row r="187" spans="1:14" x14ac:dyDescent="0.25">
      <c r="A187" s="646">
        <f t="shared" si="24"/>
        <v>19004</v>
      </c>
      <c r="H187" s="193"/>
      <c r="I187" s="193"/>
      <c r="J187" s="193"/>
      <c r="K187" s="193"/>
      <c r="L187">
        <f t="shared" si="25"/>
        <v>1900</v>
      </c>
      <c r="M187" t="str">
        <f t="shared" si="26"/>
        <v>4</v>
      </c>
      <c r="N187" s="193" t="e">
        <f t="shared" si="27"/>
        <v>#DIV/0!</v>
      </c>
    </row>
    <row r="188" spans="1:14" x14ac:dyDescent="0.25">
      <c r="A188" s="646">
        <f t="shared" si="24"/>
        <v>19004</v>
      </c>
      <c r="H188" s="193"/>
      <c r="I188" s="193"/>
      <c r="J188" s="193"/>
      <c r="K188" s="193"/>
      <c r="L188">
        <f t="shared" si="25"/>
        <v>1900</v>
      </c>
      <c r="M188" t="str">
        <f t="shared" si="26"/>
        <v>4</v>
      </c>
      <c r="N188" s="193" t="e">
        <f t="shared" si="27"/>
        <v>#DIV/0!</v>
      </c>
    </row>
    <row r="189" spans="1:14" x14ac:dyDescent="0.25">
      <c r="A189" s="646">
        <f t="shared" si="24"/>
        <v>19004</v>
      </c>
      <c r="H189" s="193"/>
      <c r="I189" s="193"/>
      <c r="J189" s="193"/>
      <c r="K189" s="193"/>
      <c r="L189">
        <f t="shared" si="25"/>
        <v>1900</v>
      </c>
      <c r="M189" t="str">
        <f t="shared" si="26"/>
        <v>4</v>
      </c>
      <c r="N189" s="193" t="e">
        <f t="shared" si="27"/>
        <v>#DIV/0!</v>
      </c>
    </row>
    <row r="190" spans="1:14" x14ac:dyDescent="0.25">
      <c r="A190" s="646">
        <f t="shared" si="24"/>
        <v>19004</v>
      </c>
      <c r="H190" s="193"/>
      <c r="I190" s="193"/>
      <c r="J190" s="193"/>
      <c r="K190" s="193"/>
      <c r="L190">
        <f t="shared" si="25"/>
        <v>1900</v>
      </c>
      <c r="M190" t="str">
        <f t="shared" si="26"/>
        <v>4</v>
      </c>
      <c r="N190" s="193" t="e">
        <f t="shared" si="27"/>
        <v>#DIV/0!</v>
      </c>
    </row>
    <row r="191" spans="1:14" x14ac:dyDescent="0.25">
      <c r="A191" s="646">
        <f t="shared" si="24"/>
        <v>19004</v>
      </c>
      <c r="H191" s="193"/>
      <c r="I191" s="193"/>
      <c r="J191" s="193"/>
      <c r="K191" s="193"/>
      <c r="L191">
        <f t="shared" si="25"/>
        <v>1900</v>
      </c>
      <c r="M191" t="str">
        <f t="shared" si="26"/>
        <v>4</v>
      </c>
      <c r="N191" s="193" t="e">
        <f t="shared" si="27"/>
        <v>#DIV/0!</v>
      </c>
    </row>
    <row r="192" spans="1:14" x14ac:dyDescent="0.25">
      <c r="A192" s="646">
        <f t="shared" si="24"/>
        <v>19004</v>
      </c>
      <c r="H192" s="193"/>
      <c r="I192" s="193"/>
      <c r="J192" s="193"/>
      <c r="K192" s="193"/>
      <c r="L192">
        <f t="shared" si="25"/>
        <v>1900</v>
      </c>
      <c r="M192" t="str">
        <f t="shared" si="26"/>
        <v>4</v>
      </c>
      <c r="N192" s="193" t="e">
        <f t="shared" si="27"/>
        <v>#DIV/0!</v>
      </c>
    </row>
    <row r="193" spans="1:14" x14ac:dyDescent="0.25">
      <c r="A193" s="646">
        <f t="shared" si="24"/>
        <v>19004</v>
      </c>
      <c r="H193" s="193"/>
      <c r="I193" s="193"/>
      <c r="J193" s="193"/>
      <c r="K193" s="193"/>
      <c r="L193">
        <f t="shared" si="25"/>
        <v>1900</v>
      </c>
      <c r="M193" t="str">
        <f t="shared" si="26"/>
        <v>4</v>
      </c>
      <c r="N193" s="193" t="e">
        <f t="shared" si="27"/>
        <v>#DIV/0!</v>
      </c>
    </row>
    <row r="194" spans="1:14" x14ac:dyDescent="0.25">
      <c r="A194" s="646">
        <f t="shared" si="24"/>
        <v>19004</v>
      </c>
      <c r="H194" s="193"/>
      <c r="I194" s="193"/>
      <c r="J194" s="193"/>
      <c r="K194" s="193"/>
      <c r="L194">
        <f t="shared" si="25"/>
        <v>1900</v>
      </c>
      <c r="M194" t="str">
        <f t="shared" si="26"/>
        <v>4</v>
      </c>
      <c r="N194" s="193" t="e">
        <f t="shared" si="27"/>
        <v>#DIV/0!</v>
      </c>
    </row>
    <row r="195" spans="1:14" x14ac:dyDescent="0.25">
      <c r="A195" s="646">
        <f t="shared" si="24"/>
        <v>19004</v>
      </c>
      <c r="H195" s="193"/>
      <c r="I195" s="193"/>
      <c r="J195" s="193"/>
      <c r="K195" s="193"/>
      <c r="L195">
        <f t="shared" si="25"/>
        <v>1900</v>
      </c>
      <c r="M195" t="str">
        <f t="shared" si="26"/>
        <v>4</v>
      </c>
      <c r="N195" s="193" t="e">
        <f t="shared" si="27"/>
        <v>#DIV/0!</v>
      </c>
    </row>
    <row r="196" spans="1:14" x14ac:dyDescent="0.25">
      <c r="A196" s="646">
        <f t="shared" si="24"/>
        <v>19004</v>
      </c>
      <c r="H196" s="193"/>
      <c r="I196" s="193"/>
      <c r="J196" s="193"/>
      <c r="K196" s="193"/>
      <c r="L196">
        <f t="shared" si="25"/>
        <v>1900</v>
      </c>
      <c r="M196" t="str">
        <f t="shared" si="26"/>
        <v>4</v>
      </c>
      <c r="N196" s="193" t="e">
        <f t="shared" si="27"/>
        <v>#DIV/0!</v>
      </c>
    </row>
    <row r="197" spans="1:14" x14ac:dyDescent="0.25">
      <c r="A197" s="646">
        <f t="shared" si="24"/>
        <v>19004</v>
      </c>
      <c r="H197" s="193"/>
      <c r="I197" s="193"/>
      <c r="J197" s="193"/>
      <c r="K197" s="193"/>
      <c r="L197">
        <f t="shared" si="25"/>
        <v>1900</v>
      </c>
      <c r="M197" t="str">
        <f t="shared" si="26"/>
        <v>4</v>
      </c>
      <c r="N197" s="193" t="e">
        <f t="shared" si="27"/>
        <v>#DIV/0!</v>
      </c>
    </row>
    <row r="198" spans="1:14" x14ac:dyDescent="0.25">
      <c r="A198" s="646">
        <f t="shared" si="24"/>
        <v>19004</v>
      </c>
      <c r="H198" s="193"/>
      <c r="I198" s="193"/>
      <c r="J198" s="193"/>
      <c r="K198" s="193"/>
      <c r="L198">
        <f t="shared" si="25"/>
        <v>1900</v>
      </c>
      <c r="M198" t="str">
        <f t="shared" si="26"/>
        <v>4</v>
      </c>
      <c r="N198" s="193" t="e">
        <f t="shared" si="27"/>
        <v>#DIV/0!</v>
      </c>
    </row>
    <row r="199" spans="1:14" x14ac:dyDescent="0.25">
      <c r="A199" s="646">
        <f t="shared" si="24"/>
        <v>19004</v>
      </c>
      <c r="H199" s="193"/>
      <c r="I199" s="193"/>
      <c r="J199" s="193"/>
      <c r="K199" s="193"/>
      <c r="L199">
        <f t="shared" si="25"/>
        <v>1900</v>
      </c>
      <c r="M199" t="str">
        <f t="shared" si="26"/>
        <v>4</v>
      </c>
      <c r="N199" s="193" t="e">
        <f t="shared" si="27"/>
        <v>#DIV/0!</v>
      </c>
    </row>
    <row r="200" spans="1:14" x14ac:dyDescent="0.25">
      <c r="A200" s="646">
        <f t="shared" si="24"/>
        <v>19004</v>
      </c>
      <c r="H200" s="193"/>
      <c r="I200" s="193"/>
      <c r="J200" s="193"/>
      <c r="K200" s="193"/>
      <c r="L200">
        <f t="shared" si="25"/>
        <v>1900</v>
      </c>
      <c r="M200" t="str">
        <f t="shared" si="26"/>
        <v>4</v>
      </c>
      <c r="N200" s="193" t="e">
        <f t="shared" si="27"/>
        <v>#DIV/0!</v>
      </c>
    </row>
    <row r="201" spans="1:14" x14ac:dyDescent="0.25">
      <c r="A201" s="646">
        <f t="shared" si="24"/>
        <v>19004</v>
      </c>
      <c r="H201" s="193"/>
      <c r="I201" s="193"/>
      <c r="J201" s="193"/>
      <c r="K201" s="193"/>
      <c r="L201">
        <f t="shared" si="25"/>
        <v>1900</v>
      </c>
      <c r="M201" t="str">
        <f t="shared" si="26"/>
        <v>4</v>
      </c>
      <c r="N201" s="193" t="e">
        <f t="shared" si="27"/>
        <v>#DIV/0!</v>
      </c>
    </row>
    <row r="202" spans="1:14" x14ac:dyDescent="0.25">
      <c r="A202" s="646">
        <f t="shared" si="24"/>
        <v>19004</v>
      </c>
      <c r="H202" s="193"/>
      <c r="I202" s="193"/>
      <c r="J202" s="193"/>
      <c r="K202" s="193"/>
      <c r="L202">
        <f t="shared" si="25"/>
        <v>1900</v>
      </c>
      <c r="M202" t="str">
        <f t="shared" si="26"/>
        <v>4</v>
      </c>
      <c r="N202" s="193" t="e">
        <f t="shared" si="27"/>
        <v>#DIV/0!</v>
      </c>
    </row>
    <row r="203" spans="1:14" x14ac:dyDescent="0.25">
      <c r="A203" s="646">
        <f t="shared" si="24"/>
        <v>19004</v>
      </c>
      <c r="H203" s="193"/>
      <c r="I203" s="193"/>
      <c r="J203" s="193"/>
      <c r="K203" s="193"/>
      <c r="L203">
        <f t="shared" si="25"/>
        <v>1900</v>
      </c>
      <c r="M203" t="str">
        <f t="shared" si="26"/>
        <v>4</v>
      </c>
      <c r="N203" s="193" t="e">
        <f t="shared" si="27"/>
        <v>#DIV/0!</v>
      </c>
    </row>
    <row r="204" spans="1:14" x14ac:dyDescent="0.25">
      <c r="A204" s="646">
        <f t="shared" ref="A204:A252" si="28">L204*10+M204</f>
        <v>19004</v>
      </c>
      <c r="H204" s="193"/>
      <c r="I204" s="193"/>
      <c r="J204" s="193"/>
      <c r="K204" s="193"/>
      <c r="L204">
        <f t="shared" ref="L204:L252" si="29">YEAR(B204)</f>
        <v>1900</v>
      </c>
      <c r="M204" t="str">
        <f t="shared" ref="M204:M252" si="30">IF(MONTH(B204)=3,"1",IF(MONTH(B204)=6,"2",IF(MONTH(B204)=9,"3","4")))</f>
        <v>4</v>
      </c>
      <c r="N204" s="193" t="e">
        <f t="shared" ref="N204:N252" si="31">K204/J204</f>
        <v>#DIV/0!</v>
      </c>
    </row>
    <row r="205" spans="1:14" x14ac:dyDescent="0.25">
      <c r="A205" s="646">
        <f t="shared" si="28"/>
        <v>19004</v>
      </c>
      <c r="H205" s="193"/>
      <c r="I205" s="193"/>
      <c r="J205" s="193"/>
      <c r="K205" s="193"/>
      <c r="L205">
        <f t="shared" si="29"/>
        <v>1900</v>
      </c>
      <c r="M205" t="str">
        <f t="shared" si="30"/>
        <v>4</v>
      </c>
      <c r="N205" s="193" t="e">
        <f t="shared" si="31"/>
        <v>#DIV/0!</v>
      </c>
    </row>
    <row r="206" spans="1:14" x14ac:dyDescent="0.25">
      <c r="A206" s="646">
        <f t="shared" si="28"/>
        <v>19004</v>
      </c>
      <c r="H206" s="193"/>
      <c r="I206" s="193"/>
      <c r="J206" s="193"/>
      <c r="K206" s="193"/>
      <c r="L206">
        <f t="shared" si="29"/>
        <v>1900</v>
      </c>
      <c r="M206" t="str">
        <f t="shared" si="30"/>
        <v>4</v>
      </c>
      <c r="N206" s="193" t="e">
        <f t="shared" si="31"/>
        <v>#DIV/0!</v>
      </c>
    </row>
    <row r="207" spans="1:14" x14ac:dyDescent="0.25">
      <c r="A207" s="646">
        <f t="shared" si="28"/>
        <v>19004</v>
      </c>
      <c r="H207" s="193"/>
      <c r="I207" s="193"/>
      <c r="J207" s="193"/>
      <c r="K207" s="193"/>
      <c r="L207">
        <f t="shared" si="29"/>
        <v>1900</v>
      </c>
      <c r="M207" t="str">
        <f t="shared" si="30"/>
        <v>4</v>
      </c>
      <c r="N207" s="193" t="e">
        <f t="shared" si="31"/>
        <v>#DIV/0!</v>
      </c>
    </row>
    <row r="208" spans="1:14" x14ac:dyDescent="0.25">
      <c r="A208" s="646">
        <f t="shared" si="28"/>
        <v>19004</v>
      </c>
      <c r="H208" s="193"/>
      <c r="I208" s="193"/>
      <c r="J208" s="193"/>
      <c r="K208" s="193"/>
      <c r="L208">
        <f t="shared" si="29"/>
        <v>1900</v>
      </c>
      <c r="M208" t="str">
        <f t="shared" si="30"/>
        <v>4</v>
      </c>
      <c r="N208" s="193" t="e">
        <f t="shared" si="31"/>
        <v>#DIV/0!</v>
      </c>
    </row>
    <row r="209" spans="1:14" x14ac:dyDescent="0.25">
      <c r="A209" s="646">
        <f t="shared" si="28"/>
        <v>19004</v>
      </c>
      <c r="H209" s="193"/>
      <c r="I209" s="193"/>
      <c r="J209" s="193"/>
      <c r="K209" s="193"/>
      <c r="L209">
        <f t="shared" si="29"/>
        <v>1900</v>
      </c>
      <c r="M209" t="str">
        <f t="shared" si="30"/>
        <v>4</v>
      </c>
      <c r="N209" s="193" t="e">
        <f t="shared" si="31"/>
        <v>#DIV/0!</v>
      </c>
    </row>
    <row r="210" spans="1:14" x14ac:dyDescent="0.25">
      <c r="A210" s="646">
        <f t="shared" si="28"/>
        <v>19004</v>
      </c>
      <c r="H210" s="193"/>
      <c r="I210" s="193"/>
      <c r="J210" s="193"/>
      <c r="K210" s="193"/>
      <c r="L210">
        <f t="shared" si="29"/>
        <v>1900</v>
      </c>
      <c r="M210" t="str">
        <f t="shared" si="30"/>
        <v>4</v>
      </c>
      <c r="N210" s="193" t="e">
        <f t="shared" si="31"/>
        <v>#DIV/0!</v>
      </c>
    </row>
    <row r="211" spans="1:14" x14ac:dyDescent="0.25">
      <c r="A211" s="646">
        <f t="shared" si="28"/>
        <v>19004</v>
      </c>
      <c r="H211" s="193"/>
      <c r="I211" s="193"/>
      <c r="J211" s="193"/>
      <c r="K211" s="193"/>
      <c r="L211">
        <f t="shared" si="29"/>
        <v>1900</v>
      </c>
      <c r="M211" t="str">
        <f t="shared" si="30"/>
        <v>4</v>
      </c>
      <c r="N211" s="193" t="e">
        <f t="shared" si="31"/>
        <v>#DIV/0!</v>
      </c>
    </row>
    <row r="212" spans="1:14" x14ac:dyDescent="0.25">
      <c r="A212" s="646">
        <f t="shared" si="28"/>
        <v>19004</v>
      </c>
      <c r="H212" s="193"/>
      <c r="I212" s="193"/>
      <c r="J212" s="193"/>
      <c r="K212" s="193"/>
      <c r="L212">
        <f t="shared" si="29"/>
        <v>1900</v>
      </c>
      <c r="M212" t="str">
        <f t="shared" si="30"/>
        <v>4</v>
      </c>
      <c r="N212" s="193" t="e">
        <f t="shared" si="31"/>
        <v>#DIV/0!</v>
      </c>
    </row>
    <row r="213" spans="1:14" x14ac:dyDescent="0.25">
      <c r="A213" s="646">
        <f t="shared" si="28"/>
        <v>19004</v>
      </c>
      <c r="H213" s="193"/>
      <c r="I213" s="193"/>
      <c r="J213" s="193"/>
      <c r="K213" s="193"/>
      <c r="L213">
        <f t="shared" si="29"/>
        <v>1900</v>
      </c>
      <c r="M213" t="str">
        <f t="shared" si="30"/>
        <v>4</v>
      </c>
      <c r="N213" s="193" t="e">
        <f t="shared" si="31"/>
        <v>#DIV/0!</v>
      </c>
    </row>
    <row r="214" spans="1:14" x14ac:dyDescent="0.25">
      <c r="A214" s="646">
        <f t="shared" si="28"/>
        <v>19004</v>
      </c>
      <c r="H214" s="193"/>
      <c r="I214" s="193"/>
      <c r="J214" s="193"/>
      <c r="K214" s="193"/>
      <c r="L214">
        <f t="shared" si="29"/>
        <v>1900</v>
      </c>
      <c r="M214" t="str">
        <f t="shared" si="30"/>
        <v>4</v>
      </c>
      <c r="N214" s="193" t="e">
        <f t="shared" si="31"/>
        <v>#DIV/0!</v>
      </c>
    </row>
    <row r="215" spans="1:14" x14ac:dyDescent="0.25">
      <c r="A215" s="646">
        <f t="shared" si="28"/>
        <v>19004</v>
      </c>
      <c r="H215" s="193"/>
      <c r="I215" s="193"/>
      <c r="J215" s="193"/>
      <c r="K215" s="193"/>
      <c r="L215">
        <f t="shared" si="29"/>
        <v>1900</v>
      </c>
      <c r="M215" t="str">
        <f t="shared" si="30"/>
        <v>4</v>
      </c>
      <c r="N215" s="193" t="e">
        <f t="shared" si="31"/>
        <v>#DIV/0!</v>
      </c>
    </row>
    <row r="216" spans="1:14" x14ac:dyDescent="0.25">
      <c r="A216" s="646">
        <f t="shared" si="28"/>
        <v>19004</v>
      </c>
      <c r="H216" s="193"/>
      <c r="I216" s="193"/>
      <c r="J216" s="193"/>
      <c r="K216" s="193"/>
      <c r="L216">
        <f t="shared" si="29"/>
        <v>1900</v>
      </c>
      <c r="M216" t="str">
        <f t="shared" si="30"/>
        <v>4</v>
      </c>
      <c r="N216" s="193" t="e">
        <f t="shared" si="31"/>
        <v>#DIV/0!</v>
      </c>
    </row>
    <row r="217" spans="1:14" x14ac:dyDescent="0.25">
      <c r="A217" s="646">
        <f t="shared" si="28"/>
        <v>19004</v>
      </c>
      <c r="H217" s="193"/>
      <c r="I217" s="193"/>
      <c r="J217" s="193"/>
      <c r="K217" s="193"/>
      <c r="L217">
        <f t="shared" si="29"/>
        <v>1900</v>
      </c>
      <c r="M217" t="str">
        <f t="shared" si="30"/>
        <v>4</v>
      </c>
      <c r="N217" s="193" t="e">
        <f t="shared" si="31"/>
        <v>#DIV/0!</v>
      </c>
    </row>
    <row r="218" spans="1:14" x14ac:dyDescent="0.25">
      <c r="A218" s="646">
        <f t="shared" si="28"/>
        <v>19004</v>
      </c>
      <c r="H218" s="193"/>
      <c r="I218" s="193"/>
      <c r="J218" s="193"/>
      <c r="K218" s="193"/>
      <c r="L218">
        <f t="shared" si="29"/>
        <v>1900</v>
      </c>
      <c r="M218" t="str">
        <f t="shared" si="30"/>
        <v>4</v>
      </c>
      <c r="N218" s="193" t="e">
        <f t="shared" si="31"/>
        <v>#DIV/0!</v>
      </c>
    </row>
    <row r="219" spans="1:14" x14ac:dyDescent="0.25">
      <c r="A219" s="646">
        <f t="shared" si="28"/>
        <v>19004</v>
      </c>
      <c r="H219" s="193"/>
      <c r="I219" s="193"/>
      <c r="J219" s="193"/>
      <c r="K219" s="193"/>
      <c r="L219">
        <f t="shared" si="29"/>
        <v>1900</v>
      </c>
      <c r="M219" t="str">
        <f t="shared" si="30"/>
        <v>4</v>
      </c>
      <c r="N219" s="193" t="e">
        <f t="shared" si="31"/>
        <v>#DIV/0!</v>
      </c>
    </row>
    <row r="220" spans="1:14" x14ac:dyDescent="0.25">
      <c r="A220" s="646">
        <f t="shared" si="28"/>
        <v>19004</v>
      </c>
      <c r="H220" s="193"/>
      <c r="I220" s="193"/>
      <c r="J220" s="193"/>
      <c r="K220" s="193"/>
      <c r="L220">
        <f t="shared" si="29"/>
        <v>1900</v>
      </c>
      <c r="M220" t="str">
        <f t="shared" si="30"/>
        <v>4</v>
      </c>
      <c r="N220" s="193" t="e">
        <f t="shared" si="31"/>
        <v>#DIV/0!</v>
      </c>
    </row>
    <row r="221" spans="1:14" x14ac:dyDescent="0.25">
      <c r="A221" s="646">
        <f t="shared" si="28"/>
        <v>19004</v>
      </c>
      <c r="H221" s="193"/>
      <c r="I221" s="193"/>
      <c r="J221" s="193"/>
      <c r="K221" s="193"/>
      <c r="L221">
        <f t="shared" si="29"/>
        <v>1900</v>
      </c>
      <c r="M221" t="str">
        <f t="shared" si="30"/>
        <v>4</v>
      </c>
      <c r="N221" s="193" t="e">
        <f t="shared" si="31"/>
        <v>#DIV/0!</v>
      </c>
    </row>
    <row r="222" spans="1:14" x14ac:dyDescent="0.25">
      <c r="A222" s="646">
        <f t="shared" si="28"/>
        <v>19004</v>
      </c>
      <c r="H222" s="193"/>
      <c r="I222" s="193"/>
      <c r="J222" s="193"/>
      <c r="K222" s="193"/>
      <c r="L222">
        <f t="shared" si="29"/>
        <v>1900</v>
      </c>
      <c r="M222" t="str">
        <f t="shared" si="30"/>
        <v>4</v>
      </c>
      <c r="N222" s="193" t="e">
        <f t="shared" si="31"/>
        <v>#DIV/0!</v>
      </c>
    </row>
    <row r="223" spans="1:14" x14ac:dyDescent="0.25">
      <c r="A223" s="646">
        <f t="shared" si="28"/>
        <v>19004</v>
      </c>
      <c r="H223" s="193"/>
      <c r="I223" s="193"/>
      <c r="J223" s="193"/>
      <c r="K223" s="193"/>
      <c r="L223">
        <f t="shared" si="29"/>
        <v>1900</v>
      </c>
      <c r="M223" t="str">
        <f t="shared" si="30"/>
        <v>4</v>
      </c>
      <c r="N223" s="193" t="e">
        <f t="shared" si="31"/>
        <v>#DIV/0!</v>
      </c>
    </row>
    <row r="224" spans="1:14" x14ac:dyDescent="0.25">
      <c r="A224" s="646">
        <f t="shared" si="28"/>
        <v>19004</v>
      </c>
      <c r="H224" s="193"/>
      <c r="I224" s="193"/>
      <c r="J224" s="193"/>
      <c r="K224" s="193"/>
      <c r="L224">
        <f t="shared" si="29"/>
        <v>1900</v>
      </c>
      <c r="M224" t="str">
        <f t="shared" si="30"/>
        <v>4</v>
      </c>
      <c r="N224" s="193" t="e">
        <f t="shared" si="31"/>
        <v>#DIV/0!</v>
      </c>
    </row>
    <row r="225" spans="1:14" x14ac:dyDescent="0.25">
      <c r="A225" s="646">
        <f t="shared" si="28"/>
        <v>19004</v>
      </c>
      <c r="H225" s="193"/>
      <c r="I225" s="193"/>
      <c r="J225" s="193"/>
      <c r="K225" s="193"/>
      <c r="L225">
        <f t="shared" si="29"/>
        <v>1900</v>
      </c>
      <c r="M225" t="str">
        <f t="shared" si="30"/>
        <v>4</v>
      </c>
      <c r="N225" s="193" t="e">
        <f t="shared" si="31"/>
        <v>#DIV/0!</v>
      </c>
    </row>
    <row r="226" spans="1:14" x14ac:dyDescent="0.25">
      <c r="A226" s="646">
        <f t="shared" si="28"/>
        <v>19004</v>
      </c>
      <c r="H226" s="193"/>
      <c r="I226" s="193"/>
      <c r="J226" s="193"/>
      <c r="K226" s="193"/>
      <c r="L226">
        <f t="shared" si="29"/>
        <v>1900</v>
      </c>
      <c r="M226" t="str">
        <f t="shared" si="30"/>
        <v>4</v>
      </c>
      <c r="N226" s="193" t="e">
        <f t="shared" si="31"/>
        <v>#DIV/0!</v>
      </c>
    </row>
    <row r="227" spans="1:14" x14ac:dyDescent="0.25">
      <c r="A227" s="646">
        <f t="shared" si="28"/>
        <v>19004</v>
      </c>
      <c r="H227" s="193"/>
      <c r="I227" s="193"/>
      <c r="J227" s="193"/>
      <c r="K227" s="193"/>
      <c r="L227">
        <f t="shared" si="29"/>
        <v>1900</v>
      </c>
      <c r="M227" t="str">
        <f t="shared" si="30"/>
        <v>4</v>
      </c>
      <c r="N227" s="193" t="e">
        <f t="shared" si="31"/>
        <v>#DIV/0!</v>
      </c>
    </row>
    <row r="228" spans="1:14" x14ac:dyDescent="0.25">
      <c r="A228" s="646">
        <f t="shared" si="28"/>
        <v>19004</v>
      </c>
      <c r="H228" s="193"/>
      <c r="I228" s="193"/>
      <c r="J228" s="193"/>
      <c r="K228" s="193"/>
      <c r="L228">
        <f t="shared" si="29"/>
        <v>1900</v>
      </c>
      <c r="M228" t="str">
        <f t="shared" si="30"/>
        <v>4</v>
      </c>
      <c r="N228" s="193" t="e">
        <f t="shared" si="31"/>
        <v>#DIV/0!</v>
      </c>
    </row>
    <row r="229" spans="1:14" x14ac:dyDescent="0.25">
      <c r="A229" s="646">
        <f t="shared" si="28"/>
        <v>19004</v>
      </c>
      <c r="H229" s="193"/>
      <c r="I229" s="193"/>
      <c r="J229" s="193"/>
      <c r="K229" s="193"/>
      <c r="L229">
        <f t="shared" si="29"/>
        <v>1900</v>
      </c>
      <c r="M229" t="str">
        <f t="shared" si="30"/>
        <v>4</v>
      </c>
      <c r="N229" s="193" t="e">
        <f t="shared" si="31"/>
        <v>#DIV/0!</v>
      </c>
    </row>
    <row r="230" spans="1:14" x14ac:dyDescent="0.25">
      <c r="A230" s="646">
        <f t="shared" si="28"/>
        <v>19004</v>
      </c>
      <c r="H230" s="193"/>
      <c r="I230" s="193"/>
      <c r="J230" s="193"/>
      <c r="K230" s="193"/>
      <c r="L230">
        <f t="shared" si="29"/>
        <v>1900</v>
      </c>
      <c r="M230" t="str">
        <f t="shared" si="30"/>
        <v>4</v>
      </c>
      <c r="N230" s="193" t="e">
        <f t="shared" si="31"/>
        <v>#DIV/0!</v>
      </c>
    </row>
    <row r="231" spans="1:14" x14ac:dyDescent="0.25">
      <c r="A231" s="646">
        <f t="shared" si="28"/>
        <v>19004</v>
      </c>
      <c r="H231" s="193"/>
      <c r="I231" s="193"/>
      <c r="J231" s="193"/>
      <c r="K231" s="193"/>
      <c r="L231">
        <f t="shared" si="29"/>
        <v>1900</v>
      </c>
      <c r="M231" t="str">
        <f t="shared" si="30"/>
        <v>4</v>
      </c>
      <c r="N231" s="193" t="e">
        <f t="shared" si="31"/>
        <v>#DIV/0!</v>
      </c>
    </row>
    <row r="232" spans="1:14" x14ac:dyDescent="0.25">
      <c r="A232" s="646">
        <f t="shared" si="28"/>
        <v>19004</v>
      </c>
      <c r="H232" s="193"/>
      <c r="I232" s="193"/>
      <c r="J232" s="193"/>
      <c r="K232" s="193"/>
      <c r="L232">
        <f t="shared" si="29"/>
        <v>1900</v>
      </c>
      <c r="M232" t="str">
        <f t="shared" si="30"/>
        <v>4</v>
      </c>
      <c r="N232" s="193" t="e">
        <f t="shared" si="31"/>
        <v>#DIV/0!</v>
      </c>
    </row>
    <row r="233" spans="1:14" x14ac:dyDescent="0.25">
      <c r="A233" s="646">
        <f t="shared" si="28"/>
        <v>19004</v>
      </c>
      <c r="H233" s="193"/>
      <c r="I233" s="193"/>
      <c r="J233" s="193"/>
      <c r="K233" s="193"/>
      <c r="L233">
        <f t="shared" si="29"/>
        <v>1900</v>
      </c>
      <c r="M233" t="str">
        <f t="shared" si="30"/>
        <v>4</v>
      </c>
      <c r="N233" s="193" t="e">
        <f t="shared" si="31"/>
        <v>#DIV/0!</v>
      </c>
    </row>
    <row r="234" spans="1:14" x14ac:dyDescent="0.25">
      <c r="A234" s="646">
        <f t="shared" si="28"/>
        <v>19004</v>
      </c>
      <c r="H234" s="193"/>
      <c r="I234" s="193"/>
      <c r="J234" s="193"/>
      <c r="K234" s="193"/>
      <c r="L234">
        <f t="shared" si="29"/>
        <v>1900</v>
      </c>
      <c r="M234" t="str">
        <f t="shared" si="30"/>
        <v>4</v>
      </c>
      <c r="N234" s="193" t="e">
        <f t="shared" si="31"/>
        <v>#DIV/0!</v>
      </c>
    </row>
    <row r="235" spans="1:14" x14ac:dyDescent="0.25">
      <c r="A235" s="646">
        <f t="shared" si="28"/>
        <v>19004</v>
      </c>
      <c r="H235" s="193"/>
      <c r="I235" s="193"/>
      <c r="J235" s="193"/>
      <c r="K235" s="193"/>
      <c r="L235">
        <f t="shared" si="29"/>
        <v>1900</v>
      </c>
      <c r="M235" t="str">
        <f t="shared" si="30"/>
        <v>4</v>
      </c>
      <c r="N235" s="193" t="e">
        <f t="shared" si="31"/>
        <v>#DIV/0!</v>
      </c>
    </row>
    <row r="236" spans="1:14" x14ac:dyDescent="0.25">
      <c r="A236" s="646">
        <f t="shared" si="28"/>
        <v>19004</v>
      </c>
      <c r="H236" s="193"/>
      <c r="I236" s="193"/>
      <c r="J236" s="193"/>
      <c r="K236" s="193"/>
      <c r="L236">
        <f t="shared" si="29"/>
        <v>1900</v>
      </c>
      <c r="M236" t="str">
        <f t="shared" si="30"/>
        <v>4</v>
      </c>
      <c r="N236" s="193" t="e">
        <f t="shared" si="31"/>
        <v>#DIV/0!</v>
      </c>
    </row>
    <row r="237" spans="1:14" x14ac:dyDescent="0.25">
      <c r="A237" s="646">
        <f t="shared" si="28"/>
        <v>19004</v>
      </c>
      <c r="H237" s="193"/>
      <c r="I237" s="193"/>
      <c r="J237" s="193"/>
      <c r="K237" s="193"/>
      <c r="L237">
        <f t="shared" si="29"/>
        <v>1900</v>
      </c>
      <c r="M237" t="str">
        <f t="shared" si="30"/>
        <v>4</v>
      </c>
      <c r="N237" s="193" t="e">
        <f t="shared" si="31"/>
        <v>#DIV/0!</v>
      </c>
    </row>
    <row r="238" spans="1:14" x14ac:dyDescent="0.25">
      <c r="A238" s="646">
        <f t="shared" si="28"/>
        <v>19004</v>
      </c>
      <c r="H238" s="193"/>
      <c r="I238" s="193"/>
      <c r="J238" s="193"/>
      <c r="K238" s="193"/>
      <c r="L238">
        <f t="shared" si="29"/>
        <v>1900</v>
      </c>
      <c r="M238" t="str">
        <f t="shared" si="30"/>
        <v>4</v>
      </c>
      <c r="N238" s="193" t="e">
        <f t="shared" si="31"/>
        <v>#DIV/0!</v>
      </c>
    </row>
    <row r="239" spans="1:14" x14ac:dyDescent="0.25">
      <c r="A239" s="646">
        <f t="shared" si="28"/>
        <v>19004</v>
      </c>
      <c r="H239" s="193"/>
      <c r="I239" s="193"/>
      <c r="J239" s="193"/>
      <c r="K239" s="193"/>
      <c r="L239">
        <f t="shared" si="29"/>
        <v>1900</v>
      </c>
      <c r="M239" t="str">
        <f t="shared" si="30"/>
        <v>4</v>
      </c>
      <c r="N239" s="193" t="e">
        <f t="shared" si="31"/>
        <v>#DIV/0!</v>
      </c>
    </row>
    <row r="240" spans="1:14" x14ac:dyDescent="0.25">
      <c r="A240" s="646">
        <f t="shared" si="28"/>
        <v>19004</v>
      </c>
      <c r="H240" s="193"/>
      <c r="I240" s="193"/>
      <c r="J240" s="193"/>
      <c r="K240" s="193"/>
      <c r="L240">
        <f t="shared" si="29"/>
        <v>1900</v>
      </c>
      <c r="M240" t="str">
        <f t="shared" si="30"/>
        <v>4</v>
      </c>
      <c r="N240" s="193" t="e">
        <f t="shared" si="31"/>
        <v>#DIV/0!</v>
      </c>
    </row>
    <row r="241" spans="1:14" x14ac:dyDescent="0.25">
      <c r="A241" s="646">
        <f t="shared" si="28"/>
        <v>19004</v>
      </c>
      <c r="H241" s="193"/>
      <c r="I241" s="193"/>
      <c r="J241" s="193"/>
      <c r="K241" s="193"/>
      <c r="L241">
        <f t="shared" si="29"/>
        <v>1900</v>
      </c>
      <c r="M241" t="str">
        <f t="shared" si="30"/>
        <v>4</v>
      </c>
      <c r="N241" s="193" t="e">
        <f t="shared" si="31"/>
        <v>#DIV/0!</v>
      </c>
    </row>
    <row r="242" spans="1:14" x14ac:dyDescent="0.25">
      <c r="A242" s="646">
        <f t="shared" si="28"/>
        <v>19004</v>
      </c>
      <c r="H242" s="193"/>
      <c r="I242" s="193"/>
      <c r="J242" s="193"/>
      <c r="K242" s="193"/>
      <c r="L242">
        <f t="shared" si="29"/>
        <v>1900</v>
      </c>
      <c r="M242" t="str">
        <f t="shared" si="30"/>
        <v>4</v>
      </c>
      <c r="N242" s="193" t="e">
        <f t="shared" si="31"/>
        <v>#DIV/0!</v>
      </c>
    </row>
    <row r="243" spans="1:14" x14ac:dyDescent="0.25">
      <c r="A243" s="646">
        <f t="shared" si="28"/>
        <v>19004</v>
      </c>
      <c r="H243" s="193"/>
      <c r="I243" s="193"/>
      <c r="J243" s="193"/>
      <c r="K243" s="193"/>
      <c r="L243">
        <f t="shared" si="29"/>
        <v>1900</v>
      </c>
      <c r="M243" t="str">
        <f t="shared" si="30"/>
        <v>4</v>
      </c>
      <c r="N243" s="193" t="e">
        <f t="shared" si="31"/>
        <v>#DIV/0!</v>
      </c>
    </row>
    <row r="244" spans="1:14" x14ac:dyDescent="0.25">
      <c r="A244" s="646">
        <f t="shared" si="28"/>
        <v>19004</v>
      </c>
      <c r="H244" s="193"/>
      <c r="I244" s="193"/>
      <c r="J244" s="193"/>
      <c r="K244" s="193"/>
      <c r="L244">
        <f t="shared" si="29"/>
        <v>1900</v>
      </c>
      <c r="M244" t="str">
        <f t="shared" si="30"/>
        <v>4</v>
      </c>
      <c r="N244" s="193" t="e">
        <f t="shared" si="31"/>
        <v>#DIV/0!</v>
      </c>
    </row>
    <row r="245" spans="1:14" x14ac:dyDescent="0.25">
      <c r="A245" s="646">
        <f t="shared" si="28"/>
        <v>19004</v>
      </c>
      <c r="H245" s="193"/>
      <c r="I245" s="193"/>
      <c r="J245" s="193"/>
      <c r="K245" s="193"/>
      <c r="L245">
        <f t="shared" si="29"/>
        <v>1900</v>
      </c>
      <c r="M245" t="str">
        <f t="shared" si="30"/>
        <v>4</v>
      </c>
      <c r="N245" s="193" t="e">
        <f t="shared" si="31"/>
        <v>#DIV/0!</v>
      </c>
    </row>
    <row r="246" spans="1:14" x14ac:dyDescent="0.25">
      <c r="A246" s="646">
        <f t="shared" si="28"/>
        <v>19004</v>
      </c>
      <c r="H246" s="193"/>
      <c r="I246" s="193"/>
      <c r="J246" s="193"/>
      <c r="K246" s="193"/>
      <c r="L246">
        <f t="shared" si="29"/>
        <v>1900</v>
      </c>
      <c r="M246" t="str">
        <f t="shared" si="30"/>
        <v>4</v>
      </c>
      <c r="N246" s="193" t="e">
        <f t="shared" si="31"/>
        <v>#DIV/0!</v>
      </c>
    </row>
    <row r="247" spans="1:14" x14ac:dyDescent="0.25">
      <c r="A247" s="646">
        <f t="shared" si="28"/>
        <v>19004</v>
      </c>
      <c r="H247" s="193"/>
      <c r="I247" s="193"/>
      <c r="J247" s="193"/>
      <c r="K247" s="193"/>
      <c r="L247">
        <f t="shared" si="29"/>
        <v>1900</v>
      </c>
      <c r="M247" t="str">
        <f t="shared" si="30"/>
        <v>4</v>
      </c>
      <c r="N247" s="193" t="e">
        <f t="shared" si="31"/>
        <v>#DIV/0!</v>
      </c>
    </row>
    <row r="248" spans="1:14" x14ac:dyDescent="0.25">
      <c r="A248" s="646">
        <f t="shared" si="28"/>
        <v>19004</v>
      </c>
      <c r="H248" s="193"/>
      <c r="I248" s="193"/>
      <c r="J248" s="193"/>
      <c r="K248" s="193"/>
      <c r="L248">
        <f t="shared" si="29"/>
        <v>1900</v>
      </c>
      <c r="M248" t="str">
        <f t="shared" si="30"/>
        <v>4</v>
      </c>
      <c r="N248" s="193" t="e">
        <f t="shared" si="31"/>
        <v>#DIV/0!</v>
      </c>
    </row>
    <row r="249" spans="1:14" x14ac:dyDescent="0.25">
      <c r="A249" s="646">
        <f t="shared" si="28"/>
        <v>19004</v>
      </c>
      <c r="H249" s="193"/>
      <c r="I249" s="193"/>
      <c r="J249" s="193"/>
      <c r="K249" s="193"/>
      <c r="L249">
        <f t="shared" si="29"/>
        <v>1900</v>
      </c>
      <c r="M249" t="str">
        <f t="shared" si="30"/>
        <v>4</v>
      </c>
      <c r="N249" s="193" t="e">
        <f t="shared" si="31"/>
        <v>#DIV/0!</v>
      </c>
    </row>
    <row r="250" spans="1:14" x14ac:dyDescent="0.25">
      <c r="A250" s="646">
        <f t="shared" si="28"/>
        <v>19004</v>
      </c>
      <c r="H250" s="193"/>
      <c r="I250" s="193"/>
      <c r="J250" s="193"/>
      <c r="K250" s="193"/>
      <c r="L250">
        <f t="shared" si="29"/>
        <v>1900</v>
      </c>
      <c r="M250" t="str">
        <f t="shared" si="30"/>
        <v>4</v>
      </c>
      <c r="N250" s="193" t="e">
        <f t="shared" si="31"/>
        <v>#DIV/0!</v>
      </c>
    </row>
    <row r="251" spans="1:14" x14ac:dyDescent="0.25">
      <c r="A251" s="646">
        <f t="shared" si="28"/>
        <v>19004</v>
      </c>
      <c r="H251" s="193"/>
      <c r="I251" s="193"/>
      <c r="J251" s="193"/>
      <c r="K251" s="193"/>
      <c r="L251">
        <f t="shared" si="29"/>
        <v>1900</v>
      </c>
      <c r="M251" t="str">
        <f t="shared" si="30"/>
        <v>4</v>
      </c>
      <c r="N251" s="193" t="e">
        <f t="shared" si="31"/>
        <v>#DIV/0!</v>
      </c>
    </row>
    <row r="252" spans="1:14" x14ac:dyDescent="0.25">
      <c r="A252" s="646">
        <f t="shared" si="28"/>
        <v>19004</v>
      </c>
      <c r="H252" s="193"/>
      <c r="I252" s="193"/>
      <c r="J252" s="193"/>
      <c r="K252" s="193"/>
      <c r="L252">
        <f t="shared" si="29"/>
        <v>1900</v>
      </c>
      <c r="M252" t="str">
        <f t="shared" si="30"/>
        <v>4</v>
      </c>
      <c r="N252" s="193" t="e">
        <f t="shared" si="31"/>
        <v>#DIV/0!</v>
      </c>
    </row>
  </sheetData>
  <mergeCells count="16">
    <mergeCell ref="Z59:AB59"/>
    <mergeCell ref="Z60:AB60"/>
    <mergeCell ref="Z12:AB12"/>
    <mergeCell ref="Z35:AB35"/>
    <mergeCell ref="Z36:AB36"/>
    <mergeCell ref="AE35:AM35"/>
    <mergeCell ref="AD36:AM36"/>
    <mergeCell ref="AE37:AG37"/>
    <mergeCell ref="AH37:AJ37"/>
    <mergeCell ref="AK37:AM37"/>
    <mergeCell ref="Z11:AB11"/>
    <mergeCell ref="B7:K7"/>
    <mergeCell ref="B8:K8"/>
    <mergeCell ref="C9:E9"/>
    <mergeCell ref="F9:H9"/>
    <mergeCell ref="I9:K9"/>
  </mergeCells>
  <dataValidations count="1">
    <dataValidation type="list" allowBlank="1" showInputMessage="1" showErrorMessage="1" promptTitle="Selecta Period:" prompt="Select Financial or Calendar years." sqref="AE35:AM35" xr:uid="{C9831B3E-AC63-43C4-B5B6-524384105BC0}">
      <formula1>$B$1:$B$2</formula1>
    </dataValidation>
  </dataValidation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6ADB5-78D2-4DDB-8996-A1AB2D4151B6}">
  <sheetPr>
    <tabColor theme="8" tint="0.39997558519241921"/>
  </sheetPr>
  <dimension ref="A1:Y27"/>
  <sheetViews>
    <sheetView showGridLines="0" zoomScale="85" zoomScaleNormal="85" workbookViewId="0"/>
  </sheetViews>
  <sheetFormatPr defaultColWidth="9.140625" defaultRowHeight="15" x14ac:dyDescent="0.25"/>
  <cols>
    <col min="1" max="1" width="24.5703125" customWidth="1"/>
    <col min="2" max="2" width="5.28515625" bestFit="1" customWidth="1"/>
    <col min="3" max="3" width="17.28515625" bestFit="1" customWidth="1"/>
    <col min="4" max="4" width="15.140625" bestFit="1" customWidth="1"/>
    <col min="5" max="14" width="15.42578125" customWidth="1"/>
    <col min="22" max="22" width="9.140625" style="64"/>
    <col min="23" max="23" width="17.85546875" style="64" customWidth="1"/>
    <col min="24" max="25" width="9.140625" style="64"/>
  </cols>
  <sheetData>
    <row r="1" spans="1:25" x14ac:dyDescent="0.25">
      <c r="V1" s="64" t="s">
        <v>71</v>
      </c>
      <c r="W1" s="64" t="str">
        <f>"Petroleum Exports "&amp;B8&amp;CHAR(10)&amp;"Total Value: $"&amp;TEXT(C23,"#,###")</f>
        <v>Petroleum Exports 2023
Total Value: $</v>
      </c>
      <c r="X1" s="64" t="s">
        <v>178</v>
      </c>
      <c r="Y1" s="64" cm="1">
        <f t="array" ref="Y1:Y17">IF($B$7="Calendar Year",
_xlfn._xlws.SORT(_xlfn.UNIQUE(_xlfn._xlws.FILTER('Commodity Prices'!$BB:$BB, 'Commodity Prices'!$BA:$BA=$V$1))),
_xlfn._xlws.SORT(_xlfn.UNIQUE(_xlfn._xlws.FILTER('Commodity Prices'!$BI:$BI, 'Commodity Prices'!$BH:$BH=$V$1)))
)</f>
        <v>2007</v>
      </c>
    </row>
    <row r="2" spans="1:25" x14ac:dyDescent="0.25">
      <c r="W2" s="64" t="str">
        <f>IF($B$7=X1,IF(RIGHT(LEFT(B8,5),1)="-","Mismatch Error",""),IF(LEN(B8)=4,"Mismatch Error",""))</f>
        <v/>
      </c>
      <c r="X2" s="64" t="s">
        <v>179</v>
      </c>
      <c r="Y2" s="64">
        <v>2008</v>
      </c>
    </row>
    <row r="3" spans="1:25" x14ac:dyDescent="0.25">
      <c r="Y3" s="64">
        <v>2009</v>
      </c>
    </row>
    <row r="4" spans="1:25" ht="15" customHeight="1" x14ac:dyDescent="0.25">
      <c r="Y4" s="64">
        <v>2010</v>
      </c>
    </row>
    <row r="5" spans="1:25" ht="15" customHeight="1" x14ac:dyDescent="0.25">
      <c r="Y5" s="64">
        <v>2011</v>
      </c>
    </row>
    <row r="6" spans="1:25" ht="15" customHeight="1" thickBot="1" x14ac:dyDescent="0.3">
      <c r="Y6" s="64">
        <v>2012</v>
      </c>
    </row>
    <row r="7" spans="1:25" x14ac:dyDescent="0.25">
      <c r="A7" s="1102" t="s">
        <v>158</v>
      </c>
      <c r="B7" s="1516" t="s">
        <v>178</v>
      </c>
      <c r="C7" s="1516"/>
      <c r="D7" s="1517"/>
      <c r="E7" s="260"/>
      <c r="Y7" s="64">
        <v>2013</v>
      </c>
    </row>
    <row r="8" spans="1:25" ht="15.75" thickBot="1" x14ac:dyDescent="0.3">
      <c r="A8" s="1103" t="s">
        <v>158</v>
      </c>
      <c r="B8" s="1518">
        <v>2023</v>
      </c>
      <c r="C8" s="1518"/>
      <c r="D8" s="1519"/>
      <c r="E8" s="260"/>
      <c r="Y8" s="64">
        <v>2014</v>
      </c>
    </row>
    <row r="9" spans="1:25" x14ac:dyDescent="0.25">
      <c r="Y9" s="64">
        <v>2015</v>
      </c>
    </row>
    <row r="10" spans="1:25" ht="15.75" thickBot="1" x14ac:dyDescent="0.3">
      <c r="A10" s="1393" t="str">
        <f>IF($B$8="Click here to select an option","Select a year above for display.",CONCATENATE("Exports ",B8))</f>
        <v>Exports 2023</v>
      </c>
      <c r="B10" s="1393"/>
      <c r="C10" s="1393"/>
      <c r="D10" s="1393"/>
      <c r="Y10" s="64">
        <v>2016</v>
      </c>
    </row>
    <row r="11" spans="1:25" x14ac:dyDescent="0.25">
      <c r="A11" s="1102" t="s">
        <v>562</v>
      </c>
      <c r="B11" s="1104" t="s">
        <v>274</v>
      </c>
      <c r="C11" s="1105" t="s">
        <v>563</v>
      </c>
      <c r="D11" s="1106" t="s">
        <v>276</v>
      </c>
      <c r="Y11" s="64">
        <v>2017</v>
      </c>
    </row>
    <row r="12" spans="1:25" x14ac:dyDescent="0.25">
      <c r="A12" s="1107" t="str" cm="1">
        <f t="array" ref="A12">IF($W$2="Mismatch Error","Mismatch Error",
IF($B$7="Calendar Year",
INDEX('Commodity Prices'!$BA:$BF,MATCH(1,(('Commodity Prices'!$BA:$BA)=$V$1)*(('Commodity Prices'!$BB:$BB)=$B$8)*(('Commodity Prices'!$BD:$BD)=$B12),0),3),
INDEX('Commodity Prices'!$BH:$BM,MATCH(1,(('Commodity Prices'!$BH:$BH)=$V$1)*(('Commodity Prices'!$BI:$BI)=$B$8)*(('Commodity Prices'!$BK:$BK)=$B12),0),3)
)
)</f>
        <v>Japan</v>
      </c>
      <c r="B12" s="1108">
        <v>1</v>
      </c>
      <c r="C12" s="1109" t="str" cm="1">
        <f t="array" ref="C12">IF($W$2="Mismatch Error","Mismatch Error",
IF($B$7="Calendar Year",
INDEX('Commodity Prices'!$BA:$BF, MATCH(1,(('Commodity Prices'!$BA:$BA)=$V$1)*(('Commodity Prices'!$BB:$BB)=$B$8)*(('Commodity Prices'!$BD:$BD)=$B12),0), 5),
INDEX('Commodity Prices'!$BH:$BM, MATCH(1,(('Commodity Prices'!$BH:$BH)=$V$1)*(('Commodity Prices'!$BI:$BI)=$B$8)*(('Commodity Prices'!$BK:$BK)=$B12),0), 5)
)
)</f>
        <v>n/a</v>
      </c>
      <c r="D12" s="1110" cm="1">
        <f t="array" ref="D12">IF($W$2="Mismatch Error","Mismatch Error",
IF($B$7="Calendar Year",
INDEX('Commodity Prices'!$BA:$BF, MATCH(1,(('Commodity Prices'!$BA:$BA)=$V$1)*(('Commodity Prices'!$BB:$BB)=$B$8)*(('Commodity Prices'!$BD:$BD)=$B12),0), 6),
INDEX('Commodity Prices'!$BH:$BM, MATCH(1,(('Commodity Prices'!$BH:$BH)=$V$1)*(('Commodity Prices'!$BI:$BI)=$B$8)*(('Commodity Prices'!$BK:$BK)=$B12),0), 6)
)
)</f>
        <v>0.38838311710299356</v>
      </c>
      <c r="Y12" s="64">
        <v>2018</v>
      </c>
    </row>
    <row r="13" spans="1:25" x14ac:dyDescent="0.25">
      <c r="A13" s="833" t="str" cm="1">
        <f t="array" ref="A13">IF($W$2="Mismatch Error","Mismatch Error",
IF($B$7="Calendar Year",
INDEX('Commodity Prices'!$BA:$BF,MATCH(1,(('Commodity Prices'!$BA:$BA)=$V$1)*(('Commodity Prices'!$BB:$BB)=$B$8)*(('Commodity Prices'!$BD:$BD)=B13),0),3),
INDEX('Commodity Prices'!$BH:$BM,MATCH(1,(('Commodity Prices'!$BH:$BH)=$V$1)*(('Commodity Prices'!$BI:$BI)=$B$8)*(('Commodity Prices'!$BK:$BK)=B13),0),3)
)
)</f>
        <v>China</v>
      </c>
      <c r="B13" s="694">
        <v>2</v>
      </c>
      <c r="C13" s="695" t="str" cm="1">
        <f t="array" ref="C13">IF($W$2="Mismatch Error","Mismatch Error",
IF($B$7="Calendar Year",
INDEX('Commodity Prices'!$BA:$BF, MATCH(1,(('Commodity Prices'!$BA:$BA)=$V$1)*(('Commodity Prices'!$BB:$BB)=$B$8)*(('Commodity Prices'!$BD:$BD)=$B13),0), 5),
INDEX('Commodity Prices'!$BH:$BM, MATCH(1,(('Commodity Prices'!$BH:$BH)=$V$1)*(('Commodity Prices'!$BI:$BI)=$B$8)*(('Commodity Prices'!$BK:$BK)=$B13),0), 5)
)
)</f>
        <v>n/a</v>
      </c>
      <c r="D13" s="696" cm="1">
        <f t="array" ref="D13">IF($W$2="Mismatch Error","Mismatch Error",
IF($B$7="Calendar Year",
INDEX('Commodity Prices'!$BA:$BF, MATCH(1,(('Commodity Prices'!$BA:$BA)=$V$1)*(('Commodity Prices'!$BB:$BB)=$B$8)*(('Commodity Prices'!$BD:$BD)=$B13),0), 6),
INDEX('Commodity Prices'!$BH:$BM, MATCH(1,(('Commodity Prices'!$BH:$BH)=$V$1)*(('Commodity Prices'!$BI:$BI)=$B$8)*(('Commodity Prices'!$BK:$BK)=$B13),0), 6)
)
)</f>
        <v>0.13646686644164946</v>
      </c>
      <c r="Y13" s="64">
        <v>2019</v>
      </c>
    </row>
    <row r="14" spans="1:25" x14ac:dyDescent="0.25">
      <c r="A14" s="1107" t="str" cm="1">
        <f t="array" ref="A14">IF($W$2="Mismatch Error","Mismatch Error",
IF($B$7="Calendar Year",
INDEX('Commodity Prices'!$BA:$BF,MATCH(1,(('Commodity Prices'!$BA:$BA)=$V$1)*(('Commodity Prices'!$BB:$BB)=$B$8)*(('Commodity Prices'!$BD:$BD)=B14),0),3),
INDEX('Commodity Prices'!$BH:$BM,MATCH(1,(('Commodity Prices'!$BH:$BH)=$V$1)*(('Commodity Prices'!$BI:$BI)=$B$8)*(('Commodity Prices'!$BK:$BK)=B14),0),3)
)
)</f>
        <v>Singapore</v>
      </c>
      <c r="B14" s="1108">
        <v>3</v>
      </c>
      <c r="C14" s="1109" t="str" cm="1">
        <f t="array" ref="C14">IF($W$2="Mismatch Error","Mismatch Error",
IF($B$7="Calendar Year",
INDEX('Commodity Prices'!$BA:$BF, MATCH(1,(('Commodity Prices'!$BA:$BA)=$V$1)*(('Commodity Prices'!$BB:$BB)=$B$8)*(('Commodity Prices'!$BD:$BD)=$B14),0), 5),
INDEX('Commodity Prices'!$BH:$BM, MATCH(1,(('Commodity Prices'!$BH:$BH)=$V$1)*(('Commodity Prices'!$BI:$BI)=$B$8)*(('Commodity Prices'!$BK:$BK)=$B14),0), 5)
)
)</f>
        <v>n/a</v>
      </c>
      <c r="D14" s="1111" cm="1">
        <f t="array" ref="D14">IF($W$2="Mismatch Error","Mismatch Error",
IF($B$7="Calendar Year",
INDEX('Commodity Prices'!$BA:$BF, MATCH(1,(('Commodity Prices'!$BA:$BA)=$V$1)*(('Commodity Prices'!$BB:$BB)=$B$8)*(('Commodity Prices'!$BD:$BD)=$B14),0), 6),
INDEX('Commodity Prices'!$BH:$BM, MATCH(1,(('Commodity Prices'!$BH:$BH)=$V$1)*(('Commodity Prices'!$BI:$BI)=$B$8)*(('Commodity Prices'!$BK:$BK)=$B14),0), 6)
)
)</f>
        <v>0.12920414970187566</v>
      </c>
      <c r="Y14" s="64">
        <v>2020</v>
      </c>
    </row>
    <row r="15" spans="1:25" x14ac:dyDescent="0.25">
      <c r="A15" s="833" t="str" cm="1">
        <f t="array" ref="A15">IF($W$2="Mismatch Error","Mismatch Error",
IF($B$7="Calendar Year",
INDEX('Commodity Prices'!$BA:$BF,MATCH(1,(('Commodity Prices'!$BA:$BA)=$V$1)*(('Commodity Prices'!$BB:$BB)=$B$8)*(('Commodity Prices'!$BD:$BD)=B15),0),3),
INDEX('Commodity Prices'!$BH:$BM,MATCH(1,(('Commodity Prices'!$BH:$BH)=$V$1)*(('Commodity Prices'!$BI:$BI)=$B$8)*(('Commodity Prices'!$BK:$BK)=B15),0),3)
)
)</f>
        <v>Korea, Republic Of</v>
      </c>
      <c r="B15" s="694">
        <v>4</v>
      </c>
      <c r="C15" s="695" t="str" cm="1">
        <f t="array" ref="C15">IF($W$2="Mismatch Error","Mismatch Error",
IF($B$7="Calendar Year",
INDEX('Commodity Prices'!$BA:$BF, MATCH(1,(('Commodity Prices'!$BA:$BA)=$V$1)*(('Commodity Prices'!$BB:$BB)=$B$8)*(('Commodity Prices'!$BD:$BD)=$B15),0), 5),
INDEX('Commodity Prices'!$BH:$BM, MATCH(1,(('Commodity Prices'!$BH:$BH)=$V$1)*(('Commodity Prices'!$BI:$BI)=$B$8)*(('Commodity Prices'!$BK:$BK)=$B15),0), 5)
)
)</f>
        <v>n/a</v>
      </c>
      <c r="D15" s="696" cm="1">
        <f t="array" ref="D15">IF($W$2="Mismatch Error","Mismatch Error",
IF($B$7="Calendar Year",
INDEX('Commodity Prices'!$BA:$BF, MATCH(1,(('Commodity Prices'!$BA:$BA)=$V$1)*(('Commodity Prices'!$BB:$BB)=$B$8)*(('Commodity Prices'!$BD:$BD)=$B15),0), 6),
INDEX('Commodity Prices'!$BH:$BM, MATCH(1,(('Commodity Prices'!$BH:$BH)=$V$1)*(('Commodity Prices'!$BI:$BI)=$B$8)*(('Commodity Prices'!$BK:$BK)=$B15),0), 6)
)
)</f>
        <v>0.11611948976282785</v>
      </c>
      <c r="Y15" s="64">
        <v>2021</v>
      </c>
    </row>
    <row r="16" spans="1:25" x14ac:dyDescent="0.25">
      <c r="A16" s="1107" t="str" cm="1">
        <f t="array" ref="A16">IF($W$2="Mismatch Error","Mismatch Error",
IF($B$7="Calendar Year",
INDEX('Commodity Prices'!$BA:$BF,MATCH(1,(('Commodity Prices'!$BA:$BA)=$V$1)*(('Commodity Prices'!$BB:$BB)=$B$8)*(('Commodity Prices'!$BD:$BD)=B16),0),3),
INDEX('Commodity Prices'!$BH:$BM,MATCH(1,(('Commodity Prices'!$BH:$BH)=$V$1)*(('Commodity Prices'!$BI:$BI)=$B$8)*(('Commodity Prices'!$BK:$BK)=B16),0),3)
)
)</f>
        <v>Taiwan, Province Of China</v>
      </c>
      <c r="B16" s="1108">
        <v>5</v>
      </c>
      <c r="C16" s="1109" t="str" cm="1">
        <f t="array" ref="C16">IF($W$2="Mismatch Error","Mismatch Error",
IF($B$7="Calendar Year",
INDEX('Commodity Prices'!$BA:$BF, MATCH(1,(('Commodity Prices'!$BA:$BA)=$V$1)*(('Commodity Prices'!$BB:$BB)=$B$8)*(('Commodity Prices'!$BD:$BD)=$B16),0), 5),
INDEX('Commodity Prices'!$BH:$BM, MATCH(1,(('Commodity Prices'!$BH:$BH)=$V$1)*(('Commodity Prices'!$BI:$BI)=$B$8)*(('Commodity Prices'!$BK:$BK)=$B16),0), 5)
)
)</f>
        <v>n/a</v>
      </c>
      <c r="D16" s="1111" cm="1">
        <f t="array" ref="D16">IF($W$2="Mismatch Error","Mismatch Error",
IF($B$7="Calendar Year",
INDEX('Commodity Prices'!$BA:$BF, MATCH(1,(('Commodity Prices'!$BA:$BA)=$V$1)*(('Commodity Prices'!$BB:$BB)=$B$8)*(('Commodity Prices'!$BD:$BD)=$B16),0), 6),
INDEX('Commodity Prices'!$BH:$BM, MATCH(1,(('Commodity Prices'!$BH:$BH)=$V$1)*(('Commodity Prices'!$BI:$BI)=$B$8)*(('Commodity Prices'!$BK:$BK)=$B16),0), 6)
)
)</f>
        <v>9.94513504667002E-2</v>
      </c>
      <c r="Y16" s="64">
        <v>2022</v>
      </c>
    </row>
    <row r="17" spans="1:25" x14ac:dyDescent="0.25">
      <c r="A17" s="833" t="str" cm="1">
        <f t="array" ref="A17">IF($W$2="Mismatch Error","Mismatch Error",
IF($B$7="Calendar Year",
INDEX('Commodity Prices'!$BA:$BF,MATCH(1,(('Commodity Prices'!$BA:$BA)=$V$1)*(('Commodity Prices'!$BB:$BB)=$B$8)*(('Commodity Prices'!$BD:$BD)=B17),0),3),
INDEX('Commodity Prices'!$BH:$BM,MATCH(1,(('Commodity Prices'!$BH:$BH)=$V$1)*(('Commodity Prices'!$BI:$BI)=$B$8)*(('Commodity Prices'!$BK:$BK)=B17),0),3)
)
)</f>
        <v>Thailand</v>
      </c>
      <c r="B17" s="694">
        <v>6</v>
      </c>
      <c r="C17" s="695" t="str" cm="1">
        <f t="array" ref="C17">IF($W$2="Mismatch Error","Mismatch Error",
IF($B$7="Calendar Year",
INDEX('Commodity Prices'!$BA:$BF, MATCH(1,(('Commodity Prices'!$BA:$BA)=$V$1)*(('Commodity Prices'!$BB:$BB)=$B$8)*(('Commodity Prices'!$BD:$BD)=$B17),0), 5),
INDEX('Commodity Prices'!$BH:$BM, MATCH(1,(('Commodity Prices'!$BH:$BH)=$V$1)*(('Commodity Prices'!$BI:$BI)=$B$8)*(('Commodity Prices'!$BK:$BK)=$B17),0), 5)
)
)</f>
        <v>n/a</v>
      </c>
      <c r="D17" s="696" cm="1">
        <f t="array" ref="D17">IF($W$2="Mismatch Error","Mismatch Error",
IF($B$7="Calendar Year",
INDEX('Commodity Prices'!$BA:$BF, MATCH(1,(('Commodity Prices'!$BA:$BA)=$V$1)*(('Commodity Prices'!$BB:$BB)=$B$8)*(('Commodity Prices'!$BD:$BD)=$B17),0), 6),
INDEX('Commodity Prices'!$BH:$BM, MATCH(1,(('Commodity Prices'!$BH:$BH)=$V$1)*(('Commodity Prices'!$BI:$BI)=$B$8)*(('Commodity Prices'!$BK:$BK)=$B17),0), 6)
)
)</f>
        <v>5.9475147885704328E-2</v>
      </c>
      <c r="Y17" s="64">
        <v>2023</v>
      </c>
    </row>
    <row r="18" spans="1:25" x14ac:dyDescent="0.25">
      <c r="A18" s="1107" t="str" cm="1">
        <f t="array" ref="A18">IF($W$2="Mismatch Error","Mismatch Error",
IF($B$7="Calendar Year",
INDEX('Commodity Prices'!$BA:$BF,MATCH(1,(('Commodity Prices'!$BA:$BA)=$V$1)*(('Commodity Prices'!$BB:$BB)=$B$8)*(('Commodity Prices'!$BD:$BD)=B18),0),3),
INDEX('Commodity Prices'!$BH:$BM,MATCH(1,(('Commodity Prices'!$BH:$BH)=$V$1)*(('Commodity Prices'!$BI:$BI)=$B$8)*(('Commodity Prices'!$BK:$BK)=B18),0),3)
)
)</f>
        <v>Malaysia</v>
      </c>
      <c r="B18" s="1108">
        <v>7</v>
      </c>
      <c r="C18" s="1109" t="str" cm="1">
        <f t="array" ref="C18">IF($W$2="Mismatch Error","Mismatch Error",
IF($B$7="Calendar Year",
INDEX('Commodity Prices'!$BA:$BF, MATCH(1,(('Commodity Prices'!$BA:$BA)=$V$1)*(('Commodity Prices'!$BB:$BB)=$B$8)*(('Commodity Prices'!$BD:$BD)=$B18),0), 5),
INDEX('Commodity Prices'!$BH:$BM, MATCH(1,(('Commodity Prices'!$BH:$BH)=$V$1)*(('Commodity Prices'!$BI:$BI)=$B$8)*(('Commodity Prices'!$BK:$BK)=$B18),0), 5)
)
)</f>
        <v>n/a</v>
      </c>
      <c r="D18" s="1111" cm="1">
        <f t="array" ref="D18">IF($W$2="Mismatch Error","Mismatch Error",
IF($B$7="Calendar Year",
INDEX('Commodity Prices'!$BA:$BF, MATCH(1,(('Commodity Prices'!$BA:$BA)=$V$1)*(('Commodity Prices'!$BB:$BB)=$B$8)*(('Commodity Prices'!$BD:$BD)=$B18),0), 6),
INDEX('Commodity Prices'!$BH:$BM, MATCH(1,(('Commodity Prices'!$BH:$BH)=$V$1)*(('Commodity Prices'!$BI:$BI)=$B$8)*(('Commodity Prices'!$BK:$BK)=$B18),0), 6)
)
)</f>
        <v>2.7288636594375231E-2</v>
      </c>
    </row>
    <row r="19" spans="1:25" x14ac:dyDescent="0.25">
      <c r="A19" s="833" t="str" cm="1">
        <f t="array" ref="A19">IF($W$2="Mismatch Error","Mismatch Error",
IF($B$7="Calendar Year",
INDEX('Commodity Prices'!$BA:$BF,MATCH(1,(('Commodity Prices'!$BA:$BA)=$V$1)*(('Commodity Prices'!$BB:$BB)=$B$8)*(('Commodity Prices'!$BD:$BD)=B19),0),3),
INDEX('Commodity Prices'!$BH:$BM,MATCH(1,(('Commodity Prices'!$BH:$BH)=$V$1)*(('Commodity Prices'!$BI:$BI)=$B$8)*(('Commodity Prices'!$BK:$BK)=B19),0),3)
)
)</f>
        <v>Indonesia</v>
      </c>
      <c r="B19" s="694">
        <v>8</v>
      </c>
      <c r="C19" s="695" t="str" cm="1">
        <f t="array" ref="C19">IF($W$2="Mismatch Error","Mismatch Error",
IF($B$7="Calendar Year",
INDEX('Commodity Prices'!$BA:$BF, MATCH(1,(('Commodity Prices'!$BA:$BA)=$V$1)*(('Commodity Prices'!$BB:$BB)=$B$8)*(('Commodity Prices'!$BD:$BD)=$B19),0), 5),
INDEX('Commodity Prices'!$BH:$BM, MATCH(1,(('Commodity Prices'!$BH:$BH)=$V$1)*(('Commodity Prices'!$BI:$BI)=$B$8)*(('Commodity Prices'!$BK:$BK)=$B19),0), 5)
)
)</f>
        <v>n/a</v>
      </c>
      <c r="D19" s="696" cm="1">
        <f t="array" ref="D19">IF($W$2="Mismatch Error","Mismatch Error",
IF($B$7="Calendar Year",
INDEX('Commodity Prices'!$BA:$BF, MATCH(1,(('Commodity Prices'!$BA:$BA)=$V$1)*(('Commodity Prices'!$BB:$BB)=$B$8)*(('Commodity Prices'!$BD:$BD)=$B19),0), 6),
INDEX('Commodity Prices'!$BH:$BM, MATCH(1,(('Commodity Prices'!$BH:$BH)=$V$1)*(('Commodity Prices'!$BI:$BI)=$B$8)*(('Commodity Prices'!$BK:$BK)=$B19),0), 6)
)
)</f>
        <v>2.166938502390971E-2</v>
      </c>
    </row>
    <row r="20" spans="1:25" x14ac:dyDescent="0.25">
      <c r="A20" s="1107" t="str" cm="1">
        <f t="array" ref="A20">IF($W$2="Mismatch Error","Mismatch Error",
IF($B$7="Calendar Year",
INDEX('Commodity Prices'!$BA:$BF,MATCH(1,(('Commodity Prices'!$BA:$BA)=$V$1)*(('Commodity Prices'!$BB:$BB)=$B$8)*(('Commodity Prices'!$BD:$BD)=B20),0),3),
INDEX('Commodity Prices'!$BH:$BM,MATCH(1,(('Commodity Prices'!$BH:$BH)=$V$1)*(('Commodity Prices'!$BI:$BI)=$B$8)*(('Commodity Prices'!$BK:$BK)=B20),0),3)
)
)</f>
        <v>Brunei Darussalam</v>
      </c>
      <c r="B20" s="1108">
        <v>9</v>
      </c>
      <c r="C20" s="1109" t="str" cm="1">
        <f t="array" ref="C20">IF($W$2="Mismatch Error","Mismatch Error",
IF($B$7="Calendar Year",
INDEX('Commodity Prices'!$BA:$BF, MATCH(1,(('Commodity Prices'!$BA:$BA)=$V$1)*(('Commodity Prices'!$BB:$BB)=$B$8)*(('Commodity Prices'!$BD:$BD)=$B20),0), 5),
INDEX('Commodity Prices'!$BH:$BM, MATCH(1,(('Commodity Prices'!$BH:$BH)=$V$1)*(('Commodity Prices'!$BI:$BI)=$B$8)*(('Commodity Prices'!$BK:$BK)=$B20),0), 5)
)
)</f>
        <v>n/a</v>
      </c>
      <c r="D20" s="1111" cm="1">
        <f t="array" ref="D20">IF($W$2="Mismatch Error","Mismatch Error",
IF($B$7="Calendar Year",
INDEX('Commodity Prices'!$BA:$BF, MATCH(1,(('Commodity Prices'!$BA:$BA)=$V$1)*(('Commodity Prices'!$BB:$BB)=$B$8)*(('Commodity Prices'!$BD:$BD)=$B20),0), 6),
INDEX('Commodity Prices'!$BH:$BM, MATCH(1,(('Commodity Prices'!$BH:$BH)=$V$1)*(('Commodity Prices'!$BI:$BI)=$B$8)*(('Commodity Prices'!$BK:$BK)=$B20),0), 6)
)
)</f>
        <v>1.0560995345139381E-2</v>
      </c>
    </row>
    <row r="21" spans="1:25" x14ac:dyDescent="0.25">
      <c r="A21" s="833" t="str" cm="1">
        <f t="array" ref="A21">IF($W$2="Mismatch Error","Mismatch Error",
IF($B$7="Calendar Year",
INDEX('Commodity Prices'!$BA:$BF,MATCH(1,(('Commodity Prices'!$BA:$BA)=$V$1)*(('Commodity Prices'!$BB:$BB)=$B$8)*(('Commodity Prices'!$BD:$BD)=B21),0),3),
INDEX('Commodity Prices'!$BH:$BM,MATCH(1,(('Commodity Prices'!$BH:$BH)=$V$1)*(('Commodity Prices'!$BI:$BI)=$B$8)*(('Commodity Prices'!$BK:$BK)=B21),0),3)
)
)</f>
        <v>India</v>
      </c>
      <c r="B21" s="694">
        <v>10</v>
      </c>
      <c r="C21" s="695" t="str" cm="1">
        <f t="array" ref="C21">IF($W$2="Mismatch Error","Mismatch Error",
IF($B$7="Calendar Year",
INDEX('Commodity Prices'!$BA:$BF, MATCH(1,(('Commodity Prices'!$BA:$BA)=$V$1)*(('Commodity Prices'!$BB:$BB)=$B$8)*(('Commodity Prices'!$BD:$BD)=$B21),0), 5),
INDEX('Commodity Prices'!$BH:$BM, MATCH(1,(('Commodity Prices'!$BH:$BH)=$V$1)*(('Commodity Prices'!$BI:$BI)=$B$8)*(('Commodity Prices'!$BK:$BK)=$B21),0), 5)
)
)</f>
        <v>n/a</v>
      </c>
      <c r="D21" s="696" cm="1">
        <f t="array" ref="D21">IF($W$2="Mismatch Error","Mismatch Error",
IF($B$7="Calendar Year",
INDEX('Commodity Prices'!$BA:$BF, MATCH(1,(('Commodity Prices'!$BA:$BA)=$V$1)*(('Commodity Prices'!$BB:$BB)=$B$8)*(('Commodity Prices'!$BD:$BD)=$B21),0), 6),
INDEX('Commodity Prices'!$BH:$BM, MATCH(1,(('Commodity Prices'!$BH:$BH)=$V$1)*(('Commodity Prices'!$BI:$BI)=$B$8)*(('Commodity Prices'!$BK:$BK)=$B21),0), 6)
)
)</f>
        <v>3.6705741683558707E-3</v>
      </c>
      <c r="Y21" s="64" t="str">
        <f t="shared" ref="Y21:Y27" si="0">IFERROR(IF($B$7=$X$1,IF($Z$1&lt;=(Y20-1),Y20-1,""),IF($Z$1=VALUE(LEFT(Y20,4)),"",CONCATENATE(VALUE(LEFT(Y20,4))-1,"-",RIGHT(LEFT(Y20,4),2)))),"")</f>
        <v/>
      </c>
    </row>
    <row r="22" spans="1:25" x14ac:dyDescent="0.25">
      <c r="A22" s="1107" t="str">
        <f>IF($W$2="Mismatch Error","","Other")</f>
        <v>Other</v>
      </c>
      <c r="B22" s="1108"/>
      <c r="C22" s="1109" t="str" cm="1">
        <f t="array" ref="C22">IF($W$2="Mismatch Error","Mismatch Error",
IF($B$7="Calendar Year",
INDEX('Commodity Prices'!$BA:$BF, MATCH(1,(('Commodity Prices'!$BA:$BA)=$V$1)*(('Commodity Prices'!$BB:$BB)=$B$8)*(('Commodity Prices'!$BD:$BD)=$B22),0), 5),
INDEX('Commodity Prices'!$BH:$BM, MATCH(1,(('Commodity Prices'!$BH:$BH)=$V$1)*(('Commodity Prices'!$BI:$BI)=$B$8)*(('Commodity Prices'!$BK:$BK)=$B22),0), 5)
)
)</f>
        <v>n/a</v>
      </c>
      <c r="D22" s="1112" cm="1">
        <f t="array" ref="D22">IF($W$2="Mismatch Error","Mismatch Error",
IF($B$7="Calendar Year",
INDEX('Commodity Prices'!$BA:$BF, MATCH(1,(('Commodity Prices'!$BA:$BA)=$V$1)*(('Commodity Prices'!$BB:$BB)=$B$8)*(('Commodity Prices'!$BD:$BD)=$B22),0), 6),
INDEX('Commodity Prices'!$BH:$BM, MATCH(1,(('Commodity Prices'!$BH:$BH)=$V$1)*(('Commodity Prices'!$BI:$BI)=$B$8)*(('Commodity Prices'!$BK:$BK)=$B22),0), 6)
)
)</f>
        <v>7.710287506468903E-3</v>
      </c>
      <c r="E22" s="2"/>
      <c r="Y22" s="64" t="str">
        <f t="shared" si="0"/>
        <v/>
      </c>
    </row>
    <row r="23" spans="1:25" ht="15.75" thickBot="1" x14ac:dyDescent="0.3">
      <c r="A23" s="513" t="str">
        <f>IF($W$2="Mismatch Error","","Grand Total")</f>
        <v>Grand Total</v>
      </c>
      <c r="B23" s="514"/>
      <c r="C23" s="515">
        <f>SUM(C12:C22)</f>
        <v>0</v>
      </c>
      <c r="D23" s="1113"/>
      <c r="Y23" s="64" t="str">
        <f t="shared" si="0"/>
        <v/>
      </c>
    </row>
    <row r="24" spans="1:25" x14ac:dyDescent="0.25">
      <c r="Y24" s="64" t="str">
        <f t="shared" si="0"/>
        <v/>
      </c>
    </row>
    <row r="25" spans="1:25" x14ac:dyDescent="0.25">
      <c r="A25" s="517" t="str">
        <f>IF(A12="Mismatch Error","You have selected an incompatible year or year type. Change one or the other to display data.","")</f>
        <v/>
      </c>
      <c r="B25" s="517"/>
      <c r="C25" s="517"/>
      <c r="D25" s="517"/>
      <c r="Y25" s="64" t="str">
        <f t="shared" si="0"/>
        <v/>
      </c>
    </row>
    <row r="26" spans="1:25" x14ac:dyDescent="0.25">
      <c r="A26" s="517"/>
      <c r="B26" s="517"/>
      <c r="C26" s="517"/>
      <c r="D26" s="517"/>
      <c r="Y26" s="64" t="str">
        <f t="shared" si="0"/>
        <v/>
      </c>
    </row>
    <row r="27" spans="1:25" ht="15" customHeight="1" x14ac:dyDescent="0.25">
      <c r="A27" s="517" t="str">
        <f>IF(OR(ISNA(A12),ISNA(A13),ISNA(A14),ISNA(A15),ISNA(A16),ISNA(A17),ISNA(A18),ISNA(A19),ISNA(A20),ISNA(A21),ISNA(C12),ISNA(C13),ISNA(C14),ISNA(C15),ISNA(C16),ISNA(C17),ISNA(C18),ISNA(C19),ISNA(C20),ISNA(C21)),"You have encountered an NA Error. This is most likely caused by the accidental loss of an array formula in the table above. Click on the cell showing #N/A above, then click the formula bar and press Ctrl, Shift and Enter.","")</f>
        <v/>
      </c>
      <c r="B27" s="517"/>
      <c r="C27" s="517"/>
      <c r="D27" s="517"/>
      <c r="Y27" s="64" t="str">
        <f t="shared" si="0"/>
        <v/>
      </c>
    </row>
  </sheetData>
  <mergeCells count="3">
    <mergeCell ref="B7:D7"/>
    <mergeCell ref="B8:D8"/>
    <mergeCell ref="A10:D10"/>
  </mergeCells>
  <dataValidations count="3">
    <dataValidation allowBlank="1" promptTitle="Select a Display Factor:" prompt="Clicking here will bring up a message describing the selections you can make." sqref="E7:E8" xr:uid="{23B1AF39-84E9-4BB6-A6A9-F45F79F25CA2}"/>
    <dataValidation type="list" allowBlank="1" showInputMessage="1" showErrorMessage="1" promptTitle="Select a Display Factor:" prompt="Clicking here will bring up a message describing the selections you can make." sqref="B7:D7" xr:uid="{125A018D-D83E-4261-BC91-39D6DA34284A}">
      <formula1>$X$1:$X$2</formula1>
    </dataValidation>
    <dataValidation type="list" allowBlank="1" showInputMessage="1" showErrorMessage="1" promptTitle="Select a Display Factor:" prompt="Clicking here will bring up a message describing the selections you can make." sqref="B8:D8" xr:uid="{B0B428FE-2354-4D49-AD94-F5D388A77858}">
      <formula1>$Y$1:$Y$27</formula1>
    </dataValidation>
  </dataValidation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78AC-36E2-4F46-BA21-F65DA2EC1AA6}">
  <sheetPr>
    <tabColor theme="8" tint="0.39997558519241921"/>
  </sheetPr>
  <dimension ref="A1:V68"/>
  <sheetViews>
    <sheetView showGridLines="0" zoomScale="85" zoomScaleNormal="85" workbookViewId="0">
      <pane ySplit="8" topLeftCell="A9" activePane="bottomLeft" state="frozen"/>
      <selection pane="bottomLeft"/>
    </sheetView>
  </sheetViews>
  <sheetFormatPr defaultColWidth="9.140625" defaultRowHeight="15" x14ac:dyDescent="0.25"/>
  <cols>
    <col min="1" max="1" width="12.7109375" customWidth="1"/>
    <col min="2" max="3" width="20.7109375" customWidth="1"/>
    <col min="4" max="4" width="8.7109375" customWidth="1"/>
    <col min="5" max="5" width="11.28515625" customWidth="1"/>
    <col min="6" max="6" width="21.5703125" bestFit="1" customWidth="1"/>
    <col min="7" max="7" width="19.85546875" bestFit="1" customWidth="1"/>
    <col min="14" max="14" width="8.7109375" customWidth="1"/>
    <col min="15" max="15" width="12.7109375" customWidth="1"/>
    <col min="16" max="17" width="20.7109375" customWidth="1"/>
    <col min="18" max="18" width="18.7109375" customWidth="1"/>
    <col min="19" max="20" width="23.28515625" customWidth="1"/>
    <col min="22" max="22" width="12.5703125" bestFit="1" customWidth="1"/>
    <col min="23" max="25" width="12" bestFit="1" customWidth="1"/>
  </cols>
  <sheetData>
    <row r="1" spans="1:22" x14ac:dyDescent="0.25">
      <c r="E1" s="620"/>
      <c r="K1" s="2"/>
      <c r="L1" s="2"/>
      <c r="M1" s="2"/>
      <c r="N1" s="2"/>
      <c r="O1" s="2"/>
      <c r="P1" s="2"/>
      <c r="Q1" s="2"/>
      <c r="V1" s="58" t="str">
        <f>A7&amp;" "&amp;O21&amp;CHAR(10)&amp;"WA vs Rest of Australia"</f>
        <v>Quantity By Year 2024
WA vs Rest of Australia</v>
      </c>
    </row>
    <row r="2" spans="1:22" x14ac:dyDescent="0.25">
      <c r="K2" s="2"/>
      <c r="L2" s="2"/>
      <c r="M2" s="2"/>
      <c r="N2" s="2"/>
      <c r="O2" s="2"/>
      <c r="P2" s="2"/>
      <c r="Q2" s="2"/>
    </row>
    <row r="3" spans="1:22" x14ac:dyDescent="0.25">
      <c r="K3" s="2"/>
      <c r="L3" s="2"/>
      <c r="M3" s="2"/>
      <c r="N3" s="2"/>
      <c r="O3" s="2"/>
      <c r="P3" s="2"/>
      <c r="Q3" s="2"/>
    </row>
    <row r="4" spans="1:22" x14ac:dyDescent="0.25">
      <c r="K4" s="2"/>
      <c r="L4" s="2"/>
      <c r="M4" s="2"/>
      <c r="N4" s="2"/>
      <c r="O4" s="2"/>
      <c r="P4" s="2"/>
      <c r="Q4" s="2"/>
    </row>
    <row r="5" spans="1:22" x14ac:dyDescent="0.25">
      <c r="K5" s="2"/>
      <c r="L5" s="2"/>
      <c r="M5" s="2"/>
      <c r="N5" s="2"/>
      <c r="O5" s="2"/>
      <c r="P5" s="2"/>
      <c r="Q5" s="2"/>
    </row>
    <row r="6" spans="1:22" x14ac:dyDescent="0.25">
      <c r="K6" s="2"/>
      <c r="L6" s="2"/>
      <c r="M6" s="2"/>
      <c r="N6" s="2"/>
      <c r="O6" s="2"/>
      <c r="P6" s="2"/>
      <c r="Q6" s="2"/>
    </row>
    <row r="7" spans="1:22" ht="15.75" thickBot="1" x14ac:dyDescent="0.3">
      <c r="A7" s="1407" t="s">
        <v>587</v>
      </c>
      <c r="B7" s="1407"/>
      <c r="C7" s="1407"/>
      <c r="K7" s="2"/>
      <c r="L7" s="2"/>
      <c r="M7" s="2"/>
      <c r="N7" s="2"/>
      <c r="O7" s="2"/>
      <c r="P7" s="2"/>
      <c r="Q7" s="2"/>
    </row>
    <row r="8" spans="1:22" x14ac:dyDescent="0.25">
      <c r="A8" s="1069" t="s">
        <v>272</v>
      </c>
      <c r="B8" s="1105" t="s">
        <v>611</v>
      </c>
      <c r="C8" s="1106" t="s">
        <v>612</v>
      </c>
      <c r="K8" s="2"/>
      <c r="L8" s="2"/>
      <c r="M8" s="2"/>
      <c r="N8" s="2"/>
      <c r="O8" s="2"/>
      <c r="P8" s="2"/>
      <c r="Q8" s="2"/>
    </row>
    <row r="9" spans="1:22" x14ac:dyDescent="0.25">
      <c r="A9" s="1114">
        <v>1965</v>
      </c>
      <c r="B9" s="462">
        <v>0</v>
      </c>
      <c r="C9" s="463">
        <v>0.41661999999999999</v>
      </c>
      <c r="J9" s="64"/>
      <c r="K9" s="64"/>
      <c r="L9" s="64"/>
      <c r="M9" s="64"/>
      <c r="N9" s="2"/>
      <c r="O9" s="1393" t="s">
        <v>564</v>
      </c>
      <c r="P9" s="1393"/>
      <c r="Q9" s="1393"/>
    </row>
    <row r="10" spans="1:22" ht="15.75" thickBot="1" x14ac:dyDescent="0.3">
      <c r="A10" s="1114">
        <v>1966</v>
      </c>
      <c r="B10" s="1059">
        <v>0</v>
      </c>
      <c r="C10" s="1062">
        <v>0.53867200000000004</v>
      </c>
      <c r="J10" s="64"/>
      <c r="K10" s="64"/>
      <c r="L10" s="64"/>
      <c r="M10" s="64"/>
      <c r="N10" s="2"/>
      <c r="O10" s="1393" t="s">
        <v>567</v>
      </c>
      <c r="P10" s="1393"/>
      <c r="Q10" s="1393"/>
    </row>
    <row r="11" spans="1:22" x14ac:dyDescent="0.25">
      <c r="A11" s="1114">
        <v>1967</v>
      </c>
      <c r="B11" s="462">
        <v>0.73855690000000007</v>
      </c>
      <c r="C11" s="463">
        <v>0.46932610000000002</v>
      </c>
      <c r="J11" s="64"/>
      <c r="K11" s="64"/>
      <c r="L11" s="64"/>
      <c r="M11" s="64"/>
      <c r="N11" s="2"/>
      <c r="O11" s="1063" t="s">
        <v>272</v>
      </c>
      <c r="P11" s="1064" t="str">
        <f>B8</f>
        <v>Western Australia (GL)</v>
      </c>
      <c r="Q11" s="1065" t="str">
        <f>C8</f>
        <v>Rest of Australia (GL)</v>
      </c>
    </row>
    <row r="12" spans="1:22" x14ac:dyDescent="0.25">
      <c r="A12" s="1114">
        <v>1968</v>
      </c>
      <c r="B12" s="1059">
        <v>1.691354</v>
      </c>
      <c r="C12" s="1062">
        <v>0.51414490000000002</v>
      </c>
      <c r="J12" s="64"/>
      <c r="K12" s="64" t="s">
        <v>541</v>
      </c>
      <c r="L12" s="64"/>
      <c r="M12" s="64"/>
      <c r="N12" s="2"/>
      <c r="O12" s="1115">
        <f>LARGE(A$9:A$72,10)</f>
        <v>2015</v>
      </c>
      <c r="P12" s="525">
        <f t="shared" ref="P12:P21" ca="1" si="0">SUMIF($A$9:$A$77,$O12,B$9:B$76)</f>
        <v>14.973535984</v>
      </c>
      <c r="Q12" s="526">
        <f t="shared" ref="Q12:Q21" si="1">SUMIF($A$9:$A$77,$O12,C$9:C$77)</f>
        <v>3.6764640159999988</v>
      </c>
    </row>
    <row r="13" spans="1:22" x14ac:dyDescent="0.25">
      <c r="A13" s="1114">
        <v>1969</v>
      </c>
      <c r="B13" s="462">
        <v>2.0883660000000002</v>
      </c>
      <c r="C13" s="463">
        <v>0.41703750000000001</v>
      </c>
      <c r="J13" s="64"/>
      <c r="K13" s="64" t="s">
        <v>542</v>
      </c>
      <c r="L13" s="64"/>
      <c r="M13" s="64"/>
      <c r="N13" s="2"/>
      <c r="O13" s="1116">
        <f>LARGE(A$9:A$72,9)</f>
        <v>2016</v>
      </c>
      <c r="P13" s="1066">
        <f t="shared" ca="1" si="0"/>
        <v>12.270888789022798</v>
      </c>
      <c r="Q13" s="1117">
        <f t="shared" si="1"/>
        <v>4.7191112109772</v>
      </c>
    </row>
    <row r="14" spans="1:22" x14ac:dyDescent="0.25">
      <c r="A14" s="1114">
        <v>1970</v>
      </c>
      <c r="B14" s="1059">
        <v>2.6482829999999997</v>
      </c>
      <c r="C14" s="1062">
        <v>7.719716</v>
      </c>
      <c r="J14" s="64"/>
      <c r="K14" s="64"/>
      <c r="L14" s="64"/>
      <c r="M14" s="64"/>
      <c r="N14" s="2"/>
      <c r="O14" s="1115">
        <f>LARGE(A$9:A$72,8)</f>
        <v>2017</v>
      </c>
      <c r="P14" s="525">
        <f t="shared" ca="1" si="0"/>
        <v>11.54600424643619</v>
      </c>
      <c r="Q14" s="526">
        <f t="shared" si="1"/>
        <v>4.941995753563809</v>
      </c>
    </row>
    <row r="15" spans="1:22" x14ac:dyDescent="0.25">
      <c r="A15" s="1114">
        <v>1971</v>
      </c>
      <c r="B15" s="462">
        <v>2.5990139999999999</v>
      </c>
      <c r="C15" s="463">
        <v>15.35299</v>
      </c>
      <c r="J15" s="64"/>
      <c r="K15" s="64"/>
      <c r="L15" s="64"/>
      <c r="M15" s="64"/>
      <c r="N15" s="2"/>
      <c r="O15" s="1116">
        <f>LARGE(A$9:A$72,7)</f>
        <v>2018</v>
      </c>
      <c r="P15" s="1066">
        <f t="shared" ca="1" si="0"/>
        <v>12.419739846484219</v>
      </c>
      <c r="Q15" s="1117">
        <f t="shared" si="1"/>
        <v>5.0628409999999997</v>
      </c>
    </row>
    <row r="16" spans="1:22" x14ac:dyDescent="0.25">
      <c r="A16" s="1114">
        <v>1972</v>
      </c>
      <c r="B16" s="1059">
        <v>2.454863</v>
      </c>
      <c r="C16" s="1062">
        <v>16.546130000000002</v>
      </c>
      <c r="K16" s="2"/>
      <c r="L16" s="2"/>
      <c r="M16" s="2"/>
      <c r="N16" s="2"/>
      <c r="O16" s="1115">
        <f>LARGE(A$9:A$72,6)</f>
        <v>2019</v>
      </c>
      <c r="P16" s="525">
        <f t="shared" ca="1" si="0"/>
        <v>16.582424801030264</v>
      </c>
      <c r="Q16" s="526">
        <f t="shared" si="1"/>
        <v>6.0302290000000003</v>
      </c>
    </row>
    <row r="17" spans="1:17" x14ac:dyDescent="0.25">
      <c r="A17" s="1114">
        <v>1973</v>
      </c>
      <c r="B17" s="462">
        <v>2.3218369999999999</v>
      </c>
      <c r="C17" s="463">
        <v>20.298159999999999</v>
      </c>
      <c r="K17" s="2"/>
      <c r="L17" s="2"/>
      <c r="M17" s="2"/>
      <c r="N17" s="2"/>
      <c r="O17" s="1116">
        <f>LARGE(A$9:A$72,5)</f>
        <v>2020</v>
      </c>
      <c r="P17" s="1066">
        <f t="shared" ca="1" si="0"/>
        <v>15.955466067341865</v>
      </c>
      <c r="Q17" s="1117">
        <f t="shared" si="1"/>
        <v>5.7037979999999999</v>
      </c>
    </row>
    <row r="18" spans="1:17" x14ac:dyDescent="0.25">
      <c r="A18" s="1114">
        <v>1974</v>
      </c>
      <c r="B18" s="1059">
        <v>2.1989830000000001</v>
      </c>
      <c r="C18" s="1062">
        <v>20.20402</v>
      </c>
      <c r="K18" s="2"/>
      <c r="L18" s="2"/>
      <c r="M18" s="2"/>
      <c r="N18" s="2"/>
      <c r="O18" s="1115">
        <f>LARGE(A$9:A$72,4)</f>
        <v>2021</v>
      </c>
      <c r="P18" s="525">
        <f t="shared" ca="1" si="0"/>
        <v>16.731844391425859</v>
      </c>
      <c r="Q18" s="526">
        <f t="shared" si="1"/>
        <v>4.7230239705586303</v>
      </c>
    </row>
    <row r="19" spans="1:17" x14ac:dyDescent="0.25">
      <c r="A19" s="1114">
        <v>1975</v>
      </c>
      <c r="B19" s="462">
        <v>2.0499050000000003</v>
      </c>
      <c r="C19" s="463">
        <v>21.78209</v>
      </c>
      <c r="O19" s="1116">
        <f>LARGE(A$9:A$72,3)</f>
        <v>2022</v>
      </c>
      <c r="P19" s="1066">
        <f t="shared" ca="1" si="0"/>
        <v>15.581096618170506</v>
      </c>
      <c r="Q19" s="1117">
        <f t="shared" si="1"/>
        <v>4.3304269493691496</v>
      </c>
    </row>
    <row r="20" spans="1:17" x14ac:dyDescent="0.25">
      <c r="A20" s="1114">
        <v>1976</v>
      </c>
      <c r="B20" s="1059">
        <v>1.776065</v>
      </c>
      <c r="C20" s="1062">
        <v>22.474930000000001</v>
      </c>
      <c r="O20" s="1115">
        <f>LARGE(A$9:A$72,2)</f>
        <v>2023</v>
      </c>
      <c r="P20" s="525">
        <f t="shared" ca="1" si="0"/>
        <v>14.712702441858191</v>
      </c>
      <c r="Q20" s="526">
        <f t="shared" si="1"/>
        <v>4.02621979819489</v>
      </c>
    </row>
    <row r="21" spans="1:17" ht="15.75" thickBot="1" x14ac:dyDescent="0.3">
      <c r="A21" s="1114">
        <v>1977</v>
      </c>
      <c r="B21" s="462">
        <v>1.874762</v>
      </c>
      <c r="C21" s="463">
        <v>23.120240000000003</v>
      </c>
      <c r="O21" s="1118">
        <f>LARGE(A$9:A$72,1)</f>
        <v>2024</v>
      </c>
      <c r="P21" s="1119">
        <f t="shared" ca="1" si="0"/>
        <v>14.417610618731308</v>
      </c>
      <c r="Q21" s="1120">
        <f t="shared" si="1"/>
        <v>4.9608172585752905</v>
      </c>
    </row>
    <row r="22" spans="1:17" x14ac:dyDescent="0.25">
      <c r="A22" s="1114">
        <v>1978</v>
      </c>
      <c r="B22" s="1059">
        <v>1.822473</v>
      </c>
      <c r="C22" s="1062">
        <v>23.364529999999998</v>
      </c>
    </row>
    <row r="23" spans="1:17" x14ac:dyDescent="0.25">
      <c r="A23" s="1114">
        <v>1979</v>
      </c>
      <c r="B23" s="462">
        <v>1.4239999999999999</v>
      </c>
      <c r="C23" s="463">
        <v>23.943999999999999</v>
      </c>
    </row>
    <row r="24" spans="1:17" x14ac:dyDescent="0.25">
      <c r="A24" s="1114">
        <v>1980</v>
      </c>
      <c r="B24" s="1059">
        <v>1.6279999999999999</v>
      </c>
      <c r="C24" s="1062">
        <v>19.695</v>
      </c>
    </row>
    <row r="25" spans="1:17" x14ac:dyDescent="0.25">
      <c r="A25" s="1114">
        <v>1981</v>
      </c>
      <c r="B25" s="462">
        <v>1.4419999999999999</v>
      </c>
      <c r="C25" s="463">
        <v>20.262</v>
      </c>
    </row>
    <row r="26" spans="1:17" x14ac:dyDescent="0.25">
      <c r="A26" s="1114">
        <v>1982</v>
      </c>
      <c r="B26" s="1059">
        <v>1.2809999999999999</v>
      </c>
      <c r="C26" s="1062">
        <v>20.396999999999998</v>
      </c>
    </row>
    <row r="27" spans="1:17" x14ac:dyDescent="0.25">
      <c r="A27" s="1114">
        <v>1983</v>
      </c>
      <c r="B27" s="462">
        <v>1.2649999999999999</v>
      </c>
      <c r="C27" s="463">
        <v>23.8</v>
      </c>
    </row>
    <row r="28" spans="1:17" x14ac:dyDescent="0.25">
      <c r="A28" s="1114">
        <v>1984</v>
      </c>
      <c r="B28" s="1059">
        <v>1.3240000000000001</v>
      </c>
      <c r="C28" s="1062">
        <v>27.591000000000001</v>
      </c>
    </row>
    <row r="29" spans="1:17" x14ac:dyDescent="0.25">
      <c r="A29" s="1114">
        <v>1985</v>
      </c>
      <c r="B29" s="462">
        <v>1.476</v>
      </c>
      <c r="C29" s="463">
        <v>31.901</v>
      </c>
    </row>
    <row r="30" spans="1:17" x14ac:dyDescent="0.25">
      <c r="A30" s="1114">
        <v>1986</v>
      </c>
      <c r="B30" s="1059">
        <v>2.0299999999999998</v>
      </c>
      <c r="C30" s="1062">
        <v>27.734000000000002</v>
      </c>
    </row>
    <row r="31" spans="1:17" x14ac:dyDescent="0.25">
      <c r="A31" s="1114">
        <v>1987</v>
      </c>
      <c r="B31" s="462">
        <v>2.6859999999999999</v>
      </c>
      <c r="C31" s="463">
        <v>29.187999999999999</v>
      </c>
    </row>
    <row r="32" spans="1:17" x14ac:dyDescent="0.25">
      <c r="A32" s="1114">
        <v>1988</v>
      </c>
      <c r="B32" s="1059">
        <v>3.1869999999999998</v>
      </c>
      <c r="C32" s="1062">
        <v>26.952000000000002</v>
      </c>
    </row>
    <row r="33" spans="1:3" x14ac:dyDescent="0.25">
      <c r="A33" s="1114">
        <v>1989</v>
      </c>
      <c r="B33" s="462">
        <v>3.867</v>
      </c>
      <c r="C33" s="463">
        <v>24.533999999999999</v>
      </c>
    </row>
    <row r="34" spans="1:3" x14ac:dyDescent="0.25">
      <c r="A34" s="1114">
        <v>1990</v>
      </c>
      <c r="B34" s="1059">
        <v>6.92</v>
      </c>
      <c r="C34" s="1062">
        <v>26.567</v>
      </c>
    </row>
    <row r="35" spans="1:3" x14ac:dyDescent="0.25">
      <c r="A35" s="1114">
        <v>1991</v>
      </c>
      <c r="B35" s="462">
        <v>7.0839999999999996</v>
      </c>
      <c r="C35" s="463">
        <v>24.526</v>
      </c>
    </row>
    <row r="36" spans="1:3" x14ac:dyDescent="0.25">
      <c r="A36" s="1114">
        <v>1992</v>
      </c>
      <c r="B36" s="1059">
        <v>7.1070000000000002</v>
      </c>
      <c r="C36" s="1062">
        <v>23.945</v>
      </c>
    </row>
    <row r="37" spans="1:3" x14ac:dyDescent="0.25">
      <c r="A37" s="1114">
        <v>1993</v>
      </c>
      <c r="B37" s="462">
        <v>6.1619999999999999</v>
      </c>
      <c r="C37" s="463">
        <v>22.596</v>
      </c>
    </row>
    <row r="38" spans="1:3" x14ac:dyDescent="0.25">
      <c r="A38" s="1114">
        <v>1994</v>
      </c>
      <c r="B38" s="1059">
        <v>11.09408</v>
      </c>
      <c r="C38" s="1062">
        <v>20.153919999999999</v>
      </c>
    </row>
    <row r="39" spans="1:3" x14ac:dyDescent="0.25">
      <c r="A39" s="1114">
        <v>1995</v>
      </c>
      <c r="B39" s="462">
        <v>12.51158</v>
      </c>
      <c r="C39" s="463">
        <v>16.872420000000002</v>
      </c>
    </row>
    <row r="40" spans="1:3" x14ac:dyDescent="0.25">
      <c r="A40" s="1114">
        <v>1996</v>
      </c>
      <c r="B40" s="1059">
        <v>16.224634999999999</v>
      </c>
      <c r="C40" s="1062">
        <v>15.353365</v>
      </c>
    </row>
    <row r="41" spans="1:3" x14ac:dyDescent="0.25">
      <c r="A41" s="1114">
        <v>1997</v>
      </c>
      <c r="B41" s="462">
        <v>15.976610000000001</v>
      </c>
      <c r="C41" s="463">
        <v>16.927389999999999</v>
      </c>
    </row>
    <row r="42" spans="1:3" x14ac:dyDescent="0.25">
      <c r="A42" s="1114">
        <v>1998</v>
      </c>
      <c r="B42" s="1059">
        <v>17.382999999999999</v>
      </c>
      <c r="C42" s="1062">
        <v>13.651999999999999</v>
      </c>
    </row>
    <row r="43" spans="1:3" x14ac:dyDescent="0.25">
      <c r="A43" s="1114">
        <v>1999</v>
      </c>
      <c r="B43" s="462">
        <f>SUMIF('Petroleum - Q&amp;V 1'!H$10:H$510, A43,'Petroleum - Q&amp;V 1'!F$10:F$510)</f>
        <v>14.055568000000001</v>
      </c>
      <c r="C43" s="463">
        <v>16.036999999999999</v>
      </c>
    </row>
    <row r="44" spans="1:3" x14ac:dyDescent="0.25">
      <c r="A44" s="1114">
        <v>2000</v>
      </c>
      <c r="B44" s="1059">
        <f>SUMIF('Petroleum - Q&amp;V 1'!H$10:H$510, A44,'Petroleum - Q&amp;V 1'!F$10:F$510)</f>
        <v>19.939762000000002</v>
      </c>
      <c r="C44" s="1062">
        <v>20.478000000000002</v>
      </c>
    </row>
    <row r="45" spans="1:3" x14ac:dyDescent="0.25">
      <c r="A45" s="1114">
        <v>2001</v>
      </c>
      <c r="B45" s="462">
        <f>SUMIF('Petroleum - Q&amp;V 1'!H$10:H$510, A45,'Petroleum - Q&amp;V 1'!F$10:F$510)</f>
        <v>20.076323000000002</v>
      </c>
      <c r="C45" s="463">
        <v>16.702677000000001</v>
      </c>
    </row>
    <row r="46" spans="1:3" x14ac:dyDescent="0.25">
      <c r="A46" s="1114">
        <v>2002</v>
      </c>
      <c r="B46" s="1059">
        <f>SUMIF('Petroleum - Q&amp;V 1'!H$10:H$510, A46,'Petroleum - Q&amp;V 1'!F$10:F$510)</f>
        <v>22.166976999999996</v>
      </c>
      <c r="C46" s="1062">
        <v>13.944922999999999</v>
      </c>
    </row>
    <row r="47" spans="1:3" x14ac:dyDescent="0.25">
      <c r="A47" s="1114">
        <v>2003</v>
      </c>
      <c r="B47" s="462">
        <f>SUMIF('Petroleum - Q&amp;V 1'!H$10:H$510, A47,'Petroleum - Q&amp;V 1'!F$10:F$510)</f>
        <v>20.513078</v>
      </c>
      <c r="C47" s="463">
        <v>9.5589230000000001</v>
      </c>
    </row>
    <row r="48" spans="1:3" x14ac:dyDescent="0.25">
      <c r="A48" s="1114">
        <v>2004</v>
      </c>
      <c r="B48" s="1059">
        <f>SUMIF('Petroleum - Q&amp;V 1'!H$10:H$510, A48,'Petroleum - Q&amp;V 1'!F$10:F$510)</f>
        <v>17.702249000000002</v>
      </c>
      <c r="C48" s="1062">
        <v>7.359886000000003</v>
      </c>
    </row>
    <row r="49" spans="1:3" x14ac:dyDescent="0.25">
      <c r="A49" s="1114">
        <v>2005</v>
      </c>
      <c r="B49" s="462">
        <f>SUMIF('Petroleum - Q&amp;V 1'!H$10:H$510, A49,'Petroleum - Q&amp;V 1'!F$10:F$510)</f>
        <v>19.058396999999999</v>
      </c>
      <c r="C49" s="463">
        <v>6.7048319999999997</v>
      </c>
    </row>
    <row r="50" spans="1:3" x14ac:dyDescent="0.25">
      <c r="A50" s="1114">
        <v>2006</v>
      </c>
      <c r="B50" s="1059">
        <f>SUMIF('Petroleum - Q&amp;V 1'!H$10:H$510, A50,'Petroleum - Q&amp;V 1'!F$10:F$510)</f>
        <v>17.562943000000001</v>
      </c>
      <c r="C50" s="1062">
        <v>8.4257999999999988</v>
      </c>
    </row>
    <row r="51" spans="1:3" x14ac:dyDescent="0.25">
      <c r="A51" s="1114">
        <v>2007</v>
      </c>
      <c r="B51" s="462">
        <f>SUMIF('Petroleum - Q&amp;V 1'!H$10:H$510, A51,'Petroleum - Q&amp;V 1'!F$10:F$510)</f>
        <v>19.051446000000002</v>
      </c>
      <c r="C51" s="463">
        <v>10.921000000000003</v>
      </c>
    </row>
    <row r="52" spans="1:3" x14ac:dyDescent="0.25">
      <c r="A52" s="1114">
        <v>2008</v>
      </c>
      <c r="B52" s="1059">
        <f>SUMIF('Petroleum - Q&amp;V 1'!H$10:H$510, A52,'Petroleum - Q&amp;V 1'!F$10:F$510)</f>
        <v>19.049435000000003</v>
      </c>
      <c r="C52" s="1062">
        <v>7.6799649999999993</v>
      </c>
    </row>
    <row r="53" spans="1:3" x14ac:dyDescent="0.25">
      <c r="A53" s="1114">
        <v>2009</v>
      </c>
      <c r="B53" s="462">
        <f>SUMIF('Petroleum - Q&amp;V 1'!H$10:H$510, A53,'Petroleum - Q&amp;V 1'!F$10:F$510)</f>
        <v>18.739460999999999</v>
      </c>
      <c r="C53" s="463">
        <v>5.8065390000000008</v>
      </c>
    </row>
    <row r="54" spans="1:3" x14ac:dyDescent="0.25">
      <c r="A54" s="1114">
        <v>2010</v>
      </c>
      <c r="B54" s="1059">
        <f>SUMIF('Petroleum - Q&amp;V 1'!H$10:H$510, A54,'Petroleum - Q&amp;V 1'!F$10:F$510)</f>
        <v>21.920589</v>
      </c>
      <c r="C54" s="1062">
        <v>5.3974110000000017</v>
      </c>
    </row>
    <row r="55" spans="1:3" x14ac:dyDescent="0.25">
      <c r="A55" s="1114">
        <v>2011</v>
      </c>
      <c r="B55" s="462">
        <f>SUMIF('Petroleum - Q&amp;V 1'!H$10:H$510, A55,'Petroleum - Q&amp;V 1'!F$10:F$510)</f>
        <v>18.335720000000002</v>
      </c>
      <c r="C55" s="463">
        <v>5.5312799999999989</v>
      </c>
    </row>
    <row r="56" spans="1:3" x14ac:dyDescent="0.25">
      <c r="A56" s="1114">
        <v>2012</v>
      </c>
      <c r="B56" s="1059">
        <f>SUMIF('Petroleum - Q&amp;V 1'!H$10:H$510, A56,'Petroleum - Q&amp;V 1'!F$10:F$510)</f>
        <v>15.991191000000001</v>
      </c>
      <c r="C56" s="1062">
        <f>21.94-B56</f>
        <v>5.9488090000000007</v>
      </c>
    </row>
    <row r="57" spans="1:3" x14ac:dyDescent="0.25">
      <c r="A57" s="1114">
        <v>2013</v>
      </c>
      <c r="B57" s="462">
        <f>SUMIF('Petroleum - Q&amp;V 1'!H$10:H$510, A57,'Petroleum - Q&amp;V 1'!F$10:F$510)</f>
        <v>12.828248</v>
      </c>
      <c r="C57" s="463">
        <f>19.01-B57</f>
        <v>6.1817520000000012</v>
      </c>
    </row>
    <row r="58" spans="1:3" x14ac:dyDescent="0.25">
      <c r="A58" s="1114">
        <v>2014</v>
      </c>
      <c r="B58" s="1059">
        <f>SUMIF('Petroleum - Q&amp;V 1'!H$10:H$510, A58,'Petroleum - Q&amp;V 1'!F$10:F$510)</f>
        <v>12.524324309000001</v>
      </c>
      <c r="C58" s="1062">
        <f>20.45-B58</f>
        <v>7.9256756909999986</v>
      </c>
    </row>
    <row r="59" spans="1:3" x14ac:dyDescent="0.25">
      <c r="A59" s="1114">
        <v>2015</v>
      </c>
      <c r="B59" s="462">
        <f>SUMIF('Petroleum - Q&amp;V 1'!H$10:H$510, A59,'Petroleum - Q&amp;V 1'!F$10:F$510)</f>
        <v>14.973535984</v>
      </c>
      <c r="C59" s="463">
        <f>18.65-B59</f>
        <v>3.6764640159999988</v>
      </c>
    </row>
    <row r="60" spans="1:3" x14ac:dyDescent="0.25">
      <c r="A60" s="1114">
        <v>2016</v>
      </c>
      <c r="B60" s="1059">
        <f>SUMIF('Petroleum - Q&amp;V 1'!H$10:H$510, A60,'Petroleum - Q&amp;V 1'!F$10:F$510)</f>
        <v>12.270888789022798</v>
      </c>
      <c r="C60" s="1062">
        <f>16.99-B60</f>
        <v>4.7191112109772</v>
      </c>
    </row>
    <row r="61" spans="1:3" x14ac:dyDescent="0.25">
      <c r="A61" s="1114">
        <v>2017</v>
      </c>
      <c r="B61" s="462">
        <f>SUMIF('Petroleum - Q&amp;V 1'!H$10:H$510, A61,'Petroleum - Q&amp;V 1'!F$10:F$510)</f>
        <v>11.54600424643619</v>
      </c>
      <c r="C61" s="463">
        <v>4.941995753563809</v>
      </c>
    </row>
    <row r="62" spans="1:3" x14ac:dyDescent="0.25">
      <c r="A62" s="1114">
        <v>2018</v>
      </c>
      <c r="B62" s="1059">
        <f>SUMIF('Petroleum - Q&amp;V 1'!H$10:H$510, A62,'Petroleum - Q&amp;V 1'!F$10:F$510)</f>
        <v>12.419739846484219</v>
      </c>
      <c r="C62" s="1062">
        <v>5.0628409999999997</v>
      </c>
    </row>
    <row r="63" spans="1:3" x14ac:dyDescent="0.25">
      <c r="A63" s="1114">
        <v>2019</v>
      </c>
      <c r="B63" s="462">
        <f>SUMIF('Petroleum - Q&amp;V 1'!H$10:H$510, A63,'Petroleum - Q&amp;V 1'!F$10:F$510)</f>
        <v>16.582424801030264</v>
      </c>
      <c r="C63" s="463">
        <v>6.0302290000000003</v>
      </c>
    </row>
    <row r="64" spans="1:3" x14ac:dyDescent="0.25">
      <c r="A64" s="1114">
        <v>2020</v>
      </c>
      <c r="B64" s="1061">
        <f>SUMIF('Petroleum - Q&amp;V 1'!H$10:H$510, A64,'Petroleum - Q&amp;V 1'!F$10:F$510)</f>
        <v>15.955466067341865</v>
      </c>
      <c r="C64" s="1062">
        <v>5.7037979999999999</v>
      </c>
    </row>
    <row r="65" spans="1:3" x14ac:dyDescent="0.25">
      <c r="A65" s="1114">
        <v>2021</v>
      </c>
      <c r="B65" s="455">
        <f>SUMIF('Petroleum - Q&amp;V 1'!H$10:H$510, A65,'Petroleum - Q&amp;V 1'!F$10:F$510)</f>
        <v>16.731844391425859</v>
      </c>
      <c r="C65" s="463">
        <v>4.7230239705586303</v>
      </c>
    </row>
    <row r="66" spans="1:3" x14ac:dyDescent="0.25">
      <c r="A66" s="1114">
        <v>2022</v>
      </c>
      <c r="B66" s="1061">
        <f>SUMIF('Petroleum - Q&amp;V 1'!H$10:H$510, A66,'Petroleum - Q&amp;V 1'!F$10:F$510)</f>
        <v>15.581096618170506</v>
      </c>
      <c r="C66" s="1062">
        <v>4.3304269493691496</v>
      </c>
    </row>
    <row r="67" spans="1:3" x14ac:dyDescent="0.25">
      <c r="A67" s="1114">
        <v>2023</v>
      </c>
      <c r="B67" s="455">
        <f>SUMIF('Petroleum - Q&amp;V 1'!H$10:H$510, A67,'Petroleum - Q&amp;V 1'!F$10:F$510)</f>
        <v>14.712702441858191</v>
      </c>
      <c r="C67" s="463">
        <v>4.02621979819489</v>
      </c>
    </row>
    <row r="68" spans="1:3" ht="15.75" thickBot="1" x14ac:dyDescent="0.3">
      <c r="A68" s="1121">
        <v>2024</v>
      </c>
      <c r="B68" s="1086">
        <f>SUMIF('Petroleum - Q&amp;V 1'!H$10:H$510, A68,'Petroleum - Q&amp;V 1'!F$10:F$510)</f>
        <v>14.417610618731308</v>
      </c>
      <c r="C68" s="1087">
        <v>4.9608172585752905</v>
      </c>
    </row>
  </sheetData>
  <mergeCells count="3">
    <mergeCell ref="A7:C7"/>
    <mergeCell ref="O9:Q9"/>
    <mergeCell ref="O10:Q10"/>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7F120-7D1C-4A21-B22D-76063BD711DF}">
  <sheetPr>
    <tabColor theme="8" tint="0.39997558519241921"/>
  </sheetPr>
  <dimension ref="A7:R44"/>
  <sheetViews>
    <sheetView showGridLines="0" zoomScale="85" zoomScaleNormal="85" workbookViewId="0">
      <pane ySplit="8" topLeftCell="A9" activePane="bottomLeft" state="frozen"/>
      <selection pane="bottomLeft"/>
    </sheetView>
  </sheetViews>
  <sheetFormatPr defaultRowHeight="15" x14ac:dyDescent="0.25"/>
  <cols>
    <col min="1" max="1" width="12.7109375" customWidth="1"/>
    <col min="2" max="3" width="20.7109375" customWidth="1"/>
    <col min="4" max="4" width="8.7109375" customWidth="1"/>
    <col min="6" max="6" width="19.85546875" bestFit="1" customWidth="1"/>
    <col min="7" max="7" width="18.28515625" bestFit="1" customWidth="1"/>
    <col min="10" max="12" width="9.140625" style="64"/>
    <col min="15" max="15" width="8.7109375" customWidth="1"/>
    <col min="16" max="16" width="12.7109375" customWidth="1"/>
    <col min="17" max="18" width="20.7109375" customWidth="1"/>
    <col min="19" max="19" width="23.85546875" bestFit="1" customWidth="1"/>
    <col min="20" max="20" width="16.5703125" customWidth="1"/>
  </cols>
  <sheetData>
    <row r="7" spans="1:18" ht="16.5" customHeight="1" thickBot="1" x14ac:dyDescent="0.3">
      <c r="A7" s="1520" t="s">
        <v>587</v>
      </c>
      <c r="B7" s="1520"/>
      <c r="C7" s="1520"/>
    </row>
    <row r="8" spans="1:18" ht="17.100000000000001" customHeight="1" x14ac:dyDescent="0.25">
      <c r="A8" s="1122" t="s">
        <v>272</v>
      </c>
      <c r="B8" s="1123" t="s">
        <v>579</v>
      </c>
      <c r="C8" s="1124" t="s">
        <v>580</v>
      </c>
    </row>
    <row r="9" spans="1:18" x14ac:dyDescent="0.25">
      <c r="A9" s="1125">
        <v>1989</v>
      </c>
      <c r="B9" s="1126">
        <v>724675</v>
      </c>
      <c r="C9" s="1127">
        <v>0</v>
      </c>
      <c r="P9" s="1393" t="s">
        <v>564</v>
      </c>
      <c r="Q9" s="1393"/>
      <c r="R9" s="1393"/>
    </row>
    <row r="10" spans="1:18" ht="15.75" thickBot="1" x14ac:dyDescent="0.3">
      <c r="A10" s="1114">
        <v>1990</v>
      </c>
      <c r="B10" s="506">
        <v>2945027.3076923075</v>
      </c>
      <c r="C10" s="1130">
        <v>0</v>
      </c>
      <c r="P10" s="1492" t="s">
        <v>567</v>
      </c>
      <c r="Q10" s="1492"/>
      <c r="R10" s="1492"/>
    </row>
    <row r="11" spans="1:18" x14ac:dyDescent="0.25">
      <c r="A11" s="1114">
        <v>1991</v>
      </c>
      <c r="B11" s="1109">
        <v>3938443.6153846155</v>
      </c>
      <c r="C11" s="1134">
        <v>0</v>
      </c>
      <c r="P11" s="1063" t="s">
        <v>272</v>
      </c>
      <c r="Q11" s="1128" t="str">
        <f>B8</f>
        <v>Western Australia (t)</v>
      </c>
      <c r="R11" s="1129" t="str">
        <f>C8</f>
        <v>Rest of Australia (t)</v>
      </c>
    </row>
    <row r="12" spans="1:18" x14ac:dyDescent="0.25">
      <c r="A12" s="1114">
        <v>1992</v>
      </c>
      <c r="B12" s="506">
        <v>4570048.634615385</v>
      </c>
      <c r="C12" s="1130">
        <v>0</v>
      </c>
      <c r="K12" s="64" t="s">
        <v>541</v>
      </c>
      <c r="P12" s="1131">
        <f>LARGE(A$19:A$48,10)</f>
        <v>2015</v>
      </c>
      <c r="Q12" s="1132">
        <f t="shared" ref="Q12:Q21" si="0">SUMIF($A:$A,$P12,B:B)</f>
        <v>20385653</v>
      </c>
      <c r="R12" s="1133">
        <f t="shared" ref="R12:R21" si="1">SUMIF($A:$A,$P12,C:C)</f>
        <v>9810036.7450183667</v>
      </c>
    </row>
    <row r="13" spans="1:18" x14ac:dyDescent="0.25">
      <c r="A13" s="1114">
        <v>1993</v>
      </c>
      <c r="B13" s="1109">
        <v>5091341.923076923</v>
      </c>
      <c r="C13" s="1134">
        <v>0</v>
      </c>
      <c r="K13" s="64" t="s">
        <v>542</v>
      </c>
      <c r="P13" s="1135">
        <f>LARGE(A$19:A$48,9)</f>
        <v>2016</v>
      </c>
      <c r="Q13" s="506">
        <f t="shared" si="0"/>
        <v>23774656.646750003</v>
      </c>
      <c r="R13" s="1130">
        <f t="shared" si="1"/>
        <v>21123834.912853334</v>
      </c>
    </row>
    <row r="14" spans="1:18" x14ac:dyDescent="0.25">
      <c r="A14" s="1114">
        <v>1994</v>
      </c>
      <c r="B14" s="506">
        <v>6445317.692307692</v>
      </c>
      <c r="C14" s="1130">
        <v>0</v>
      </c>
      <c r="P14" s="1131">
        <f>LARGE(A$19:A$48,8)</f>
        <v>2017</v>
      </c>
      <c r="Q14" s="1132">
        <f t="shared" si="0"/>
        <v>32729696.569625001</v>
      </c>
      <c r="R14" s="1133">
        <f t="shared" si="1"/>
        <v>23720687.584956668</v>
      </c>
    </row>
    <row r="15" spans="1:18" x14ac:dyDescent="0.25">
      <c r="A15" s="1114">
        <v>1995</v>
      </c>
      <c r="B15" s="1109">
        <v>7218118.519230769</v>
      </c>
      <c r="C15" s="1134">
        <v>0</v>
      </c>
      <c r="P15" s="1135">
        <f>LARGE(A$19:A$48,7)</f>
        <v>2018</v>
      </c>
      <c r="Q15" s="506">
        <f t="shared" si="0"/>
        <v>44542484.37063162</v>
      </c>
      <c r="R15" s="1130">
        <f t="shared" si="1"/>
        <v>24660348.820281334</v>
      </c>
    </row>
    <row r="16" spans="1:18" x14ac:dyDescent="0.25">
      <c r="A16" s="1114">
        <v>1996</v>
      </c>
      <c r="B16" s="506">
        <v>7265855</v>
      </c>
      <c r="C16" s="1130">
        <v>0</v>
      </c>
      <c r="P16" s="1131">
        <f>LARGE(A$19:A$48,6)</f>
        <v>2019</v>
      </c>
      <c r="Q16" s="1132">
        <f t="shared" si="0"/>
        <v>44584685.399831846</v>
      </c>
      <c r="R16" s="1133">
        <f t="shared" si="1"/>
        <v>32764694.395784575</v>
      </c>
    </row>
    <row r="17" spans="1:18" x14ac:dyDescent="0.25">
      <c r="A17" s="1114">
        <v>1997</v>
      </c>
      <c r="B17" s="1109">
        <v>7252140</v>
      </c>
      <c r="C17" s="1134">
        <v>0</v>
      </c>
      <c r="P17" s="1135">
        <f>LARGE(A$19:A$48,5)</f>
        <v>2020</v>
      </c>
      <c r="Q17" s="506">
        <f t="shared" si="0"/>
        <v>44064357.32577163</v>
      </c>
      <c r="R17" s="1130">
        <f t="shared" si="1"/>
        <v>34173181.687156245</v>
      </c>
    </row>
    <row r="18" spans="1:18" x14ac:dyDescent="0.25">
      <c r="A18" s="1114">
        <v>1998</v>
      </c>
      <c r="B18" s="506">
        <v>7460694.230769231</v>
      </c>
      <c r="C18" s="1130">
        <v>0</v>
      </c>
      <c r="P18" s="1131">
        <f>LARGE(A$19:A$48,4)</f>
        <v>2021</v>
      </c>
      <c r="Q18" s="1132">
        <f t="shared" si="0"/>
        <v>45637085.72443305</v>
      </c>
      <c r="R18" s="1133">
        <f t="shared" si="1"/>
        <v>34977565.140725397</v>
      </c>
    </row>
    <row r="19" spans="1:18" x14ac:dyDescent="0.25">
      <c r="A19" s="1114">
        <v>1999</v>
      </c>
      <c r="B19" s="1109">
        <f>SUMIF('Petroleum - Q&amp;V 2'!L$10:L$510, A19,'Petroleum - Q&amp;V 2'!C$10:C$510)</f>
        <v>7864308.2088672249</v>
      </c>
      <c r="C19" s="1134">
        <v>0</v>
      </c>
      <c r="P19" s="1135">
        <f>LARGE(A$19:A$48,3)</f>
        <v>2022</v>
      </c>
      <c r="Q19" s="506">
        <f t="shared" si="0"/>
        <v>48608467.014604136</v>
      </c>
      <c r="R19" s="1130">
        <f t="shared" si="1"/>
        <v>32634067.539353501</v>
      </c>
    </row>
    <row r="20" spans="1:18" x14ac:dyDescent="0.25">
      <c r="A20" s="1114">
        <v>2000</v>
      </c>
      <c r="B20" s="506">
        <f>SUMIF('Petroleum - Q&amp;V 2'!L$10:L$510, A20,'Petroleum - Q&amp;V 2'!C$10:C$510)</f>
        <v>7808637.1174924597</v>
      </c>
      <c r="C20" s="1130">
        <v>0</v>
      </c>
      <c r="P20" s="1131">
        <f>LARGE(A$19:A$48,2)</f>
        <v>2023</v>
      </c>
      <c r="Q20" s="1132">
        <f t="shared" si="0"/>
        <v>48028219.391891696</v>
      </c>
      <c r="R20" s="1133">
        <f t="shared" si="1"/>
        <v>31986750.104394007</v>
      </c>
    </row>
    <row r="21" spans="1:18" ht="15.75" thickBot="1" x14ac:dyDescent="0.3">
      <c r="A21" s="1114">
        <v>2001</v>
      </c>
      <c r="B21" s="1109">
        <f>SUMIF('Petroleum - Q&amp;V 2'!L$10:L$510, A21,'Petroleum - Q&amp;V 2'!C$10:C$510)</f>
        <v>7908707.098006526</v>
      </c>
      <c r="C21" s="1134">
        <v>0</v>
      </c>
      <c r="P21" s="1136">
        <f>LARGE(A$19:A$48,1)</f>
        <v>2024</v>
      </c>
      <c r="Q21" s="1137">
        <f t="shared" si="0"/>
        <v>48070692.233975351</v>
      </c>
      <c r="R21" s="1138">
        <f t="shared" si="1"/>
        <v>32296169.618091911</v>
      </c>
    </row>
    <row r="22" spans="1:18" x14ac:dyDescent="0.25">
      <c r="A22" s="1114">
        <v>2002</v>
      </c>
      <c r="B22" s="506">
        <f>SUMIF('Petroleum - Q&amp;V 2'!L$10:L$510, A22,'Petroleum - Q&amp;V 2'!C$10:C$510)</f>
        <v>8000993.128996823</v>
      </c>
      <c r="C22" s="1130">
        <v>0</v>
      </c>
    </row>
    <row r="23" spans="1:18" x14ac:dyDescent="0.25">
      <c r="A23" s="1114">
        <v>2003</v>
      </c>
      <c r="B23" s="1109">
        <f>SUMIF('Petroleum - Q&amp;V 2'!L$10:L$510, A23,'Petroleum - Q&amp;V 2'!C$10:C$510)</f>
        <v>8288457.5208532624</v>
      </c>
      <c r="C23" s="1134">
        <v>0</v>
      </c>
    </row>
    <row r="24" spans="1:18" x14ac:dyDescent="0.25">
      <c r="A24" s="1114">
        <v>2004</v>
      </c>
      <c r="B24" s="506">
        <f>SUMIF('Petroleum - Q&amp;V 2'!L$10:L$510, A24,'Petroleum - Q&amp;V 2'!C$10:C$510)</f>
        <v>9219308.2852303274</v>
      </c>
      <c r="C24" s="1130">
        <v>0</v>
      </c>
    </row>
    <row r="25" spans="1:18" x14ac:dyDescent="0.25">
      <c r="A25" s="1114">
        <v>2005</v>
      </c>
      <c r="B25" s="1109">
        <f>SUMIF('Petroleum - Q&amp;V 2'!L$10:L$510, A25,'Petroleum - Q&amp;V 2'!C$10:C$510)</f>
        <v>11600612</v>
      </c>
      <c r="C25" s="1134">
        <v>0</v>
      </c>
    </row>
    <row r="26" spans="1:18" x14ac:dyDescent="0.25">
      <c r="A26" s="1114">
        <v>2006</v>
      </c>
      <c r="B26" s="506">
        <f>SUMIF('Petroleum - Q&amp;V 2'!L$10:L$510, A26,'Petroleum - Q&amp;V 2'!C$10:C$510)</f>
        <v>11958780</v>
      </c>
      <c r="C26" s="1130">
        <v>2410337.7234242707</v>
      </c>
    </row>
    <row r="27" spans="1:18" x14ac:dyDescent="0.25">
      <c r="A27" s="1114">
        <v>2007</v>
      </c>
      <c r="B27" s="1109">
        <f>SUMIF('Petroleum - Q&amp;V 2'!L$10:L$510, A27,'Petroleum - Q&amp;V 2'!C$10:C$510)</f>
        <v>12375731</v>
      </c>
      <c r="C27" s="1134">
        <v>3007797</v>
      </c>
    </row>
    <row r="28" spans="1:18" x14ac:dyDescent="0.25">
      <c r="A28" s="1114">
        <v>2008</v>
      </c>
      <c r="B28" s="506">
        <f>SUMIF('Petroleum - Q&amp;V 2'!L$10:L$510, A28,'Petroleum - Q&amp;V 2'!C$10:C$510)</f>
        <v>12381004</v>
      </c>
      <c r="C28" s="1130">
        <v>3433344</v>
      </c>
    </row>
    <row r="29" spans="1:18" x14ac:dyDescent="0.25">
      <c r="A29" s="1114">
        <v>2009</v>
      </c>
      <c r="B29" s="1109">
        <f>SUMIF('Petroleum - Q&amp;V 2'!L$10:L$510, A29,'Petroleum - Q&amp;V 2'!C$10:C$510)</f>
        <v>15252516</v>
      </c>
      <c r="C29" s="1134">
        <v>3404654.9999999995</v>
      </c>
    </row>
    <row r="30" spans="1:18" x14ac:dyDescent="0.25">
      <c r="A30" s="1114">
        <v>2010</v>
      </c>
      <c r="B30" s="506">
        <f>SUMIF('Petroleum - Q&amp;V 2'!L$10:L$510, A30,'Petroleum - Q&amp;V 2'!C$10:C$510)</f>
        <v>16527193</v>
      </c>
      <c r="C30" s="1130">
        <v>3289517.0000000005</v>
      </c>
    </row>
    <row r="31" spans="1:18" x14ac:dyDescent="0.25">
      <c r="A31" s="1114">
        <v>2011</v>
      </c>
      <c r="B31" s="1109">
        <f>SUMIF('Petroleum - Q&amp;V 2'!L$10:L$510, A31,'Petroleum - Q&amp;V 2'!C$10:C$510)</f>
        <v>16554099.919233976</v>
      </c>
      <c r="C31" s="1134">
        <v>3671140</v>
      </c>
    </row>
    <row r="32" spans="1:18" x14ac:dyDescent="0.25">
      <c r="A32" s="1114">
        <v>2012</v>
      </c>
      <c r="B32" s="506">
        <f>SUMIF('Petroleum - Q&amp;V 2'!L$10:L$510, A32,'Petroleum - Q&amp;V 2'!C$10:C$510)</f>
        <v>18260551</v>
      </c>
      <c r="C32" s="1130">
        <v>3525016</v>
      </c>
    </row>
    <row r="33" spans="1:3" x14ac:dyDescent="0.25">
      <c r="A33" s="1114">
        <v>2013</v>
      </c>
      <c r="B33" s="1109">
        <f>SUMIF('Petroleum - Q&amp;V 2'!L$10:L$510, A33,'Petroleum - Q&amp;V 2'!C$10:C$510)</f>
        <v>19220443</v>
      </c>
      <c r="C33" s="1134">
        <v>4001813.2</v>
      </c>
    </row>
    <row r="34" spans="1:3" x14ac:dyDescent="0.25">
      <c r="A34" s="1114">
        <v>2014</v>
      </c>
      <c r="B34" s="506">
        <f>SUMIF('Petroleum - Q&amp;V 2'!L$10:L$510, A34,'Petroleum - Q&amp;V 2'!C$10:C$510)</f>
        <v>20852601</v>
      </c>
      <c r="C34" s="1130">
        <v>3589960</v>
      </c>
    </row>
    <row r="35" spans="1:3" x14ac:dyDescent="0.25">
      <c r="A35" s="1114">
        <v>2015</v>
      </c>
      <c r="B35" s="1109">
        <f>SUMIF('Petroleum - Q&amp;V 2'!L$10:L$510, A35,'Petroleum - Q&amp;V 2'!C$10:C$510)</f>
        <v>20385653</v>
      </c>
      <c r="C35" s="1134">
        <v>9810036.7450183667</v>
      </c>
    </row>
    <row r="36" spans="1:3" x14ac:dyDescent="0.25">
      <c r="A36" s="1114">
        <v>2016</v>
      </c>
      <c r="B36" s="506">
        <f>SUMIF('Petroleum - Q&amp;V 2'!L$10:L$510, A36,'Petroleum - Q&amp;V 2'!C$10:C$510)</f>
        <v>23774656.646750003</v>
      </c>
      <c r="C36" s="1130">
        <v>21123834.912853334</v>
      </c>
    </row>
    <row r="37" spans="1:3" x14ac:dyDescent="0.25">
      <c r="A37" s="1114">
        <v>2017</v>
      </c>
      <c r="B37" s="1109">
        <f>SUMIF('Petroleum - Q&amp;V 2'!L$10:L$510, A37,'Petroleum - Q&amp;V 2'!C$10:C$510)</f>
        <v>32729696.569625001</v>
      </c>
      <c r="C37" s="1134">
        <v>23720687.584956668</v>
      </c>
    </row>
    <row r="38" spans="1:3" x14ac:dyDescent="0.25">
      <c r="A38" s="1114">
        <v>2018</v>
      </c>
      <c r="B38" s="506">
        <f>SUMIF('Petroleum - Q&amp;V 2'!L$10:L$510, A38,'Petroleum - Q&amp;V 2'!C$10:C$510)</f>
        <v>44542484.37063162</v>
      </c>
      <c r="C38" s="1130">
        <v>24660348.820281334</v>
      </c>
    </row>
    <row r="39" spans="1:3" x14ac:dyDescent="0.25">
      <c r="A39" s="1114">
        <v>2019</v>
      </c>
      <c r="B39" s="1109">
        <f>SUMIF('Petroleum - Q&amp;V 2'!L$10:L$510, A39,'Petroleum - Q&amp;V 2'!C$10:C$510)</f>
        <v>44584685.399831846</v>
      </c>
      <c r="C39" s="1134">
        <v>32764694.395784575</v>
      </c>
    </row>
    <row r="40" spans="1:3" x14ac:dyDescent="0.25">
      <c r="A40" s="1114">
        <v>2020</v>
      </c>
      <c r="B40" s="506">
        <f>SUMIF('Petroleum - Q&amp;V 2'!L$10:L$510, A40,'Petroleum - Q&amp;V 2'!C$10:C$510)</f>
        <v>44064357.32577163</v>
      </c>
      <c r="C40" s="1130">
        <v>34173181.687156245</v>
      </c>
    </row>
    <row r="41" spans="1:3" x14ac:dyDescent="0.25">
      <c r="A41" s="1114">
        <v>2021</v>
      </c>
      <c r="B41" s="1109">
        <f>SUMIF('Petroleum - Q&amp;V 2'!L$10:L$510, A41,'Petroleum - Q&amp;V 2'!C$10:C$510)</f>
        <v>45637085.72443305</v>
      </c>
      <c r="C41" s="1134">
        <v>34977565.140725397</v>
      </c>
    </row>
    <row r="42" spans="1:3" x14ac:dyDescent="0.25">
      <c r="A42" s="1114">
        <v>2022</v>
      </c>
      <c r="B42" s="506">
        <f>SUMIF('Petroleum - Q&amp;V 2'!L$10:L$510, A42,'Petroleum - Q&amp;V 2'!C$10:C$510)</f>
        <v>48608467.014604136</v>
      </c>
      <c r="C42" s="1130">
        <v>32634067.539353501</v>
      </c>
    </row>
    <row r="43" spans="1:3" x14ac:dyDescent="0.25">
      <c r="A43" s="1114">
        <v>2023</v>
      </c>
      <c r="B43" s="1109">
        <f>SUMIF('Petroleum - Q&amp;V 2'!L$10:L$510, A43,'Petroleum - Q&amp;V 2'!C$10:C$510)</f>
        <v>48028219.391891696</v>
      </c>
      <c r="C43" s="1134">
        <v>31986750.104394007</v>
      </c>
    </row>
    <row r="44" spans="1:3" ht="15.75" thickBot="1" x14ac:dyDescent="0.3">
      <c r="A44" s="1121">
        <v>2024</v>
      </c>
      <c r="B44" s="1137">
        <f>SUMIF('Petroleum - Q&amp;V 2'!L$10:L$510, A44,'Petroleum - Q&amp;V 2'!C$10:C$510)</f>
        <v>48070692.233975351</v>
      </c>
      <c r="C44" s="1138">
        <v>32296169.618091911</v>
      </c>
    </row>
  </sheetData>
  <mergeCells count="3">
    <mergeCell ref="A7:C7"/>
    <mergeCell ref="P9:R9"/>
    <mergeCell ref="P10:R1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5BA28-B386-4B9A-8181-0EE511E9B19B}">
  <sheetPr>
    <pageSetUpPr fitToPage="1"/>
  </sheetPr>
  <dimension ref="A1:L102"/>
  <sheetViews>
    <sheetView showGridLines="0" zoomScale="85" zoomScaleNormal="85" workbookViewId="0">
      <pane ySplit="11" topLeftCell="A12" activePane="bottomLeft" state="frozen"/>
      <selection pane="bottomLeft"/>
    </sheetView>
  </sheetViews>
  <sheetFormatPr defaultColWidth="9.140625" defaultRowHeight="15" x14ac:dyDescent="0.25"/>
  <cols>
    <col min="1" max="1" width="85.85546875" style="92" bestFit="1" customWidth="1"/>
    <col min="2" max="2" width="6.28515625" style="98" bestFit="1" customWidth="1"/>
    <col min="3" max="3" width="15.28515625" customWidth="1"/>
    <col min="4" max="5" width="15.42578125" customWidth="1"/>
    <col min="6" max="6" width="16" bestFit="1" customWidth="1"/>
    <col min="7" max="7" width="10.7109375" customWidth="1"/>
    <col min="8" max="8" width="29.28515625" customWidth="1"/>
    <col min="9" max="9" width="17.85546875" customWidth="1"/>
    <col min="10" max="10" width="10.42578125" customWidth="1"/>
    <col min="11" max="11" width="17" customWidth="1"/>
    <col min="12" max="12" width="11.140625" customWidth="1"/>
    <col min="13" max="13" width="10.42578125" customWidth="1"/>
  </cols>
  <sheetData>
    <row r="1" spans="1:12" ht="15" customHeight="1" x14ac:dyDescent="0.25">
      <c r="A1" s="100" t="s">
        <v>178</v>
      </c>
      <c r="L1" s="99"/>
    </row>
    <row r="2" spans="1:12" ht="15" customHeight="1" x14ac:dyDescent="0.25">
      <c r="A2" s="100" t="s">
        <v>179</v>
      </c>
      <c r="L2" s="99"/>
    </row>
    <row r="3" spans="1:12" ht="15" customHeight="1" x14ac:dyDescent="0.45">
      <c r="H3" s="101"/>
      <c r="L3" s="99"/>
    </row>
    <row r="4" spans="1:12" ht="15" customHeight="1" x14ac:dyDescent="0.25">
      <c r="L4" s="99"/>
    </row>
    <row r="5" spans="1:12" ht="15" customHeight="1" x14ac:dyDescent="0.25">
      <c r="L5" s="99"/>
    </row>
    <row r="6" spans="1:12" ht="15" customHeight="1" x14ac:dyDescent="0.25">
      <c r="L6" s="99"/>
    </row>
    <row r="7" spans="1:12" ht="15" customHeight="1" thickBot="1" x14ac:dyDescent="0.3">
      <c r="A7" s="71" t="s">
        <v>180</v>
      </c>
      <c r="L7" s="99"/>
    </row>
    <row r="8" spans="1:12" ht="15.75" thickBot="1" x14ac:dyDescent="0.3">
      <c r="A8" s="102" t="s">
        <v>158</v>
      </c>
      <c r="B8" s="1379" t="s">
        <v>178</v>
      </c>
      <c r="C8" s="1380"/>
      <c r="D8" s="1381"/>
      <c r="L8" s="99"/>
    </row>
    <row r="9" spans="1:12" ht="15.75" thickBot="1" x14ac:dyDescent="0.3">
      <c r="L9" s="99"/>
    </row>
    <row r="10" spans="1:12" ht="15" customHeight="1" x14ac:dyDescent="0.25">
      <c r="A10" s="103"/>
      <c r="B10" s="1151"/>
      <c r="C10" s="1382" cm="1">
        <f t="array" ref="C10">IF($B$8="Calendar Year",
INDEX('Q&amp;V CY 2004 to Now'!$9:$9, 1, COUNTA('Q&amp;V CY 2004 to Now'!$10:$10)-5),
INDEX('Q&amp;V FY 2003-04 to Now'!$9:$9, 1, COUNTA('Q&amp;V FY 2003-04 to Now'!$10:$10)-5)
)</f>
        <v>2024</v>
      </c>
      <c r="D10" s="1383"/>
      <c r="E10" s="1382" cm="1">
        <f t="array" ref="E10">IF($B$8="Calendar Year",
INDEX('Q&amp;V CY 2004 to Now'!$9:$9, 1, COUNTA('Q&amp;V CY 2004 to Now'!$10:$10)-3),
INDEX('Q&amp;V FY 2003-04 to Now'!$9:$9, 1, COUNTA('Q&amp;V FY 2003-04 to Now'!$10:$10)-3)
)</f>
        <v>2025</v>
      </c>
      <c r="F10" s="1383"/>
      <c r="L10" s="99"/>
    </row>
    <row r="11" spans="1:12" ht="15.75" thickBot="1" x14ac:dyDescent="0.3">
      <c r="A11" s="104" t="s">
        <v>181</v>
      </c>
      <c r="B11" s="1152" t="s">
        <v>182</v>
      </c>
      <c r="C11" s="1139" t="s">
        <v>564</v>
      </c>
      <c r="D11" s="1140" t="s">
        <v>613</v>
      </c>
      <c r="E11" s="1139" t="s">
        <v>564</v>
      </c>
      <c r="F11" s="1140" t="s">
        <v>613</v>
      </c>
      <c r="L11" s="99"/>
    </row>
    <row r="12" spans="1:12" x14ac:dyDescent="0.25">
      <c r="A12" s="105" t="s">
        <v>183</v>
      </c>
      <c r="B12" s="1153"/>
      <c r="C12" s="1141"/>
      <c r="D12" s="1142"/>
      <c r="E12" s="1141"/>
      <c r="F12" s="1142"/>
      <c r="H12" s="107"/>
      <c r="I12" s="1377">
        <f>C10</f>
        <v>2024</v>
      </c>
      <c r="J12" s="1378"/>
      <c r="K12" s="1377">
        <f>E10</f>
        <v>2025</v>
      </c>
      <c r="L12" s="1378"/>
    </row>
    <row r="13" spans="1:12" ht="15.75" thickBot="1" x14ac:dyDescent="0.3">
      <c r="A13" s="106" t="s">
        <v>165</v>
      </c>
      <c r="B13" s="1153" t="s">
        <v>166</v>
      </c>
      <c r="C13" s="1143">
        <f>IF($B$8="Calendar Year",
VLOOKUP($A13, 'Q&amp;V CY 2004 to Now'!$10:$104, MATCH(C$10 &amp; " " &amp; C$11, 'Q&amp;V CY 2004 to Now'!$10:$10, 0), FALSE),
VLOOKUP($A13, 'Q&amp;V FY 2003-04 to Now'!$10:$103, MATCH(C$10 &amp; " " &amp; C$11, 'Q&amp;V FY 2003-04 to Now'!$10:$10, 0), FALSE)
)</f>
        <v>11422483.994000001</v>
      </c>
      <c r="D13" s="1144">
        <f>IF($B$8="Calendar Year",
VLOOKUP($A13, 'Q&amp;V CY 2004 to Now'!$10:$104, MATCH(C$10 &amp; " " &amp; D$11, 'Q&amp;V CY 2004 to Now'!$10:$10, 0), FALSE),
VLOOKUP($A13, 'Q&amp;V FY 2003-04 to Now'!$10:$103, MATCH(C$10 &amp; " " &amp; D$11, 'Q&amp;V FY 2003-04 to Now'!$10:$10, 0), FALSE)
)</f>
        <v>7367903014</v>
      </c>
      <c r="E13" s="1143">
        <f>IF($B$8="Calendar Year",
VLOOKUP($A13, 'Q&amp;V CY 2004 to Now'!$10:$104, MATCH(E$10 &amp; " " &amp; E$11, 'Q&amp;V CY 2004 to Now'!$10:$10, 0), FALSE),
VLOOKUP($A13, 'Q&amp;V FY 2003-04 to Now'!$10:$103, MATCH(E$10 &amp; " " &amp; E$11, 'Q&amp;V FY 2003-04 to Now'!$10:$10, 0), FALSE)
)</f>
        <v>10998568.908</v>
      </c>
      <c r="F13" s="1144">
        <f>IF($B$8="Calendar Year",
VLOOKUP($A13, 'Q&amp;V CY 2004 to Now'!$10:$104, MATCH(E$10 &amp; " " &amp; F$11, 'Q&amp;V CY 2004 to Now'!$10:$10, 0), FALSE),
VLOOKUP($A13, 'Q&amp;V FY 2003-04 to Now'!$10:$103, MATCH(E$10 &amp; " " &amp; F$11, 'Q&amp;V FY 2003-04 to Now'!$10:$10, 0), FALSE)
)</f>
        <v>7702562001.999999</v>
      </c>
      <c r="H13" s="108"/>
      <c r="I13" s="109" t="s">
        <v>185</v>
      </c>
      <c r="J13" s="110" t="s">
        <v>186</v>
      </c>
      <c r="K13" s="109" t="s">
        <v>185</v>
      </c>
      <c r="L13" s="110" t="s">
        <v>186</v>
      </c>
    </row>
    <row r="14" spans="1:12" x14ac:dyDescent="0.25">
      <c r="A14" s="106" t="s">
        <v>184</v>
      </c>
      <c r="B14" s="1153" t="s">
        <v>166</v>
      </c>
      <c r="C14" s="1143">
        <f>IF($B$8="Calendar Year",
VLOOKUP($A14, 'Q&amp;V CY 2004 to Now'!$10:$104, MATCH(C$10 &amp; " " &amp; C$11, 'Q&amp;V CY 2004 to Now'!$10:$10, 0), FALSE),
VLOOKUP($A14, 'Q&amp;V FY 2003-04 to Now'!$10:$103, MATCH(C$10 &amp; " " &amp; C$11, 'Q&amp;V FY 2003-04 to Now'!$10:$10, 0), FALSE)
)</f>
        <v>0</v>
      </c>
      <c r="D14" s="1144">
        <f>IF($B$8="Calendar Year",
VLOOKUP($A14, 'Q&amp;V CY 2004 to Now'!$10:$104, MATCH(C$10 &amp; " " &amp; D$11, 'Q&amp;V CY 2004 to Now'!$10:$10, 0), FALSE),
VLOOKUP($A14, 'Q&amp;V FY 2003-04 to Now'!$10:$103, MATCH(C$10 &amp; " " &amp; D$11, 'Q&amp;V FY 2003-04 to Now'!$10:$10, 0), FALSE)
)</f>
        <v>0</v>
      </c>
      <c r="E14" s="1143">
        <f>IF($B$8="Calendar Year",
VLOOKUP($A14, 'Q&amp;V CY 2004 to Now'!$10:$104, MATCH(E$10 &amp; " " &amp; E$11, 'Q&amp;V CY 2004 to Now'!$10:$10, 0), FALSE),
VLOOKUP($A14, 'Q&amp;V FY 2003-04 to Now'!$10:$103, MATCH(E$10 &amp; " " &amp; E$11, 'Q&amp;V FY 2003-04 to Now'!$10:$10, 0), FALSE)
)</f>
        <v>0</v>
      </c>
      <c r="F14" s="1144">
        <f>IF($B$8="Calendar Year",
VLOOKUP($A14, 'Q&amp;V CY 2004 to Now'!$10:$104, MATCH(E$10 &amp; " " &amp; F$11, 'Q&amp;V CY 2004 to Now'!$10:$10, 0), FALSE),
VLOOKUP($A14, 'Q&amp;V FY 2003-04 to Now'!$10:$103, MATCH(E$10 &amp; " " &amp; F$11, 'Q&amp;V FY 2003-04 to Now'!$10:$10, 0), FALSE)
)</f>
        <v>0</v>
      </c>
      <c r="H14" s="87" t="s">
        <v>188</v>
      </c>
      <c r="I14" s="111">
        <f t="shared" ref="I14:I26" si="0">VLOOKUP($H14,$A$12:$F$129, 4,FALSE)/10^6</f>
        <v>136103.45978899999</v>
      </c>
      <c r="J14" s="112">
        <f t="shared" ref="J14:J26" si="1">I14/I$26</f>
        <v>0.58983377547521032</v>
      </c>
      <c r="K14" s="111">
        <f t="shared" ref="K14:K26" si="2">VLOOKUP($H14,$A$12:$F$129, 6,FALSE)/10^6</f>
        <v>126234.28572037708</v>
      </c>
      <c r="L14" s="112">
        <f t="shared" ref="L14:L26" si="3">K14/K$26</f>
        <v>0.55905314759723612</v>
      </c>
    </row>
    <row r="15" spans="1:12" x14ac:dyDescent="0.25">
      <c r="A15" s="106" t="s">
        <v>187</v>
      </c>
      <c r="B15" s="1153"/>
      <c r="C15" s="1143"/>
      <c r="D15" s="1144">
        <f>IF($B$8="Calendar Year",
VLOOKUP($A15, 'Q&amp;V CY 2004 to Now'!$10:$104, MATCH(C$10 &amp; " " &amp; D$11, 'Q&amp;V CY 2004 to Now'!$10:$10, 0), FALSE),
VLOOKUP($A15, 'Q&amp;V FY 2003-04 to Now'!$10:$103, MATCH(C$10 &amp; " " &amp; D$11, 'Q&amp;V FY 2003-04 to Now'!$10:$10, 0), FALSE)
)</f>
        <v>7367903014</v>
      </c>
      <c r="E15" s="1143"/>
      <c r="F15" s="1144">
        <f>IF($B$8="Calendar Year",
VLOOKUP($A15, 'Q&amp;V CY 2004 to Now'!$10:$104, MATCH(E$10 &amp; " " &amp; F$11, 'Q&amp;V CY 2004 to Now'!$10:$10, 0), FALSE),
VLOOKUP($A15, 'Q&amp;V FY 2003-04 to Now'!$10:$103, MATCH(E$10 &amp; " " &amp; F$11, 'Q&amp;V FY 2003-04 to Now'!$10:$10, 0), FALSE)
)</f>
        <v>7702562001.999999</v>
      </c>
      <c r="H15" s="87" t="s">
        <v>32</v>
      </c>
      <c r="I15" s="111">
        <f>VLOOKUP($H15,$A$12:$F$129, 4,FALSE)/10^6</f>
        <v>23720.697939999998</v>
      </c>
      <c r="J15" s="112">
        <f t="shared" si="1"/>
        <v>0.10279877414246329</v>
      </c>
      <c r="K15" s="111">
        <f>VLOOKUP($H15,$A$12:$F$129, 6,FALSE)/10^6</f>
        <v>36318.524898999996</v>
      </c>
      <c r="L15" s="112">
        <f t="shared" si="3"/>
        <v>0.16084366893674287</v>
      </c>
    </row>
    <row r="16" spans="1:12" x14ac:dyDescent="0.25">
      <c r="A16" s="114"/>
      <c r="B16" s="1153"/>
      <c r="C16" s="1143"/>
      <c r="D16" s="1144"/>
      <c r="E16" s="1143"/>
      <c r="F16" s="1144"/>
      <c r="H16" s="87" t="s">
        <v>189</v>
      </c>
      <c r="I16" s="111">
        <f>VLOOKUP($H16,$A$12:$F$129, 4,FALSE)/10^6</f>
        <v>35685.555839451976</v>
      </c>
      <c r="J16" s="112">
        <f t="shared" si="1"/>
        <v>0.15465107325961278</v>
      </c>
      <c r="K16" s="111">
        <f>VLOOKUP($H16,$A$12:$F$129, 6,FALSE)/10^6</f>
        <v>31851.512460181777</v>
      </c>
      <c r="L16" s="112">
        <f t="shared" si="3"/>
        <v>0.14106063336898023</v>
      </c>
    </row>
    <row r="17" spans="1:12" x14ac:dyDescent="0.25">
      <c r="A17" s="115" t="s">
        <v>190</v>
      </c>
      <c r="B17" s="1154"/>
      <c r="C17" s="1145"/>
      <c r="D17" s="1146"/>
      <c r="E17" s="1145"/>
      <c r="F17" s="1146"/>
      <c r="H17" s="87" t="s">
        <v>165</v>
      </c>
      <c r="I17" s="111">
        <f>VLOOKUP($H17,$A$12:$F$129, 4,FALSE)/10^6</f>
        <v>7367.9030140000004</v>
      </c>
      <c r="J17" s="112">
        <f t="shared" si="1"/>
        <v>3.1930401025955672E-2</v>
      </c>
      <c r="K17" s="111">
        <f>VLOOKUP($H17,$A$12:$F$129, 6,FALSE)/10^6</f>
        <v>7702.5620019999988</v>
      </c>
      <c r="L17" s="112">
        <f t="shared" si="3"/>
        <v>3.4112297678932868E-2</v>
      </c>
    </row>
    <row r="18" spans="1:12" x14ac:dyDescent="0.25">
      <c r="A18" s="116" t="s">
        <v>191</v>
      </c>
      <c r="B18" s="1154" t="s">
        <v>166</v>
      </c>
      <c r="C18" s="1145">
        <f>IF($B$8="Calendar Year",
VLOOKUP($A18, 'Q&amp;V CY 2004 to Now'!$10:$104, MATCH(C$10 &amp; " " &amp; C$11, 'Q&amp;V CY 2004 to Now'!$10:$10, 0), FALSE),
VLOOKUP($A18, 'Q&amp;V FY 2003-04 to Now'!$10:$103, MATCH(C$10 &amp; " " &amp; C$11, 'Q&amp;V FY 2003-04 to Now'!$10:$10, 0), FALSE)
)</f>
        <v>72314.514999999999</v>
      </c>
      <c r="D18" s="1146">
        <f>IF($B$8="Calendar Year",
VLOOKUP($A18, 'Q&amp;V CY 2004 to Now'!$10:$104, MATCH(C$10 &amp; " " &amp; D$11, 'Q&amp;V CY 2004 to Now'!$10:$10, 0), FALSE),
VLOOKUP($A18, 'Q&amp;V FY 2003-04 to Now'!$10:$103, MATCH(C$10 &amp; " " &amp; D$11, 'Q&amp;V FY 2003-04 to Now'!$10:$10, 0), FALSE)
)</f>
        <v>977034617.59847713</v>
      </c>
      <c r="E18" s="1145">
        <f>IF($B$8="Calendar Year",
VLOOKUP($A18, 'Q&amp;V CY 2004 to Now'!$10:$104, MATCH(E$10 &amp; " " &amp; E$11, 'Q&amp;V CY 2004 to Now'!$10:$10, 0), FALSE),
VLOOKUP($A18, 'Q&amp;V FY 2003-04 to Now'!$10:$103, MATCH(E$10 &amp; " " &amp; E$11, 'Q&amp;V FY 2003-04 to Now'!$10:$10, 0), FALSE)
)</f>
        <v>66017.858000000007</v>
      </c>
      <c r="F18" s="1146">
        <f>IF($B$8="Calendar Year",
VLOOKUP($A18, 'Q&amp;V CY 2004 to Now'!$10:$104, MATCH(E$10 &amp; " " &amp; F$11, 'Q&amp;V CY 2004 to Now'!$10:$10, 0), FALSE),
VLOOKUP($A18, 'Q&amp;V FY 2003-04 to Now'!$10:$103, MATCH(E$10 &amp; " " &amp; F$11, 'Q&amp;V FY 2003-04 to Now'!$10:$10, 0), FALSE)
)</f>
        <v>1038982544</v>
      </c>
      <c r="H18" s="87" t="s">
        <v>193</v>
      </c>
      <c r="I18" s="111">
        <f t="shared" si="0"/>
        <v>7929.0895441452794</v>
      </c>
      <c r="J18" s="112">
        <f t="shared" si="1"/>
        <v>3.4362424211366094E-2</v>
      </c>
      <c r="K18" s="111">
        <f t="shared" si="2"/>
        <v>6702.9042690502311</v>
      </c>
      <c r="L18" s="112">
        <f t="shared" si="3"/>
        <v>2.968511849432192E-2</v>
      </c>
    </row>
    <row r="19" spans="1:12" x14ac:dyDescent="0.25">
      <c r="A19" s="116" t="s">
        <v>192</v>
      </c>
      <c r="B19" s="1154" t="s">
        <v>166</v>
      </c>
      <c r="C19" s="1145">
        <f>IF($B$8="Calendar Year",
VLOOKUP($A19, 'Q&amp;V CY 2004 to Now'!$10:$104, MATCH(C$10 &amp; " " &amp; C$11, 'Q&amp;V CY 2004 to Now'!$10:$10, 0), FALSE),
VLOOKUP($A19, 'Q&amp;V FY 2003-04 to Now'!$10:$103, MATCH(C$10 &amp; " " &amp; C$11, 'Q&amp;V FY 2003-04 to Now'!$10:$10, 0), FALSE)
)</f>
        <v>56217.292000000001</v>
      </c>
      <c r="D19" s="1146">
        <f>IF($B$8="Calendar Year",
VLOOKUP($A19, 'Q&amp;V CY 2004 to Now'!$10:$104, MATCH(C$10 &amp; " " &amp; D$11, 'Q&amp;V CY 2004 to Now'!$10:$10, 0), FALSE),
VLOOKUP($A19, 'Q&amp;V FY 2003-04 to Now'!$10:$103, MATCH(C$10 &amp; " " &amp; D$11, 'Q&amp;V FY 2003-04 to Now'!$10:$10, 0), FALSE)
)</f>
        <v>176078417.99999997</v>
      </c>
      <c r="E19" s="1145">
        <f>IF($B$8="Calendar Year",
VLOOKUP($A19, 'Q&amp;V CY 2004 to Now'!$10:$104, MATCH(E$10 &amp; " " &amp; E$11, 'Q&amp;V CY 2004 to Now'!$10:$10, 0), FALSE),
VLOOKUP($A19, 'Q&amp;V FY 2003-04 to Now'!$10:$103, MATCH(E$10 &amp; " " &amp; E$11, 'Q&amp;V FY 2003-04 to Now'!$10:$10, 0), FALSE)
)</f>
        <v>71909.516000000003</v>
      </c>
      <c r="F19" s="1146">
        <f>IF($B$8="Calendar Year",
VLOOKUP($A19, 'Q&amp;V CY 2004 to Now'!$10:$104, MATCH(E$10 &amp; " " &amp; F$11, 'Q&amp;V CY 2004 to Now'!$10:$10, 0), FALSE),
VLOOKUP($A19, 'Q&amp;V FY 2003-04 to Now'!$10:$103, MATCH(E$10 &amp; " " &amp; F$11, 'Q&amp;V FY 2003-04 to Now'!$10:$10, 0), FALSE)
)</f>
        <v>222747699.99999997</v>
      </c>
      <c r="H19" s="87" t="s">
        <v>48</v>
      </c>
      <c r="I19" s="111">
        <f>VLOOKUP("Spodumene",$A$12:$F$129, 4,FALSE)/10^6</f>
        <v>5032.6976560000003</v>
      </c>
      <c r="J19" s="112">
        <f t="shared" si="1"/>
        <v>2.1810283617078447E-2</v>
      </c>
      <c r="K19" s="111">
        <f>VLOOKUP("Spodumene",$A$12:$F$129, 6,FALSE)/10^6</f>
        <v>4461.8779101333876</v>
      </c>
      <c r="L19" s="112">
        <f t="shared" si="3"/>
        <v>1.9760296306346438E-2</v>
      </c>
    </row>
    <row r="20" spans="1:12" x14ac:dyDescent="0.25">
      <c r="A20" s="116" t="s">
        <v>194</v>
      </c>
      <c r="B20" s="1154" t="s">
        <v>166</v>
      </c>
      <c r="C20" s="1145">
        <f>IF($B$8="Calendar Year",
VLOOKUP($A20, 'Q&amp;V CY 2004 to Now'!$10:$104, MATCH(C$10 &amp; " " &amp; C$11, 'Q&amp;V CY 2004 to Now'!$10:$10, 0), FALSE),
VLOOKUP($A20, 'Q&amp;V FY 2003-04 to Now'!$10:$103, MATCH(C$10 &amp; " " &amp; C$11, 'Q&amp;V FY 2003-04 to Now'!$10:$10, 0), FALSE)
)</f>
        <v>53413.8</v>
      </c>
      <c r="D20" s="1146">
        <f>IF($B$8="Calendar Year",
VLOOKUP($A20, 'Q&amp;V CY 2004 to Now'!$10:$104, MATCH(C$10 &amp; " " &amp; D$11, 'Q&amp;V CY 2004 to Now'!$10:$10, 0), FALSE),
VLOOKUP($A20, 'Q&amp;V FY 2003-04 to Now'!$10:$103, MATCH(C$10 &amp; " " &amp; D$11, 'Q&amp;V FY 2003-04 to Now'!$10:$10, 0), FALSE)
)</f>
        <v>225068680.99999997</v>
      </c>
      <c r="E20" s="1145">
        <f>IF($B$8="Calendar Year",
VLOOKUP($A20, 'Q&amp;V CY 2004 to Now'!$10:$104, MATCH(E$10 &amp; " " &amp; E$11, 'Q&amp;V CY 2004 to Now'!$10:$10, 0), FALSE),
VLOOKUP($A20, 'Q&amp;V FY 2003-04 to Now'!$10:$103, MATCH(E$10 &amp; " " &amp; E$11, 'Q&amp;V FY 2003-04 to Now'!$10:$10, 0), FALSE)
)</f>
        <v>32779.46</v>
      </c>
      <c r="F20" s="1146">
        <f>IF($B$8="Calendar Year",
VLOOKUP($A20, 'Q&amp;V CY 2004 to Now'!$10:$104, MATCH(E$10 &amp; " " &amp; F$11, 'Q&amp;V CY 2004 to Now'!$10:$10, 0), FALSE),
VLOOKUP($A20, 'Q&amp;V FY 2003-04 to Now'!$10:$103, MATCH(E$10 &amp; " " &amp; F$11, 'Q&amp;V FY 2003-04 to Now'!$10:$10, 0), FALSE)
)</f>
        <v>141401339</v>
      </c>
      <c r="H20" s="87" t="s">
        <v>170</v>
      </c>
      <c r="I20" s="111">
        <f>VLOOKUP($H20,$A$12:$F$129, 4,FALSE)/10^6</f>
        <v>3171.3579945775127</v>
      </c>
      <c r="J20" s="112">
        <f t="shared" si="1"/>
        <v>1.3743765678147203E-2</v>
      </c>
      <c r="K20" s="111">
        <f>VLOOKUP($H20,$A$12:$F$129, 6,FALSE)/10^6</f>
        <v>3279.049874192759</v>
      </c>
      <c r="L20" s="112">
        <f t="shared" si="3"/>
        <v>1.4521911720215556E-2</v>
      </c>
    </row>
    <row r="21" spans="1:12" x14ac:dyDescent="0.25">
      <c r="A21" s="117" t="s">
        <v>195</v>
      </c>
      <c r="B21" s="1154"/>
      <c r="C21" s="1145"/>
      <c r="D21" s="1146">
        <f>IF($B$8="Calendar Year",
VLOOKUP($A21, 'Q&amp;V CY 2004 to Now'!$10:$104, MATCH(C$10 &amp; " " &amp; D$11, 'Q&amp;V CY 2004 to Now'!$10:$10, 0), FALSE),
VLOOKUP($A21, 'Q&amp;V FY 2003-04 to Now'!$10:$103, MATCH(C$10 &amp; " " &amp; D$11, 'Q&amp;V FY 2003-04 to Now'!$10:$10, 0), FALSE)
)</f>
        <v>1378181716.5984771</v>
      </c>
      <c r="E21" s="1145"/>
      <c r="F21" s="1146">
        <f>IF($B$8="Calendar Year",
VLOOKUP($A21, 'Q&amp;V CY 2004 to Now'!$10:$104, MATCH(E$10 &amp; " " &amp; F$11, 'Q&amp;V CY 2004 to Now'!$10:$10, 0), FALSE),
VLOOKUP($A21, 'Q&amp;V FY 2003-04 to Now'!$10:$103, MATCH(E$10 &amp; " " &amp; F$11, 'Q&amp;V FY 2003-04 to Now'!$10:$10, 0), FALSE)
)</f>
        <v>1403131583</v>
      </c>
      <c r="H21" s="87" t="s">
        <v>196</v>
      </c>
      <c r="I21" s="111">
        <f>VLOOKUP($H21,$A$12:$F$129, 4,FALSE)/10^6</f>
        <v>2374.1320814876594</v>
      </c>
      <c r="J21" s="112">
        <f t="shared" si="1"/>
        <v>1.0288814783045382E-2</v>
      </c>
      <c r="K21" s="111">
        <f>VLOOKUP($H21,$A$12:$F$129, 6,FALSE)/10^6</f>
        <v>1844.6232474012049</v>
      </c>
      <c r="L21" s="112">
        <f t="shared" si="3"/>
        <v>8.1692737175619225E-3</v>
      </c>
    </row>
    <row r="22" spans="1:12" x14ac:dyDescent="0.25">
      <c r="A22" s="115"/>
      <c r="B22" s="1154"/>
      <c r="C22" s="1145"/>
      <c r="D22" s="1146"/>
      <c r="E22" s="1145"/>
      <c r="F22" s="1146"/>
      <c r="H22" s="87" t="s">
        <v>54</v>
      </c>
      <c r="I22" s="111">
        <f>VLOOKUP("TOTAL MINERAL SANDS",$A$12:$F$129, 4,FALSE)/10^6</f>
        <v>1299.6254836709882</v>
      </c>
      <c r="J22" s="112">
        <f t="shared" si="1"/>
        <v>5.6322080785150596E-3</v>
      </c>
      <c r="K22" s="111">
        <f>VLOOKUP("TOTAL MINERAL SANDS",$A$12:$F$129, 6,FALSE)/10^6</f>
        <v>1512.3545486932703</v>
      </c>
      <c r="L22" s="112">
        <f t="shared" si="3"/>
        <v>6.6977569992578458E-3</v>
      </c>
    </row>
    <row r="23" spans="1:12" ht="15.75" thickBot="1" x14ac:dyDescent="0.3">
      <c r="A23" s="105" t="s">
        <v>197</v>
      </c>
      <c r="B23" s="1153" t="s">
        <v>166</v>
      </c>
      <c r="C23" s="1143">
        <f>IF($B$8="Calendar Year",
VLOOKUP($A23, 'Q&amp;V CY 2004 to Now'!$10:$104, MATCH(C$10 &amp; " " &amp; C$11, 'Q&amp;V CY 2004 to Now'!$10:$10, 0), FALSE),
VLOOKUP($A23, 'Q&amp;V FY 2003-04 to Now'!$10:$103, MATCH(C$10 &amp; " " &amp; C$11, 'Q&amp;V FY 2003-04 to Now'!$10:$10, 0), FALSE)
)</f>
        <v>0</v>
      </c>
      <c r="D23" s="1144">
        <f>IF($B$8="Calendar Year",
VLOOKUP($A23, 'Q&amp;V CY 2004 to Now'!$10:$104, MATCH(C$10 &amp; " " &amp; D$11, 'Q&amp;V CY 2004 to Now'!$10:$10, 0), FALSE),
VLOOKUP($A23, 'Q&amp;V FY 2003-04 to Now'!$10:$103, MATCH(C$10 &amp; " " &amp; D$11, 'Q&amp;V FY 2003-04 to Now'!$10:$10, 0), FALSE)
)</f>
        <v>0</v>
      </c>
      <c r="E23" s="1143">
        <f>IF($B$8="Calendar Year",
VLOOKUP($A23, 'Q&amp;V CY 2004 to Now'!$10:$104, MATCH(E$10 &amp; " " &amp; E$11, 'Q&amp;V CY 2004 to Now'!$10:$10, 0), FALSE),
VLOOKUP($A23, 'Q&amp;V FY 2003-04 to Now'!$10:$103, MATCH(E$10 &amp; " " &amp; E$11, 'Q&amp;V FY 2003-04 to Now'!$10:$10, 0), FALSE)
)</f>
        <v>0</v>
      </c>
      <c r="F23" s="1144">
        <f>IF($B$8="Calendar Year",
VLOOKUP($A23, 'Q&amp;V CY 2004 to Now'!$10:$104, MATCH(E$10 &amp; " " &amp; F$11, 'Q&amp;V CY 2004 to Now'!$10:$10, 0), FALSE),
VLOOKUP($A23, 'Q&amp;V FY 2003-04 to Now'!$10:$103, MATCH(E$10 &amp; " " &amp; F$11, 'Q&amp;V FY 2003-04 to Now'!$10:$10, 0), FALSE)
)</f>
        <v>0</v>
      </c>
      <c r="H23" s="87" t="s">
        <v>61</v>
      </c>
      <c r="I23" s="111">
        <f>VLOOKUP($H23,$A$12:$F$129, 4,FALSE)/10^6</f>
        <v>3284.0819762207707</v>
      </c>
      <c r="J23" s="112">
        <f t="shared" si="1"/>
        <v>1.4232279429247414E-2</v>
      </c>
      <c r="K23" s="111">
        <f>VLOOKUP($H23,$A$12:$F$129, 6,FALSE)/10^6</f>
        <v>1265.536116</v>
      </c>
      <c r="L23" s="112">
        <f t="shared" si="3"/>
        <v>5.6046734451761868E-3</v>
      </c>
    </row>
    <row r="24" spans="1:12" ht="15.75" thickBot="1" x14ac:dyDescent="0.3">
      <c r="A24" s="105"/>
      <c r="B24" s="1153"/>
      <c r="C24" s="1143"/>
      <c r="D24" s="1144"/>
      <c r="E24" s="1143"/>
      <c r="F24" s="1144"/>
      <c r="H24" s="118" t="s">
        <v>199</v>
      </c>
      <c r="I24" s="119">
        <f t="shared" si="0"/>
        <v>180891.8161770264</v>
      </c>
      <c r="J24" s="120">
        <f t="shared" si="1"/>
        <v>0.78393380339980523</v>
      </c>
      <c r="K24" s="119">
        <f t="shared" si="2"/>
        <v>181740.12621239226</v>
      </c>
      <c r="L24" s="120">
        <f t="shared" si="3"/>
        <v>0.80487158479921528</v>
      </c>
    </row>
    <row r="25" spans="1:12" ht="15.75" thickBot="1" x14ac:dyDescent="0.3">
      <c r="A25" s="115" t="s">
        <v>198</v>
      </c>
      <c r="B25" s="1154" t="s">
        <v>166</v>
      </c>
      <c r="C25" s="1145">
        <f>IF($B$8="Calendar Year",
VLOOKUP($A25, 'Q&amp;V CY 2004 to Now'!$10:$104, MATCH(C$10 &amp; " " &amp; C$11, 'Q&amp;V CY 2004 to Now'!$10:$10, 0), FALSE),
VLOOKUP($A25, 'Q&amp;V FY 2003-04 to Now'!$10:$103, MATCH(C$10 &amp; " " &amp; C$11, 'Q&amp;V FY 2003-04 to Now'!$10:$10, 0), FALSE)
)</f>
        <v>32315.917000000001</v>
      </c>
      <c r="D25" s="1146">
        <f>IF($B$8="Calendar Year",
VLOOKUP($A25, 'Q&amp;V CY 2004 to Now'!$10:$104, MATCH(C$10 &amp; " " &amp; D$11, 'Q&amp;V CY 2004 to Now'!$10:$10, 0), FALSE),
VLOOKUP($A25, 'Q&amp;V FY 2003-04 to Now'!$10:$103, MATCH(C$10 &amp; " " &amp; D$11, 'Q&amp;V FY 2003-04 to Now'!$10:$10, 0), FALSE)
)</f>
        <v>3849978</v>
      </c>
      <c r="E25" s="1145">
        <f>IF($B$8="Calendar Year",
VLOOKUP($A25, 'Q&amp;V CY 2004 to Now'!$10:$104, MATCH(E$10 &amp; " " &amp; E$11, 'Q&amp;V CY 2004 to Now'!$10:$10, 0), FALSE),
VLOOKUP($A25, 'Q&amp;V FY 2003-04 to Now'!$10:$103, MATCH(E$10 &amp; " " &amp; E$11, 'Q&amp;V FY 2003-04 to Now'!$10:$10, 0), FALSE)
)</f>
        <v>64691.678</v>
      </c>
      <c r="F25" s="1146">
        <f>IF($B$8="Calendar Year",
VLOOKUP($A25, 'Q&amp;V CY 2004 to Now'!$10:$104, MATCH(E$10 &amp; " " &amp; F$11, 'Q&amp;V CY 2004 to Now'!$10:$10, 0), FALSE),
VLOOKUP($A25, 'Q&amp;V FY 2003-04 to Now'!$10:$103, MATCH(E$10 &amp; " " &amp; F$11, 'Q&amp;V FY 2003-04 to Now'!$10:$10, 0), FALSE)
)</f>
        <v>9895749.8734791148</v>
      </c>
      <c r="H25" s="118" t="s">
        <v>200</v>
      </c>
      <c r="I25" s="119">
        <f t="shared" si="0"/>
        <v>49857.024340534284</v>
      </c>
      <c r="J25" s="120">
        <f t="shared" si="1"/>
        <v>0.21606619660019491</v>
      </c>
      <c r="K25" s="119">
        <f t="shared" si="2"/>
        <v>44060.025817734946</v>
      </c>
      <c r="L25" s="120">
        <f t="shared" si="3"/>
        <v>0.19512841520078456</v>
      </c>
    </row>
    <row r="26" spans="1:12" ht="15.75" thickBot="1" x14ac:dyDescent="0.3">
      <c r="A26" s="115"/>
      <c r="B26" s="1154"/>
      <c r="C26" s="1145"/>
      <c r="D26" s="1146"/>
      <c r="E26" s="1145"/>
      <c r="F26" s="1146"/>
      <c r="H26" s="108" t="s">
        <v>202</v>
      </c>
      <c r="I26" s="121">
        <f t="shared" si="0"/>
        <v>230748.84051756066</v>
      </c>
      <c r="J26" s="1158">
        <f t="shared" si="1"/>
        <v>1</v>
      </c>
      <c r="K26" s="121">
        <f t="shared" si="2"/>
        <v>225800.15203012724</v>
      </c>
      <c r="L26" s="1158">
        <f t="shared" si="3"/>
        <v>1</v>
      </c>
    </row>
    <row r="27" spans="1:12" x14ac:dyDescent="0.25">
      <c r="A27" s="105" t="s">
        <v>201</v>
      </c>
      <c r="B27" s="1153" t="s">
        <v>166</v>
      </c>
      <c r="C27" s="1143">
        <f>IF($B$8="Calendar Year",
VLOOKUP($A27, 'Q&amp;V CY 2004 to Now'!$10:$104, MATCH(C$10 &amp; " " &amp; C$11, 'Q&amp;V CY 2004 to Now'!$10:$10, 0), FALSE),
VLOOKUP($A27, 'Q&amp;V FY 2003-04 to Now'!$10:$103, MATCH(C$10 &amp; " " &amp; C$11, 'Q&amp;V FY 2003-04 to Now'!$10:$10, 0), FALSE)
)</f>
        <v>5038696.8600000003</v>
      </c>
      <c r="D27" s="1144">
        <f>IF($B$8="Calendar Year",
VLOOKUP($A27, 'Q&amp;V CY 2004 to Now'!$10:$104, MATCH(C$10 &amp; " " &amp; D$11, 'Q&amp;V CY 2004 to Now'!$10:$10, 0), FALSE),
VLOOKUP($A27, 'Q&amp;V FY 2003-04 to Now'!$10:$103, MATCH(C$10 &amp; " " &amp; D$11, 'Q&amp;V FY 2003-04 to Now'!$10:$10, 0), FALSE)
)</f>
        <v>461663981.00000006</v>
      </c>
      <c r="E27" s="1143">
        <f>IF($B$8="Calendar Year",
VLOOKUP($A27, 'Q&amp;V CY 2004 to Now'!$10:$104, MATCH(E$10 &amp; " " &amp; E$11, 'Q&amp;V CY 2004 to Now'!$10:$10, 0), FALSE),
VLOOKUP($A27, 'Q&amp;V FY 2003-04 to Now'!$10:$103, MATCH(E$10 &amp; " " &amp; E$11, 'Q&amp;V FY 2003-04 to Now'!$10:$10, 0), FALSE)
)</f>
        <v>5587624.9999999991</v>
      </c>
      <c r="F27" s="1144">
        <f>IF($B$8="Calendar Year",
VLOOKUP($A27, 'Q&amp;V CY 2004 to Now'!$10:$104, MATCH(E$10 &amp; " " &amp; F$11, 'Q&amp;V CY 2004 to Now'!$10:$10, 0), FALSE),
VLOOKUP($A27, 'Q&amp;V FY 2003-04 to Now'!$10:$103, MATCH(E$10 &amp; " " &amp; F$11, 'Q&amp;V FY 2003-04 to Now'!$10:$10, 0), FALSE)
)</f>
        <v>529332469.00000006</v>
      </c>
    </row>
    <row r="28" spans="1:12" x14ac:dyDescent="0.25">
      <c r="A28" s="122"/>
      <c r="B28" s="1153"/>
      <c r="C28" s="1143"/>
      <c r="D28" s="1144"/>
      <c r="E28" s="1143"/>
      <c r="F28" s="1144"/>
    </row>
    <row r="29" spans="1:12" x14ac:dyDescent="0.25">
      <c r="A29" s="115" t="s">
        <v>203</v>
      </c>
      <c r="B29" s="1154" t="s">
        <v>166</v>
      </c>
      <c r="C29" s="1145">
        <f>IF($B$8="Calendar Year",
VLOOKUP($A29, 'Q&amp;V CY 2004 to Now'!$10:$104, MATCH(C$10 &amp; " " &amp; C$11, 'Q&amp;V CY 2004 to Now'!$10:$10, 0), FALSE),
VLOOKUP($A29, 'Q&amp;V FY 2003-04 to Now'!$10:$103, MATCH(C$10 &amp; " " &amp; C$11, 'Q&amp;V FY 2003-04 to Now'!$10:$10, 0), FALSE)
)</f>
        <v>4760.9319999999998</v>
      </c>
      <c r="D29" s="1146">
        <f>IF($B$8="Calendar Year",
VLOOKUP($A29, 'Q&amp;V CY 2004 to Now'!$10:$104, MATCH(C$10 &amp; " " &amp; D$11, 'Q&amp;V CY 2004 to Now'!$10:$10, 0), FALSE),
VLOOKUP($A29, 'Q&amp;V FY 2003-04 to Now'!$10:$103, MATCH(C$10 &amp; " " &amp; D$11, 'Q&amp;V FY 2003-04 to Now'!$10:$10, 0), FALSE)
)</f>
        <v>178876126.52552658</v>
      </c>
      <c r="E29" s="1145">
        <f>IF($B$8="Calendar Year",
VLOOKUP($A29, 'Q&amp;V CY 2004 to Now'!$10:$104, MATCH(E$10 &amp; " " &amp; E$11, 'Q&amp;V CY 2004 to Now'!$10:$10, 0), FALSE),
VLOOKUP($A29, 'Q&amp;V FY 2003-04 to Now'!$10:$103, MATCH(E$10 &amp; " " &amp; E$11, 'Q&amp;V FY 2003-04 to Now'!$10:$10, 0), FALSE)
)</f>
        <v>3050.04</v>
      </c>
      <c r="F29" s="1146">
        <f>IF($B$8="Calendar Year",
VLOOKUP($A29, 'Q&amp;V CY 2004 to Now'!$10:$104, MATCH(E$10 &amp; " " &amp; F$11, 'Q&amp;V CY 2004 to Now'!$10:$10, 0), FALSE),
VLOOKUP($A29, 'Q&amp;V FY 2003-04 to Now'!$10:$103, MATCH(E$10 &amp; " " &amp; F$11, 'Q&amp;V FY 2003-04 to Now'!$10:$10, 0), FALSE)
)</f>
        <v>167861474</v>
      </c>
    </row>
    <row r="30" spans="1:12" x14ac:dyDescent="0.25">
      <c r="A30" s="123"/>
      <c r="B30" s="1154"/>
      <c r="C30" s="1145"/>
      <c r="D30" s="1146"/>
      <c r="E30" s="1145"/>
      <c r="F30" s="1146"/>
    </row>
    <row r="31" spans="1:12" x14ac:dyDescent="0.25">
      <c r="A31" s="105" t="s">
        <v>204</v>
      </c>
      <c r="B31" s="1153"/>
      <c r="C31" s="1143"/>
      <c r="D31" s="1144"/>
      <c r="E31" s="1143"/>
      <c r="F31" s="1144"/>
    </row>
    <row r="32" spans="1:12" x14ac:dyDescent="0.25">
      <c r="A32" s="124" t="s">
        <v>205</v>
      </c>
      <c r="B32" s="1153" t="s">
        <v>166</v>
      </c>
      <c r="C32" s="1143">
        <f>IF($B$8="Calendar Year",
VLOOKUP($A32, 'Q&amp;V CY 2004 to Now'!$10:$104, MATCH(C$10 &amp; " " &amp; C$11, 'Q&amp;V CY 2004 to Now'!$10:$10, 0), FALSE),
VLOOKUP($A32, 'Q&amp;V FY 2003-04 to Now'!$10:$103, MATCH(C$10 &amp; " " &amp; C$11, 'Q&amp;V FY 2003-04 to Now'!$10:$10, 0), FALSE)
)</f>
        <v>3472301.01</v>
      </c>
      <c r="D32" s="1144">
        <f>IF($B$8="Calendar Year",
VLOOKUP($A32, 'Q&amp;V CY 2004 to Now'!$10:$104, MATCH(C$10 &amp; " " &amp; D$11, 'Q&amp;V CY 2004 to Now'!$10:$10, 0), FALSE),
VLOOKUP($A32, 'Q&amp;V FY 2003-04 to Now'!$10:$103, MATCH(C$10 &amp; " " &amp; D$11, 'Q&amp;V FY 2003-04 to Now'!$10:$10, 0), FALSE)
)</f>
        <v>143952254.92932034</v>
      </c>
      <c r="E32" s="1143">
        <f>IF($B$8="Calendar Year",
VLOOKUP($A32, 'Q&amp;V CY 2004 to Now'!$10:$104, MATCH(E$10 &amp; " " &amp; E$11, 'Q&amp;V CY 2004 to Now'!$10:$10, 0), FALSE),
VLOOKUP($A32, 'Q&amp;V FY 2003-04 to Now'!$10:$103, MATCH(E$10 &amp; " " &amp; E$11, 'Q&amp;V FY 2003-04 to Now'!$10:$10, 0), FALSE)
)</f>
        <v>2905504.4700000007</v>
      </c>
      <c r="F32" s="1144">
        <f>IF($B$8="Calendar Year",
VLOOKUP($A32, 'Q&amp;V CY 2004 to Now'!$10:$104, MATCH(E$10 &amp; " " &amp; F$11, 'Q&amp;V CY 2004 to Now'!$10:$10, 0), FALSE),
VLOOKUP($A32, 'Q&amp;V FY 2003-04 to Now'!$10:$103, MATCH(E$10 &amp; " " &amp; F$11, 'Q&amp;V FY 2003-04 to Now'!$10:$10, 0), FALSE)
)</f>
        <v>128084665.62869975</v>
      </c>
    </row>
    <row r="33" spans="1:6" x14ac:dyDescent="0.25">
      <c r="A33" s="124" t="s">
        <v>206</v>
      </c>
      <c r="B33" s="1153" t="s">
        <v>166</v>
      </c>
      <c r="C33" s="1143">
        <f>IF($B$8="Calendar Year",
VLOOKUP($A33, 'Q&amp;V CY 2004 to Now'!$10:$104, MATCH(C$10 &amp; " " &amp; C$11, 'Q&amp;V CY 2004 to Now'!$10:$10, 0), FALSE),
VLOOKUP($A33, 'Q&amp;V FY 2003-04 to Now'!$10:$103, MATCH(C$10 &amp; " " &amp; C$11, 'Q&amp;V FY 2003-04 to Now'!$10:$10, 0), FALSE)
)</f>
        <v>73610.469999999972</v>
      </c>
      <c r="D33" s="1144">
        <f>IF($B$8="Calendar Year",
VLOOKUP($A33, 'Q&amp;V CY 2004 to Now'!$10:$104, MATCH(C$10 &amp; " " &amp; D$11, 'Q&amp;V CY 2004 to Now'!$10:$10, 0), FALSE),
VLOOKUP($A33, 'Q&amp;V FY 2003-04 to Now'!$10:$103, MATCH(C$10 &amp; " " &amp; D$11, 'Q&amp;V FY 2003-04 to Now'!$10:$10, 0), FALSE)
)</f>
        <v>1044997.1969098144</v>
      </c>
      <c r="E33" s="1143">
        <f>IF($B$8="Calendar Year",
VLOOKUP($A33, 'Q&amp;V CY 2004 to Now'!$10:$104, MATCH(E$10 &amp; " " &amp; E$11, 'Q&amp;V CY 2004 to Now'!$10:$10, 0), FALSE),
VLOOKUP($A33, 'Q&amp;V FY 2003-04 to Now'!$10:$103, MATCH(E$10 &amp; " " &amp; E$11, 'Q&amp;V FY 2003-04 to Now'!$10:$10, 0), FALSE)
)</f>
        <v>663359.21000000008</v>
      </c>
      <c r="F33" s="1144">
        <f>IF($B$8="Calendar Year",
VLOOKUP($A33, 'Q&amp;V CY 2004 to Now'!$10:$104, MATCH(E$10 &amp; " " &amp; F$11, 'Q&amp;V CY 2004 to Now'!$10:$10, 0), FALSE),
VLOOKUP($A33, 'Q&amp;V FY 2003-04 to Now'!$10:$103, MATCH(E$10 &amp; " " &amp; F$11, 'Q&amp;V FY 2003-04 to Now'!$10:$10, 0), FALSE)
)</f>
        <v>7045647.6204593787</v>
      </c>
    </row>
    <row r="34" spans="1:6" x14ac:dyDescent="0.25">
      <c r="A34" s="124" t="s">
        <v>207</v>
      </c>
      <c r="B34" s="1153" t="s">
        <v>166</v>
      </c>
      <c r="C34" s="1143">
        <f>IF($B$8="Calendar Year",
VLOOKUP($A34, 'Q&amp;V CY 2004 to Now'!$10:$104, MATCH(C$10 &amp; " " &amp; C$11, 'Q&amp;V CY 2004 to Now'!$10:$10, 0), FALSE),
VLOOKUP($A34, 'Q&amp;V FY 2003-04 to Now'!$10:$103, MATCH(C$10 &amp; " " &amp; C$11, 'Q&amp;V FY 2003-04 to Now'!$10:$10, 0), FALSE)
)</f>
        <v>1478133.1600000006</v>
      </c>
      <c r="D34" s="1144">
        <f>IF($B$8="Calendar Year",
VLOOKUP($A34, 'Q&amp;V CY 2004 to Now'!$10:$104, MATCH(C$10 &amp; " " &amp; D$11, 'Q&amp;V CY 2004 to Now'!$10:$10, 0), FALSE),
VLOOKUP($A34, 'Q&amp;V FY 2003-04 to Now'!$10:$103, MATCH(C$10 &amp; " " &amp; D$11, 'Q&amp;V FY 2003-04 to Now'!$10:$10, 0), FALSE)
)</f>
        <v>29061367.717911348</v>
      </c>
      <c r="E34" s="1143">
        <f>IF($B$8="Calendar Year",
VLOOKUP($A34, 'Q&amp;V CY 2004 to Now'!$10:$104, MATCH(E$10 &amp; " " &amp; E$11, 'Q&amp;V CY 2004 to Now'!$10:$10, 0), FALSE),
VLOOKUP($A34, 'Q&amp;V FY 2003-04 to Now'!$10:$103, MATCH(E$10 &amp; " " &amp; E$11, 'Q&amp;V FY 2003-04 to Now'!$10:$10, 0), FALSE)
)</f>
        <v>1385696.74</v>
      </c>
      <c r="F34" s="1144">
        <f>IF($B$8="Calendar Year",
VLOOKUP($A34, 'Q&amp;V CY 2004 to Now'!$10:$104, MATCH(E$10 &amp; " " &amp; F$11, 'Q&amp;V CY 2004 to Now'!$10:$10, 0), FALSE),
VLOOKUP($A34, 'Q&amp;V FY 2003-04 to Now'!$10:$103, MATCH(E$10 &amp; " " &amp; F$11, 'Q&amp;V FY 2003-04 to Now'!$10:$10, 0), FALSE)
)</f>
        <v>30044918.90944013</v>
      </c>
    </row>
    <row r="35" spans="1:6" x14ac:dyDescent="0.25">
      <c r="A35" s="124" t="s">
        <v>208</v>
      </c>
      <c r="B35" s="1153" t="s">
        <v>166</v>
      </c>
      <c r="C35" s="1143">
        <f>IF($B$8="Calendar Year",
VLOOKUP($A35, 'Q&amp;V CY 2004 to Now'!$10:$104, MATCH(C$10 &amp; " " &amp; C$11, 'Q&amp;V CY 2004 to Now'!$10:$10, 0), FALSE),
VLOOKUP($A35, 'Q&amp;V FY 2003-04 to Now'!$10:$103, MATCH(C$10 &amp; " " &amp; C$11, 'Q&amp;V FY 2003-04 to Now'!$10:$10, 0), FALSE)
)</f>
        <v>4994718.909</v>
      </c>
      <c r="D35" s="1144">
        <f>IF($B$8="Calendar Year",
VLOOKUP($A35, 'Q&amp;V CY 2004 to Now'!$10:$104, MATCH(C$10 &amp; " " &amp; D$11, 'Q&amp;V CY 2004 to Now'!$10:$10, 0), FALSE),
VLOOKUP($A35, 'Q&amp;V FY 2003-04 to Now'!$10:$103, MATCH(C$10 &amp; " " &amp; D$11, 'Q&amp;V FY 2003-04 to Now'!$10:$10, 0), FALSE)
)</f>
        <v>57654753.476349927</v>
      </c>
      <c r="E35" s="1143">
        <f>IF($B$8="Calendar Year",
VLOOKUP($A35, 'Q&amp;V CY 2004 to Now'!$10:$104, MATCH(E$10 &amp; " " &amp; E$11, 'Q&amp;V CY 2004 to Now'!$10:$10, 0), FALSE),
VLOOKUP($A35, 'Q&amp;V FY 2003-04 to Now'!$10:$103, MATCH(E$10 &amp; " " &amp; E$11, 'Q&amp;V FY 2003-04 to Now'!$10:$10, 0), FALSE)
)</f>
        <v>6522266.4489999991</v>
      </c>
      <c r="F35" s="1144">
        <f>IF($B$8="Calendar Year",
VLOOKUP($A35, 'Q&amp;V CY 2004 to Now'!$10:$104, MATCH(E$10 &amp; " " &amp; F$11, 'Q&amp;V CY 2004 to Now'!$10:$10, 0), FALSE),
VLOOKUP($A35, 'Q&amp;V FY 2003-04 to Now'!$10:$103, MATCH(E$10 &amp; " " &amp; F$11, 'Q&amp;V FY 2003-04 to Now'!$10:$10, 0), FALSE)
)</f>
        <v>77550165.236915186</v>
      </c>
    </row>
    <row r="36" spans="1:6" x14ac:dyDescent="0.25">
      <c r="A36" s="124" t="s">
        <v>209</v>
      </c>
      <c r="B36" s="1153"/>
      <c r="C36" s="1143"/>
      <c r="D36" s="1144">
        <f>IF($B$8="Calendar Year",
VLOOKUP($A36, 'Q&amp;V CY 2004 to Now'!$10:$104, MATCH(C$10 &amp; " " &amp; D$11, 'Q&amp;V CY 2004 to Now'!$10:$10, 0), FALSE),
VLOOKUP($A36, 'Q&amp;V FY 2003-04 to Now'!$10:$103, MATCH(C$10 &amp; " " &amp; D$11, 'Q&amp;V FY 2003-04 to Now'!$10:$10, 0), FALSE)
)</f>
        <v>231713373.3204914</v>
      </c>
      <c r="E36" s="1143"/>
      <c r="F36" s="1144">
        <f>IF($B$8="Calendar Year",
VLOOKUP($A36, 'Q&amp;V CY 2004 to Now'!$10:$104, MATCH(E$10 &amp; " " &amp; F$11, 'Q&amp;V CY 2004 to Now'!$10:$10, 0), FALSE),
VLOOKUP($A36, 'Q&amp;V FY 2003-04 to Now'!$10:$103, MATCH(E$10 &amp; " " &amp; F$11, 'Q&amp;V FY 2003-04 to Now'!$10:$10, 0), FALSE)
)</f>
        <v>242725397.39551443</v>
      </c>
    </row>
    <row r="37" spans="1:6" x14ac:dyDescent="0.25">
      <c r="A37" s="125"/>
      <c r="B37" s="1153"/>
      <c r="C37" s="1143"/>
      <c r="D37" s="1144"/>
      <c r="E37" s="1143"/>
      <c r="F37" s="1144"/>
    </row>
    <row r="38" spans="1:6" x14ac:dyDescent="0.25">
      <c r="A38" s="115" t="s">
        <v>210</v>
      </c>
      <c r="B38" s="1154" t="s">
        <v>211</v>
      </c>
      <c r="C38" s="1145">
        <f>IF($B$8="Calendar Year",
VLOOKUP($A38, 'Q&amp;V CY 2004 to Now'!$10:$104, MATCH(C$10 &amp; " " &amp; C$11, 'Q&amp;V CY 2004 to Now'!$10:$10, 0), FALSE),
VLOOKUP($A38, 'Q&amp;V FY 2003-04 to Now'!$10:$103, MATCH(C$10 &amp; " " &amp; C$11, 'Q&amp;V FY 2003-04 to Now'!$10:$10, 0), FALSE)
)</f>
        <v>6658.29</v>
      </c>
      <c r="D38" s="1146">
        <f>IF($B$8="Calendar Year",
VLOOKUP($A38, 'Q&amp;V CY 2004 to Now'!$10:$104, MATCH(C$10 &amp; " " &amp; D$11, 'Q&amp;V CY 2004 to Now'!$10:$10, 0), FALSE),
VLOOKUP($A38, 'Q&amp;V FY 2003-04 to Now'!$10:$103, MATCH(C$10 &amp; " " &amp; D$11, 'Q&amp;V FY 2003-04 to Now'!$10:$10, 0), FALSE)
)</f>
        <v>1760119</v>
      </c>
      <c r="E38" s="1145">
        <f>IF($B$8="Calendar Year",
VLOOKUP($A38, 'Q&amp;V CY 2004 to Now'!$10:$104, MATCH(E$10 &amp; " " &amp; E$11, 'Q&amp;V CY 2004 to Now'!$10:$10, 0), FALSE),
VLOOKUP($A38, 'Q&amp;V FY 2003-04 to Now'!$10:$103, MATCH(E$10 &amp; " " &amp; E$11, 'Q&amp;V FY 2003-04 to Now'!$10:$10, 0), FALSE)
)</f>
        <v>18212</v>
      </c>
      <c r="F38" s="1146">
        <f>IF($B$8="Calendar Year",
VLOOKUP($A38, 'Q&amp;V CY 2004 to Now'!$10:$104, MATCH(E$10 &amp; " " &amp; F$11, 'Q&amp;V CY 2004 to Now'!$10:$10, 0), FALSE),
VLOOKUP($A38, 'Q&amp;V FY 2003-04 to Now'!$10:$103, MATCH(E$10 &amp; " " &amp; F$11, 'Q&amp;V FY 2003-04 to Now'!$10:$10, 0), FALSE)
)</f>
        <v>3360138.9999999995</v>
      </c>
    </row>
    <row r="39" spans="1:6" x14ac:dyDescent="0.25">
      <c r="A39" s="123"/>
      <c r="B39" s="1154"/>
      <c r="C39" s="1145"/>
      <c r="D39" s="1146"/>
      <c r="E39" s="1145"/>
      <c r="F39" s="1146"/>
    </row>
    <row r="40" spans="1:6" x14ac:dyDescent="0.25">
      <c r="A40" s="105" t="s">
        <v>212</v>
      </c>
      <c r="B40" s="1153" t="s">
        <v>166</v>
      </c>
      <c r="C40" s="1143">
        <f>IF($B$8="Calendar Year",
VLOOKUP($A40, 'Q&amp;V CY 2004 to Now'!$10:$104, MATCH(C$10 &amp; " " &amp; C$11, 'Q&amp;V CY 2004 to Now'!$10:$10, 0), FALSE),
VLOOKUP($A40, 'Q&amp;V FY 2003-04 to Now'!$10:$103, MATCH(C$10 &amp; " " &amp; C$11, 'Q&amp;V FY 2003-04 to Now'!$10:$10, 0), FALSE)
)</f>
        <v>17877.164000000001</v>
      </c>
      <c r="D40" s="1144">
        <f>IF($B$8="Calendar Year",
VLOOKUP($A40, 'Q&amp;V CY 2004 to Now'!$10:$104, MATCH(C$10 &amp; " " &amp; D$11, 'Q&amp;V CY 2004 to Now'!$10:$10, 0), FALSE),
VLOOKUP($A40, 'Q&amp;V FY 2003-04 to Now'!$10:$103, MATCH(C$10 &amp; " " &amp; D$11, 'Q&amp;V FY 2003-04 to Now'!$10:$10, 0), FALSE)
)</f>
        <v>5983615.3846643325</v>
      </c>
      <c r="E40" s="1143">
        <f>IF($B$8="Calendar Year",
VLOOKUP($A40, 'Q&amp;V CY 2004 to Now'!$10:$104, MATCH(E$10 &amp; " " &amp; E$11, 'Q&amp;V CY 2004 to Now'!$10:$10, 0), FALSE),
VLOOKUP($A40, 'Q&amp;V FY 2003-04 to Now'!$10:$103, MATCH(E$10 &amp; " " &amp; E$11, 'Q&amp;V FY 2003-04 to Now'!$10:$10, 0), FALSE)
)</f>
        <v>15437.309999999998</v>
      </c>
      <c r="F40" s="1144">
        <f>IF($B$8="Calendar Year",
VLOOKUP($A40, 'Q&amp;V CY 2004 to Now'!$10:$104, MATCH(E$10 &amp; " " &amp; F$11, 'Q&amp;V CY 2004 to Now'!$10:$10, 0), FALSE),
VLOOKUP($A40, 'Q&amp;V FY 2003-04 to Now'!$10:$103, MATCH(E$10 &amp; " " &amp; F$11, 'Q&amp;V FY 2003-04 to Now'!$10:$10, 0), FALSE)
)</f>
        <v>10286106.535639692</v>
      </c>
    </row>
    <row r="41" spans="1:6" x14ac:dyDescent="0.25">
      <c r="A41" s="125"/>
      <c r="B41" s="1153"/>
      <c r="C41" s="1143"/>
      <c r="D41" s="1144"/>
      <c r="E41" s="1143"/>
      <c r="F41" s="1144"/>
    </row>
    <row r="42" spans="1:6" x14ac:dyDescent="0.25">
      <c r="A42" s="115" t="s">
        <v>510</v>
      </c>
      <c r="B42" s="1154" t="s">
        <v>214</v>
      </c>
      <c r="C42" s="1145">
        <f>IF($B$8="Calendar Year",
VLOOKUP($A42, 'Q&amp;V CY 2004 to Now'!$10:$104, MATCH(C$10 &amp; " " &amp; C$11, 'Q&amp;V CY 2004 to Now'!$10:$10, 0), FALSE),
VLOOKUP($A42, 'Q&amp;V FY 2003-04 to Now'!$10:$103, MATCH(C$10 &amp; " " &amp; C$11, 'Q&amp;V FY 2003-04 to Now'!$10:$10, 0), FALSE)
)</f>
        <v>172070.77</v>
      </c>
      <c r="D42" s="1146">
        <f>IF($B$8="Calendar Year",
VLOOKUP($A42, 'Q&amp;V CY 2004 to Now'!$10:$104, MATCH(C$10 &amp; " " &amp; D$11, 'Q&amp;V CY 2004 to Now'!$10:$10, 0), FALSE),
VLOOKUP($A42, 'Q&amp;V FY 2003-04 to Now'!$10:$103, MATCH(C$10 &amp; " " &amp; D$11, 'Q&amp;V FY 2003-04 to Now'!$10:$10, 0), FALSE)
)</f>
        <v>502033</v>
      </c>
      <c r="E42" s="1145">
        <f>IF($B$8="Calendar Year",
VLOOKUP($A42, 'Q&amp;V CY 2004 to Now'!$10:$104, MATCH(E$10 &amp; " " &amp; E$11, 'Q&amp;V CY 2004 to Now'!$10:$10, 0), FALSE),
VLOOKUP($A42, 'Q&amp;V FY 2003-04 to Now'!$10:$103, MATCH(E$10 &amp; " " &amp; E$11, 'Q&amp;V FY 2003-04 to Now'!$10:$10, 0), FALSE)
)</f>
        <v>239443</v>
      </c>
      <c r="F42" s="1146">
        <f>IF($B$8="Calendar Year",
VLOOKUP($A42, 'Q&amp;V CY 2004 to Now'!$10:$104, MATCH(E$10 &amp; " " &amp; F$11, 'Q&amp;V CY 2004 to Now'!$10:$10, 0), FALSE),
VLOOKUP($A42, 'Q&amp;V FY 2003-04 to Now'!$10:$103, MATCH(E$10 &amp; " " &amp; F$11, 'Q&amp;V FY 2003-04 to Now'!$10:$10, 0), FALSE)
)</f>
        <v>582068</v>
      </c>
    </row>
    <row r="43" spans="1:6" x14ac:dyDescent="0.25">
      <c r="A43" s="123"/>
      <c r="B43" s="1154"/>
      <c r="C43" s="1145"/>
      <c r="D43" s="1146"/>
      <c r="E43" s="1145"/>
      <c r="F43" s="1146"/>
    </row>
    <row r="44" spans="1:6" x14ac:dyDescent="0.25">
      <c r="A44" s="105" t="s">
        <v>215</v>
      </c>
      <c r="B44" s="1153" t="s">
        <v>214</v>
      </c>
      <c r="C44" s="1143">
        <f>IF($B$8="Calendar Year",
VLOOKUP($A44, 'Q&amp;V CY 2004 to Now'!$10:$104, MATCH(C$10 &amp; " " &amp; C$11, 'Q&amp;V CY 2004 to Now'!$10:$10, 0), FALSE),
VLOOKUP($A44, 'Q&amp;V FY 2003-04 to Now'!$10:$103, MATCH(C$10 &amp; " " &amp; C$11, 'Q&amp;V FY 2003-04 to Now'!$10:$10, 0), FALSE)
)</f>
        <v>203251.35831764498</v>
      </c>
      <c r="D44" s="1144">
        <f>IF($B$8="Calendar Year",
VLOOKUP($A44, 'Q&amp;V CY 2004 to Now'!$10:$104, MATCH(C$10 &amp; " " &amp; D$11, 'Q&amp;V CY 2004 to Now'!$10:$10, 0), FALSE),
VLOOKUP($A44, 'Q&amp;V FY 2003-04 to Now'!$10:$103, MATCH(C$10 &amp; " " &amp; D$11, 'Q&amp;V FY 2003-04 to Now'!$10:$10, 0), FALSE)
)</f>
        <v>23720697940</v>
      </c>
      <c r="E44" s="1143">
        <f>IF($B$8="Calendar Year",
VLOOKUP($A44, 'Q&amp;V CY 2004 to Now'!$10:$104, MATCH(E$10 &amp; " " &amp; E$11, 'Q&amp;V CY 2004 to Now'!$10:$10, 0), FALSE),
VLOOKUP($A44, 'Q&amp;V FY 2003-04 to Now'!$10:$103, MATCH(E$10 &amp; " " &amp; E$11, 'Q&amp;V FY 2003-04 to Now'!$10:$10, 0), FALSE)
)</f>
        <v>212216.06656741363</v>
      </c>
      <c r="F44" s="1144">
        <f>IF($B$8="Calendar Year",
VLOOKUP($A44, 'Q&amp;V CY 2004 to Now'!$10:$104, MATCH(E$10 &amp; " " &amp; F$11, 'Q&amp;V CY 2004 to Now'!$10:$10, 0), FALSE),
VLOOKUP($A44, 'Q&amp;V FY 2003-04 to Now'!$10:$103, MATCH(E$10 &amp; " " &amp; F$11, 'Q&amp;V FY 2003-04 to Now'!$10:$10, 0), FALSE)
)</f>
        <v>36318524899</v>
      </c>
    </row>
    <row r="45" spans="1:6" x14ac:dyDescent="0.25">
      <c r="A45" s="122"/>
      <c r="B45" s="1153"/>
      <c r="C45" s="1143"/>
      <c r="D45" s="1144"/>
      <c r="E45" s="1143"/>
      <c r="F45" s="1144"/>
    </row>
    <row r="46" spans="1:6" x14ac:dyDescent="0.25">
      <c r="A46" s="115" t="s">
        <v>216</v>
      </c>
      <c r="B46" s="1154" t="s">
        <v>166</v>
      </c>
      <c r="C46" s="1145">
        <f>IF($B$8="Calendar Year",
VLOOKUP($A46, 'Q&amp;V CY 2004 to Now'!$10:$104, MATCH(C$10 &amp; " " &amp; C$11, 'Q&amp;V CY 2004 to Now'!$10:$10, 0), FALSE),
VLOOKUP($A46, 'Q&amp;V FY 2003-04 to Now'!$10:$103, MATCH(C$10 &amp; " " &amp; C$11, 'Q&amp;V FY 2003-04 to Now'!$10:$10, 0), FALSE)
)</f>
        <v>1562951.7719999996</v>
      </c>
      <c r="D46" s="1146">
        <f>IF($B$8="Calendar Year",
VLOOKUP($A46, 'Q&amp;V CY 2004 to Now'!$10:$104, MATCH(C$10 &amp; " " &amp; D$11, 'Q&amp;V CY 2004 to Now'!$10:$10, 0), FALSE),
VLOOKUP($A46, 'Q&amp;V FY 2003-04 to Now'!$10:$103, MATCH(C$10 &amp; " " &amp; D$11, 'Q&amp;V FY 2003-04 to Now'!$10:$10, 0), FALSE)
)</f>
        <v>44771646.290936992</v>
      </c>
      <c r="E46" s="1145">
        <f>IF($B$8="Calendar Year",
VLOOKUP($A46, 'Q&amp;V CY 2004 to Now'!$10:$104, MATCH(E$10 &amp; " " &amp; E$11, 'Q&amp;V CY 2004 to Now'!$10:$10, 0), FALSE),
VLOOKUP($A46, 'Q&amp;V FY 2003-04 to Now'!$10:$103, MATCH(E$10 &amp; " " &amp; E$11, 'Q&amp;V FY 2003-04 to Now'!$10:$10, 0), FALSE)
)</f>
        <v>1459700.9699999997</v>
      </c>
      <c r="F46" s="1146">
        <f>IF($B$8="Calendar Year",
VLOOKUP($A46, 'Q&amp;V CY 2004 to Now'!$10:$104, MATCH(E$10 &amp; " " &amp; F$11, 'Q&amp;V CY 2004 to Now'!$10:$10, 0), FALSE),
VLOOKUP($A46, 'Q&amp;V FY 2003-04 to Now'!$10:$103, MATCH(E$10 &amp; " " &amp; F$11, 'Q&amp;V FY 2003-04 to Now'!$10:$10, 0), FALSE)
)</f>
        <v>47446040.737601429</v>
      </c>
    </row>
    <row r="47" spans="1:6" x14ac:dyDescent="0.25">
      <c r="A47" s="115"/>
      <c r="B47" s="1154"/>
      <c r="C47" s="1145"/>
      <c r="D47" s="1146"/>
      <c r="E47" s="1145"/>
      <c r="F47" s="1146"/>
    </row>
    <row r="48" spans="1:6" x14ac:dyDescent="0.25">
      <c r="A48" s="105" t="s">
        <v>217</v>
      </c>
      <c r="B48" s="1153" t="s">
        <v>166</v>
      </c>
      <c r="C48" s="1143">
        <f>IF($B$8="Calendar Year",
VLOOKUP($A48, 'Q&amp;V CY 2004 to Now'!$10:$104, MATCH(C$10 &amp; " " &amp; C$11, 'Q&amp;V CY 2004 to Now'!$10:$10, 0), FALSE),
VLOOKUP($A48, 'Q&amp;V FY 2003-04 to Now'!$10:$103, MATCH(C$10 &amp; " " &amp; C$11, 'Q&amp;V FY 2003-04 to Now'!$10:$10, 0), FALSE)
)</f>
        <v>866569640.41099989</v>
      </c>
      <c r="D48" s="1144">
        <f>IF($B$8="Calendar Year",
VLOOKUP($A48, 'Q&amp;V CY 2004 to Now'!$10:$104, MATCH(C$10 &amp; " " &amp; D$11, 'Q&amp;V CY 2004 to Now'!$10:$10, 0), FALSE),
VLOOKUP($A48, 'Q&amp;V FY 2003-04 to Now'!$10:$103, MATCH(C$10 &amp; " " &amp; D$11, 'Q&amp;V FY 2003-04 to Now'!$10:$10, 0), FALSE)
)</f>
        <v>136103459788.99998</v>
      </c>
      <c r="E48" s="1143">
        <f>IF($B$8="Calendar Year",
VLOOKUP($A48, 'Q&amp;V CY 2004 to Now'!$10:$104, MATCH(E$10 &amp; " " &amp; E$11, 'Q&amp;V CY 2004 to Now'!$10:$10, 0), FALSE),
VLOOKUP($A48, 'Q&amp;V FY 2003-04 to Now'!$10:$103, MATCH(E$10 &amp; " " &amp; E$11, 'Q&amp;V FY 2003-04 to Now'!$10:$10, 0), FALSE)
)</f>
        <v>889482555.27969992</v>
      </c>
      <c r="F48" s="1144">
        <f>IF($B$8="Calendar Year",
VLOOKUP($A48, 'Q&amp;V CY 2004 to Now'!$10:$104, MATCH(E$10 &amp; " " &amp; F$11, 'Q&amp;V CY 2004 to Now'!$10:$10, 0), FALSE),
VLOOKUP($A48, 'Q&amp;V FY 2003-04 to Now'!$10:$103, MATCH(E$10 &amp; " " &amp; F$11, 'Q&amp;V FY 2003-04 to Now'!$10:$10, 0), FALSE)
)</f>
        <v>126234285720.37709</v>
      </c>
    </row>
    <row r="49" spans="1:6" x14ac:dyDescent="0.25">
      <c r="A49" s="125"/>
      <c r="B49" s="1153"/>
      <c r="C49" s="1143"/>
      <c r="D49" s="1144"/>
      <c r="E49" s="1143"/>
      <c r="F49" s="1144"/>
    </row>
    <row r="50" spans="1:6" x14ac:dyDescent="0.25">
      <c r="A50" s="115" t="s">
        <v>218</v>
      </c>
      <c r="B50" s="1154" t="s">
        <v>166</v>
      </c>
      <c r="C50" s="1145">
        <f>IF($B$8="Calendar Year",
VLOOKUP($A50, 'Q&amp;V CY 2004 to Now'!$10:$104, MATCH(C$10 &amp; " " &amp; C$11, 'Q&amp;V CY 2004 to Now'!$10:$10, 0), FALSE),
VLOOKUP($A50, 'Q&amp;V FY 2003-04 to Now'!$10:$103, MATCH(C$10 &amp; " " &amp; C$11, 'Q&amp;V FY 2003-04 to Now'!$10:$10, 0), FALSE)
)</f>
        <v>4196770.7020000014</v>
      </c>
      <c r="D50" s="1146">
        <f>IF($B$8="Calendar Year",
VLOOKUP($A50, 'Q&amp;V CY 2004 to Now'!$10:$104, MATCH(C$10 &amp; " " &amp; D$11, 'Q&amp;V CY 2004 to Now'!$10:$10, 0), FALSE),
VLOOKUP($A50, 'Q&amp;V FY 2003-04 to Now'!$10:$103, MATCH(C$10 &amp; " " &amp; D$11, 'Q&amp;V FY 2003-04 to Now'!$10:$10, 0), FALSE)
)</f>
        <v>44195479.493739732</v>
      </c>
      <c r="E50" s="1145">
        <f>IF($B$8="Calendar Year",
VLOOKUP($A50, 'Q&amp;V CY 2004 to Now'!$10:$104, MATCH(E$10 &amp; " " &amp; E$11, 'Q&amp;V CY 2004 to Now'!$10:$10, 0), FALSE),
VLOOKUP($A50, 'Q&amp;V FY 2003-04 to Now'!$10:$103, MATCH(E$10 &amp; " " &amp; E$11, 'Q&amp;V FY 2003-04 to Now'!$10:$10, 0), FALSE)
)</f>
        <v>4220664.1430000002</v>
      </c>
      <c r="F50" s="1146">
        <f>IF($B$8="Calendar Year",
VLOOKUP($A50, 'Q&amp;V CY 2004 to Now'!$10:$104, MATCH(E$10 &amp; " " &amp; F$11, 'Q&amp;V CY 2004 to Now'!$10:$10, 0), FALSE),
VLOOKUP($A50, 'Q&amp;V FY 2003-04 to Now'!$10:$103, MATCH(E$10 &amp; " " &amp; F$11, 'Q&amp;V FY 2003-04 to Now'!$10:$10, 0), FALSE)
)</f>
        <v>46673099.616720349</v>
      </c>
    </row>
    <row r="51" spans="1:6" x14ac:dyDescent="0.25">
      <c r="B51" s="1179"/>
      <c r="C51" s="87"/>
      <c r="D51" s="1180"/>
      <c r="E51" s="87"/>
      <c r="F51" s="1180"/>
    </row>
    <row r="52" spans="1:6" x14ac:dyDescent="0.25">
      <c r="A52" s="105" t="s">
        <v>219</v>
      </c>
      <c r="B52" s="1153"/>
      <c r="C52" s="1143"/>
      <c r="D52" s="1144"/>
      <c r="E52" s="1143"/>
      <c r="F52" s="1144"/>
    </row>
    <row r="53" spans="1:6" x14ac:dyDescent="0.25">
      <c r="A53" s="124" t="s">
        <v>220</v>
      </c>
      <c r="B53" s="1153" t="s">
        <v>166</v>
      </c>
      <c r="C53" s="1143">
        <f>IF($B$8="Calendar Year",
VLOOKUP($A53, 'Q&amp;V CY 2004 to Now'!$10:$104, MATCH(C$10 &amp; " " &amp; C$11, 'Q&amp;V CY 2004 to Now'!$10:$10, 0), FALSE),
VLOOKUP($A53, 'Q&amp;V FY 2003-04 to Now'!$10:$103, MATCH(C$10 &amp; " " &amp; C$11, 'Q&amp;V FY 2003-04 to Now'!$10:$10, 0), FALSE)
)</f>
        <v>3796099.287</v>
      </c>
      <c r="D53" s="1144">
        <f>IF($B$8="Calendar Year",
VLOOKUP($A53, 'Q&amp;V CY 2004 to Now'!$10:$104, MATCH(C$10 &amp; " " &amp; D$11, 'Q&amp;V CY 2004 to Now'!$10:$10, 0), FALSE),
VLOOKUP($A53, 'Q&amp;V FY 2003-04 to Now'!$10:$103, MATCH(C$10 &amp; " " &amp; D$11, 'Q&amp;V FY 2003-04 to Now'!$10:$10, 0), FALSE)
)</f>
        <v>5032697656</v>
      </c>
      <c r="E53" s="1143">
        <f>IF($B$8="Calendar Year",
VLOOKUP($A53, 'Q&amp;V CY 2004 to Now'!$10:$104, MATCH(E$10 &amp; " " &amp; E$11, 'Q&amp;V CY 2004 to Now'!$10:$10, 0), FALSE),
VLOOKUP($A53, 'Q&amp;V FY 2003-04 to Now'!$10:$103, MATCH(E$10 &amp; " " &amp; E$11, 'Q&amp;V FY 2003-04 to Now'!$10:$10, 0), FALSE)
)</f>
        <v>3956263.5719999992</v>
      </c>
      <c r="F53" s="1144">
        <f>IF($B$8="Calendar Year",
VLOOKUP($A53, 'Q&amp;V CY 2004 to Now'!$10:$104, MATCH(E$10 &amp; " " &amp; F$11, 'Q&amp;V CY 2004 to Now'!$10:$10, 0), FALSE),
VLOOKUP($A53, 'Q&amp;V FY 2003-04 to Now'!$10:$103, MATCH(E$10 &amp; " " &amp; F$11, 'Q&amp;V FY 2003-04 to Now'!$10:$10, 0), FALSE)
)</f>
        <v>4461877910.1333876</v>
      </c>
    </row>
    <row r="54" spans="1:6" x14ac:dyDescent="0.25">
      <c r="A54" s="124" t="s">
        <v>221</v>
      </c>
      <c r="B54" s="1153" t="s">
        <v>166</v>
      </c>
      <c r="C54" s="1143">
        <f>IF($B$8="Calendar Year",
VLOOKUP($A54, 'Q&amp;V CY 2004 to Now'!$10:$104, MATCH(C$10 &amp; " " &amp; C$11, 'Q&amp;V CY 2004 to Now'!$10:$10, 0), FALSE),
VLOOKUP($A54, 'Q&amp;V FY 2003-04 to Now'!$10:$103, MATCH(C$10 &amp; " " &amp; C$11, 'Q&amp;V FY 2003-04 to Now'!$10:$10, 0), FALSE)
)</f>
        <v>0</v>
      </c>
      <c r="D54" s="1144">
        <f>IF($B$8="Calendar Year",
VLOOKUP($A54, 'Q&amp;V CY 2004 to Now'!$10:$104, MATCH(C$10 &amp; " " &amp; D$11, 'Q&amp;V CY 2004 to Now'!$10:$10, 0), FALSE),
VLOOKUP($A54, 'Q&amp;V FY 2003-04 to Now'!$10:$103, MATCH(C$10 &amp; " " &amp; D$11, 'Q&amp;V FY 2003-04 to Now'!$10:$10, 0), FALSE)
)</f>
        <v>0</v>
      </c>
      <c r="E54" s="1143">
        <f>IF($B$8="Calendar Year",
VLOOKUP($A54, 'Q&amp;V CY 2004 to Now'!$10:$104, MATCH(E$10 &amp; " " &amp; E$11, 'Q&amp;V CY 2004 to Now'!$10:$10, 0), FALSE),
VLOOKUP($A54, 'Q&amp;V FY 2003-04 to Now'!$10:$103, MATCH(E$10 &amp; " " &amp; E$11, 'Q&amp;V FY 2003-04 to Now'!$10:$10, 0), FALSE)
)</f>
        <v>0</v>
      </c>
      <c r="F54" s="1144">
        <f>IF($B$8="Calendar Year",
VLOOKUP($A54, 'Q&amp;V CY 2004 to Now'!$10:$104, MATCH(E$10 &amp; " " &amp; F$11, 'Q&amp;V CY 2004 to Now'!$10:$10, 0), FALSE),
VLOOKUP($A54, 'Q&amp;V FY 2003-04 to Now'!$10:$103, MATCH(E$10 &amp; " " &amp; F$11, 'Q&amp;V FY 2003-04 to Now'!$10:$10, 0), FALSE)
)</f>
        <v>0</v>
      </c>
    </row>
    <row r="55" spans="1:6" x14ac:dyDescent="0.25">
      <c r="A55" s="124" t="s">
        <v>222</v>
      </c>
      <c r="B55" s="1153"/>
      <c r="C55" s="1143"/>
      <c r="D55" s="1144">
        <f>IF($B$8="Calendar Year",
VLOOKUP($A55, 'Q&amp;V CY 2004 to Now'!$10:$104, MATCH(C$10 &amp; " " &amp; D$11, 'Q&amp;V CY 2004 to Now'!$10:$10, 0), FALSE),
VLOOKUP($A55, 'Q&amp;V FY 2003-04 to Now'!$10:$103, MATCH(C$10 &amp; " " &amp; D$11, 'Q&amp;V FY 2003-04 to Now'!$10:$10, 0), FALSE)
)</f>
        <v>5032697656</v>
      </c>
      <c r="E55" s="1143"/>
      <c r="F55" s="1144">
        <f>IF($B$8="Calendar Year",
VLOOKUP($A55, 'Q&amp;V CY 2004 to Now'!$10:$104, MATCH(E$10 &amp; " " &amp; F$11, 'Q&amp;V CY 2004 to Now'!$10:$10, 0), FALSE),
VLOOKUP($A55, 'Q&amp;V FY 2003-04 to Now'!$10:$103, MATCH(E$10 &amp; " " &amp; F$11, 'Q&amp;V FY 2003-04 to Now'!$10:$10, 0), FALSE)
)</f>
        <v>4461877910.1333876</v>
      </c>
    </row>
    <row r="56" spans="1:6" x14ac:dyDescent="0.25">
      <c r="A56" s="124"/>
      <c r="B56" s="1153"/>
      <c r="C56" s="1143"/>
      <c r="D56" s="1144"/>
      <c r="E56" s="1143"/>
      <c r="F56" s="1144"/>
    </row>
    <row r="57" spans="1:6" x14ac:dyDescent="0.25">
      <c r="A57" s="115" t="s">
        <v>223</v>
      </c>
      <c r="B57" s="1154" t="s">
        <v>166</v>
      </c>
      <c r="C57" s="1145">
        <f>IF($B$8="Calendar Year",
VLOOKUP($A57, 'Q&amp;V CY 2004 to Now'!$10:$104, MATCH(C$10 &amp; " " &amp; C$11, 'Q&amp;V CY 2004 to Now'!$10:$10, 0), FALSE),
VLOOKUP($A57, 'Q&amp;V FY 2003-04 to Now'!$10:$103, MATCH(C$10 &amp; " " &amp; C$11, 'Q&amp;V FY 2003-04 to Now'!$10:$10, 0), FALSE)
)</f>
        <v>594689.68800000008</v>
      </c>
      <c r="D57" s="1146">
        <f>IF($B$8="Calendar Year",
VLOOKUP($A57, 'Q&amp;V CY 2004 to Now'!$10:$104, MATCH(C$10 &amp; " " &amp; D$11, 'Q&amp;V CY 2004 to Now'!$10:$10, 0), FALSE),
VLOOKUP($A57, 'Q&amp;V FY 2003-04 to Now'!$10:$103, MATCH(C$10 &amp; " " &amp; D$11, 'Q&amp;V FY 2003-04 to Now'!$10:$10, 0), FALSE)
)</f>
        <v>427004987</v>
      </c>
      <c r="E57" s="1145">
        <f>IF($B$8="Calendar Year",
VLOOKUP($A57, 'Q&amp;V CY 2004 to Now'!$10:$104, MATCH(E$10 &amp; " " &amp; E$11, 'Q&amp;V CY 2004 to Now'!$10:$10, 0), FALSE),
VLOOKUP($A57, 'Q&amp;V FY 2003-04 to Now'!$10:$103, MATCH(E$10 &amp; " " &amp; E$11, 'Q&amp;V FY 2003-04 to Now'!$10:$10, 0), FALSE)
)</f>
        <v>607195.94700000004</v>
      </c>
      <c r="F57" s="1146">
        <f>IF($B$8="Calendar Year",
VLOOKUP($A57, 'Q&amp;V CY 2004 to Now'!$10:$104, MATCH(E$10 &amp; " " &amp; F$11, 'Q&amp;V CY 2004 to Now'!$10:$10, 0), FALSE),
VLOOKUP($A57, 'Q&amp;V FY 2003-04 to Now'!$10:$103, MATCH(E$10 &amp; " " &amp; F$11, 'Q&amp;V FY 2003-04 to Now'!$10:$10, 0), FALSE)
)</f>
        <v>369287848</v>
      </c>
    </row>
    <row r="58" spans="1:6" x14ac:dyDescent="0.25">
      <c r="A58" s="115"/>
      <c r="B58" s="1154"/>
      <c r="C58" s="1145"/>
      <c r="D58" s="1146"/>
      <c r="E58" s="1145"/>
      <c r="F58" s="1146"/>
    </row>
    <row r="59" spans="1:6" x14ac:dyDescent="0.25">
      <c r="A59" s="105" t="s">
        <v>224</v>
      </c>
      <c r="B59" s="1153"/>
      <c r="C59" s="1143"/>
      <c r="D59" s="1144"/>
      <c r="E59" s="1143"/>
      <c r="F59" s="1144"/>
    </row>
    <row r="60" spans="1:6" x14ac:dyDescent="0.25">
      <c r="A60" s="124" t="s">
        <v>225</v>
      </c>
      <c r="B60" s="1153" t="s">
        <v>166</v>
      </c>
      <c r="C60" s="1143">
        <f>IF($B$8="Calendar Year",
VLOOKUP($A60, 'Q&amp;V CY 2004 to Now'!$10:$104, MATCH(C$10 &amp; " " &amp; C$11, 'Q&amp;V CY 2004 to Now'!$10:$10, 0), FALSE),
VLOOKUP($A60, 'Q&amp;V FY 2003-04 to Now'!$10:$103, MATCH(C$10 &amp; " " &amp; C$11, 'Q&amp;V FY 2003-04 to Now'!$10:$10, 0), FALSE)
)</f>
        <v>348429.74999999994</v>
      </c>
      <c r="D60" s="1144">
        <f>IF($B$8="Calendar Year",
VLOOKUP($A60, 'Q&amp;V CY 2004 to Now'!$10:$104, MATCH(C$10 &amp; " " &amp; D$11, 'Q&amp;V CY 2004 to Now'!$10:$10, 0), FALSE),
VLOOKUP($A60, 'Q&amp;V FY 2003-04 to Now'!$10:$103, MATCH(C$10 &amp; " " &amp; D$11, 'Q&amp;V FY 2003-04 to Now'!$10:$10, 0), FALSE)
)</f>
        <v>127055785</v>
      </c>
      <c r="E60" s="1143">
        <f>IF($B$8="Calendar Year",
VLOOKUP($A60, 'Q&amp;V CY 2004 to Now'!$10:$104, MATCH(E$10 &amp; " " &amp; E$11, 'Q&amp;V CY 2004 to Now'!$10:$10, 0), FALSE),
VLOOKUP($A60, 'Q&amp;V FY 2003-04 to Now'!$10:$103, MATCH(E$10 &amp; " " &amp; E$11, 'Q&amp;V FY 2003-04 to Now'!$10:$10, 0), FALSE)
)</f>
        <v>460162.34</v>
      </c>
      <c r="F60" s="1144">
        <f>IF($B$8="Calendar Year",
VLOOKUP($A60, 'Q&amp;V CY 2004 to Now'!$10:$104, MATCH(E$10 &amp; " " &amp; F$11, 'Q&amp;V CY 2004 to Now'!$10:$10, 0), FALSE),
VLOOKUP($A60, 'Q&amp;V FY 2003-04 to Now'!$10:$103, MATCH(E$10 &amp; " " &amp; F$11, 'Q&amp;V FY 2003-04 to Now'!$10:$10, 0), FALSE)
)</f>
        <v>175534494</v>
      </c>
    </row>
    <row r="61" spans="1:6" x14ac:dyDescent="0.25">
      <c r="A61" s="124" t="s">
        <v>226</v>
      </c>
      <c r="B61" s="1153" t="s">
        <v>166</v>
      </c>
      <c r="C61" s="1143">
        <f>IF($B$8="Calendar Year",
VLOOKUP($A61, 'Q&amp;V CY 2004 to Now'!$10:$104, MATCH(C$10 &amp; " " &amp; C$11, 'Q&amp;V CY 2004 to Now'!$10:$10, 0), FALSE),
VLOOKUP($A61, 'Q&amp;V FY 2003-04 to Now'!$10:$103, MATCH(C$10 &amp; " " &amp; C$11, 'Q&amp;V FY 2003-04 to Now'!$10:$10, 0), FALSE)
)</f>
        <v>337243.12199599994</v>
      </c>
      <c r="D61" s="1144">
        <f>IF($B$8="Calendar Year",
VLOOKUP($A61, 'Q&amp;V CY 2004 to Now'!$10:$104, MATCH(C$10 &amp; " " &amp; D$11, 'Q&amp;V CY 2004 to Now'!$10:$10, 0), FALSE),
VLOOKUP($A61, 'Q&amp;V FY 2003-04 to Now'!$10:$103, MATCH(C$10 &amp; " " &amp; D$11, 'Q&amp;V FY 2003-04 to Now'!$10:$10, 0), FALSE)
)</f>
        <v>149998469</v>
      </c>
      <c r="E61" s="1143">
        <f>IF($B$8="Calendar Year",
VLOOKUP($A61, 'Q&amp;V CY 2004 to Now'!$10:$104, MATCH(E$10 &amp; " " &amp; E$11, 'Q&amp;V CY 2004 to Now'!$10:$10, 0), FALSE),
VLOOKUP($A61, 'Q&amp;V FY 2003-04 to Now'!$10:$103, MATCH(E$10 &amp; " " &amp; E$11, 'Q&amp;V FY 2003-04 to Now'!$10:$10, 0), FALSE)
)</f>
        <v>467712.34480436996</v>
      </c>
      <c r="F61" s="1144">
        <f>IF($B$8="Calendar Year",
VLOOKUP($A61, 'Q&amp;V CY 2004 to Now'!$10:$104, MATCH(E$10 &amp; " " &amp; F$11, 'Q&amp;V CY 2004 to Now'!$10:$10, 0), FALSE),
VLOOKUP($A61, 'Q&amp;V FY 2003-04 to Now'!$10:$103, MATCH(E$10 &amp; " " &amp; F$11, 'Q&amp;V FY 2003-04 to Now'!$10:$10, 0), FALSE)
)</f>
        <v>201678416</v>
      </c>
    </row>
    <row r="62" spans="1:6" x14ac:dyDescent="0.25">
      <c r="A62" s="124" t="s">
        <v>227</v>
      </c>
      <c r="B62" s="1153" t="s">
        <v>166</v>
      </c>
      <c r="C62" s="1143">
        <f>IF($B$8="Calendar Year",
VLOOKUP($A62, 'Q&amp;V CY 2004 to Now'!$10:$104, MATCH(C$10 &amp; " " &amp; C$11, 'Q&amp;V CY 2004 to Now'!$10:$10, 0), FALSE),
VLOOKUP($A62, 'Q&amp;V FY 2003-04 to Now'!$10:$103, MATCH(C$10 &amp; " " &amp; C$11, 'Q&amp;V FY 2003-04 to Now'!$10:$10, 0), FALSE)
)</f>
        <v>40062.887569999999</v>
      </c>
      <c r="D62" s="1144">
        <f>IF($B$8="Calendar Year",
VLOOKUP($A62, 'Q&amp;V CY 2004 to Now'!$10:$104, MATCH(C$10 &amp; " " &amp; D$11, 'Q&amp;V CY 2004 to Now'!$10:$10, 0), FALSE),
VLOOKUP($A62, 'Q&amp;V FY 2003-04 to Now'!$10:$103, MATCH(C$10 &amp; " " &amp; D$11, 'Q&amp;V FY 2003-04 to Now'!$10:$10, 0), FALSE)
)</f>
        <v>46836025</v>
      </c>
      <c r="E62" s="1143">
        <f>IF($B$8="Calendar Year",
VLOOKUP($A62, 'Q&amp;V CY 2004 to Now'!$10:$104, MATCH(E$10 &amp; " " &amp; E$11, 'Q&amp;V CY 2004 to Now'!$10:$10, 0), FALSE),
VLOOKUP($A62, 'Q&amp;V FY 2003-04 to Now'!$10:$103, MATCH(E$10 &amp; " " &amp; E$11, 'Q&amp;V FY 2003-04 to Now'!$10:$10, 0), FALSE)
)</f>
        <v>33056.382749000004</v>
      </c>
      <c r="F62" s="1144">
        <f>IF($B$8="Calendar Year",
VLOOKUP($A62, 'Q&amp;V CY 2004 to Now'!$10:$104, MATCH(E$10 &amp; " " &amp; F$11, 'Q&amp;V CY 2004 to Now'!$10:$10, 0), FALSE),
VLOOKUP($A62, 'Q&amp;V FY 2003-04 to Now'!$10:$103, MATCH(E$10 &amp; " " &amp; F$11, 'Q&amp;V FY 2003-04 to Now'!$10:$10, 0), FALSE)
)</f>
        <v>39930542</v>
      </c>
    </row>
    <row r="63" spans="1:6" x14ac:dyDescent="0.25">
      <c r="A63" s="124" t="s">
        <v>228</v>
      </c>
      <c r="B63" s="1153" t="s">
        <v>166</v>
      </c>
      <c r="C63" s="1143">
        <f>IF($B$8="Calendar Year",
VLOOKUP($A63, 'Q&amp;V CY 2004 to Now'!$10:$104, MATCH(C$10 &amp; " " &amp; C$11, 'Q&amp;V CY 2004 to Now'!$10:$10, 0), FALSE),
VLOOKUP($A63, 'Q&amp;V FY 2003-04 to Now'!$10:$103, MATCH(C$10 &amp; " " &amp; C$11, 'Q&amp;V FY 2003-04 to Now'!$10:$10, 0), FALSE)
)</f>
        <v>127741.06</v>
      </c>
      <c r="D63" s="1144">
        <f>IF($B$8="Calendar Year",
VLOOKUP($A63, 'Q&amp;V CY 2004 to Now'!$10:$104, MATCH(C$10 &amp; " " &amp; D$11, 'Q&amp;V CY 2004 to Now'!$10:$10, 0), FALSE),
VLOOKUP($A63, 'Q&amp;V FY 2003-04 to Now'!$10:$103, MATCH(C$10 &amp; " " &amp; D$11, 'Q&amp;V FY 2003-04 to Now'!$10:$10, 0), FALSE)
)</f>
        <v>109424837</v>
      </c>
      <c r="E63" s="1143">
        <f>IF($B$8="Calendar Year",
VLOOKUP($A63, 'Q&amp;V CY 2004 to Now'!$10:$104, MATCH(E$10 &amp; " " &amp; E$11, 'Q&amp;V CY 2004 to Now'!$10:$10, 0), FALSE),
VLOOKUP($A63, 'Q&amp;V FY 2003-04 to Now'!$10:$103, MATCH(E$10 &amp; " " &amp; E$11, 'Q&amp;V FY 2003-04 to Now'!$10:$10, 0), FALSE)
)</f>
        <v>124432.09299999999</v>
      </c>
      <c r="F63" s="1144">
        <f>IF($B$8="Calendar Year",
VLOOKUP($A63, 'Q&amp;V CY 2004 to Now'!$10:$104, MATCH(E$10 &amp; " " &amp; F$11, 'Q&amp;V CY 2004 to Now'!$10:$10, 0), FALSE),
VLOOKUP($A63, 'Q&amp;V FY 2003-04 to Now'!$10:$103, MATCH(E$10 &amp; " " &amp; F$11, 'Q&amp;V FY 2003-04 to Now'!$10:$10, 0), FALSE)
)</f>
        <v>112406714</v>
      </c>
    </row>
    <row r="64" spans="1:6" x14ac:dyDescent="0.25">
      <c r="A64" s="124" t="s">
        <v>177</v>
      </c>
      <c r="B64" s="1153" t="s">
        <v>166</v>
      </c>
      <c r="C64" s="1143">
        <f>IF($B$8="Calendar Year",
VLOOKUP($A64, 'Q&amp;V CY 2004 to Now'!$10:$104, MATCH(C$10 &amp; " " &amp; C$11, 'Q&amp;V CY 2004 to Now'!$10:$10, 0), FALSE),
VLOOKUP($A64, 'Q&amp;V FY 2003-04 to Now'!$10:$103, MATCH(C$10 &amp; " " &amp; C$11, 'Q&amp;V FY 2003-04 to Now'!$10:$10, 0), FALSE)
)</f>
        <v>135496.88588430893</v>
      </c>
      <c r="D64" s="1144">
        <f>IF($B$8="Calendar Year",
VLOOKUP($A64, 'Q&amp;V CY 2004 to Now'!$10:$104, MATCH(C$10 &amp; " " &amp; D$11, 'Q&amp;V CY 2004 to Now'!$10:$10, 0), FALSE),
VLOOKUP($A64, 'Q&amp;V FY 2003-04 to Now'!$10:$103, MATCH(C$10 &amp; " " &amp; D$11, 'Q&amp;V FY 2003-04 to Now'!$10:$10, 0), FALSE)
)</f>
        <v>390598537</v>
      </c>
      <c r="E64" s="1143">
        <f>IF($B$8="Calendar Year",
VLOOKUP($A64, 'Q&amp;V CY 2004 to Now'!$10:$104, MATCH(E$10 &amp; " " &amp; E$11, 'Q&amp;V CY 2004 to Now'!$10:$10, 0), FALSE),
VLOOKUP($A64, 'Q&amp;V FY 2003-04 to Now'!$10:$103, MATCH(E$10 &amp; " " &amp; E$11, 'Q&amp;V FY 2003-04 to Now'!$10:$10, 0), FALSE)
)</f>
        <v>200107.97893023439</v>
      </c>
      <c r="F64" s="1144">
        <f>IF($B$8="Calendar Year",
VLOOKUP($A64, 'Q&amp;V CY 2004 to Now'!$10:$104, MATCH(E$10 &amp; " " &amp; F$11, 'Q&amp;V CY 2004 to Now'!$10:$10, 0), FALSE),
VLOOKUP($A64, 'Q&amp;V FY 2003-04 to Now'!$10:$103, MATCH(E$10 &amp; " " &amp; F$11, 'Q&amp;V FY 2003-04 to Now'!$10:$10, 0), FALSE)
)</f>
        <v>490983401</v>
      </c>
    </row>
    <row r="65" spans="1:6" x14ac:dyDescent="0.25">
      <c r="A65" s="124" t="s">
        <v>229</v>
      </c>
      <c r="B65" s="1153" t="s">
        <v>166</v>
      </c>
      <c r="C65" s="1143">
        <f>IF($B$8="Calendar Year",
VLOOKUP($A65, 'Q&amp;V CY 2004 to Now'!$10:$104, MATCH(C$10 &amp; " " &amp; C$11, 'Q&amp;V CY 2004 to Now'!$10:$10, 0), FALSE),
VLOOKUP($A65, 'Q&amp;V FY 2003-04 to Now'!$10:$103, MATCH(C$10 &amp; " " &amp; C$11, 'Q&amp;V FY 2003-04 to Now'!$10:$10, 0), FALSE)
)</f>
        <v>187108.48484848486</v>
      </c>
      <c r="D65" s="1144">
        <f>IF($B$8="Calendar Year",
VLOOKUP($A65, 'Q&amp;V CY 2004 to Now'!$10:$104, MATCH(C$10 &amp; " " &amp; D$11, 'Q&amp;V CY 2004 to Now'!$10:$10, 0), FALSE),
VLOOKUP($A65, 'Q&amp;V FY 2003-04 to Now'!$10:$103, MATCH(C$10 &amp; " " &amp; D$11, 'Q&amp;V FY 2003-04 to Now'!$10:$10, 0), FALSE)
)</f>
        <v>340329075.67098844</v>
      </c>
      <c r="E65" s="1143">
        <f>IF($B$8="Calendar Year",
VLOOKUP($A65, 'Q&amp;V CY 2004 to Now'!$10:$104, MATCH(E$10 &amp; " " &amp; E$11, 'Q&amp;V CY 2004 to Now'!$10:$10, 0), FALSE),
VLOOKUP($A65, 'Q&amp;V FY 2003-04 to Now'!$10:$103, MATCH(E$10 &amp; " " &amp; E$11, 'Q&amp;V FY 2003-04 to Now'!$10:$10, 0), FALSE)
)</f>
        <v>242912.96164848487</v>
      </c>
      <c r="F65" s="1144">
        <f>IF($B$8="Calendar Year",
VLOOKUP($A65, 'Q&amp;V CY 2004 to Now'!$10:$104, MATCH(E$10 &amp; " " &amp; F$11, 'Q&amp;V CY 2004 to Now'!$10:$10, 0), FALSE),
VLOOKUP($A65, 'Q&amp;V FY 2003-04 to Now'!$10:$103, MATCH(E$10 &amp; " " &amp; F$11, 'Q&amp;V FY 2003-04 to Now'!$10:$10, 0), FALSE)
)</f>
        <v>415764442.6932705</v>
      </c>
    </row>
    <row r="66" spans="1:6" x14ac:dyDescent="0.25">
      <c r="A66" s="124" t="s">
        <v>643</v>
      </c>
      <c r="B66" s="1153" t="s">
        <v>166</v>
      </c>
      <c r="C66" s="1143"/>
      <c r="D66" s="1144">
        <f>IF($B$8="Calendar Year",
VLOOKUP($A66, 'Q&amp;V CY 2004 to Now'!$10:$104, MATCH(C$10 &amp; " " &amp; D$11, 'Q&amp;V CY 2004 to Now'!$10:$10, 0), FALSE),
VLOOKUP($A66, 'Q&amp;V FY 2003-04 to Now'!$10:$103, MATCH(C$10 &amp; " " &amp; D$11, 'Q&amp;V FY 2003-04 to Now'!$10:$10, 0), FALSE)
)</f>
        <v>135382754.99999952</v>
      </c>
      <c r="E66" s="1143"/>
      <c r="F66" s="1144">
        <f>IF($B$8="Calendar Year",
VLOOKUP($A66, 'Q&amp;V CY 2004 to Now'!$10:$104, MATCH(E$10 &amp; " " &amp; F$11, 'Q&amp;V CY 2004 to Now'!$10:$10, 0), FALSE),
VLOOKUP($A66, 'Q&amp;V FY 2003-04 to Now'!$10:$103, MATCH(E$10 &amp; " " &amp; F$11, 'Q&amp;V FY 2003-04 to Now'!$10:$10, 0), FALSE)
)</f>
        <v>76056538.999999762</v>
      </c>
    </row>
    <row r="67" spans="1:6" x14ac:dyDescent="0.25">
      <c r="A67" s="124" t="s">
        <v>230</v>
      </c>
      <c r="B67" s="1153"/>
      <c r="C67" s="1143"/>
      <c r="D67" s="1144">
        <f>IF($B$8="Calendar Year",
VLOOKUP($A67, 'Q&amp;V CY 2004 to Now'!$10:$104, MATCH(C$10 &amp; " " &amp; D$11, 'Q&amp;V CY 2004 to Now'!$10:$10, 0), FALSE),
VLOOKUP($A67, 'Q&amp;V FY 2003-04 to Now'!$10:$103, MATCH(C$10 &amp; " " &amp; D$11, 'Q&amp;V FY 2003-04 to Now'!$10:$10, 0), FALSE)
)</f>
        <v>1299625483.6709881</v>
      </c>
      <c r="E67" s="1143"/>
      <c r="F67" s="1144">
        <f>IF($B$8="Calendar Year",
VLOOKUP($A67, 'Q&amp;V CY 2004 to Now'!$10:$104, MATCH(E$10 &amp; " " &amp; F$11, 'Q&amp;V CY 2004 to Now'!$10:$10, 0), FALSE),
VLOOKUP($A67, 'Q&amp;V FY 2003-04 to Now'!$10:$103, MATCH(E$10 &amp; " " &amp; F$11, 'Q&amp;V FY 2003-04 to Now'!$10:$10, 0), FALSE)
)</f>
        <v>1512354548.6932702</v>
      </c>
    </row>
    <row r="68" spans="1:6" x14ac:dyDescent="0.25">
      <c r="A68" s="124"/>
      <c r="B68" s="1153"/>
      <c r="C68" s="1143"/>
      <c r="D68" s="1144"/>
      <c r="E68" s="1143"/>
      <c r="F68" s="1144"/>
    </row>
    <row r="69" spans="1:6" x14ac:dyDescent="0.25">
      <c r="A69" s="115" t="s">
        <v>231</v>
      </c>
      <c r="B69" s="1154" t="s">
        <v>166</v>
      </c>
      <c r="C69" s="1145">
        <f>IF($B$8="Calendar Year",
VLOOKUP($A69, 'Q&amp;V CY 2004 to Now'!$10:$104, MATCH(C$10 &amp; " " &amp; C$11, 'Q&amp;V CY 2004 to Now'!$10:$10, 0), FALSE),
VLOOKUP($A69, 'Q&amp;V FY 2003-04 to Now'!$10:$103, MATCH(C$10 &amp; " " &amp; C$11, 'Q&amp;V FY 2003-04 to Now'!$10:$10, 0), FALSE)
)</f>
        <v>128365.91900000002</v>
      </c>
      <c r="D69" s="1146">
        <f>IF($B$8="Calendar Year",
VLOOKUP($A69, 'Q&amp;V CY 2004 to Now'!$10:$104, MATCH(C$10 &amp; " " &amp; D$11, 'Q&amp;V CY 2004 to Now'!$10:$10, 0), FALSE),
VLOOKUP($A69, 'Q&amp;V FY 2003-04 to Now'!$10:$103, MATCH(C$10 &amp; " " &amp; D$11, 'Q&amp;V FY 2003-04 to Now'!$10:$10, 0), FALSE)
)</f>
        <v>3284081976.2207708</v>
      </c>
      <c r="E69" s="1145">
        <f>IF($B$8="Calendar Year",
VLOOKUP($A69, 'Q&amp;V CY 2004 to Now'!$10:$104, MATCH(E$10 &amp; " " &amp; E$11, 'Q&amp;V CY 2004 to Now'!$10:$10, 0), FALSE),
VLOOKUP($A69, 'Q&amp;V FY 2003-04 to Now'!$10:$103, MATCH(E$10 &amp; " " &amp; E$11, 'Q&amp;V FY 2003-04 to Now'!$10:$10, 0), FALSE)
)</f>
        <v>53721.558000000005</v>
      </c>
      <c r="F69" s="1146">
        <f>IF($B$8="Calendar Year",
VLOOKUP($A69, 'Q&amp;V CY 2004 to Now'!$10:$104, MATCH(E$10 &amp; " " &amp; F$11, 'Q&amp;V CY 2004 to Now'!$10:$10, 0), FALSE),
VLOOKUP($A69, 'Q&amp;V FY 2003-04 to Now'!$10:$103, MATCH(E$10 &amp; " " &amp; F$11, 'Q&amp;V FY 2003-04 to Now'!$10:$10, 0), FALSE)
)</f>
        <v>1265536116</v>
      </c>
    </row>
    <row r="70" spans="1:6" x14ac:dyDescent="0.25">
      <c r="A70" s="116"/>
      <c r="B70" s="1154"/>
      <c r="C70" s="1145"/>
      <c r="D70" s="1146"/>
      <c r="E70" s="1145"/>
      <c r="F70" s="1146"/>
    </row>
    <row r="71" spans="1:6" x14ac:dyDescent="0.25">
      <c r="A71" s="105" t="s">
        <v>232</v>
      </c>
      <c r="B71" s="1153"/>
      <c r="C71" s="1143"/>
      <c r="D71" s="1144"/>
      <c r="E71" s="1143"/>
      <c r="F71" s="1144"/>
    </row>
    <row r="72" spans="1:6" x14ac:dyDescent="0.25">
      <c r="A72" s="124" t="s">
        <v>193</v>
      </c>
      <c r="B72" s="1153" t="s">
        <v>233</v>
      </c>
      <c r="C72" s="1143">
        <f>IF($B$8="Calendar Year",
VLOOKUP($A72, 'Q&amp;V CY 2004 to Now'!$10:$104, MATCH(C$10 &amp; " " &amp; C$11, 'Q&amp;V CY 2004 to Now'!$10:$10, 0), FALSE),
VLOOKUP($A72, 'Q&amp;V FY 2003-04 to Now'!$10:$103, MATCH(C$10 &amp; " " &amp; C$11, 'Q&amp;V FY 2003-04 to Now'!$10:$10, 0), FALSE)
)</f>
        <v>11362141.197008643</v>
      </c>
      <c r="D72" s="1144">
        <f>IF($B$8="Calendar Year",
VLOOKUP($A72, 'Q&amp;V CY 2004 to Now'!$10:$104, MATCH(C$10 &amp; " " &amp; D$11, 'Q&amp;V CY 2004 to Now'!$10:$10, 0), FALSE),
VLOOKUP($A72, 'Q&amp;V FY 2003-04 to Now'!$10:$103, MATCH(C$10 &amp; " " &amp; D$11, 'Q&amp;V FY 2003-04 to Now'!$10:$10, 0), FALSE)
)</f>
        <v>7929089544.1452799</v>
      </c>
      <c r="E72" s="1143">
        <f>IF($B$8="Calendar Year",
VLOOKUP($A72, 'Q&amp;V CY 2004 to Now'!$10:$104, MATCH(E$10 &amp; " " &amp; E$11, 'Q&amp;V CY 2004 to Now'!$10:$10, 0), FALSE),
VLOOKUP($A72, 'Q&amp;V FY 2003-04 to Now'!$10:$103, MATCH(E$10 &amp; " " &amp; E$11, 'Q&amp;V FY 2003-04 to Now'!$10:$10, 0), FALSE)
)</f>
        <v>10119576.422425227</v>
      </c>
      <c r="F72" s="1144">
        <f>IF($B$8="Calendar Year",
VLOOKUP($A72, 'Q&amp;V CY 2004 to Now'!$10:$104, MATCH(E$10 &amp; " " &amp; F$11, 'Q&amp;V CY 2004 to Now'!$10:$10, 0), FALSE),
VLOOKUP($A72, 'Q&amp;V FY 2003-04 to Now'!$10:$103, MATCH(E$10 &amp; " " &amp; F$11, 'Q&amp;V FY 2003-04 to Now'!$10:$10, 0), FALSE)
)</f>
        <v>6702904269.050231</v>
      </c>
    </row>
    <row r="73" spans="1:6" x14ac:dyDescent="0.25">
      <c r="A73" s="124" t="s">
        <v>196</v>
      </c>
      <c r="B73" s="1153" t="s">
        <v>233</v>
      </c>
      <c r="C73" s="1143">
        <f>IF($B$8="Calendar Year",
VLOOKUP($A73, 'Q&amp;V CY 2004 to Now'!$10:$104, MATCH(C$10 &amp; " " &amp; C$11, 'Q&amp;V CY 2004 to Now'!$10:$10, 0), FALSE),
VLOOKUP($A73, 'Q&amp;V FY 2003-04 to Now'!$10:$103, MATCH(C$10 &amp; " " &amp; C$11, 'Q&amp;V FY 2003-04 to Now'!$10:$10, 0), FALSE)
)</f>
        <v>3055469.421722665</v>
      </c>
      <c r="D73" s="1144">
        <f>IF($B$8="Calendar Year",
VLOOKUP($A73, 'Q&amp;V CY 2004 to Now'!$10:$104, MATCH(C$10 &amp; " " &amp; D$11, 'Q&amp;V CY 2004 to Now'!$10:$10, 0), FALSE),
VLOOKUP($A73, 'Q&amp;V FY 2003-04 to Now'!$10:$103, MATCH(C$10 &amp; " " &amp; D$11, 'Q&amp;V FY 2003-04 to Now'!$10:$10, 0), FALSE)
)</f>
        <v>2374132081.4876595</v>
      </c>
      <c r="E73" s="1143">
        <f>IF($B$8="Calendar Year",
VLOOKUP($A73, 'Q&amp;V CY 2004 to Now'!$10:$104, MATCH(E$10 &amp; " " &amp; E$11, 'Q&amp;V CY 2004 to Now'!$10:$10, 0), FALSE),
VLOOKUP($A73, 'Q&amp;V FY 2003-04 to Now'!$10:$103, MATCH(E$10 &amp; " " &amp; E$11, 'Q&amp;V FY 2003-04 to Now'!$10:$10, 0), FALSE)
)</f>
        <v>2583704.4245077367</v>
      </c>
      <c r="F73" s="1144">
        <f>IF($B$8="Calendar Year",
VLOOKUP($A73, 'Q&amp;V CY 2004 to Now'!$10:$104, MATCH(E$10 &amp; " " &amp; F$11, 'Q&amp;V CY 2004 to Now'!$10:$10, 0), FALSE),
VLOOKUP($A73, 'Q&amp;V FY 2003-04 to Now'!$10:$103, MATCH(E$10 &amp; " " &amp; F$11, 'Q&amp;V FY 2003-04 to Now'!$10:$10, 0), FALSE)
)</f>
        <v>1844623247.4012048</v>
      </c>
    </row>
    <row r="74" spans="1:6" x14ac:dyDescent="0.25">
      <c r="A74" s="124" t="s">
        <v>189</v>
      </c>
      <c r="B74" s="1153" t="s">
        <v>166</v>
      </c>
      <c r="C74" s="1143">
        <f>IF($B$8="Calendar Year",
VLOOKUP($A74, 'Q&amp;V CY 2004 to Now'!$10:$104, MATCH(C$10 &amp; " " &amp; C$11, 'Q&amp;V CY 2004 to Now'!$10:$10, 0), FALSE),
VLOOKUP($A74, 'Q&amp;V FY 2003-04 to Now'!$10:$103, MATCH(C$10 &amp; " " &amp; C$11, 'Q&amp;V FY 2003-04 to Now'!$10:$10, 0), FALSE)
)</f>
        <v>48070692.233975351</v>
      </c>
      <c r="D74" s="1144">
        <f>IF($B$8="Calendar Year",
VLOOKUP($A74, 'Q&amp;V CY 2004 to Now'!$10:$104, MATCH(C$10 &amp; " " &amp; D$11, 'Q&amp;V CY 2004 to Now'!$10:$10, 0), FALSE),
VLOOKUP($A74, 'Q&amp;V FY 2003-04 to Now'!$10:$103, MATCH(C$10 &amp; " " &amp; D$11, 'Q&amp;V FY 2003-04 to Now'!$10:$10, 0), FALSE)
)</f>
        <v>35685555839.451973</v>
      </c>
      <c r="E74" s="1143">
        <f>IF($B$8="Calendar Year",
VLOOKUP($A74, 'Q&amp;V CY 2004 to Now'!$10:$104, MATCH(E$10 &amp; " " &amp; E$11, 'Q&amp;V CY 2004 to Now'!$10:$10, 0), FALSE),
VLOOKUP($A74, 'Q&amp;V FY 2003-04 to Now'!$10:$103, MATCH(E$10 &amp; " " &amp; E$11, 'Q&amp;V FY 2003-04 to Now'!$10:$10, 0), FALSE)
)</f>
        <v>44315746.819089174</v>
      </c>
      <c r="F74" s="1144">
        <f>IF($B$8="Calendar Year",
VLOOKUP($A74, 'Q&amp;V CY 2004 to Now'!$10:$104, MATCH(E$10 &amp; " " &amp; F$11, 'Q&amp;V CY 2004 to Now'!$10:$10, 0), FALSE),
VLOOKUP($A74, 'Q&amp;V FY 2003-04 to Now'!$10:$103, MATCH(E$10 &amp; " " &amp; F$11, 'Q&amp;V FY 2003-04 to Now'!$10:$10, 0), FALSE)
)</f>
        <v>31851512460.181778</v>
      </c>
    </row>
    <row r="75" spans="1:6" x14ac:dyDescent="0.25">
      <c r="A75" s="124" t="s">
        <v>234</v>
      </c>
      <c r="B75" s="1153" t="s">
        <v>166</v>
      </c>
      <c r="C75" s="1143">
        <f>IF($B$8="Calendar Year",
VLOOKUP($A75, 'Q&amp;V CY 2004 to Now'!$10:$104, MATCH(C$10 &amp; " " &amp; C$11, 'Q&amp;V CY 2004 to Now'!$10:$10, 0), FALSE),
VLOOKUP($A75, 'Q&amp;V FY 2003-04 to Now'!$10:$103, MATCH(C$10 &amp; " " &amp; C$11, 'Q&amp;V FY 2003-04 to Now'!$10:$10, 0), FALSE)
)</f>
        <v>805929.4531982796</v>
      </c>
      <c r="D75" s="1144">
        <f>IF($B$8="Calendar Year",
VLOOKUP($A75, 'Q&amp;V CY 2004 to Now'!$10:$104, MATCH(C$10 &amp; " " &amp; D$11, 'Q&amp;V CY 2004 to Now'!$10:$10, 0), FALSE),
VLOOKUP($A75, 'Q&amp;V FY 2003-04 to Now'!$10:$103, MATCH(C$10 &amp; " " &amp; D$11, 'Q&amp;V FY 2003-04 to Now'!$10:$10, 0), FALSE)
)</f>
        <v>696888880.87185764</v>
      </c>
      <c r="E75" s="1143">
        <f>IF($B$8="Calendar Year",
VLOOKUP($A75, 'Q&amp;V CY 2004 to Now'!$10:$104, MATCH(E$10 &amp; " " &amp; E$11, 'Q&amp;V CY 2004 to Now'!$10:$10, 0), FALSE),
VLOOKUP($A75, 'Q&amp;V FY 2003-04 to Now'!$10:$103, MATCH(E$10 &amp; " " &amp; E$11, 'Q&amp;V FY 2003-04 to Now'!$10:$10, 0), FALSE)
)</f>
        <v>673658.94505559967</v>
      </c>
      <c r="F75" s="1144">
        <f>IF($B$8="Calendar Year",
VLOOKUP($A75, 'Q&amp;V CY 2004 to Now'!$10:$104, MATCH(E$10 &amp; " " &amp; F$11, 'Q&amp;V CY 2004 to Now'!$10:$10, 0), FALSE),
VLOOKUP($A75, 'Q&amp;V FY 2003-04 to Now'!$10:$103, MATCH(E$10 &amp; " " &amp; F$11, 'Q&amp;V FY 2003-04 to Now'!$10:$10, 0), FALSE)
)</f>
        <v>381935966.90897316</v>
      </c>
    </row>
    <row r="76" spans="1:6" x14ac:dyDescent="0.25">
      <c r="A76" s="124" t="s">
        <v>170</v>
      </c>
      <c r="B76" s="1155" t="s">
        <v>235</v>
      </c>
      <c r="C76" s="1143">
        <f>IF($B$8="Calendar Year",
VLOOKUP($A76, 'Q&amp;V CY 2004 to Now'!$10:$104, MATCH(C$10 &amp; " " &amp; C$11, 'Q&amp;V CY 2004 to Now'!$10:$10, 0), FALSE),
VLOOKUP($A76, 'Q&amp;V FY 2003-04 to Now'!$10:$103, MATCH(C$10 &amp; " " &amp; C$11, 'Q&amp;V FY 2003-04 to Now'!$10:$10, 0), FALSE)
)</f>
        <v>11724959.96228</v>
      </c>
      <c r="D76" s="1144">
        <f>IF($B$8="Calendar Year",
VLOOKUP($A76, 'Q&amp;V CY 2004 to Now'!$10:$104, MATCH(C$10 &amp; " " &amp; D$11, 'Q&amp;V CY 2004 to Now'!$10:$10, 0), FALSE),
VLOOKUP($A76, 'Q&amp;V FY 2003-04 to Now'!$10:$103, MATCH(C$10 &amp; " " &amp; D$11, 'Q&amp;V FY 2003-04 to Now'!$10:$10, 0), FALSE)
)</f>
        <v>3171357994.5775127</v>
      </c>
      <c r="E76" s="1143">
        <f>IF($B$8="Calendar Year",
VLOOKUP($A76, 'Q&amp;V CY 2004 to Now'!$10:$104, MATCH(E$10 &amp; " " &amp; E$11, 'Q&amp;V CY 2004 to Now'!$10:$10, 0), FALSE),
VLOOKUP($A76, 'Q&amp;V FY 2003-04 to Now'!$10:$103, MATCH(E$10 &amp; " " &amp; E$11, 'Q&amp;V FY 2003-04 to Now'!$10:$10, 0), FALSE)
)</f>
        <v>11567007.172079999</v>
      </c>
      <c r="F76" s="1144">
        <f>IF($B$8="Calendar Year",
VLOOKUP($A76, 'Q&amp;V CY 2004 to Now'!$10:$104, MATCH(E$10 &amp; " " &amp; F$11, 'Q&amp;V CY 2004 to Now'!$10:$10, 0), FALSE),
VLOOKUP($A76, 'Q&amp;V FY 2003-04 to Now'!$10:$103, MATCH(E$10 &amp; " " &amp; F$11, 'Q&amp;V FY 2003-04 to Now'!$10:$10, 0), FALSE)
)</f>
        <v>3279049874.192759</v>
      </c>
    </row>
    <row r="77" spans="1:6" x14ac:dyDescent="0.25">
      <c r="A77" s="124" t="s">
        <v>236</v>
      </c>
      <c r="B77" s="1153"/>
      <c r="C77" s="1143"/>
      <c r="D77" s="1144">
        <f>IF($B$8="Calendar Year",
VLOOKUP($A77, 'Q&amp;V CY 2004 to Now'!$10:$104, MATCH(C$10 &amp; " " &amp; D$11, 'Q&amp;V CY 2004 to Now'!$10:$10, 0), FALSE),
VLOOKUP($A77, 'Q&amp;V FY 2003-04 to Now'!$10:$103, MATCH(C$10 &amp; " " &amp; D$11, 'Q&amp;V FY 2003-04 to Now'!$10:$10, 0), FALSE)
)</f>
        <v>49857024340.534286</v>
      </c>
      <c r="E77" s="1143"/>
      <c r="F77" s="1144">
        <f>IF($B$8="Calendar Year",
VLOOKUP($A77, 'Q&amp;V CY 2004 to Now'!$10:$104, MATCH(E$10 &amp; " " &amp; F$11, 'Q&amp;V CY 2004 to Now'!$10:$10, 0), FALSE),
VLOOKUP($A77, 'Q&amp;V FY 2003-04 to Now'!$10:$103, MATCH(E$10 &amp; " " &amp; F$11, 'Q&amp;V FY 2003-04 to Now'!$10:$10, 0), FALSE)
)</f>
        <v>44060025817.734947</v>
      </c>
    </row>
    <row r="78" spans="1:6" x14ac:dyDescent="0.25">
      <c r="A78" s="126"/>
      <c r="B78" s="1153"/>
      <c r="C78" s="1143"/>
      <c r="D78" s="1144"/>
      <c r="E78" s="1143"/>
      <c r="F78" s="1144"/>
    </row>
    <row r="79" spans="1:6" x14ac:dyDescent="0.25">
      <c r="A79" s="115" t="s">
        <v>237</v>
      </c>
      <c r="B79" s="1154" t="s">
        <v>214</v>
      </c>
      <c r="C79" s="1145">
        <f>IF($B$8="Calendar Year",
VLOOKUP($A79, 'Q&amp;V CY 2004 to Now'!$10:$104, MATCH(C$10 &amp; " " &amp; C$11, 'Q&amp;V CY 2004 to Now'!$10:$10, 0), FALSE),
VLOOKUP($A79, 'Q&amp;V FY 2003-04 to Now'!$10:$103, MATCH(C$10 &amp; " " &amp; C$11, 'Q&amp;V FY 2003-04 to Now'!$10:$10, 0), FALSE)
)</f>
        <v>575.37326421062403</v>
      </c>
      <c r="D79" s="1146">
        <f>IF($B$8="Calendar Year",
VLOOKUP($A79, 'Q&amp;V CY 2004 to Now'!$10:$104, MATCH(C$10 &amp; " " &amp; D$11, 'Q&amp;V CY 2004 to Now'!$10:$10, 0), FALSE),
VLOOKUP($A79, 'Q&amp;V FY 2003-04 to Now'!$10:$103, MATCH(C$10 &amp; " " &amp; D$11, 'Q&amp;V FY 2003-04 to Now'!$10:$10, 0), FALSE)
)</f>
        <v>24252294</v>
      </c>
      <c r="E79" s="1145">
        <f>IF($B$8="Calendar Year",
VLOOKUP($A79, 'Q&amp;V CY 2004 to Now'!$10:$104, MATCH(E$10 &amp; " " &amp; E$11, 'Q&amp;V CY 2004 to Now'!$10:$10, 0), FALSE),
VLOOKUP($A79, 'Q&amp;V FY 2003-04 to Now'!$10:$103, MATCH(E$10 &amp; " " &amp; E$11, 'Q&amp;V FY 2003-04 to Now'!$10:$10, 0), FALSE)
)</f>
        <v>0</v>
      </c>
      <c r="F79" s="1146">
        <f>IF($B$8="Calendar Year",
VLOOKUP($A79, 'Q&amp;V CY 2004 to Now'!$10:$104, MATCH(E$10 &amp; " " &amp; F$11, 'Q&amp;V CY 2004 to Now'!$10:$10, 0), FALSE),
VLOOKUP($A79, 'Q&amp;V FY 2003-04 to Now'!$10:$103, MATCH(E$10 &amp; " " &amp; F$11, 'Q&amp;V FY 2003-04 to Now'!$10:$10, 0), FALSE)
)</f>
        <v>0</v>
      </c>
    </row>
    <row r="80" spans="1:6" x14ac:dyDescent="0.25">
      <c r="A80" s="123" t="s">
        <v>238</v>
      </c>
      <c r="B80" s="1154"/>
      <c r="C80" s="1145"/>
      <c r="D80" s="1146"/>
      <c r="E80" s="1145"/>
      <c r="F80" s="1146"/>
    </row>
    <row r="81" spans="1:6" x14ac:dyDescent="0.25">
      <c r="A81" s="105" t="s">
        <v>239</v>
      </c>
      <c r="B81" s="1153" t="s">
        <v>166</v>
      </c>
      <c r="C81" s="1143">
        <f>IF($B$8="Calendar Year",
VLOOKUP($A81, 'Q&amp;V CY 2004 to Now'!$10:$104, MATCH(C$10 &amp; " " &amp; C$11, 'Q&amp;V CY 2004 to Now'!$10:$10, 0), FALSE),
VLOOKUP($A81, 'Q&amp;V FY 2003-04 to Now'!$10:$103, MATCH(C$10 &amp; " " &amp; C$11, 'Q&amp;V FY 2003-04 to Now'!$10:$10, 0), FALSE)
)</f>
        <v>0</v>
      </c>
      <c r="D81" s="1144">
        <f>IF($B$8="Calendar Year",
VLOOKUP($A81, 'Q&amp;V CY 2004 to Now'!$10:$104, MATCH(C$10 &amp; " " &amp; D$11, 'Q&amp;V CY 2004 to Now'!$10:$10, 0), FALSE),
VLOOKUP($A81, 'Q&amp;V FY 2003-04 to Now'!$10:$103, MATCH(C$10 &amp; " " &amp; D$11, 'Q&amp;V FY 2003-04 to Now'!$10:$10, 0), FALSE)
)</f>
        <v>0</v>
      </c>
      <c r="E81" s="1143">
        <f>IF($B$8="Calendar Year",
VLOOKUP($A81, 'Q&amp;V CY 2004 to Now'!$10:$104, MATCH(E$10 &amp; " " &amp; E$11, 'Q&amp;V CY 2004 to Now'!$10:$10, 0), FALSE),
VLOOKUP($A81, 'Q&amp;V FY 2003-04 to Now'!$10:$103, MATCH(E$10 &amp; " " &amp; E$11, 'Q&amp;V FY 2003-04 to Now'!$10:$10, 0), FALSE)
)</f>
        <v>10013.42</v>
      </c>
      <c r="F81" s="1144" t="str">
        <f>IF($B$8="Calendar Year",
VLOOKUP($A81, 'Q&amp;V CY 2004 to Now'!$10:$104, MATCH(E$10 &amp; " " &amp; F$11, 'Q&amp;V CY 2004 to Now'!$10:$10, 0), FALSE),
VLOOKUP($A81, 'Q&amp;V FY 2003-04 to Now'!$10:$103, MATCH(E$10 &amp; " " &amp; F$11, 'Q&amp;V FY 2003-04 to Now'!$10:$10, 0), FALSE)
)</f>
        <v>nfp</v>
      </c>
    </row>
    <row r="82" spans="1:6" x14ac:dyDescent="0.25">
      <c r="A82" s="105"/>
      <c r="B82" s="1153"/>
      <c r="C82" s="1143"/>
      <c r="D82" s="1144"/>
      <c r="E82" s="1143"/>
      <c r="F82" s="1144"/>
    </row>
    <row r="83" spans="1:6" x14ac:dyDescent="0.25">
      <c r="A83" s="115" t="s">
        <v>240</v>
      </c>
      <c r="B83" s="1154" t="s">
        <v>214</v>
      </c>
      <c r="C83" s="1145">
        <f>IF($B$8="Calendar Year",
VLOOKUP($A83, 'Q&amp;V CY 2004 to Now'!$10:$104, MATCH(C$10 &amp; " " &amp; C$11, 'Q&amp;V CY 2004 to Now'!$10:$10, 0), FALSE),
VLOOKUP($A83, 'Q&amp;V FY 2003-04 to Now'!$10:$103, MATCH(C$10 &amp; " " &amp; C$11, 'Q&amp;V FY 2003-04 to Now'!$10:$10, 0), FALSE)
)</f>
        <v>31390273</v>
      </c>
      <c r="D83" s="1146" t="str">
        <f>IF($B$8="Calendar Year",
VLOOKUP($A83, 'Q&amp;V CY 2004 to Now'!$10:$104, MATCH(C$10 &amp; " " &amp; D$11, 'Q&amp;V CY 2004 to Now'!$10:$10, 0), FALSE),
VLOOKUP($A83, 'Q&amp;V FY 2003-04 to Now'!$10:$103, MATCH(C$10 &amp; " " &amp; D$11, 'Q&amp;V FY 2003-04 to Now'!$10:$10, 0), FALSE)
)</f>
        <v>nfp</v>
      </c>
      <c r="E83" s="1145">
        <f>IF($B$8="Calendar Year",
VLOOKUP($A83, 'Q&amp;V CY 2004 to Now'!$10:$104, MATCH(E$10 &amp; " " &amp; E$11, 'Q&amp;V CY 2004 to Now'!$10:$10, 0), FALSE),
VLOOKUP($A83, 'Q&amp;V FY 2003-04 to Now'!$10:$103, MATCH(E$10 &amp; " " &amp; E$11, 'Q&amp;V FY 2003-04 to Now'!$10:$10, 0), FALSE)
)</f>
        <v>34090495</v>
      </c>
      <c r="F83" s="1146" t="str">
        <f>IF($B$8="Calendar Year",
VLOOKUP($A83, 'Q&amp;V CY 2004 to Now'!$10:$104, MATCH(E$10 &amp; " " &amp; F$11, 'Q&amp;V CY 2004 to Now'!$10:$10, 0), FALSE),
VLOOKUP($A83, 'Q&amp;V FY 2003-04 to Now'!$10:$103, MATCH(E$10 &amp; " " &amp; F$11, 'Q&amp;V FY 2003-04 to Now'!$10:$10, 0), FALSE)
)</f>
        <v>nfp</v>
      </c>
    </row>
    <row r="84" spans="1:6" x14ac:dyDescent="0.25">
      <c r="A84" s="127"/>
      <c r="B84" s="1154"/>
      <c r="C84" s="1145"/>
      <c r="D84" s="1146"/>
      <c r="E84" s="1145"/>
      <c r="F84" s="1146"/>
    </row>
    <row r="85" spans="1:6" x14ac:dyDescent="0.25">
      <c r="A85" s="105" t="s">
        <v>241</v>
      </c>
      <c r="B85" s="1153" t="s">
        <v>166</v>
      </c>
      <c r="C85" s="1143">
        <f>IF($B$8="Calendar Year",
VLOOKUP($A85, 'Q&amp;V CY 2004 to Now'!$10:$104, MATCH(C$10 &amp; " " &amp; C$11, 'Q&amp;V CY 2004 to Now'!$10:$10, 0), FALSE),
VLOOKUP($A85, 'Q&amp;V FY 2003-04 to Now'!$10:$103, MATCH(C$10 &amp; " " &amp; C$11, 'Q&amp;V FY 2003-04 to Now'!$10:$10, 0), FALSE)
)</f>
        <v>12013299.825000001</v>
      </c>
      <c r="D85" s="1144">
        <f>IF($B$8="Calendar Year",
VLOOKUP($A85, 'Q&amp;V CY 2004 to Now'!$10:$104, MATCH(C$10 &amp; " " &amp; D$11, 'Q&amp;V CY 2004 to Now'!$10:$10, 0), FALSE),
VLOOKUP($A85, 'Q&amp;V FY 2003-04 to Now'!$10:$103, MATCH(C$10 &amp; " " &amp; D$11, 'Q&amp;V FY 2003-04 to Now'!$10:$10, 0), FALSE)
)</f>
        <v>802601324.38622427</v>
      </c>
      <c r="E85" s="1143">
        <f>IF($B$8="Calendar Year",
VLOOKUP($A85, 'Q&amp;V CY 2004 to Now'!$10:$104, MATCH(E$10 &amp; " " &amp; E$11, 'Q&amp;V CY 2004 to Now'!$10:$10, 0), FALSE),
VLOOKUP($A85, 'Q&amp;V FY 2003-04 to Now'!$10:$103, MATCH(E$10 &amp; " " &amp; E$11, 'Q&amp;V FY 2003-04 to Now'!$10:$10, 0), FALSE)
)</f>
        <v>12425091.480999999</v>
      </c>
      <c r="F85" s="1144">
        <f>IF($B$8="Calendar Year",
VLOOKUP($A85, 'Q&amp;V CY 2004 to Now'!$10:$104, MATCH(E$10 &amp; " " &amp; F$11, 'Q&amp;V CY 2004 to Now'!$10:$10, 0), FALSE),
VLOOKUP($A85, 'Q&amp;V FY 2003-04 to Now'!$10:$103, MATCH(E$10 &amp; " " &amp; F$11, 'Q&amp;V FY 2003-04 to Now'!$10:$10, 0), FALSE)
)</f>
        <v>754634469.02954209</v>
      </c>
    </row>
    <row r="86" spans="1:6" x14ac:dyDescent="0.25">
      <c r="A86" s="105"/>
      <c r="B86" s="1153"/>
      <c r="C86" s="1143"/>
      <c r="D86" s="1144"/>
      <c r="E86" s="1143"/>
      <c r="F86" s="1144"/>
    </row>
    <row r="87" spans="1:6" x14ac:dyDescent="0.25">
      <c r="A87" s="115" t="s">
        <v>242</v>
      </c>
      <c r="B87" s="1154" t="s">
        <v>166</v>
      </c>
      <c r="C87" s="1145">
        <f>IF($B$8="Calendar Year",
VLOOKUP($A87, 'Q&amp;V CY 2004 to Now'!$10:$104, MATCH(C$10 &amp; " " &amp; C$11, 'Q&amp;V CY 2004 to Now'!$10:$10, 0), FALSE),
VLOOKUP($A87, 'Q&amp;V FY 2003-04 to Now'!$10:$103, MATCH(C$10 &amp; " " &amp; C$11, 'Q&amp;V FY 2003-04 to Now'!$10:$10, 0), FALSE)
)</f>
        <v>739212.10499999998</v>
      </c>
      <c r="D87" s="1146">
        <f>IF($B$8="Calendar Year",
VLOOKUP($A87, 'Q&amp;V CY 2004 to Now'!$10:$104, MATCH(C$10 &amp; " " &amp; D$11, 'Q&amp;V CY 2004 to Now'!$10:$10, 0), FALSE),
VLOOKUP($A87, 'Q&amp;V FY 2003-04 to Now'!$10:$103, MATCH(C$10 &amp; " " &amp; D$11, 'Q&amp;V FY 2003-04 to Now'!$10:$10, 0), FALSE)
)</f>
        <v>21458039</v>
      </c>
      <c r="E87" s="1145">
        <f>IF($B$8="Calendar Year",
VLOOKUP($A87, 'Q&amp;V CY 2004 to Now'!$10:$104, MATCH(E$10 &amp; " " &amp; E$11, 'Q&amp;V CY 2004 to Now'!$10:$10, 0), FALSE),
VLOOKUP($A87, 'Q&amp;V FY 2003-04 to Now'!$10:$103, MATCH(E$10 &amp; " " &amp; E$11, 'Q&amp;V FY 2003-04 to Now'!$10:$10, 0), FALSE)
)</f>
        <v>876843.87900000007</v>
      </c>
      <c r="F87" s="1146">
        <f>IF($B$8="Calendar Year",
VLOOKUP($A87, 'Q&amp;V CY 2004 to Now'!$10:$104, MATCH(E$10 &amp; " " &amp; F$11, 'Q&amp;V CY 2004 to Now'!$10:$10, 0), FALSE),
VLOOKUP($A87, 'Q&amp;V FY 2003-04 to Now'!$10:$103, MATCH(E$10 &amp; " " &amp; F$11, 'Q&amp;V FY 2003-04 to Now'!$10:$10, 0), FALSE)
)</f>
        <v>26151975</v>
      </c>
    </row>
    <row r="88" spans="1:6" x14ac:dyDescent="0.25">
      <c r="A88" s="123"/>
      <c r="B88" s="1154"/>
      <c r="C88" s="1145"/>
      <c r="D88" s="1146"/>
      <c r="E88" s="1145"/>
      <c r="F88" s="1146"/>
    </row>
    <row r="89" spans="1:6" x14ac:dyDescent="0.25">
      <c r="A89" s="105" t="s">
        <v>243</v>
      </c>
      <c r="B89" s="1153" t="s">
        <v>214</v>
      </c>
      <c r="C89" s="1143">
        <f>IF($B$8="Calendar Year",
VLOOKUP($A89, 'Q&amp;V CY 2004 to Now'!$10:$104, MATCH(C$10 &amp; " " &amp; C$11, 'Q&amp;V CY 2004 to Now'!$10:$10, 0), FALSE),
VLOOKUP($A89, 'Q&amp;V FY 2003-04 to Now'!$10:$103, MATCH(C$10 &amp; " " &amp; C$11, 'Q&amp;V FY 2003-04 to Now'!$10:$10, 0), FALSE)
)</f>
        <v>93407.407427995742</v>
      </c>
      <c r="D89" s="1144">
        <f>IF($B$8="Calendar Year",
VLOOKUP($A89, 'Q&amp;V CY 2004 to Now'!$10:$104, MATCH(C$10 &amp; " " &amp; D$11, 'Q&amp;V CY 2004 to Now'!$10:$10, 0), FALSE),
VLOOKUP($A89, 'Q&amp;V FY 2003-04 to Now'!$10:$103, MATCH(C$10 &amp; " " &amp; D$11, 'Q&amp;V FY 2003-04 to Now'!$10:$10, 0), FALSE)
)</f>
        <v>132507230.99999999</v>
      </c>
      <c r="E89" s="1143">
        <f>IF($B$8="Calendar Year",
VLOOKUP($A89, 'Q&amp;V CY 2004 to Now'!$10:$104, MATCH(E$10 &amp; " " &amp; E$11, 'Q&amp;V CY 2004 to Now'!$10:$10, 0), FALSE),
VLOOKUP($A89, 'Q&amp;V FY 2003-04 to Now'!$10:$103, MATCH(E$10 &amp; " " &amp; E$11, 'Q&amp;V FY 2003-04 to Now'!$10:$10, 0), FALSE)
)</f>
        <v>108144.0631557725</v>
      </c>
      <c r="F89" s="1144">
        <f>IF($B$8="Calendar Year",
VLOOKUP($A89, 'Q&amp;V CY 2004 to Now'!$10:$104, MATCH(E$10 &amp; " " &amp; F$11, 'Q&amp;V CY 2004 to Now'!$10:$10, 0), FALSE),
VLOOKUP($A89, 'Q&amp;V FY 2003-04 to Now'!$10:$103, MATCH(E$10 &amp; " " &amp; F$11, 'Q&amp;V FY 2003-04 to Now'!$10:$10, 0), FALSE)
)</f>
        <v>223511061.99999997</v>
      </c>
    </row>
    <row r="90" spans="1:6" x14ac:dyDescent="0.25">
      <c r="A90" s="105"/>
      <c r="B90" s="1153"/>
      <c r="C90" s="1143"/>
      <c r="D90" s="1144"/>
      <c r="E90" s="1143"/>
      <c r="F90" s="1144"/>
    </row>
    <row r="91" spans="1:6" x14ac:dyDescent="0.25">
      <c r="A91" s="115" t="s">
        <v>244</v>
      </c>
      <c r="B91" s="1154"/>
      <c r="C91" s="1145"/>
      <c r="D91" s="1146"/>
      <c r="E91" s="1145"/>
      <c r="F91" s="1146"/>
    </row>
    <row r="92" spans="1:6" x14ac:dyDescent="0.25">
      <c r="A92" s="116" t="s">
        <v>245</v>
      </c>
      <c r="B92" s="1154" t="s">
        <v>166</v>
      </c>
      <c r="C92" s="1145">
        <f>IF($B$8="Calendar Year",
VLOOKUP($A92, 'Q&amp;V CY 2004 to Now'!$10:$104, MATCH(C$10 &amp; " " &amp; C$11, 'Q&amp;V CY 2004 to Now'!$10:$10, 0), FALSE),
VLOOKUP($A92, 'Q&amp;V FY 2003-04 to Now'!$10:$103, MATCH(C$10 &amp; " " &amp; C$11, 'Q&amp;V FY 2003-04 to Now'!$10:$10, 0), FALSE)
)</f>
        <v>232.26399999999998</v>
      </c>
      <c r="D92" s="1146" t="str">
        <f>IF($B$8="Calendar Year",
VLOOKUP($A92, 'Q&amp;V CY 2004 to Now'!$10:$104, MATCH(C$10 &amp; " " &amp; D$11, 'Q&amp;V CY 2004 to Now'!$10:$10, 0), FALSE),
VLOOKUP($A92, 'Q&amp;V FY 2003-04 to Now'!$10:$103, MATCH(C$10 &amp; " " &amp; D$11, 'Q&amp;V FY 2003-04 to Now'!$10:$10, 0), FALSE)
)</f>
        <v xml:space="preserve">nfp </v>
      </c>
      <c r="E92" s="1145">
        <f>IF($B$8="Calendar Year",
VLOOKUP($A92, 'Q&amp;V CY 2004 to Now'!$10:$104, MATCH(E$10 &amp; " " &amp; E$11, 'Q&amp;V CY 2004 to Now'!$10:$10, 0), FALSE),
VLOOKUP($A92, 'Q&amp;V FY 2003-04 to Now'!$10:$103, MATCH(E$10 &amp; " " &amp; E$11, 'Q&amp;V FY 2003-04 to Now'!$10:$10, 0), FALSE)
)</f>
        <v>254.77669999999995</v>
      </c>
      <c r="F92" s="1146" t="str">
        <f>IF($B$8="Calendar Year",
VLOOKUP($A92, 'Q&amp;V CY 2004 to Now'!$10:$104, MATCH(E$10 &amp; " " &amp; F$11, 'Q&amp;V CY 2004 to Now'!$10:$10, 0), FALSE),
VLOOKUP($A92, 'Q&amp;V FY 2003-04 to Now'!$10:$103, MATCH(E$10 &amp; " " &amp; F$11, 'Q&amp;V FY 2003-04 to Now'!$10:$10, 0), FALSE)
)</f>
        <v xml:space="preserve">nfp </v>
      </c>
    </row>
    <row r="93" spans="1:6" x14ac:dyDescent="0.25">
      <c r="A93" s="116" t="s">
        <v>246</v>
      </c>
      <c r="B93" s="1154" t="s">
        <v>166</v>
      </c>
      <c r="C93" s="1145">
        <f>IF($B$8="Calendar Year",
VLOOKUP($A93, 'Q&amp;V CY 2004 to Now'!$10:$104, MATCH(C$10 &amp; " " &amp; C$11, 'Q&amp;V CY 2004 to Now'!$10:$10, 0), FALSE),
VLOOKUP($A93, 'Q&amp;V FY 2003-04 to Now'!$10:$103, MATCH(C$10 &amp; " " &amp; C$11, 'Q&amp;V FY 2003-04 to Now'!$10:$10, 0), FALSE)
)</f>
        <v>228.01</v>
      </c>
      <c r="D93" s="1146" t="str">
        <f>IF($B$8="Calendar Year",
VLOOKUP($A93, 'Q&amp;V CY 2004 to Now'!$10:$104, MATCH(C$10 &amp; " " &amp; D$11, 'Q&amp;V CY 2004 to Now'!$10:$10, 0), FALSE),
VLOOKUP($A93, 'Q&amp;V FY 2003-04 to Now'!$10:$103, MATCH(C$10 &amp; " " &amp; D$11, 'Q&amp;V FY 2003-04 to Now'!$10:$10, 0), FALSE)
)</f>
        <v xml:space="preserve">nfp </v>
      </c>
      <c r="E93" s="1145">
        <f>IF($B$8="Calendar Year",
VLOOKUP($A93, 'Q&amp;V CY 2004 to Now'!$10:$104, MATCH(E$10 &amp; " " &amp; E$11, 'Q&amp;V CY 2004 to Now'!$10:$10, 0), FALSE),
VLOOKUP($A93, 'Q&amp;V FY 2003-04 to Now'!$10:$103, MATCH(E$10 &amp; " " &amp; E$11, 'Q&amp;V FY 2003-04 to Now'!$10:$10, 0), FALSE)
)</f>
        <v>245.98999999999998</v>
      </c>
      <c r="F93" s="1146" t="str">
        <f>IF($B$8="Calendar Year",
VLOOKUP($A93, 'Q&amp;V CY 2004 to Now'!$10:$104, MATCH(E$10 &amp; " " &amp; F$11, 'Q&amp;V CY 2004 to Now'!$10:$10, 0), FALSE),
VLOOKUP($A93, 'Q&amp;V FY 2003-04 to Now'!$10:$103, MATCH(E$10 &amp; " " &amp; F$11, 'Q&amp;V FY 2003-04 to Now'!$10:$10, 0), FALSE)
)</f>
        <v xml:space="preserve">nfp </v>
      </c>
    </row>
    <row r="94" spans="1:6" x14ac:dyDescent="0.25">
      <c r="A94" s="116" t="s">
        <v>247</v>
      </c>
      <c r="B94" s="1154"/>
      <c r="C94" s="1145"/>
      <c r="D94" s="1146">
        <f>IF($B$8="Calendar Year",
VLOOKUP($A94, 'Q&amp;V CY 2004 to Now'!$10:$104, MATCH(C$10 &amp; " " &amp; D$11, 'Q&amp;V CY 2004 to Now'!$10:$10, 0), FALSE),
VLOOKUP($A94, 'Q&amp;V FY 2003-04 to Now'!$10:$103, MATCH(C$10 &amp; " " &amp; D$11, 'Q&amp;V FY 2003-04 to Now'!$10:$10, 0), FALSE)
)</f>
        <v>63113391</v>
      </c>
      <c r="E94" s="1145"/>
      <c r="F94" s="1146">
        <f>IF($B$8="Calendar Year",
VLOOKUP($A94, 'Q&amp;V CY 2004 to Now'!$10:$104, MATCH(E$10 &amp; " " &amp; F$11, 'Q&amp;V CY 2004 to Now'!$10:$10, 0), FALSE),
VLOOKUP($A94, 'Q&amp;V FY 2003-04 to Now'!$10:$103, MATCH(E$10 &amp; " " &amp; F$11, 'Q&amp;V FY 2003-04 to Now'!$10:$10, 0), FALSE)
)</f>
        <v>70572993</v>
      </c>
    </row>
    <row r="95" spans="1:6" x14ac:dyDescent="0.25">
      <c r="A95" s="116"/>
      <c r="B95" s="1154"/>
      <c r="C95" s="1145"/>
      <c r="D95" s="1146"/>
      <c r="E95" s="1145"/>
      <c r="F95" s="1146"/>
    </row>
    <row r="96" spans="1:6" x14ac:dyDescent="0.25">
      <c r="A96" s="105" t="s">
        <v>248</v>
      </c>
      <c r="B96" s="1153"/>
      <c r="C96" s="1143"/>
      <c r="D96" s="1144">
        <f>IF($B$8="Calendar Year",
VLOOKUP($A96, 'Q&amp;V CY 2004 to Now'!$10:$104, MATCH(C$10 &amp; " " &amp; D$11, 'Q&amp;V CY 2004 to Now'!$10:$10, 0), FALSE),
VLOOKUP($A96, 'Q&amp;V FY 2003-04 to Now'!$10:$103, MATCH(C$10 &amp; " " &amp; D$11, 'Q&amp;V FY 2003-04 to Now'!$10:$10, 0), FALSE)
)</f>
        <v>260914983.13458252</v>
      </c>
      <c r="E96" s="1143"/>
      <c r="F96" s="1144">
        <f>IF($B$8="Calendar Year",
VLOOKUP($A96, 'Q&amp;V CY 2004 to Now'!$10:$104, MATCH(E$10 &amp; " " &amp; F$11, 'Q&amp;V CY 2004 to Now'!$10:$10, 0), FALSE),
VLOOKUP($A96, 'Q&amp;V FY 2003-04 to Now'!$10:$103, MATCH(E$10 &amp; " " &amp; F$11, 'Q&amp;V FY 2003-04 to Now'!$10:$10, 0), FALSE)
)</f>
        <v>339532542.00003052</v>
      </c>
    </row>
    <row r="97" spans="1:6" x14ac:dyDescent="0.25">
      <c r="A97" s="105" t="s">
        <v>249</v>
      </c>
      <c r="B97" s="1153"/>
      <c r="C97" s="1143"/>
      <c r="D97" s="1144"/>
      <c r="E97" s="1143"/>
      <c r="F97" s="1144"/>
    </row>
    <row r="98" spans="1:6" x14ac:dyDescent="0.25">
      <c r="B98" s="1179"/>
      <c r="C98" s="87"/>
      <c r="D98" s="1180"/>
      <c r="E98" s="87"/>
      <c r="F98" s="1180"/>
    </row>
    <row r="99" spans="1:6" x14ac:dyDescent="0.25">
      <c r="A99" s="128" t="s">
        <v>250</v>
      </c>
      <c r="B99" s="1156"/>
      <c r="C99" s="1147"/>
      <c r="D99" s="1148">
        <f>IF($B$8="Calendar Year",
VLOOKUP($A99, 'Q&amp;V CY 2004 to Now'!$10:$104, MATCH(C$10 &amp; " " &amp; D$11, 'Q&amp;V CY 2004 to Now'!$10:$10, 0), FALSE),
VLOOKUP($A99, 'Q&amp;V FY 2003-04 to Now'!$10:$103, MATCH(C$10 &amp; " " &amp; D$11, 'Q&amp;V FY 2003-04 to Now'!$10:$10, 0), FALSE)
)</f>
        <v>180891816177.0264</v>
      </c>
      <c r="E99" s="1147"/>
      <c r="F99" s="1148">
        <f>IF($B$8="Calendar Year",
VLOOKUP($A99, 'Q&amp;V CY 2004 to Now'!$10:$104, MATCH(E$10 &amp; " " &amp; F$11, 'Q&amp;V CY 2004 to Now'!$10:$10, 0), FALSE),
VLOOKUP($A99, 'Q&amp;V FY 2003-04 to Now'!$10:$103, MATCH(E$10 &amp; " " &amp; F$11, 'Q&amp;V FY 2003-04 to Now'!$10:$10, 0), FALSE)
)</f>
        <v>181740126212.39227</v>
      </c>
    </row>
    <row r="100" spans="1:6" x14ac:dyDescent="0.25">
      <c r="A100" s="128"/>
      <c r="B100" s="1156"/>
      <c r="C100" s="1147"/>
      <c r="D100" s="1148"/>
      <c r="E100" s="1147"/>
      <c r="F100" s="1148"/>
    </row>
    <row r="101" spans="1:6" ht="15.75" thickBot="1" x14ac:dyDescent="0.3">
      <c r="A101" s="129" t="s">
        <v>251</v>
      </c>
      <c r="B101" s="1157"/>
      <c r="C101" s="1149"/>
      <c r="D101" s="1150">
        <f>IF($B$8="Calendar Year",
VLOOKUP($A101, 'Q&amp;V CY 2004 to Now'!$10:$104, MATCH(C$10 &amp; " " &amp; D$11, 'Q&amp;V CY 2004 to Now'!$10:$10, 0), FALSE),
VLOOKUP($A101, 'Q&amp;V FY 2003-04 to Now'!$10:$103, MATCH(C$10 &amp; " " &amp; D$11, 'Q&amp;V FY 2003-04 to Now'!$10:$10, 0), FALSE)
)</f>
        <v>230748840517.56067</v>
      </c>
      <c r="E101" s="1149"/>
      <c r="F101" s="1150">
        <f>IF($B$8="Calendar Year",
VLOOKUP($A101, 'Q&amp;V CY 2004 to Now'!$10:$104, MATCH(E$10 &amp; " " &amp; F$11, 'Q&amp;V CY 2004 to Now'!$10:$10, 0), FALSE),
VLOOKUP($A101, 'Q&amp;V FY 2003-04 to Now'!$10:$103, MATCH(E$10 &amp; " " &amp; F$11, 'Q&amp;V FY 2003-04 to Now'!$10:$10, 0), FALSE)
)</f>
        <v>225800152030.12723</v>
      </c>
    </row>
    <row r="102" spans="1:6" x14ac:dyDescent="0.25">
      <c r="A102" s="1376"/>
      <c r="B102" s="1376"/>
      <c r="C102" s="1376"/>
      <c r="D102" s="1376"/>
      <c r="E102" s="1376"/>
      <c r="F102" s="1376"/>
    </row>
  </sheetData>
  <mergeCells count="6">
    <mergeCell ref="A102:F102"/>
    <mergeCell ref="I12:J12"/>
    <mergeCell ref="K12:L12"/>
    <mergeCell ref="B8:D8"/>
    <mergeCell ref="C10:D10"/>
    <mergeCell ref="E10:F10"/>
  </mergeCells>
  <dataValidations count="1">
    <dataValidation type="list" allowBlank="1" showInputMessage="1" showErrorMessage="1" promptTitle="Select a Period:" prompt="Select Financial or Calendar years." sqref="B8:D8" xr:uid="{05D7C578-9073-47EF-AFDE-B21CA88F5814}">
      <formula1>$A$1:$A$2</formula1>
    </dataValidation>
  </dataValidations>
  <pageMargins left="0.74803149606299213" right="0.35433070866141736" top="0.31496062992125984" bottom="0.27559055118110237" header="0.51181102362204722" footer="0.55118110236220474"/>
  <pageSetup paperSize="9" scale="35" orientation="portrait" horizontalDpi="4294967292" verticalDpi="300" r:id="rId1"/>
  <headerFooter alignWithMargins="0"/>
  <ignoredErrors>
    <ignoredError sqref="D53:D93 D13:D50 E13:E42 E44:E93 K23 K24:K26 K14:K18 I22 K19:K22 I19"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73417-5BF9-43EC-AB79-0A170CFD754B}">
  <dimension ref="A7:EQ1554"/>
  <sheetViews>
    <sheetView showGridLines="0" zoomScale="85" zoomScaleNormal="85" workbookViewId="0">
      <pane xSplit="3" ySplit="10" topLeftCell="D11" activePane="bottomRight" state="frozen"/>
      <selection activeCell="C1" sqref="C1"/>
      <selection pane="topRight" activeCell="D1" sqref="D1"/>
      <selection pane="bottomLeft" activeCell="C11" sqref="C11"/>
      <selection pane="bottomRight" activeCell="C1" sqref="C1"/>
    </sheetView>
  </sheetViews>
  <sheetFormatPr defaultRowHeight="15" customHeight="1" x14ac:dyDescent="0.35"/>
  <cols>
    <col min="1" max="1" width="7.42578125" hidden="1" customWidth="1"/>
    <col min="2" max="2" width="9.42578125" hidden="1" customWidth="1"/>
    <col min="3" max="3" width="10.85546875" customWidth="1"/>
    <col min="4" max="4" width="16.7109375" style="148" customWidth="1"/>
    <col min="5" max="5" width="13.7109375" bestFit="1" customWidth="1"/>
    <col min="6" max="6" width="12.42578125" style="148" bestFit="1" customWidth="1"/>
    <col min="7" max="7" width="13.7109375" style="148" bestFit="1" customWidth="1"/>
    <col min="8" max="8" width="12.42578125" style="148" bestFit="1" customWidth="1"/>
    <col min="9" max="9" width="10.28515625" style="148" bestFit="1" customWidth="1"/>
    <col min="10" max="10" width="10.140625" style="148" customWidth="1"/>
    <col min="11" max="12" width="14.28515625" style="148" bestFit="1" customWidth="1"/>
    <col min="13" max="13" width="13.7109375" style="149" bestFit="1" customWidth="1"/>
    <col min="14" max="14" width="12.42578125" style="149" bestFit="1" customWidth="1"/>
    <col min="15" max="15" width="13.7109375" style="149" bestFit="1" customWidth="1"/>
    <col min="16" max="16" width="12.42578125" style="148" bestFit="1" customWidth="1"/>
    <col min="17" max="17" width="13.7109375" style="148" bestFit="1" customWidth="1"/>
    <col min="18" max="18" width="12.42578125" style="148" bestFit="1" customWidth="1"/>
    <col min="19" max="19" width="13.7109375" style="148" bestFit="1" customWidth="1"/>
    <col min="20" max="20" width="12.42578125" style="148" bestFit="1" customWidth="1"/>
    <col min="21" max="21" width="13.7109375" style="148" bestFit="1" customWidth="1"/>
    <col min="22" max="22" width="12.42578125" style="148" bestFit="1" customWidth="1"/>
    <col min="23" max="24" width="24.42578125" style="148" bestFit="1" customWidth="1"/>
    <col min="25" max="26" width="17.5703125" style="148" bestFit="1" customWidth="1"/>
    <col min="27" max="28" width="23.42578125" style="148" bestFit="1" customWidth="1"/>
    <col min="29" max="29" width="10.28515625" style="148" bestFit="1" customWidth="1"/>
    <col min="30" max="30" width="9.140625" style="148" bestFit="1" customWidth="1"/>
    <col min="31" max="31" width="13.7109375" style="148" bestFit="1" customWidth="1"/>
    <col min="32" max="32" width="12.42578125" style="148" bestFit="1" customWidth="1"/>
    <col min="33" max="33" width="10.28515625" style="148" bestFit="1" customWidth="1"/>
    <col min="34" max="34" width="9.140625" style="148" bestFit="1" customWidth="1"/>
    <col min="35" max="35" width="10.28515625" style="148" bestFit="1" customWidth="1"/>
    <col min="36" max="36" width="9.85546875" style="148" bestFit="1" customWidth="1"/>
    <col min="37" max="37" width="14.7109375" style="149" bestFit="1" customWidth="1"/>
    <col min="38" max="38" width="14.7109375" style="150" bestFit="1" customWidth="1"/>
    <col min="39" max="39" width="14.42578125" style="149" bestFit="1" customWidth="1"/>
    <col min="40" max="40" width="14.42578125" style="141" bestFit="1" customWidth="1"/>
    <col min="41" max="41" width="14.85546875" style="149" bestFit="1" customWidth="1"/>
    <col min="42" max="42" width="13.7109375" style="149" bestFit="1" customWidth="1"/>
    <col min="43" max="43" width="20.140625" customWidth="1"/>
    <col min="44" max="44" width="16.85546875" bestFit="1" customWidth="1"/>
    <col min="45" max="45" width="20.5703125" style="142" customWidth="1"/>
    <col min="46" max="46" width="18.140625" style="1168" bestFit="1" customWidth="1"/>
    <col min="47" max="47" width="21.42578125" style="1169" customWidth="1"/>
    <col min="48" max="48" width="11.85546875" style="1169" customWidth="1"/>
    <col min="49" max="50" width="9.140625" style="594"/>
    <col min="51" max="51" width="15.85546875" style="594" bestFit="1" customWidth="1"/>
    <col min="52" max="52" width="9.140625" style="594"/>
    <col min="53" max="53" width="34.42578125" style="824" bestFit="1" customWidth="1"/>
    <col min="54" max="54" width="10.28515625" style="1225" bestFit="1" customWidth="1"/>
    <col min="55" max="55" width="27.140625" style="824" bestFit="1" customWidth="1"/>
    <col min="56" max="56" width="10.7109375" style="824" bestFit="1" customWidth="1"/>
    <col min="57" max="57" width="22" style="1226" bestFit="1" customWidth="1"/>
    <col min="58" max="58" width="16.7109375" style="1227" bestFit="1" customWidth="1"/>
    <col min="59" max="59" width="9.140625" style="824"/>
    <col min="60" max="60" width="34.42578125" style="824" bestFit="1" customWidth="1"/>
    <col min="61" max="61" width="15.28515625" style="824" bestFit="1" customWidth="1"/>
    <col min="62" max="62" width="27.140625" style="824" bestFit="1" customWidth="1"/>
    <col min="63" max="63" width="10.7109375" style="824" bestFit="1" customWidth="1"/>
    <col min="64" max="64" width="22" style="1226" bestFit="1" customWidth="1"/>
    <col min="65" max="65" width="16.7109375" style="1227" bestFit="1" customWidth="1"/>
    <col min="66" max="66" width="11.42578125" style="824" bestFit="1" customWidth="1"/>
    <col min="67" max="67" width="13.85546875" style="133" bestFit="1" customWidth="1"/>
    <col min="68" max="103" width="9.140625" style="133"/>
    <col min="104" max="137" width="9.140625" style="143"/>
    <col min="138" max="147" width="9.140625" style="132"/>
  </cols>
  <sheetData>
    <row r="7" spans="1:76" ht="15" customHeight="1" x14ac:dyDescent="0.35">
      <c r="C7" s="135"/>
      <c r="D7" s="136" t="s">
        <v>252</v>
      </c>
      <c r="E7" s="137" t="s">
        <v>165</v>
      </c>
      <c r="F7" s="137" t="s">
        <v>165</v>
      </c>
      <c r="G7" s="137" t="s">
        <v>184</v>
      </c>
      <c r="H7" s="137" t="s">
        <v>184</v>
      </c>
      <c r="I7" s="137" t="s">
        <v>32</v>
      </c>
      <c r="J7" s="137" t="s">
        <v>32</v>
      </c>
      <c r="K7" s="138" t="s">
        <v>40</v>
      </c>
      <c r="L7" s="138" t="s">
        <v>40</v>
      </c>
      <c r="M7" s="137" t="s">
        <v>61</v>
      </c>
      <c r="N7" s="137" t="s">
        <v>61</v>
      </c>
      <c r="O7" s="136" t="s">
        <v>169</v>
      </c>
      <c r="P7" s="136" t="s">
        <v>169</v>
      </c>
      <c r="Q7" s="136" t="s">
        <v>253</v>
      </c>
      <c r="R7" s="136" t="s">
        <v>253</v>
      </c>
      <c r="S7" s="136" t="s">
        <v>254</v>
      </c>
      <c r="T7" s="136" t="s">
        <v>254</v>
      </c>
      <c r="U7" s="136" t="s">
        <v>177</v>
      </c>
      <c r="V7" s="136" t="s">
        <v>177</v>
      </c>
      <c r="W7" s="136" t="s">
        <v>176</v>
      </c>
      <c r="X7" s="136" t="s">
        <v>176</v>
      </c>
      <c r="Y7" s="136" t="s">
        <v>221</v>
      </c>
      <c r="Z7" s="136" t="s">
        <v>221</v>
      </c>
      <c r="AA7" s="139" t="s">
        <v>175</v>
      </c>
      <c r="AB7" s="139" t="s">
        <v>175</v>
      </c>
      <c r="AC7" s="139" t="s">
        <v>113</v>
      </c>
      <c r="AD7" s="139" t="s">
        <v>113</v>
      </c>
      <c r="AE7" s="139" t="s">
        <v>114</v>
      </c>
      <c r="AF7" s="139" t="s">
        <v>114</v>
      </c>
      <c r="AG7" s="139" t="s">
        <v>115</v>
      </c>
      <c r="AH7" s="139" t="s">
        <v>115</v>
      </c>
      <c r="AI7" s="139" t="s">
        <v>116</v>
      </c>
      <c r="AJ7" s="139" t="s">
        <v>116</v>
      </c>
      <c r="AK7" s="140" t="s">
        <v>71</v>
      </c>
      <c r="AL7" s="140" t="s">
        <v>71</v>
      </c>
      <c r="AM7" s="140" t="s">
        <v>71</v>
      </c>
      <c r="AN7" s="141" t="s">
        <v>71</v>
      </c>
      <c r="AO7" s="140" t="s">
        <v>71</v>
      </c>
      <c r="AP7" s="140" t="s">
        <v>71</v>
      </c>
      <c r="AQ7" s="136"/>
      <c r="AR7" s="136"/>
      <c r="BA7" s="1384" t="s">
        <v>255</v>
      </c>
      <c r="BB7" s="1384"/>
      <c r="BC7" s="1384"/>
      <c r="BD7" s="1384"/>
      <c r="BE7" s="1385"/>
      <c r="BF7" s="1384"/>
      <c r="BH7" s="1384" t="s">
        <v>256</v>
      </c>
      <c r="BI7" s="1384"/>
      <c r="BJ7" s="1384"/>
      <c r="BK7" s="1384"/>
      <c r="BL7" s="1385"/>
      <c r="BM7" s="1384"/>
      <c r="BN7" s="1384"/>
    </row>
    <row r="8" spans="1:76" ht="15" customHeight="1" x14ac:dyDescent="0.35">
      <c r="C8" s="144"/>
      <c r="D8" s="136" t="s">
        <v>257</v>
      </c>
      <c r="E8" s="140" t="s">
        <v>258</v>
      </c>
      <c r="F8" s="140" t="s">
        <v>259</v>
      </c>
      <c r="G8" s="140" t="s">
        <v>258</v>
      </c>
      <c r="H8" s="140" t="s">
        <v>259</v>
      </c>
      <c r="I8" s="140" t="s">
        <v>260</v>
      </c>
      <c r="J8" s="140" t="s">
        <v>261</v>
      </c>
      <c r="K8" s="145" t="s">
        <v>258</v>
      </c>
      <c r="L8" s="145" t="s">
        <v>259</v>
      </c>
      <c r="M8" s="145" t="s">
        <v>258</v>
      </c>
      <c r="N8" s="145" t="s">
        <v>259</v>
      </c>
      <c r="O8" s="145" t="s">
        <v>258</v>
      </c>
      <c r="P8" s="145" t="s">
        <v>259</v>
      </c>
      <c r="Q8" s="145" t="s">
        <v>258</v>
      </c>
      <c r="R8" s="145" t="s">
        <v>259</v>
      </c>
      <c r="S8" s="145" t="s">
        <v>258</v>
      </c>
      <c r="T8" s="145" t="s">
        <v>259</v>
      </c>
      <c r="U8" s="145" t="s">
        <v>258</v>
      </c>
      <c r="V8" s="145" t="s">
        <v>259</v>
      </c>
      <c r="W8" s="145" t="s">
        <v>258</v>
      </c>
      <c r="X8" s="145" t="s">
        <v>259</v>
      </c>
      <c r="Y8" s="145" t="s">
        <v>258</v>
      </c>
      <c r="Z8" s="145" t="s">
        <v>259</v>
      </c>
      <c r="AA8" s="137" t="s">
        <v>258</v>
      </c>
      <c r="AB8" s="137" t="s">
        <v>259</v>
      </c>
      <c r="AC8" s="137" t="s">
        <v>260</v>
      </c>
      <c r="AD8" s="137" t="s">
        <v>261</v>
      </c>
      <c r="AE8" s="137" t="s">
        <v>258</v>
      </c>
      <c r="AF8" s="137" t="s">
        <v>259</v>
      </c>
      <c r="AG8" s="137" t="s">
        <v>260</v>
      </c>
      <c r="AH8" s="137" t="s">
        <v>261</v>
      </c>
      <c r="AI8" s="137" t="s">
        <v>260</v>
      </c>
      <c r="AJ8" s="137" t="s">
        <v>261</v>
      </c>
      <c r="AK8" s="140" t="s">
        <v>167</v>
      </c>
      <c r="AL8" s="140" t="s">
        <v>167</v>
      </c>
      <c r="AM8" s="140" t="s">
        <v>262</v>
      </c>
      <c r="AN8" s="141" t="s">
        <v>262</v>
      </c>
      <c r="AO8" s="140" t="s">
        <v>189</v>
      </c>
      <c r="AP8" s="140" t="s">
        <v>189</v>
      </c>
      <c r="BA8" s="1228"/>
      <c r="BF8" s="1229"/>
      <c r="BH8" s="1228"/>
      <c r="BM8" s="1229"/>
    </row>
    <row r="9" spans="1:76" ht="15" customHeight="1" x14ac:dyDescent="0.35">
      <c r="C9" s="147"/>
      <c r="E9" s="149"/>
      <c r="F9" s="140"/>
      <c r="G9" s="140"/>
      <c r="H9" s="140"/>
      <c r="I9" s="140"/>
      <c r="J9" s="140"/>
      <c r="K9" s="138" t="s">
        <v>263</v>
      </c>
      <c r="L9" s="138" t="s">
        <v>263</v>
      </c>
      <c r="M9" s="140"/>
      <c r="N9" s="140"/>
      <c r="O9" s="140"/>
      <c r="P9" s="140"/>
      <c r="Q9" s="140"/>
      <c r="R9" s="140"/>
      <c r="S9" s="140"/>
      <c r="T9" s="140"/>
      <c r="U9" s="137"/>
      <c r="V9" s="137"/>
      <c r="W9" s="137"/>
      <c r="X9" s="137"/>
      <c r="Y9" s="137"/>
      <c r="Z9" s="137"/>
      <c r="AA9" s="137"/>
      <c r="AB9" s="137"/>
      <c r="AC9" s="137"/>
      <c r="AD9" s="137"/>
      <c r="AE9" s="137"/>
      <c r="AF9" s="137"/>
      <c r="AG9" s="137"/>
      <c r="AH9" s="137"/>
      <c r="AI9" s="137"/>
      <c r="AJ9" s="137"/>
      <c r="AK9" s="140" t="s">
        <v>264</v>
      </c>
      <c r="AL9" s="140" t="s">
        <v>265</v>
      </c>
      <c r="AM9" s="140" t="s">
        <v>264</v>
      </c>
      <c r="AN9" s="141" t="s">
        <v>265</v>
      </c>
      <c r="AO9" s="140" t="s">
        <v>266</v>
      </c>
      <c r="AP9" s="140" t="s">
        <v>267</v>
      </c>
      <c r="BE9" s="1230" t="s">
        <v>268</v>
      </c>
      <c r="BF9" s="1229"/>
      <c r="BL9" s="1230" t="s">
        <v>268</v>
      </c>
      <c r="BM9" s="1229"/>
    </row>
    <row r="10" spans="1:76" ht="15" customHeight="1" x14ac:dyDescent="0.35">
      <c r="A10" t="s">
        <v>272</v>
      </c>
      <c r="B10" t="s">
        <v>614</v>
      </c>
      <c r="C10" s="140" t="s">
        <v>269</v>
      </c>
      <c r="E10" s="140"/>
      <c r="F10" s="140"/>
      <c r="G10" s="140"/>
      <c r="H10" s="140"/>
      <c r="I10" s="140"/>
      <c r="J10" s="140"/>
      <c r="K10" s="138" t="s">
        <v>270</v>
      </c>
      <c r="L10" s="138" t="s">
        <v>270</v>
      </c>
      <c r="M10" s="140"/>
      <c r="N10" s="140"/>
      <c r="O10" s="140"/>
      <c r="P10" s="140"/>
      <c r="Q10" s="140"/>
      <c r="R10" s="140"/>
      <c r="S10" s="140"/>
      <c r="T10" s="140"/>
      <c r="U10" s="137"/>
      <c r="V10" s="137"/>
      <c r="W10" s="137"/>
      <c r="X10" s="137"/>
      <c r="Y10" s="137"/>
      <c r="Z10" s="137"/>
      <c r="AA10" s="137"/>
      <c r="AB10" s="137"/>
      <c r="AC10" s="137"/>
      <c r="AD10" s="137"/>
      <c r="AE10" s="137"/>
      <c r="AF10" s="137"/>
      <c r="AG10" s="137"/>
      <c r="AH10" s="137"/>
      <c r="AI10" s="137"/>
      <c r="AJ10" s="137"/>
      <c r="AK10" s="140"/>
      <c r="AM10" s="140"/>
      <c r="AO10" s="140"/>
      <c r="AP10" s="140"/>
      <c r="BA10" s="1231" t="s">
        <v>271</v>
      </c>
      <c r="BB10" s="1232" t="s">
        <v>272</v>
      </c>
      <c r="BC10" s="1231" t="s">
        <v>273</v>
      </c>
      <c r="BD10" s="1231" t="s">
        <v>274</v>
      </c>
      <c r="BE10" s="1233" t="s">
        <v>275</v>
      </c>
      <c r="BF10" s="1234" t="s">
        <v>276</v>
      </c>
      <c r="BG10" s="1231"/>
      <c r="BH10" s="1231" t="s">
        <v>271</v>
      </c>
      <c r="BI10" s="1231" t="s">
        <v>277</v>
      </c>
      <c r="BJ10" s="1231" t="s">
        <v>273</v>
      </c>
      <c r="BK10" s="1231" t="s">
        <v>274</v>
      </c>
      <c r="BL10" s="1233" t="s">
        <v>275</v>
      </c>
      <c r="BM10" s="1234" t="s">
        <v>276</v>
      </c>
      <c r="BN10" s="1231" t="s">
        <v>278</v>
      </c>
    </row>
    <row r="11" spans="1:76" s="152" customFormat="1" ht="15" customHeight="1" x14ac:dyDescent="0.25">
      <c r="A11" s="152">
        <f t="shared" ref="A11:A74" si="0">YEAR(C11)</f>
        <v>1971</v>
      </c>
      <c r="B11" s="152" t="str">
        <f>IF(MONTH(C11) &gt;= 7, A11 &amp; "-" &amp; RIGHT(A11+1, 2), A11-1 &amp; "-" &amp; RIGHT(A11, 2))</f>
        <v>1970-71</v>
      </c>
      <c r="C11" s="153">
        <v>25937</v>
      </c>
      <c r="D11" s="154"/>
      <c r="E11" s="155"/>
      <c r="F11" s="155"/>
      <c r="G11" s="155"/>
      <c r="H11" s="155"/>
      <c r="I11" s="156">
        <v>33.641190120000005</v>
      </c>
      <c r="J11" s="156">
        <v>37.880000000000003</v>
      </c>
      <c r="K11" s="157"/>
      <c r="L11" s="158"/>
      <c r="M11" s="159"/>
      <c r="N11" s="159"/>
      <c r="O11" s="160"/>
      <c r="P11" s="160"/>
      <c r="Q11" s="160"/>
      <c r="R11" s="160"/>
      <c r="S11" s="160"/>
      <c r="T11" s="160"/>
      <c r="U11" s="161"/>
      <c r="V11" s="161"/>
      <c r="W11" s="161"/>
      <c r="X11" s="161"/>
      <c r="Y11" s="162"/>
      <c r="Z11" s="162"/>
      <c r="AA11" s="162"/>
      <c r="AB11" s="162"/>
      <c r="AC11" s="163"/>
      <c r="AD11" s="163"/>
      <c r="AE11" s="163"/>
      <c r="AF11" s="163"/>
      <c r="AG11" s="163"/>
      <c r="AH11" s="163"/>
      <c r="AI11" s="163"/>
      <c r="AJ11" s="163"/>
      <c r="AK11" s="164"/>
      <c r="AL11" s="165"/>
      <c r="AM11" s="164"/>
      <c r="AN11" s="166"/>
      <c r="AO11" s="164"/>
      <c r="AP11" s="164"/>
      <c r="AS11" s="167"/>
      <c r="AT11" s="1170"/>
      <c r="AU11" s="1171"/>
      <c r="AV11" s="1171"/>
      <c r="AW11" s="1172"/>
      <c r="AX11" s="1172"/>
      <c r="AY11" s="1172"/>
      <c r="AZ11" s="1172"/>
      <c r="BA11" s="1236" t="s">
        <v>165</v>
      </c>
      <c r="BB11" s="1237">
        <v>2015</v>
      </c>
      <c r="BC11" s="1236" t="s">
        <v>279</v>
      </c>
      <c r="BD11" s="1236">
        <v>1</v>
      </c>
      <c r="BE11" s="1238">
        <v>932036163</v>
      </c>
      <c r="BF11" s="1239">
        <v>0.20100000000000001</v>
      </c>
      <c r="BG11" s="1236"/>
      <c r="BH11" s="1236" t="s">
        <v>165</v>
      </c>
      <c r="BI11" s="1236" t="s">
        <v>280</v>
      </c>
      <c r="BJ11" s="1236" t="s">
        <v>279</v>
      </c>
      <c r="BK11" s="1236">
        <v>1</v>
      </c>
      <c r="BL11" s="1238">
        <v>976703108.16999996</v>
      </c>
      <c r="BM11" s="1239">
        <v>0.2186958337475437</v>
      </c>
      <c r="BN11" s="1236">
        <v>2015</v>
      </c>
      <c r="BO11" s="1189"/>
      <c r="BP11" s="174"/>
      <c r="BQ11" s="174"/>
      <c r="BR11" s="174"/>
      <c r="BS11" s="174"/>
      <c r="BT11" s="174"/>
      <c r="BU11" s="174"/>
      <c r="BV11" s="174"/>
      <c r="BW11" s="174"/>
      <c r="BX11" s="174"/>
    </row>
    <row r="12" spans="1:76" s="152" customFormat="1" ht="15" customHeight="1" x14ac:dyDescent="0.25">
      <c r="A12" s="152">
        <f t="shared" si="0"/>
        <v>1971</v>
      </c>
      <c r="B12" s="152" t="str">
        <f t="shared" ref="B12:B75" si="1">IF(MONTH(C12) &gt;= 7, A12 &amp; "-" &amp; RIGHT(A12+1, 2), A12-1 &amp; "-" &amp; RIGHT(A12, 2))</f>
        <v>1970-71</v>
      </c>
      <c r="C12" s="153">
        <v>25965</v>
      </c>
      <c r="D12" s="169"/>
      <c r="E12" s="170"/>
      <c r="F12" s="170"/>
      <c r="G12" s="170"/>
      <c r="H12" s="170"/>
      <c r="I12" s="169">
        <v>34.404955260000001</v>
      </c>
      <c r="J12" s="169">
        <v>38.74</v>
      </c>
      <c r="K12" s="169"/>
      <c r="L12" s="170"/>
      <c r="M12" s="170"/>
      <c r="N12" s="170"/>
      <c r="O12" s="169"/>
      <c r="P12" s="169"/>
      <c r="Q12" s="169"/>
      <c r="R12" s="169"/>
      <c r="S12" s="169"/>
      <c r="T12" s="169"/>
      <c r="U12" s="170"/>
      <c r="V12" s="170"/>
      <c r="W12" s="170"/>
      <c r="X12" s="170"/>
      <c r="Y12" s="170"/>
      <c r="Z12" s="170"/>
      <c r="AA12" s="170"/>
      <c r="AB12" s="170"/>
      <c r="AC12" s="170"/>
      <c r="AD12" s="170"/>
      <c r="AE12" s="170"/>
      <c r="AF12" s="170"/>
      <c r="AG12" s="170"/>
      <c r="AH12" s="170"/>
      <c r="AI12" s="170"/>
      <c r="AJ12" s="170"/>
      <c r="AK12" s="170"/>
      <c r="AL12" s="171"/>
      <c r="AM12" s="170"/>
      <c r="AN12" s="172"/>
      <c r="AO12" s="170"/>
      <c r="AP12" s="170"/>
      <c r="AS12" s="167"/>
      <c r="AT12" s="1170"/>
      <c r="AU12" s="1171"/>
      <c r="AV12" s="1171"/>
      <c r="AW12" s="1172"/>
      <c r="AX12" s="1172"/>
      <c r="AY12" s="1172"/>
      <c r="AZ12" s="1172"/>
      <c r="BA12" s="1236" t="s">
        <v>165</v>
      </c>
      <c r="BB12" s="1237">
        <v>2015</v>
      </c>
      <c r="BC12" s="1236" t="s">
        <v>281</v>
      </c>
      <c r="BD12" s="1236">
        <v>2</v>
      </c>
      <c r="BE12" s="1238">
        <v>724908116</v>
      </c>
      <c r="BF12" s="1239">
        <v>0.156</v>
      </c>
      <c r="BG12" s="1236"/>
      <c r="BH12" s="1236" t="s">
        <v>165</v>
      </c>
      <c r="BI12" s="1236" t="s">
        <v>280</v>
      </c>
      <c r="BJ12" s="1236" t="s">
        <v>281</v>
      </c>
      <c r="BK12" s="1236">
        <v>2</v>
      </c>
      <c r="BL12" s="1238">
        <v>629651610.97000003</v>
      </c>
      <c r="BM12" s="1239">
        <v>0.14098673678798251</v>
      </c>
      <c r="BN12" s="1236">
        <v>2015</v>
      </c>
      <c r="BO12" s="1189"/>
      <c r="BP12" s="174"/>
      <c r="BQ12" s="174"/>
      <c r="BR12" s="174"/>
      <c r="BS12" s="174"/>
      <c r="BT12" s="174"/>
      <c r="BU12" s="174"/>
      <c r="BV12" s="174"/>
      <c r="BW12" s="174"/>
      <c r="BX12" s="174"/>
    </row>
    <row r="13" spans="1:76" s="152" customFormat="1" ht="15" customHeight="1" x14ac:dyDescent="0.25">
      <c r="A13" s="152">
        <f t="shared" si="0"/>
        <v>1971</v>
      </c>
      <c r="B13" s="152" t="str">
        <f t="shared" si="1"/>
        <v>1970-71</v>
      </c>
      <c r="C13" s="153">
        <v>25993</v>
      </c>
      <c r="D13" s="154"/>
      <c r="E13" s="155"/>
      <c r="F13" s="155"/>
      <c r="G13" s="155"/>
      <c r="H13" s="155"/>
      <c r="I13" s="156">
        <v>34.52040813</v>
      </c>
      <c r="J13" s="156">
        <v>38.869999999999997</v>
      </c>
      <c r="K13" s="157"/>
      <c r="L13" s="158"/>
      <c r="M13" s="159"/>
      <c r="N13" s="159"/>
      <c r="O13" s="160"/>
      <c r="P13" s="160"/>
      <c r="Q13" s="160"/>
      <c r="R13" s="160"/>
      <c r="S13" s="160"/>
      <c r="T13" s="160"/>
      <c r="U13" s="161"/>
      <c r="V13" s="161"/>
      <c r="W13" s="161"/>
      <c r="X13" s="161"/>
      <c r="Y13" s="162"/>
      <c r="Z13" s="162"/>
      <c r="AA13" s="162"/>
      <c r="AB13" s="162"/>
      <c r="AC13" s="163"/>
      <c r="AD13" s="163"/>
      <c r="AE13" s="163"/>
      <c r="AF13" s="163"/>
      <c r="AG13" s="163"/>
      <c r="AH13" s="163"/>
      <c r="AI13" s="163"/>
      <c r="AJ13" s="163"/>
      <c r="AK13" s="164"/>
      <c r="AL13" s="165"/>
      <c r="AM13" s="164"/>
      <c r="AN13" s="166"/>
      <c r="AO13" s="164"/>
      <c r="AP13" s="164"/>
      <c r="AS13" s="167"/>
      <c r="AT13" s="1170"/>
      <c r="AU13" s="1171"/>
      <c r="AV13" s="1171"/>
      <c r="AW13" s="1172"/>
      <c r="AX13" s="1172"/>
      <c r="AY13" s="1172"/>
      <c r="AZ13" s="1172"/>
      <c r="BA13" s="1236" t="s">
        <v>165</v>
      </c>
      <c r="BB13" s="1237">
        <v>2015</v>
      </c>
      <c r="BC13" s="1236" t="s">
        <v>282</v>
      </c>
      <c r="BD13" s="1236">
        <v>3</v>
      </c>
      <c r="BE13" s="1238">
        <v>536975610</v>
      </c>
      <c r="BF13" s="1239">
        <v>0.11600000000000001</v>
      </c>
      <c r="BG13" s="1236"/>
      <c r="BH13" s="1236" t="s">
        <v>165</v>
      </c>
      <c r="BI13" s="1236" t="s">
        <v>280</v>
      </c>
      <c r="BJ13" s="1236" t="s">
        <v>282</v>
      </c>
      <c r="BK13" s="1236">
        <v>3</v>
      </c>
      <c r="BL13" s="1238">
        <v>483221527.47000003</v>
      </c>
      <c r="BM13" s="1239">
        <v>0.10819924084486418</v>
      </c>
      <c r="BN13" s="1236">
        <v>2015</v>
      </c>
      <c r="BO13" s="1189"/>
      <c r="BP13" s="174"/>
      <c r="BQ13" s="174"/>
      <c r="BR13" s="174"/>
      <c r="BS13" s="174"/>
      <c r="BT13" s="174"/>
      <c r="BU13" s="174"/>
      <c r="BV13" s="174"/>
      <c r="BW13" s="174"/>
      <c r="BX13" s="174"/>
    </row>
    <row r="14" spans="1:76" s="152" customFormat="1" ht="15" customHeight="1" x14ac:dyDescent="0.25">
      <c r="A14" s="152">
        <f t="shared" si="0"/>
        <v>1971</v>
      </c>
      <c r="B14" s="152" t="str">
        <f t="shared" si="1"/>
        <v>1970-71</v>
      </c>
      <c r="C14" s="153">
        <v>26024</v>
      </c>
      <c r="D14" s="169"/>
      <c r="E14" s="170"/>
      <c r="F14" s="170"/>
      <c r="G14" s="170"/>
      <c r="H14" s="170"/>
      <c r="I14" s="169">
        <v>34.64474199</v>
      </c>
      <c r="J14" s="169">
        <v>39.01</v>
      </c>
      <c r="K14" s="169"/>
      <c r="L14" s="170"/>
      <c r="M14" s="170"/>
      <c r="N14" s="170"/>
      <c r="O14" s="169"/>
      <c r="P14" s="169"/>
      <c r="Q14" s="169"/>
      <c r="R14" s="169"/>
      <c r="S14" s="169"/>
      <c r="T14" s="169"/>
      <c r="U14" s="170"/>
      <c r="V14" s="170"/>
      <c r="W14" s="170"/>
      <c r="X14" s="170"/>
      <c r="Y14" s="170"/>
      <c r="Z14" s="170"/>
      <c r="AA14" s="170"/>
      <c r="AB14" s="170"/>
      <c r="AC14" s="170"/>
      <c r="AD14" s="170"/>
      <c r="AE14" s="170"/>
      <c r="AF14" s="170"/>
      <c r="AG14" s="170"/>
      <c r="AH14" s="170"/>
      <c r="AI14" s="170"/>
      <c r="AJ14" s="170"/>
      <c r="AK14" s="170"/>
      <c r="AL14" s="171"/>
      <c r="AM14" s="170"/>
      <c r="AN14" s="172"/>
      <c r="AO14" s="170"/>
      <c r="AP14" s="170"/>
      <c r="AS14" s="167"/>
      <c r="AT14" s="1170"/>
      <c r="AU14" s="1171"/>
      <c r="AV14" s="1171"/>
      <c r="AW14" s="1172"/>
      <c r="AX14" s="1172"/>
      <c r="AY14" s="1172"/>
      <c r="AZ14" s="1172"/>
      <c r="BA14" s="1236" t="s">
        <v>165</v>
      </c>
      <c r="BB14" s="1237">
        <v>2015</v>
      </c>
      <c r="BC14" s="1236" t="s">
        <v>283</v>
      </c>
      <c r="BD14" s="1236">
        <v>4</v>
      </c>
      <c r="BE14" s="1238">
        <v>489031425</v>
      </c>
      <c r="BF14" s="1239">
        <v>0.106</v>
      </c>
      <c r="BG14" s="1236"/>
      <c r="BH14" s="1236" t="s">
        <v>165</v>
      </c>
      <c r="BI14" s="1236" t="s">
        <v>280</v>
      </c>
      <c r="BJ14" s="1236" t="s">
        <v>283</v>
      </c>
      <c r="BK14" s="1236">
        <v>4</v>
      </c>
      <c r="BL14" s="1238">
        <v>442160427.08999991</v>
      </c>
      <c r="BM14" s="1239">
        <v>9.9005155654513052E-2</v>
      </c>
      <c r="BN14" s="1236">
        <v>2015</v>
      </c>
      <c r="BO14" s="1189"/>
      <c r="BP14" s="174"/>
      <c r="BQ14" s="174"/>
      <c r="BR14" s="174"/>
      <c r="BS14" s="174"/>
      <c r="BT14" s="174"/>
      <c r="BU14" s="174"/>
      <c r="BV14" s="174"/>
      <c r="BW14" s="174"/>
      <c r="BX14" s="174"/>
    </row>
    <row r="15" spans="1:76" s="152" customFormat="1" ht="15" customHeight="1" x14ac:dyDescent="0.25">
      <c r="A15" s="152">
        <f t="shared" si="0"/>
        <v>1971</v>
      </c>
      <c r="B15" s="152" t="str">
        <f t="shared" si="1"/>
        <v>1970-71</v>
      </c>
      <c r="C15" s="153">
        <v>26056</v>
      </c>
      <c r="D15" s="154"/>
      <c r="E15" s="155"/>
      <c r="F15" s="155"/>
      <c r="G15" s="155"/>
      <c r="H15" s="155"/>
      <c r="I15" s="156">
        <v>35.985771480000004</v>
      </c>
      <c r="J15" s="156">
        <v>40.520000000000003</v>
      </c>
      <c r="K15" s="157"/>
      <c r="L15" s="158"/>
      <c r="M15" s="159"/>
      <c r="N15" s="159"/>
      <c r="O15" s="160"/>
      <c r="P15" s="160"/>
      <c r="Q15" s="160"/>
      <c r="R15" s="160"/>
      <c r="S15" s="160"/>
      <c r="T15" s="160"/>
      <c r="U15" s="161"/>
      <c r="V15" s="161"/>
      <c r="W15" s="161"/>
      <c r="X15" s="161"/>
      <c r="Y15" s="162"/>
      <c r="Z15" s="162"/>
      <c r="AA15" s="162"/>
      <c r="AB15" s="162"/>
      <c r="AC15" s="163"/>
      <c r="AD15" s="163"/>
      <c r="AE15" s="163"/>
      <c r="AF15" s="163"/>
      <c r="AG15" s="163"/>
      <c r="AH15" s="163"/>
      <c r="AI15" s="163"/>
      <c r="AJ15" s="163"/>
      <c r="AK15" s="164"/>
      <c r="AL15" s="165"/>
      <c r="AM15" s="164"/>
      <c r="AN15" s="166"/>
      <c r="AO15" s="164"/>
      <c r="AP15" s="164"/>
      <c r="AS15" s="167"/>
      <c r="AT15" s="1170"/>
      <c r="AU15" s="1171"/>
      <c r="AV15" s="1171"/>
      <c r="AW15" s="1172"/>
      <c r="AX15" s="1172"/>
      <c r="AY15" s="1172"/>
      <c r="AZ15" s="1172"/>
      <c r="BA15" s="1236" t="s">
        <v>165</v>
      </c>
      <c r="BB15" s="1237">
        <v>2015</v>
      </c>
      <c r="BC15" s="1236" t="s">
        <v>284</v>
      </c>
      <c r="BD15" s="1236">
        <v>5</v>
      </c>
      <c r="BE15" s="1238">
        <v>388934786</v>
      </c>
      <c r="BF15" s="1239">
        <v>8.4000000000000005E-2</v>
      </c>
      <c r="BG15" s="1236"/>
      <c r="BH15" s="1236" t="s">
        <v>165</v>
      </c>
      <c r="BI15" s="1236" t="s">
        <v>280</v>
      </c>
      <c r="BJ15" s="1236" t="s">
        <v>284</v>
      </c>
      <c r="BK15" s="1236">
        <v>5</v>
      </c>
      <c r="BL15" s="1238">
        <v>380193998.39999998</v>
      </c>
      <c r="BM15" s="1239">
        <v>8.513011044030401E-2</v>
      </c>
      <c r="BN15" s="1236">
        <v>2015</v>
      </c>
      <c r="BO15" s="1189"/>
      <c r="BP15" s="174"/>
      <c r="BQ15" s="174"/>
      <c r="BR15" s="174"/>
      <c r="BS15" s="174"/>
      <c r="BT15" s="174"/>
      <c r="BU15" s="174"/>
      <c r="BV15" s="174"/>
      <c r="BW15" s="174"/>
      <c r="BX15" s="174"/>
    </row>
    <row r="16" spans="1:76" s="152" customFormat="1" ht="15" customHeight="1" x14ac:dyDescent="0.25">
      <c r="A16" s="152">
        <f t="shared" si="0"/>
        <v>1971</v>
      </c>
      <c r="B16" s="152" t="str">
        <f t="shared" si="1"/>
        <v>1970-71</v>
      </c>
      <c r="C16" s="153">
        <v>26085</v>
      </c>
      <c r="D16" s="169"/>
      <c r="E16" s="170"/>
      <c r="F16" s="170"/>
      <c r="G16" s="170"/>
      <c r="H16" s="170"/>
      <c r="I16" s="169">
        <v>35.581171099999999</v>
      </c>
      <c r="J16" s="169">
        <v>40.1</v>
      </c>
      <c r="K16" s="169"/>
      <c r="L16" s="170"/>
      <c r="M16" s="170"/>
      <c r="N16" s="170"/>
      <c r="O16" s="169"/>
      <c r="P16" s="169"/>
      <c r="Q16" s="169"/>
      <c r="R16" s="169"/>
      <c r="S16" s="169"/>
      <c r="T16" s="169"/>
      <c r="U16" s="170"/>
      <c r="V16" s="170"/>
      <c r="W16" s="170"/>
      <c r="X16" s="170"/>
      <c r="Y16" s="170"/>
      <c r="Z16" s="170"/>
      <c r="AA16" s="170"/>
      <c r="AB16" s="170"/>
      <c r="AC16" s="170"/>
      <c r="AD16" s="170"/>
      <c r="AE16" s="170"/>
      <c r="AF16" s="170"/>
      <c r="AG16" s="170"/>
      <c r="AH16" s="170"/>
      <c r="AI16" s="170"/>
      <c r="AJ16" s="170"/>
      <c r="AK16" s="170"/>
      <c r="AL16" s="171"/>
      <c r="AM16" s="170"/>
      <c r="AN16" s="172"/>
      <c r="AO16" s="170"/>
      <c r="AP16" s="170"/>
      <c r="AS16" s="167"/>
      <c r="AT16" s="1170"/>
      <c r="AU16" s="1171"/>
      <c r="AV16" s="1171"/>
      <c r="AW16" s="1172"/>
      <c r="AX16" s="1172"/>
      <c r="AY16" s="1172"/>
      <c r="AZ16" s="1172"/>
      <c r="BA16" s="1236" t="s">
        <v>165</v>
      </c>
      <c r="BB16" s="1237">
        <v>2015</v>
      </c>
      <c r="BC16" s="1236" t="s">
        <v>285</v>
      </c>
      <c r="BD16" s="1236">
        <v>6</v>
      </c>
      <c r="BE16" s="1238">
        <v>238444141</v>
      </c>
      <c r="BF16" s="1239">
        <v>5.0999999999999997E-2</v>
      </c>
      <c r="BG16" s="1236"/>
      <c r="BH16" s="1236" t="s">
        <v>165</v>
      </c>
      <c r="BI16" s="1236" t="s">
        <v>280</v>
      </c>
      <c r="BJ16" s="1236" t="s">
        <v>285</v>
      </c>
      <c r="BK16" s="1236">
        <v>6</v>
      </c>
      <c r="BL16" s="1238">
        <v>277963487.05000001</v>
      </c>
      <c r="BM16" s="1239">
        <v>6.2239442101983788E-2</v>
      </c>
      <c r="BN16" s="1236">
        <v>2015</v>
      </c>
      <c r="BO16" s="1189"/>
      <c r="BP16" s="174"/>
      <c r="BQ16" s="174"/>
      <c r="BR16" s="174"/>
      <c r="BS16" s="174"/>
      <c r="BT16" s="174"/>
      <c r="BU16" s="174"/>
      <c r="BV16" s="174"/>
      <c r="BW16" s="174"/>
      <c r="BX16" s="174"/>
    </row>
    <row r="17" spans="1:76" s="152" customFormat="1" ht="15" customHeight="1" x14ac:dyDescent="0.25">
      <c r="A17" s="152">
        <f t="shared" si="0"/>
        <v>1971</v>
      </c>
      <c r="B17" s="152" t="str">
        <f t="shared" si="1"/>
        <v>1971-72</v>
      </c>
      <c r="C17" s="153">
        <v>26115</v>
      </c>
      <c r="D17" s="154"/>
      <c r="E17" s="155"/>
      <c r="F17" s="155"/>
      <c r="G17" s="155"/>
      <c r="H17" s="155"/>
      <c r="I17" s="156">
        <v>36.238948200000003</v>
      </c>
      <c r="J17" s="156">
        <v>40.950000000000003</v>
      </c>
      <c r="K17" s="157"/>
      <c r="L17" s="158"/>
      <c r="M17" s="159"/>
      <c r="N17" s="159"/>
      <c r="O17" s="160"/>
      <c r="P17" s="160"/>
      <c r="Q17" s="160"/>
      <c r="R17" s="160"/>
      <c r="S17" s="160"/>
      <c r="T17" s="160"/>
      <c r="U17" s="161"/>
      <c r="V17" s="161"/>
      <c r="W17" s="161"/>
      <c r="X17" s="161"/>
      <c r="Y17" s="162"/>
      <c r="Z17" s="162"/>
      <c r="AA17" s="162"/>
      <c r="AB17" s="162"/>
      <c r="AC17" s="163"/>
      <c r="AD17" s="163"/>
      <c r="AE17" s="163"/>
      <c r="AF17" s="163"/>
      <c r="AG17" s="163"/>
      <c r="AH17" s="163"/>
      <c r="AI17" s="163"/>
      <c r="AJ17" s="163"/>
      <c r="AK17" s="164"/>
      <c r="AL17" s="165"/>
      <c r="AM17" s="164"/>
      <c r="AN17" s="166"/>
      <c r="AO17" s="164"/>
      <c r="AP17" s="164"/>
      <c r="AS17" s="167"/>
      <c r="AT17" s="1170"/>
      <c r="AU17" s="1171"/>
      <c r="AV17" s="1171"/>
      <c r="AW17" s="1172"/>
      <c r="AX17" s="1172"/>
      <c r="AY17" s="1172"/>
      <c r="AZ17" s="1172"/>
      <c r="BA17" s="1236" t="s">
        <v>165</v>
      </c>
      <c r="BB17" s="1237">
        <v>2015</v>
      </c>
      <c r="BC17" s="1236" t="s">
        <v>286</v>
      </c>
      <c r="BD17" s="1236">
        <v>7</v>
      </c>
      <c r="BE17" s="1238">
        <v>230838006</v>
      </c>
      <c r="BF17" s="1239">
        <v>0.05</v>
      </c>
      <c r="BG17" s="1236"/>
      <c r="BH17" s="1236" t="s">
        <v>165</v>
      </c>
      <c r="BI17" s="1236" t="s">
        <v>280</v>
      </c>
      <c r="BJ17" s="1236" t="s">
        <v>287</v>
      </c>
      <c r="BK17" s="1236">
        <v>7</v>
      </c>
      <c r="BL17" s="1238">
        <v>188105271.33000001</v>
      </c>
      <c r="BM17" s="1239">
        <v>4.2119082863266613E-2</v>
      </c>
      <c r="BN17" s="1236">
        <v>2015</v>
      </c>
      <c r="BO17" s="1189"/>
      <c r="BP17" s="174"/>
      <c r="BQ17" s="174"/>
      <c r="BR17" s="174"/>
      <c r="BS17" s="174"/>
      <c r="BT17" s="174"/>
      <c r="BU17" s="174"/>
      <c r="BV17" s="174"/>
      <c r="BW17" s="174"/>
      <c r="BX17" s="174"/>
    </row>
    <row r="18" spans="1:76" s="152" customFormat="1" ht="15" customHeight="1" x14ac:dyDescent="0.25">
      <c r="A18" s="152">
        <f t="shared" si="0"/>
        <v>1971</v>
      </c>
      <c r="B18" s="152" t="str">
        <f t="shared" si="1"/>
        <v>1971-72</v>
      </c>
      <c r="C18" s="153">
        <v>26147</v>
      </c>
      <c r="D18" s="169"/>
      <c r="E18" s="170"/>
      <c r="F18" s="170"/>
      <c r="G18" s="170"/>
      <c r="H18" s="170"/>
      <c r="I18" s="169">
        <v>37.171452620000004</v>
      </c>
      <c r="J18" s="169">
        <v>42.71</v>
      </c>
      <c r="K18" s="169"/>
      <c r="L18" s="170"/>
      <c r="M18" s="170"/>
      <c r="N18" s="170"/>
      <c r="O18" s="169"/>
      <c r="P18" s="169"/>
      <c r="Q18" s="169"/>
      <c r="R18" s="169"/>
      <c r="S18" s="169"/>
      <c r="T18" s="169"/>
      <c r="U18" s="170"/>
      <c r="V18" s="170"/>
      <c r="W18" s="170"/>
      <c r="X18" s="170"/>
      <c r="Y18" s="170"/>
      <c r="Z18" s="170"/>
      <c r="AA18" s="170"/>
      <c r="AB18" s="170"/>
      <c r="AC18" s="170"/>
      <c r="AD18" s="170"/>
      <c r="AE18" s="170"/>
      <c r="AF18" s="170"/>
      <c r="AG18" s="170"/>
      <c r="AH18" s="170"/>
      <c r="AI18" s="170"/>
      <c r="AJ18" s="170"/>
      <c r="AK18" s="170"/>
      <c r="AL18" s="171"/>
      <c r="AM18" s="170"/>
      <c r="AN18" s="172"/>
      <c r="AO18" s="170"/>
      <c r="AP18" s="170"/>
      <c r="AS18" s="167"/>
      <c r="AT18" s="1170"/>
      <c r="AU18" s="1171"/>
      <c r="AV18" s="1171"/>
      <c r="AW18" s="1172"/>
      <c r="AX18" s="1172"/>
      <c r="AY18" s="1172"/>
      <c r="AZ18" s="1172"/>
      <c r="BA18" s="1236" t="s">
        <v>165</v>
      </c>
      <c r="BB18" s="1237">
        <v>2015</v>
      </c>
      <c r="BC18" s="1236" t="s">
        <v>288</v>
      </c>
      <c r="BD18" s="1236">
        <v>8</v>
      </c>
      <c r="BE18" s="1238">
        <v>189083062</v>
      </c>
      <c r="BF18" s="1239">
        <v>4.1000000000000002E-2</v>
      </c>
      <c r="BG18" s="1236"/>
      <c r="BH18" s="1236" t="s">
        <v>165</v>
      </c>
      <c r="BI18" s="1236" t="s">
        <v>280</v>
      </c>
      <c r="BJ18" s="1236" t="s">
        <v>289</v>
      </c>
      <c r="BK18" s="1236">
        <v>8</v>
      </c>
      <c r="BL18" s="1238">
        <v>174073011.62999997</v>
      </c>
      <c r="BM18" s="1239">
        <v>3.8977087400383914E-2</v>
      </c>
      <c r="BN18" s="1236">
        <v>2015</v>
      </c>
      <c r="BO18" s="1189"/>
      <c r="BP18" s="174"/>
      <c r="BQ18" s="174"/>
      <c r="BR18" s="174"/>
      <c r="BS18" s="174"/>
      <c r="BT18" s="174"/>
      <c r="BU18" s="174"/>
      <c r="BV18" s="174"/>
      <c r="BW18" s="174"/>
      <c r="BX18" s="174"/>
    </row>
    <row r="19" spans="1:76" s="152" customFormat="1" ht="15" customHeight="1" x14ac:dyDescent="0.25">
      <c r="A19" s="152">
        <f t="shared" si="0"/>
        <v>1971</v>
      </c>
      <c r="B19" s="152" t="str">
        <f t="shared" si="1"/>
        <v>1971-72</v>
      </c>
      <c r="C19" s="153">
        <v>26177</v>
      </c>
      <c r="D19" s="154"/>
      <c r="E19" s="155"/>
      <c r="F19" s="155"/>
      <c r="G19" s="155"/>
      <c r="H19" s="155"/>
      <c r="I19" s="156">
        <v>36.326697119999999</v>
      </c>
      <c r="J19" s="156">
        <v>42.03</v>
      </c>
      <c r="K19" s="157"/>
      <c r="L19" s="158"/>
      <c r="M19" s="159"/>
      <c r="N19" s="159"/>
      <c r="O19" s="160"/>
      <c r="P19" s="160"/>
      <c r="Q19" s="160"/>
      <c r="R19" s="160"/>
      <c r="S19" s="160"/>
      <c r="T19" s="160"/>
      <c r="U19" s="161"/>
      <c r="V19" s="161"/>
      <c r="W19" s="161"/>
      <c r="X19" s="161"/>
      <c r="Y19" s="162"/>
      <c r="Z19" s="162"/>
      <c r="AA19" s="162"/>
      <c r="AB19" s="162"/>
      <c r="AC19" s="163"/>
      <c r="AD19" s="163"/>
      <c r="AE19" s="163"/>
      <c r="AF19" s="163"/>
      <c r="AG19" s="163"/>
      <c r="AH19" s="163"/>
      <c r="AI19" s="163"/>
      <c r="AJ19" s="163"/>
      <c r="AK19" s="164"/>
      <c r="AL19" s="165"/>
      <c r="AM19" s="164"/>
      <c r="AN19" s="166"/>
      <c r="AO19" s="164"/>
      <c r="AP19" s="164"/>
      <c r="AS19" s="167"/>
      <c r="AT19" s="1170"/>
      <c r="AU19" s="1171"/>
      <c r="AV19" s="1171"/>
      <c r="AW19" s="1172"/>
      <c r="AX19" s="1172"/>
      <c r="AY19" s="1172"/>
      <c r="AZ19" s="1172"/>
      <c r="BA19" s="1236" t="s">
        <v>165</v>
      </c>
      <c r="BB19" s="1237">
        <v>2015</v>
      </c>
      <c r="BC19" s="1236" t="s">
        <v>289</v>
      </c>
      <c r="BD19" s="1236">
        <v>9</v>
      </c>
      <c r="BE19" s="1238">
        <v>183558887</v>
      </c>
      <c r="BF19" s="1239">
        <v>0.04</v>
      </c>
      <c r="BG19" s="1236"/>
      <c r="BH19" s="1236" t="s">
        <v>165</v>
      </c>
      <c r="BI19" s="1236" t="s">
        <v>280</v>
      </c>
      <c r="BJ19" s="1236" t="s">
        <v>286</v>
      </c>
      <c r="BK19" s="1236">
        <v>9</v>
      </c>
      <c r="BL19" s="1238">
        <v>164822533.56999999</v>
      </c>
      <c r="BM19" s="1239">
        <v>3.6905791635097038E-2</v>
      </c>
      <c r="BN19" s="1236">
        <v>2015</v>
      </c>
      <c r="BO19" s="1189"/>
      <c r="BP19" s="174"/>
      <c r="BQ19" s="174"/>
      <c r="BR19" s="174"/>
      <c r="BS19" s="174"/>
      <c r="BT19" s="174"/>
      <c r="BU19" s="174"/>
      <c r="BV19" s="174"/>
      <c r="BW19" s="174"/>
      <c r="BX19" s="174"/>
    </row>
    <row r="20" spans="1:76" s="152" customFormat="1" ht="15" customHeight="1" x14ac:dyDescent="0.25">
      <c r="A20" s="152">
        <f t="shared" si="0"/>
        <v>1971</v>
      </c>
      <c r="B20" s="152" t="str">
        <f t="shared" si="1"/>
        <v>1971-72</v>
      </c>
      <c r="C20" s="153">
        <v>26207</v>
      </c>
      <c r="D20" s="169"/>
      <c r="E20" s="170"/>
      <c r="F20" s="170"/>
      <c r="G20" s="170"/>
      <c r="H20" s="170"/>
      <c r="I20" s="169">
        <v>36.574862500000002</v>
      </c>
      <c r="J20" s="169">
        <v>42.5</v>
      </c>
      <c r="K20" s="169"/>
      <c r="L20" s="170"/>
      <c r="M20" s="170"/>
      <c r="N20" s="170"/>
      <c r="O20" s="169"/>
      <c r="P20" s="169"/>
      <c r="Q20" s="169"/>
      <c r="R20" s="169"/>
      <c r="S20" s="169"/>
      <c r="T20" s="169"/>
      <c r="U20" s="170"/>
      <c r="V20" s="170"/>
      <c r="W20" s="170"/>
      <c r="X20" s="170"/>
      <c r="Y20" s="170"/>
      <c r="Z20" s="170"/>
      <c r="AA20" s="170"/>
      <c r="AB20" s="170"/>
      <c r="AC20" s="170"/>
      <c r="AD20" s="170"/>
      <c r="AE20" s="170"/>
      <c r="AF20" s="170"/>
      <c r="AG20" s="170"/>
      <c r="AH20" s="170"/>
      <c r="AI20" s="170"/>
      <c r="AJ20" s="170"/>
      <c r="AK20" s="170"/>
      <c r="AL20" s="171"/>
      <c r="AM20" s="170"/>
      <c r="AN20" s="172"/>
      <c r="AO20" s="170"/>
      <c r="AP20" s="170"/>
      <c r="AS20" s="167"/>
      <c r="AT20" s="1170"/>
      <c r="AU20" s="1171"/>
      <c r="AV20" s="1171"/>
      <c r="AW20" s="1172"/>
      <c r="AX20" s="1172"/>
      <c r="AY20" s="1172"/>
      <c r="AZ20" s="1172"/>
      <c r="BA20" s="1236" t="s">
        <v>165</v>
      </c>
      <c r="BB20" s="1237">
        <v>2015</v>
      </c>
      <c r="BC20" s="1236" t="s">
        <v>290</v>
      </c>
      <c r="BD20" s="1236">
        <v>10</v>
      </c>
      <c r="BE20" s="1238">
        <v>176633337</v>
      </c>
      <c r="BF20" s="1239">
        <v>3.7999999999999999E-2</v>
      </c>
      <c r="BG20" s="1236"/>
      <c r="BH20" s="1236" t="s">
        <v>165</v>
      </c>
      <c r="BI20" s="1236" t="s">
        <v>280</v>
      </c>
      <c r="BJ20" s="1236" t="s">
        <v>288</v>
      </c>
      <c r="BK20" s="1236">
        <v>10</v>
      </c>
      <c r="BL20" s="1238">
        <v>150690887.59999999</v>
      </c>
      <c r="BM20" s="1239">
        <v>3.3741542364482097E-2</v>
      </c>
      <c r="BN20" s="1236">
        <v>2015</v>
      </c>
      <c r="BO20" s="1189"/>
      <c r="BP20" s="174"/>
      <c r="BQ20" s="174"/>
      <c r="BR20" s="174"/>
      <c r="BS20" s="174"/>
      <c r="BT20" s="174"/>
      <c r="BU20" s="174"/>
      <c r="BV20" s="174"/>
      <c r="BW20" s="174"/>
      <c r="BX20" s="174"/>
    </row>
    <row r="21" spans="1:76" s="152" customFormat="1" ht="15" customHeight="1" x14ac:dyDescent="0.25">
      <c r="A21" s="152">
        <f t="shared" si="0"/>
        <v>1971</v>
      </c>
      <c r="B21" s="152" t="str">
        <f t="shared" si="1"/>
        <v>1971-72</v>
      </c>
      <c r="C21" s="153">
        <v>26238</v>
      </c>
      <c r="D21" s="154"/>
      <c r="E21" s="155"/>
      <c r="F21" s="155"/>
      <c r="G21" s="155"/>
      <c r="H21" s="155"/>
      <c r="I21" s="156">
        <v>36.884673100000001</v>
      </c>
      <c r="J21" s="156">
        <v>42.86</v>
      </c>
      <c r="K21" s="157"/>
      <c r="L21" s="158"/>
      <c r="M21" s="159"/>
      <c r="N21" s="159"/>
      <c r="O21" s="160"/>
      <c r="P21" s="160"/>
      <c r="Q21" s="160"/>
      <c r="R21" s="160"/>
      <c r="S21" s="160"/>
      <c r="T21" s="160"/>
      <c r="U21" s="161"/>
      <c r="V21" s="161"/>
      <c r="W21" s="161"/>
      <c r="X21" s="161"/>
      <c r="Y21" s="162"/>
      <c r="Z21" s="162"/>
      <c r="AA21" s="162"/>
      <c r="AB21" s="162"/>
      <c r="AC21" s="163"/>
      <c r="AD21" s="163"/>
      <c r="AE21" s="163"/>
      <c r="AF21" s="163"/>
      <c r="AG21" s="163"/>
      <c r="AH21" s="163"/>
      <c r="AI21" s="163"/>
      <c r="AJ21" s="163"/>
      <c r="AK21" s="164"/>
      <c r="AL21" s="165"/>
      <c r="AM21" s="164"/>
      <c r="AN21" s="166"/>
      <c r="AO21" s="164"/>
      <c r="AP21" s="164"/>
      <c r="AS21" s="167"/>
      <c r="AT21" s="1170"/>
      <c r="AU21" s="1171"/>
      <c r="AV21" s="1171"/>
      <c r="AW21" s="1172"/>
      <c r="AX21" s="1172"/>
      <c r="AY21" s="1172"/>
      <c r="AZ21" s="1172"/>
      <c r="BA21" s="1236" t="s">
        <v>165</v>
      </c>
      <c r="BB21" s="1237">
        <v>2015</v>
      </c>
      <c r="BC21" s="1236" t="s">
        <v>291</v>
      </c>
      <c r="BD21" s="1236"/>
      <c r="BE21" s="1238">
        <v>542086836</v>
      </c>
      <c r="BF21" s="1239">
        <v>0.11700000000000001</v>
      </c>
      <c r="BG21" s="1236"/>
      <c r="BH21" s="1236" t="s">
        <v>165</v>
      </c>
      <c r="BI21" s="1236" t="s">
        <v>280</v>
      </c>
      <c r="BJ21" s="1236" t="s">
        <v>291</v>
      </c>
      <c r="BK21" s="1236"/>
      <c r="BL21" s="1238">
        <v>598448497.93000078</v>
      </c>
      <c r="BM21" s="1239">
        <v>0.13399997615957901</v>
      </c>
      <c r="BN21" s="1236">
        <v>2015</v>
      </c>
      <c r="BO21" s="1189"/>
      <c r="BP21" s="174"/>
      <c r="BQ21" s="174"/>
      <c r="BR21" s="174"/>
      <c r="BS21" s="174"/>
      <c r="BT21" s="174"/>
      <c r="BU21" s="174"/>
      <c r="BV21" s="174"/>
      <c r="BW21" s="174"/>
      <c r="BX21" s="174"/>
    </row>
    <row r="22" spans="1:76" s="152" customFormat="1" ht="15" customHeight="1" x14ac:dyDescent="0.25">
      <c r="A22" s="152">
        <f t="shared" si="0"/>
        <v>1971</v>
      </c>
      <c r="B22" s="152" t="str">
        <f t="shared" si="1"/>
        <v>1971-72</v>
      </c>
      <c r="C22" s="153">
        <v>26268</v>
      </c>
      <c r="D22" s="169"/>
      <c r="E22" s="170"/>
      <c r="F22" s="170"/>
      <c r="G22" s="170"/>
      <c r="H22" s="170"/>
      <c r="I22" s="169">
        <v>36.507155879999999</v>
      </c>
      <c r="J22" s="169">
        <v>43.48</v>
      </c>
      <c r="K22" s="169"/>
      <c r="L22" s="170"/>
      <c r="M22" s="170"/>
      <c r="N22" s="170"/>
      <c r="O22" s="169"/>
      <c r="P22" s="169"/>
      <c r="Q22" s="169"/>
      <c r="R22" s="169"/>
      <c r="S22" s="169"/>
      <c r="T22" s="169"/>
      <c r="U22" s="170"/>
      <c r="V22" s="170"/>
      <c r="W22" s="170"/>
      <c r="X22" s="170"/>
      <c r="Y22" s="170"/>
      <c r="Z22" s="170"/>
      <c r="AA22" s="170"/>
      <c r="AB22" s="170"/>
      <c r="AC22" s="170"/>
      <c r="AD22" s="170"/>
      <c r="AE22" s="170"/>
      <c r="AF22" s="170"/>
      <c r="AG22" s="170"/>
      <c r="AH22" s="170"/>
      <c r="AI22" s="170"/>
      <c r="AJ22" s="170"/>
      <c r="AK22" s="170"/>
      <c r="AL22" s="171"/>
      <c r="AM22" s="170"/>
      <c r="AN22" s="172"/>
      <c r="AO22" s="170"/>
      <c r="AP22" s="170"/>
      <c r="AS22" s="167"/>
      <c r="AT22" s="1170"/>
      <c r="AU22" s="1171"/>
      <c r="AV22" s="1171"/>
      <c r="AW22" s="1172"/>
      <c r="AX22" s="1172"/>
      <c r="AY22" s="1172"/>
      <c r="AZ22" s="1172"/>
      <c r="BA22" s="1236" t="s">
        <v>165</v>
      </c>
      <c r="BB22" s="1237">
        <v>2015</v>
      </c>
      <c r="BC22" s="1236" t="s">
        <v>292</v>
      </c>
      <c r="BD22" s="1236"/>
      <c r="BE22" s="1238">
        <v>4632530370</v>
      </c>
      <c r="BF22" s="1239">
        <v>1</v>
      </c>
      <c r="BG22" s="1236"/>
      <c r="BH22" s="1236" t="s">
        <v>165</v>
      </c>
      <c r="BI22" s="1236" t="s">
        <v>280</v>
      </c>
      <c r="BJ22" s="1236" t="s">
        <v>292</v>
      </c>
      <c r="BK22" s="1236"/>
      <c r="BL22" s="1238">
        <v>4466034361.210001</v>
      </c>
      <c r="BM22" s="1239"/>
      <c r="BN22" s="1236">
        <v>2015</v>
      </c>
      <c r="BO22" s="1189"/>
      <c r="BP22" s="174"/>
      <c r="BQ22" s="174"/>
      <c r="BR22" s="174"/>
      <c r="BS22" s="174"/>
      <c r="BT22" s="174"/>
      <c r="BU22" s="174"/>
      <c r="BV22" s="174"/>
      <c r="BW22" s="174"/>
      <c r="BX22" s="174"/>
    </row>
    <row r="23" spans="1:76" s="152" customFormat="1" ht="15" customHeight="1" x14ac:dyDescent="0.25">
      <c r="A23" s="152">
        <f t="shared" si="0"/>
        <v>1972</v>
      </c>
      <c r="B23" s="152" t="str">
        <f t="shared" si="1"/>
        <v>1971-72</v>
      </c>
      <c r="C23" s="153">
        <v>26301</v>
      </c>
      <c r="D23" s="154"/>
      <c r="E23" s="155"/>
      <c r="F23" s="155"/>
      <c r="G23" s="155"/>
      <c r="H23" s="155"/>
      <c r="I23" s="156">
        <v>38.413118250000004</v>
      </c>
      <c r="J23" s="156">
        <v>45.75</v>
      </c>
      <c r="K23" s="157"/>
      <c r="L23" s="158"/>
      <c r="M23" s="159"/>
      <c r="N23" s="159"/>
      <c r="O23" s="160"/>
      <c r="P23" s="160"/>
      <c r="Q23" s="160"/>
      <c r="R23" s="160"/>
      <c r="S23" s="160"/>
      <c r="T23" s="160"/>
      <c r="U23" s="161"/>
      <c r="V23" s="161"/>
      <c r="W23" s="161"/>
      <c r="X23" s="161"/>
      <c r="Y23" s="162"/>
      <c r="Z23" s="162"/>
      <c r="AA23" s="162"/>
      <c r="AB23" s="162"/>
      <c r="AC23" s="163"/>
      <c r="AD23" s="163"/>
      <c r="AE23" s="163"/>
      <c r="AF23" s="163"/>
      <c r="AG23" s="163"/>
      <c r="AH23" s="163"/>
      <c r="AI23" s="163"/>
      <c r="AJ23" s="163"/>
      <c r="AK23" s="164"/>
      <c r="AL23" s="165"/>
      <c r="AM23" s="164"/>
      <c r="AN23" s="166"/>
      <c r="AO23" s="164"/>
      <c r="AP23" s="164"/>
      <c r="AS23" s="167"/>
      <c r="AT23" s="1170"/>
      <c r="AU23" s="1171"/>
      <c r="AV23" s="1171"/>
      <c r="AW23" s="1172"/>
      <c r="AX23" s="1172"/>
      <c r="AY23" s="1172"/>
      <c r="AZ23" s="1172"/>
      <c r="BA23" s="1236" t="s">
        <v>165</v>
      </c>
      <c r="BB23" s="1237">
        <v>2014</v>
      </c>
      <c r="BC23" s="1236" t="s">
        <v>279</v>
      </c>
      <c r="BD23" s="1236">
        <v>1</v>
      </c>
      <c r="BE23" s="1238">
        <v>640295054</v>
      </c>
      <c r="BF23" s="1239">
        <v>0.17699999999999999</v>
      </c>
      <c r="BG23" s="1236"/>
      <c r="BH23" s="1236" t="s">
        <v>165</v>
      </c>
      <c r="BI23" s="1236" t="s">
        <v>293</v>
      </c>
      <c r="BJ23" s="1236" t="s">
        <v>279</v>
      </c>
      <c r="BK23" s="1236">
        <v>1</v>
      </c>
      <c r="BL23" s="1238">
        <v>758669887</v>
      </c>
      <c r="BM23" s="1239">
        <v>0.18</v>
      </c>
      <c r="BN23" s="1236">
        <v>2014</v>
      </c>
      <c r="BO23" s="1189"/>
      <c r="BP23" s="174"/>
      <c r="BQ23" s="174"/>
      <c r="BR23" s="174"/>
      <c r="BS23" s="174"/>
      <c r="BT23" s="174"/>
      <c r="BU23" s="174"/>
      <c r="BV23" s="174"/>
      <c r="BW23" s="174"/>
      <c r="BX23" s="174"/>
    </row>
    <row r="24" spans="1:76" s="152" customFormat="1" ht="15" customHeight="1" x14ac:dyDescent="0.25">
      <c r="A24" s="152">
        <f t="shared" si="0"/>
        <v>1972</v>
      </c>
      <c r="B24" s="152" t="str">
        <f t="shared" si="1"/>
        <v>1971-72</v>
      </c>
      <c r="C24" s="153">
        <v>26330</v>
      </c>
      <c r="D24" s="169"/>
      <c r="E24" s="170"/>
      <c r="F24" s="170"/>
      <c r="G24" s="170"/>
      <c r="H24" s="170"/>
      <c r="I24" s="169">
        <v>40.520592059999998</v>
      </c>
      <c r="J24" s="169">
        <v>48.26</v>
      </c>
      <c r="K24" s="169"/>
      <c r="L24" s="170"/>
      <c r="M24" s="170"/>
      <c r="N24" s="170"/>
      <c r="O24" s="169"/>
      <c r="P24" s="169"/>
      <c r="Q24" s="169"/>
      <c r="R24" s="169"/>
      <c r="S24" s="169"/>
      <c r="T24" s="169"/>
      <c r="U24" s="170"/>
      <c r="V24" s="170"/>
      <c r="W24" s="170"/>
      <c r="X24" s="170"/>
      <c r="Y24" s="170"/>
      <c r="Z24" s="170"/>
      <c r="AA24" s="170"/>
      <c r="AB24" s="170"/>
      <c r="AC24" s="170"/>
      <c r="AD24" s="170"/>
      <c r="AE24" s="170"/>
      <c r="AF24" s="170"/>
      <c r="AG24" s="170"/>
      <c r="AH24" s="170"/>
      <c r="AI24" s="170"/>
      <c r="AJ24" s="170"/>
      <c r="AK24" s="170"/>
      <c r="AL24" s="171"/>
      <c r="AM24" s="170"/>
      <c r="AN24" s="172"/>
      <c r="AO24" s="170"/>
      <c r="AP24" s="170"/>
      <c r="AS24" s="167"/>
      <c r="AT24" s="1170"/>
      <c r="AU24" s="1171"/>
      <c r="AV24" s="1171"/>
      <c r="AW24" s="1172"/>
      <c r="AX24" s="1172"/>
      <c r="AY24" s="1172"/>
      <c r="AZ24" s="1172"/>
      <c r="BA24" s="1236" t="s">
        <v>165</v>
      </c>
      <c r="BB24" s="1237">
        <v>2014</v>
      </c>
      <c r="BC24" s="1236" t="s">
        <v>281</v>
      </c>
      <c r="BD24" s="1236">
        <v>2</v>
      </c>
      <c r="BE24" s="1238">
        <v>554354076</v>
      </c>
      <c r="BF24" s="1239">
        <v>0.153</v>
      </c>
      <c r="BG24" s="1236"/>
      <c r="BH24" s="1236" t="s">
        <v>165</v>
      </c>
      <c r="BI24" s="1236" t="s">
        <v>293</v>
      </c>
      <c r="BJ24" s="1236" t="s">
        <v>281</v>
      </c>
      <c r="BK24" s="1236">
        <v>2</v>
      </c>
      <c r="BL24" s="1238">
        <v>599875179</v>
      </c>
      <c r="BM24" s="1239">
        <v>0.14199999999999999</v>
      </c>
      <c r="BN24" s="1236">
        <v>2014</v>
      </c>
      <c r="BO24" s="1189"/>
      <c r="BP24" s="174"/>
      <c r="BQ24" s="174"/>
      <c r="BR24" s="174"/>
      <c r="BS24" s="174"/>
      <c r="BT24" s="174"/>
      <c r="BU24" s="174"/>
      <c r="BV24" s="174"/>
      <c r="BW24" s="174"/>
      <c r="BX24" s="174"/>
    </row>
    <row r="25" spans="1:76" s="152" customFormat="1" ht="15" customHeight="1" x14ac:dyDescent="0.25">
      <c r="A25" s="152">
        <f t="shared" si="0"/>
        <v>1972</v>
      </c>
      <c r="B25" s="152" t="str">
        <f t="shared" si="1"/>
        <v>1971-72</v>
      </c>
      <c r="C25" s="153">
        <v>26359</v>
      </c>
      <c r="D25" s="154"/>
      <c r="E25" s="155"/>
      <c r="F25" s="155"/>
      <c r="G25" s="155"/>
      <c r="H25" s="155"/>
      <c r="I25" s="156">
        <v>40.579366229999998</v>
      </c>
      <c r="J25" s="156">
        <v>48.33</v>
      </c>
      <c r="K25" s="157"/>
      <c r="L25" s="158"/>
      <c r="M25" s="159"/>
      <c r="N25" s="159"/>
      <c r="O25" s="160"/>
      <c r="P25" s="160"/>
      <c r="Q25" s="160"/>
      <c r="R25" s="160"/>
      <c r="S25" s="160"/>
      <c r="T25" s="160"/>
      <c r="U25" s="161"/>
      <c r="V25" s="161"/>
      <c r="W25" s="161"/>
      <c r="X25" s="161"/>
      <c r="Y25" s="162"/>
      <c r="Z25" s="162"/>
      <c r="AA25" s="162"/>
      <c r="AB25" s="162"/>
      <c r="AC25" s="163"/>
      <c r="AD25" s="163"/>
      <c r="AE25" s="163"/>
      <c r="AF25" s="163"/>
      <c r="AG25" s="163"/>
      <c r="AH25" s="163"/>
      <c r="AI25" s="163"/>
      <c r="AJ25" s="163"/>
      <c r="AK25" s="164"/>
      <c r="AL25" s="165"/>
      <c r="AM25" s="164"/>
      <c r="AN25" s="166"/>
      <c r="AO25" s="164"/>
      <c r="AP25" s="164"/>
      <c r="AS25" s="167"/>
      <c r="AT25" s="1170"/>
      <c r="AU25" s="1171"/>
      <c r="AV25" s="1171"/>
      <c r="AW25" s="1172"/>
      <c r="AX25" s="1172"/>
      <c r="AY25" s="1172"/>
      <c r="AZ25" s="1172"/>
      <c r="BA25" s="1236" t="s">
        <v>165</v>
      </c>
      <c r="BB25" s="1237">
        <v>2014</v>
      </c>
      <c r="BC25" s="1236" t="s">
        <v>283</v>
      </c>
      <c r="BD25" s="1236">
        <v>3</v>
      </c>
      <c r="BE25" s="1238">
        <v>425506418</v>
      </c>
      <c r="BF25" s="1239">
        <v>0.11700000000000001</v>
      </c>
      <c r="BG25" s="1236"/>
      <c r="BH25" s="1236" t="s">
        <v>165</v>
      </c>
      <c r="BI25" s="1236" t="s">
        <v>293</v>
      </c>
      <c r="BJ25" s="1236" t="s">
        <v>282</v>
      </c>
      <c r="BK25" s="1236">
        <v>3</v>
      </c>
      <c r="BL25" s="1238">
        <v>513421015</v>
      </c>
      <c r="BM25" s="1239">
        <v>0.122</v>
      </c>
      <c r="BN25" s="1236">
        <v>2014</v>
      </c>
      <c r="BO25" s="1189"/>
      <c r="BP25" s="174"/>
      <c r="BQ25" s="174"/>
      <c r="BR25" s="174"/>
      <c r="BS25" s="174"/>
      <c r="BT25" s="174"/>
      <c r="BU25" s="174"/>
      <c r="BV25" s="174"/>
      <c r="BW25" s="174"/>
      <c r="BX25" s="174"/>
    </row>
    <row r="26" spans="1:76" s="152" customFormat="1" ht="15" customHeight="1" x14ac:dyDescent="0.25">
      <c r="A26" s="152">
        <f t="shared" si="0"/>
        <v>1972</v>
      </c>
      <c r="B26" s="152" t="str">
        <f t="shared" si="1"/>
        <v>1971-72</v>
      </c>
      <c r="C26" s="153">
        <v>26392</v>
      </c>
      <c r="D26" s="169"/>
      <c r="E26" s="170"/>
      <c r="F26" s="170"/>
      <c r="G26" s="170"/>
      <c r="H26" s="170"/>
      <c r="I26" s="169">
        <v>41.16710793</v>
      </c>
      <c r="J26" s="169">
        <v>49.03</v>
      </c>
      <c r="K26" s="169"/>
      <c r="L26" s="170"/>
      <c r="M26" s="170"/>
      <c r="N26" s="170"/>
      <c r="O26" s="169"/>
      <c r="P26" s="169"/>
      <c r="Q26" s="169"/>
      <c r="R26" s="169"/>
      <c r="S26" s="169"/>
      <c r="T26" s="169"/>
      <c r="U26" s="170"/>
      <c r="V26" s="170"/>
      <c r="W26" s="170"/>
      <c r="X26" s="170"/>
      <c r="Y26" s="170"/>
      <c r="Z26" s="170"/>
      <c r="AA26" s="170"/>
      <c r="AB26" s="170"/>
      <c r="AC26" s="170"/>
      <c r="AD26" s="170"/>
      <c r="AE26" s="170"/>
      <c r="AF26" s="170"/>
      <c r="AG26" s="170"/>
      <c r="AH26" s="170"/>
      <c r="AI26" s="170"/>
      <c r="AJ26" s="170"/>
      <c r="AK26" s="170"/>
      <c r="AL26" s="171"/>
      <c r="AM26" s="170"/>
      <c r="AN26" s="172"/>
      <c r="AO26" s="170"/>
      <c r="AP26" s="170"/>
      <c r="AS26" s="167"/>
      <c r="AT26" s="1170"/>
      <c r="AU26" s="1171"/>
      <c r="AV26" s="1171"/>
      <c r="AW26" s="1172"/>
      <c r="AX26" s="1172"/>
      <c r="AY26" s="1172"/>
      <c r="AZ26" s="1172"/>
      <c r="BA26" s="1236" t="s">
        <v>165</v>
      </c>
      <c r="BB26" s="1237">
        <v>2014</v>
      </c>
      <c r="BC26" s="1236" t="s">
        <v>282</v>
      </c>
      <c r="BD26" s="1236">
        <v>4</v>
      </c>
      <c r="BE26" s="1238">
        <v>384930143</v>
      </c>
      <c r="BF26" s="1239">
        <v>0.106</v>
      </c>
      <c r="BG26" s="1236"/>
      <c r="BH26" s="1236" t="s">
        <v>165</v>
      </c>
      <c r="BI26" s="1236" t="s">
        <v>293</v>
      </c>
      <c r="BJ26" s="1236" t="s">
        <v>283</v>
      </c>
      <c r="BK26" s="1236">
        <v>4</v>
      </c>
      <c r="BL26" s="1238">
        <v>467013328</v>
      </c>
      <c r="BM26" s="1239">
        <v>0.111</v>
      </c>
      <c r="BN26" s="1236">
        <v>2014</v>
      </c>
      <c r="BO26" s="1189"/>
      <c r="BP26" s="174"/>
      <c r="BQ26" s="174"/>
      <c r="BR26" s="174"/>
      <c r="BS26" s="174"/>
      <c r="BT26" s="174"/>
      <c r="BU26" s="174"/>
      <c r="BV26" s="174"/>
      <c r="BW26" s="174"/>
      <c r="BX26" s="174"/>
    </row>
    <row r="27" spans="1:76" s="152" customFormat="1" ht="15" customHeight="1" x14ac:dyDescent="0.25">
      <c r="A27" s="152">
        <f t="shared" si="0"/>
        <v>1972</v>
      </c>
      <c r="B27" s="152" t="str">
        <f t="shared" si="1"/>
        <v>1971-72</v>
      </c>
      <c r="C27" s="153">
        <v>26420</v>
      </c>
      <c r="D27" s="154"/>
      <c r="E27" s="155"/>
      <c r="F27" s="155"/>
      <c r="G27" s="155"/>
      <c r="H27" s="155"/>
      <c r="I27" s="156">
        <v>45.860645220000002</v>
      </c>
      <c r="J27" s="156">
        <v>54.62</v>
      </c>
      <c r="K27" s="157"/>
      <c r="L27" s="158"/>
      <c r="M27" s="159"/>
      <c r="N27" s="159"/>
      <c r="O27" s="160"/>
      <c r="P27" s="160"/>
      <c r="Q27" s="160"/>
      <c r="R27" s="160"/>
      <c r="S27" s="160"/>
      <c r="T27" s="160"/>
      <c r="U27" s="161"/>
      <c r="V27" s="161"/>
      <c r="W27" s="161"/>
      <c r="X27" s="161"/>
      <c r="Y27" s="162"/>
      <c r="Z27" s="162"/>
      <c r="AA27" s="162"/>
      <c r="AB27" s="162"/>
      <c r="AC27" s="163"/>
      <c r="AD27" s="163"/>
      <c r="AE27" s="163"/>
      <c r="AF27" s="163"/>
      <c r="AG27" s="163"/>
      <c r="AH27" s="163"/>
      <c r="AI27" s="163"/>
      <c r="AJ27" s="163"/>
      <c r="AK27" s="164"/>
      <c r="AL27" s="165"/>
      <c r="AM27" s="164"/>
      <c r="AN27" s="166"/>
      <c r="AO27" s="164"/>
      <c r="AP27" s="164"/>
      <c r="AS27" s="167"/>
      <c r="AT27" s="1170"/>
      <c r="AU27" s="1171"/>
      <c r="AV27" s="1171"/>
      <c r="AW27" s="1172"/>
      <c r="AX27" s="1172"/>
      <c r="AY27" s="1172"/>
      <c r="AZ27" s="1172"/>
      <c r="BA27" s="1236" t="s">
        <v>165</v>
      </c>
      <c r="BB27" s="1237">
        <v>2014</v>
      </c>
      <c r="BC27" s="1236" t="s">
        <v>290</v>
      </c>
      <c r="BD27" s="1236">
        <v>5</v>
      </c>
      <c r="BE27" s="1238">
        <v>380369918</v>
      </c>
      <c r="BF27" s="1239">
        <v>0.105</v>
      </c>
      <c r="BG27" s="1236"/>
      <c r="BH27" s="1236" t="s">
        <v>165</v>
      </c>
      <c r="BI27" s="1236" t="s">
        <v>293</v>
      </c>
      <c r="BJ27" s="1236" t="s">
        <v>284</v>
      </c>
      <c r="BK27" s="1236">
        <v>5</v>
      </c>
      <c r="BL27" s="1238">
        <v>363972126</v>
      </c>
      <c r="BM27" s="1239">
        <v>8.5999999999999993E-2</v>
      </c>
      <c r="BN27" s="1236">
        <v>2014</v>
      </c>
      <c r="BO27" s="1189"/>
      <c r="BP27" s="174"/>
      <c r="BQ27" s="174"/>
      <c r="BR27" s="174"/>
      <c r="BS27" s="174"/>
      <c r="BT27" s="174"/>
      <c r="BU27" s="174"/>
      <c r="BV27" s="174"/>
      <c r="BW27" s="174"/>
      <c r="BX27" s="174"/>
    </row>
    <row r="28" spans="1:76" s="152" customFormat="1" ht="15" customHeight="1" x14ac:dyDescent="0.25">
      <c r="A28" s="152">
        <f t="shared" si="0"/>
        <v>1972</v>
      </c>
      <c r="B28" s="152" t="str">
        <f t="shared" si="1"/>
        <v>1971-72</v>
      </c>
      <c r="C28" s="153">
        <v>26451</v>
      </c>
      <c r="D28" s="169"/>
      <c r="E28" s="170"/>
      <c r="F28" s="170"/>
      <c r="G28" s="170"/>
      <c r="H28" s="170"/>
      <c r="I28" s="169">
        <v>52.132688790000003</v>
      </c>
      <c r="J28" s="169">
        <v>62.09</v>
      </c>
      <c r="K28" s="169"/>
      <c r="L28" s="170"/>
      <c r="M28" s="170"/>
      <c r="N28" s="170"/>
      <c r="O28" s="169"/>
      <c r="P28" s="169"/>
      <c r="Q28" s="169"/>
      <c r="R28" s="169"/>
      <c r="S28" s="169"/>
      <c r="T28" s="169"/>
      <c r="U28" s="170"/>
      <c r="V28" s="170"/>
      <c r="W28" s="170"/>
      <c r="X28" s="170"/>
      <c r="Y28" s="170"/>
      <c r="Z28" s="170"/>
      <c r="AA28" s="170"/>
      <c r="AB28" s="170"/>
      <c r="AC28" s="170"/>
      <c r="AD28" s="170"/>
      <c r="AE28" s="170"/>
      <c r="AF28" s="170"/>
      <c r="AG28" s="170"/>
      <c r="AH28" s="170"/>
      <c r="AI28" s="170"/>
      <c r="AJ28" s="170"/>
      <c r="AK28" s="170"/>
      <c r="AL28" s="171"/>
      <c r="AM28" s="170"/>
      <c r="AN28" s="172"/>
      <c r="AO28" s="170"/>
      <c r="AP28" s="170"/>
      <c r="AS28" s="167"/>
      <c r="AT28" s="1170"/>
      <c r="AU28" s="1171"/>
      <c r="AV28" s="1171"/>
      <c r="AW28" s="1172"/>
      <c r="AX28" s="1172"/>
      <c r="AY28" s="1172"/>
      <c r="AZ28" s="1172"/>
      <c r="BA28" s="1236" t="s">
        <v>165</v>
      </c>
      <c r="BB28" s="1237">
        <v>2014</v>
      </c>
      <c r="BC28" s="1236" t="s">
        <v>284</v>
      </c>
      <c r="BD28" s="1236">
        <v>6</v>
      </c>
      <c r="BE28" s="1238">
        <v>310242513</v>
      </c>
      <c r="BF28" s="1239">
        <v>8.5999999999999993E-2</v>
      </c>
      <c r="BG28" s="1236"/>
      <c r="BH28" s="1236" t="s">
        <v>165</v>
      </c>
      <c r="BI28" s="1236" t="s">
        <v>293</v>
      </c>
      <c r="BJ28" s="1236" t="s">
        <v>290</v>
      </c>
      <c r="BK28" s="1236">
        <v>6</v>
      </c>
      <c r="BL28" s="1238">
        <v>346592895</v>
      </c>
      <c r="BM28" s="1239">
        <v>8.2000000000000003E-2</v>
      </c>
      <c r="BN28" s="1236">
        <v>2014</v>
      </c>
      <c r="BO28" s="1189"/>
      <c r="BP28" s="174"/>
      <c r="BQ28" s="174"/>
      <c r="BR28" s="174"/>
      <c r="BS28" s="174"/>
      <c r="BT28" s="174"/>
      <c r="BU28" s="174"/>
      <c r="BV28" s="174"/>
      <c r="BW28" s="174"/>
      <c r="BX28" s="174"/>
    </row>
    <row r="29" spans="1:76" s="152" customFormat="1" ht="15" customHeight="1" x14ac:dyDescent="0.25">
      <c r="A29" s="152">
        <f t="shared" si="0"/>
        <v>1972</v>
      </c>
      <c r="B29" s="152" t="str">
        <f t="shared" si="1"/>
        <v>1972-73</v>
      </c>
      <c r="C29" s="153">
        <v>26483</v>
      </c>
      <c r="D29" s="154"/>
      <c r="E29" s="155"/>
      <c r="F29" s="155"/>
      <c r="G29" s="155"/>
      <c r="H29" s="155"/>
      <c r="I29" s="156">
        <v>55.13017146</v>
      </c>
      <c r="J29" s="156">
        <v>65.66</v>
      </c>
      <c r="K29" s="157"/>
      <c r="L29" s="158"/>
      <c r="M29" s="159"/>
      <c r="N29" s="159"/>
      <c r="O29" s="160"/>
      <c r="P29" s="160"/>
      <c r="Q29" s="160"/>
      <c r="R29" s="160"/>
      <c r="S29" s="160"/>
      <c r="T29" s="160"/>
      <c r="U29" s="161"/>
      <c r="V29" s="161"/>
      <c r="W29" s="161"/>
      <c r="X29" s="161"/>
      <c r="Y29" s="162"/>
      <c r="Z29" s="162"/>
      <c r="AA29" s="162"/>
      <c r="AB29" s="162"/>
      <c r="AC29" s="163"/>
      <c r="AD29" s="163"/>
      <c r="AE29" s="163"/>
      <c r="AF29" s="163"/>
      <c r="AG29" s="163"/>
      <c r="AH29" s="163"/>
      <c r="AI29" s="163"/>
      <c r="AJ29" s="163"/>
      <c r="AK29" s="164"/>
      <c r="AL29" s="165"/>
      <c r="AM29" s="164"/>
      <c r="AN29" s="166"/>
      <c r="AO29" s="164"/>
      <c r="AP29" s="164"/>
      <c r="AS29" s="167"/>
      <c r="AT29" s="1170"/>
      <c r="AU29" s="1171"/>
      <c r="AV29" s="1171"/>
      <c r="AW29" s="1172"/>
      <c r="AX29" s="1172"/>
      <c r="AY29" s="1172"/>
      <c r="AZ29" s="1172"/>
      <c r="BA29" s="1236" t="s">
        <v>165</v>
      </c>
      <c r="BB29" s="1237">
        <v>2014</v>
      </c>
      <c r="BC29" s="1236" t="s">
        <v>286</v>
      </c>
      <c r="BD29" s="1236">
        <v>7</v>
      </c>
      <c r="BE29" s="1238">
        <v>177041293</v>
      </c>
      <c r="BF29" s="1239">
        <v>4.9000000000000002E-2</v>
      </c>
      <c r="BG29" s="1236"/>
      <c r="BH29" s="1236" t="s">
        <v>165</v>
      </c>
      <c r="BI29" s="1236" t="s">
        <v>293</v>
      </c>
      <c r="BJ29" s="1236" t="s">
        <v>286</v>
      </c>
      <c r="BK29" s="1236">
        <v>7</v>
      </c>
      <c r="BL29" s="1238">
        <v>209137833</v>
      </c>
      <c r="BM29" s="1239">
        <v>0.05</v>
      </c>
      <c r="BN29" s="1236">
        <v>2014</v>
      </c>
      <c r="BO29" s="1189"/>
      <c r="BP29" s="174"/>
      <c r="BQ29" s="174"/>
      <c r="BR29" s="174"/>
      <c r="BS29" s="174"/>
      <c r="BT29" s="174"/>
      <c r="BU29" s="174"/>
      <c r="BV29" s="174"/>
      <c r="BW29" s="174"/>
      <c r="BX29" s="174"/>
    </row>
    <row r="30" spans="1:76" s="152" customFormat="1" ht="15" customHeight="1" x14ac:dyDescent="0.25">
      <c r="A30" s="152">
        <f t="shared" si="0"/>
        <v>1972</v>
      </c>
      <c r="B30" s="152" t="str">
        <f t="shared" si="1"/>
        <v>1972-73</v>
      </c>
      <c r="C30" s="153">
        <v>26512</v>
      </c>
      <c r="D30" s="169"/>
      <c r="E30" s="170"/>
      <c r="F30" s="170"/>
      <c r="G30" s="170"/>
      <c r="H30" s="170"/>
      <c r="I30" s="169">
        <v>56.280465930000005</v>
      </c>
      <c r="J30" s="169">
        <v>67.03</v>
      </c>
      <c r="K30" s="169"/>
      <c r="L30" s="170"/>
      <c r="M30" s="170"/>
      <c r="N30" s="170"/>
      <c r="O30" s="169"/>
      <c r="P30" s="169"/>
      <c r="Q30" s="169"/>
      <c r="R30" s="169"/>
      <c r="S30" s="169"/>
      <c r="T30" s="169"/>
      <c r="U30" s="170"/>
      <c r="V30" s="170"/>
      <c r="W30" s="170"/>
      <c r="X30" s="170"/>
      <c r="Y30" s="170"/>
      <c r="Z30" s="170"/>
      <c r="AA30" s="170"/>
      <c r="AB30" s="170"/>
      <c r="AC30" s="170"/>
      <c r="AD30" s="170"/>
      <c r="AE30" s="170"/>
      <c r="AF30" s="170"/>
      <c r="AG30" s="170"/>
      <c r="AH30" s="170"/>
      <c r="AI30" s="170"/>
      <c r="AJ30" s="170"/>
      <c r="AK30" s="170"/>
      <c r="AL30" s="171"/>
      <c r="AM30" s="170"/>
      <c r="AN30" s="172"/>
      <c r="AO30" s="170"/>
      <c r="AP30" s="170"/>
      <c r="AS30" s="167"/>
      <c r="AT30" s="1170"/>
      <c r="AU30" s="1171"/>
      <c r="AV30" s="1171"/>
      <c r="AW30" s="1172"/>
      <c r="AX30" s="1172"/>
      <c r="AY30" s="1172"/>
      <c r="AZ30" s="1172"/>
      <c r="BA30" s="1236" t="s">
        <v>165</v>
      </c>
      <c r="BB30" s="1237">
        <v>2014</v>
      </c>
      <c r="BC30" s="1236" t="s">
        <v>287</v>
      </c>
      <c r="BD30" s="1236">
        <v>8</v>
      </c>
      <c r="BE30" s="1238">
        <v>171734884</v>
      </c>
      <c r="BF30" s="1239">
        <v>4.7E-2</v>
      </c>
      <c r="BG30" s="1236"/>
      <c r="BH30" s="1236" t="s">
        <v>165</v>
      </c>
      <c r="BI30" s="1236" t="s">
        <v>293</v>
      </c>
      <c r="BJ30" s="1236" t="s">
        <v>288</v>
      </c>
      <c r="BK30" s="1236">
        <v>8</v>
      </c>
      <c r="BL30" s="1238">
        <v>184837513</v>
      </c>
      <c r="BM30" s="1239">
        <v>4.3999999999999997E-2</v>
      </c>
      <c r="BN30" s="1236">
        <v>2014</v>
      </c>
      <c r="BO30" s="1189"/>
      <c r="BP30" s="174"/>
      <c r="BQ30" s="174"/>
      <c r="BR30" s="174"/>
      <c r="BS30" s="174"/>
      <c r="BT30" s="174"/>
      <c r="BU30" s="174"/>
      <c r="BV30" s="174"/>
      <c r="BW30" s="174"/>
      <c r="BX30" s="174"/>
    </row>
    <row r="31" spans="1:76" s="152" customFormat="1" ht="15" customHeight="1" x14ac:dyDescent="0.25">
      <c r="A31" s="152">
        <f t="shared" si="0"/>
        <v>1972</v>
      </c>
      <c r="B31" s="152" t="str">
        <f t="shared" si="1"/>
        <v>1972-73</v>
      </c>
      <c r="C31" s="153">
        <v>26543</v>
      </c>
      <c r="D31" s="154"/>
      <c r="E31" s="155"/>
      <c r="F31" s="155"/>
      <c r="G31" s="155"/>
      <c r="H31" s="155"/>
      <c r="I31" s="156">
        <v>54.962245259999996</v>
      </c>
      <c r="J31" s="156">
        <v>65.459999999999994</v>
      </c>
      <c r="K31" s="157"/>
      <c r="L31" s="158"/>
      <c r="M31" s="159"/>
      <c r="N31" s="159"/>
      <c r="O31" s="160"/>
      <c r="P31" s="160"/>
      <c r="Q31" s="160"/>
      <c r="R31" s="160"/>
      <c r="S31" s="160"/>
      <c r="T31" s="160"/>
      <c r="U31" s="161"/>
      <c r="V31" s="161"/>
      <c r="W31" s="161"/>
      <c r="X31" s="161"/>
      <c r="Y31" s="162"/>
      <c r="Z31" s="162"/>
      <c r="AA31" s="162"/>
      <c r="AB31" s="162"/>
      <c r="AC31" s="163"/>
      <c r="AD31" s="163"/>
      <c r="AE31" s="163"/>
      <c r="AF31" s="163"/>
      <c r="AG31" s="163"/>
      <c r="AH31" s="163"/>
      <c r="AI31" s="163"/>
      <c r="AJ31" s="163"/>
      <c r="AK31" s="164"/>
      <c r="AL31" s="165"/>
      <c r="AM31" s="164"/>
      <c r="AN31" s="166"/>
      <c r="AO31" s="164"/>
      <c r="AP31" s="164"/>
      <c r="AS31" s="167"/>
      <c r="AT31" s="1170"/>
      <c r="AU31" s="1171"/>
      <c r="AV31" s="1171"/>
      <c r="AW31" s="1172"/>
      <c r="AX31" s="1172"/>
      <c r="AY31" s="1172"/>
      <c r="AZ31" s="1172"/>
      <c r="BA31" s="1236" t="s">
        <v>165</v>
      </c>
      <c r="BB31" s="1237">
        <v>2014</v>
      </c>
      <c r="BC31" s="1236" t="s">
        <v>288</v>
      </c>
      <c r="BD31" s="1236">
        <v>9</v>
      </c>
      <c r="BE31" s="1238">
        <v>155493543</v>
      </c>
      <c r="BF31" s="1239">
        <v>4.2999999999999997E-2</v>
      </c>
      <c r="BG31" s="1236"/>
      <c r="BH31" s="1236" t="s">
        <v>165</v>
      </c>
      <c r="BI31" s="1236" t="s">
        <v>293</v>
      </c>
      <c r="BJ31" s="1236" t="s">
        <v>287</v>
      </c>
      <c r="BK31" s="1236">
        <v>9</v>
      </c>
      <c r="BL31" s="1238">
        <v>171200361</v>
      </c>
      <c r="BM31" s="1239">
        <v>4.1000000000000002E-2</v>
      </c>
      <c r="BN31" s="1236">
        <v>2014</v>
      </c>
      <c r="BO31" s="1189"/>
      <c r="BP31" s="174"/>
      <c r="BQ31" s="174"/>
      <c r="BR31" s="174"/>
      <c r="BS31" s="174"/>
      <c r="BT31" s="174"/>
      <c r="BU31" s="174"/>
      <c r="BV31" s="174"/>
      <c r="BW31" s="174"/>
      <c r="BX31" s="174"/>
    </row>
    <row r="32" spans="1:76" s="152" customFormat="1" ht="15" customHeight="1" x14ac:dyDescent="0.25">
      <c r="A32" s="152">
        <f t="shared" si="0"/>
        <v>1972</v>
      </c>
      <c r="B32" s="152" t="str">
        <f t="shared" si="1"/>
        <v>1972-73</v>
      </c>
      <c r="C32" s="153">
        <v>26574</v>
      </c>
      <c r="D32" s="169"/>
      <c r="E32" s="170"/>
      <c r="F32" s="170"/>
      <c r="G32" s="170"/>
      <c r="H32" s="170"/>
      <c r="I32" s="169">
        <v>54.458466659999999</v>
      </c>
      <c r="J32" s="169">
        <v>64.86</v>
      </c>
      <c r="K32" s="169"/>
      <c r="L32" s="170"/>
      <c r="M32" s="170"/>
      <c r="N32" s="170"/>
      <c r="O32" s="169"/>
      <c r="P32" s="169"/>
      <c r="Q32" s="169"/>
      <c r="R32" s="169"/>
      <c r="S32" s="169"/>
      <c r="T32" s="169"/>
      <c r="U32" s="170"/>
      <c r="V32" s="170"/>
      <c r="W32" s="170"/>
      <c r="X32" s="170"/>
      <c r="Y32" s="170"/>
      <c r="Z32" s="170"/>
      <c r="AA32" s="170"/>
      <c r="AB32" s="170"/>
      <c r="AC32" s="170"/>
      <c r="AD32" s="170"/>
      <c r="AE32" s="170"/>
      <c r="AF32" s="170"/>
      <c r="AG32" s="170"/>
      <c r="AH32" s="170"/>
      <c r="AI32" s="170"/>
      <c r="AJ32" s="170"/>
      <c r="AK32" s="170"/>
      <c r="AL32" s="171"/>
      <c r="AM32" s="170"/>
      <c r="AN32" s="172"/>
      <c r="AO32" s="170"/>
      <c r="AP32" s="170"/>
      <c r="AS32" s="167"/>
      <c r="AT32" s="1170"/>
      <c r="AU32" s="1171"/>
      <c r="AV32" s="1171"/>
      <c r="AW32" s="1172"/>
      <c r="AX32" s="1172"/>
      <c r="AY32" s="1172"/>
      <c r="AZ32" s="1172"/>
      <c r="BA32" s="1236" t="s">
        <v>165</v>
      </c>
      <c r="BB32" s="1237">
        <v>2014</v>
      </c>
      <c r="BC32" s="1236" t="s">
        <v>285</v>
      </c>
      <c r="BD32" s="1236">
        <v>10</v>
      </c>
      <c r="BE32" s="1238">
        <v>153082446</v>
      </c>
      <c r="BF32" s="1239">
        <v>4.2000000000000003E-2</v>
      </c>
      <c r="BG32" s="1236"/>
      <c r="BH32" s="1236" t="s">
        <v>165</v>
      </c>
      <c r="BI32" s="1236" t="s">
        <v>293</v>
      </c>
      <c r="BJ32" s="1236" t="s">
        <v>285</v>
      </c>
      <c r="BK32" s="1236">
        <v>10</v>
      </c>
      <c r="BL32" s="1238">
        <v>168803110</v>
      </c>
      <c r="BM32" s="1239">
        <v>0.04</v>
      </c>
      <c r="BN32" s="1236">
        <v>2014</v>
      </c>
      <c r="BO32" s="1189"/>
      <c r="BP32" s="174"/>
      <c r="BQ32" s="174"/>
      <c r="BR32" s="174"/>
      <c r="BS32" s="174"/>
      <c r="BT32" s="174"/>
      <c r="BU32" s="174"/>
      <c r="BV32" s="174"/>
      <c r="BW32" s="174"/>
      <c r="BX32" s="174"/>
    </row>
    <row r="33" spans="1:76" s="152" customFormat="1" ht="15" customHeight="1" x14ac:dyDescent="0.25">
      <c r="A33" s="152">
        <f t="shared" si="0"/>
        <v>1972</v>
      </c>
      <c r="B33" s="152" t="str">
        <f t="shared" si="1"/>
        <v>1972-73</v>
      </c>
      <c r="C33" s="153">
        <v>26604</v>
      </c>
      <c r="D33" s="154"/>
      <c r="E33" s="155"/>
      <c r="F33" s="155"/>
      <c r="G33" s="155"/>
      <c r="H33" s="155"/>
      <c r="I33" s="156">
        <v>52.82118621</v>
      </c>
      <c r="J33" s="156">
        <v>62.91</v>
      </c>
      <c r="K33" s="157"/>
      <c r="L33" s="158"/>
      <c r="M33" s="159"/>
      <c r="N33" s="159"/>
      <c r="O33" s="160"/>
      <c r="P33" s="160"/>
      <c r="Q33" s="160"/>
      <c r="R33" s="160"/>
      <c r="S33" s="160"/>
      <c r="T33" s="160"/>
      <c r="U33" s="161"/>
      <c r="V33" s="161"/>
      <c r="W33" s="161"/>
      <c r="X33" s="161"/>
      <c r="Y33" s="162"/>
      <c r="Z33" s="162"/>
      <c r="AA33" s="162"/>
      <c r="AB33" s="162"/>
      <c r="AC33" s="163"/>
      <c r="AD33" s="163"/>
      <c r="AE33" s="163"/>
      <c r="AF33" s="163"/>
      <c r="AG33" s="163"/>
      <c r="AH33" s="163"/>
      <c r="AI33" s="163"/>
      <c r="AJ33" s="163"/>
      <c r="AK33" s="164"/>
      <c r="AL33" s="165"/>
      <c r="AM33" s="164"/>
      <c r="AN33" s="166"/>
      <c r="AO33" s="164"/>
      <c r="AP33" s="164"/>
      <c r="AS33" s="167"/>
      <c r="AT33" s="1170"/>
      <c r="AU33" s="1171"/>
      <c r="AV33" s="1171"/>
      <c r="AW33" s="1172"/>
      <c r="AX33" s="1172"/>
      <c r="AY33" s="1172"/>
      <c r="AZ33" s="1172"/>
      <c r="BA33" s="1236" t="s">
        <v>165</v>
      </c>
      <c r="BB33" s="1237">
        <v>2014</v>
      </c>
      <c r="BC33" s="1236" t="s">
        <v>291</v>
      </c>
      <c r="BD33" s="1236"/>
      <c r="BE33" s="1238">
        <v>272089657</v>
      </c>
      <c r="BF33" s="1239">
        <v>7.4999999999999997E-2</v>
      </c>
      <c r="BG33" s="1236"/>
      <c r="BH33" s="1236" t="s">
        <v>165</v>
      </c>
      <c r="BI33" s="1236" t="s">
        <v>293</v>
      </c>
      <c r="BJ33" s="1236" t="s">
        <v>291</v>
      </c>
      <c r="BK33" s="1236"/>
      <c r="BL33" s="1238">
        <v>435642186</v>
      </c>
      <c r="BM33" s="1239">
        <v>0.10299999999999999</v>
      </c>
      <c r="BN33" s="1236">
        <v>2014</v>
      </c>
      <c r="BO33" s="1189"/>
      <c r="BP33" s="174"/>
      <c r="BQ33" s="174"/>
      <c r="BR33" s="174"/>
      <c r="BS33" s="174"/>
      <c r="BT33" s="174"/>
      <c r="BU33" s="174"/>
      <c r="BV33" s="174"/>
      <c r="BW33" s="174"/>
      <c r="BX33" s="174"/>
    </row>
    <row r="34" spans="1:76" s="152" customFormat="1" ht="15" customHeight="1" x14ac:dyDescent="0.25">
      <c r="A34" s="152">
        <f t="shared" si="0"/>
        <v>1972</v>
      </c>
      <c r="B34" s="152" t="str">
        <f t="shared" si="1"/>
        <v>1972-73</v>
      </c>
      <c r="C34" s="153">
        <v>26634</v>
      </c>
      <c r="D34" s="169"/>
      <c r="E34" s="170"/>
      <c r="F34" s="170"/>
      <c r="G34" s="170"/>
      <c r="H34" s="170"/>
      <c r="I34" s="169">
        <v>50.125507739999996</v>
      </c>
      <c r="J34" s="169">
        <v>63.91</v>
      </c>
      <c r="K34" s="169"/>
      <c r="L34" s="170"/>
      <c r="M34" s="170"/>
      <c r="N34" s="170"/>
      <c r="O34" s="169"/>
      <c r="P34" s="169"/>
      <c r="Q34" s="169"/>
      <c r="R34" s="169"/>
      <c r="S34" s="169"/>
      <c r="T34" s="169"/>
      <c r="U34" s="170"/>
      <c r="V34" s="170"/>
      <c r="W34" s="170"/>
      <c r="X34" s="170"/>
      <c r="Y34" s="170"/>
      <c r="Z34" s="170"/>
      <c r="AA34" s="170"/>
      <c r="AB34" s="170"/>
      <c r="AC34" s="170"/>
      <c r="AD34" s="170"/>
      <c r="AE34" s="170"/>
      <c r="AF34" s="170"/>
      <c r="AG34" s="170"/>
      <c r="AH34" s="170"/>
      <c r="AI34" s="170"/>
      <c r="AJ34" s="170"/>
      <c r="AK34" s="170"/>
      <c r="AL34" s="171"/>
      <c r="AM34" s="170"/>
      <c r="AN34" s="172"/>
      <c r="AO34" s="170"/>
      <c r="AP34" s="170"/>
      <c r="AS34" s="167"/>
      <c r="AT34" s="1170"/>
      <c r="AU34" s="1171"/>
      <c r="AV34" s="1171"/>
      <c r="AW34" s="1172"/>
      <c r="AX34" s="1172"/>
      <c r="AY34" s="1172"/>
      <c r="AZ34" s="1172"/>
      <c r="BA34" s="1236" t="s">
        <v>165</v>
      </c>
      <c r="BB34" s="1237">
        <v>2014</v>
      </c>
      <c r="BC34" s="1236" t="s">
        <v>292</v>
      </c>
      <c r="BD34" s="1236"/>
      <c r="BE34" s="1238">
        <v>3625139945</v>
      </c>
      <c r="BF34" s="1239">
        <v>1</v>
      </c>
      <c r="BG34" s="1236"/>
      <c r="BH34" s="1236" t="s">
        <v>165</v>
      </c>
      <c r="BI34" s="1236" t="s">
        <v>293</v>
      </c>
      <c r="BJ34" s="1236" t="s">
        <v>292</v>
      </c>
      <c r="BK34" s="1236"/>
      <c r="BL34" s="1238">
        <v>4219165433</v>
      </c>
      <c r="BM34" s="1239"/>
      <c r="BN34" s="1236">
        <v>2014</v>
      </c>
      <c r="BO34" s="1189"/>
      <c r="BP34" s="174"/>
      <c r="BQ34" s="174"/>
      <c r="BR34" s="174"/>
      <c r="BS34" s="174"/>
      <c r="BT34" s="174"/>
      <c r="BU34" s="174"/>
      <c r="BV34" s="174"/>
      <c r="BW34" s="174"/>
      <c r="BX34" s="174"/>
    </row>
    <row r="35" spans="1:76" s="152" customFormat="1" ht="15" customHeight="1" x14ac:dyDescent="0.25">
      <c r="A35" s="152">
        <f t="shared" si="0"/>
        <v>1973</v>
      </c>
      <c r="B35" s="152" t="str">
        <f t="shared" si="1"/>
        <v>1972-73</v>
      </c>
      <c r="C35" s="153">
        <v>26665</v>
      </c>
      <c r="D35" s="154"/>
      <c r="E35" s="155"/>
      <c r="F35" s="155"/>
      <c r="G35" s="155"/>
      <c r="H35" s="155"/>
      <c r="I35" s="156">
        <v>51.09021396</v>
      </c>
      <c r="J35" s="156">
        <v>65.14</v>
      </c>
      <c r="K35" s="157"/>
      <c r="L35" s="158"/>
      <c r="M35" s="159"/>
      <c r="N35" s="159"/>
      <c r="O35" s="160"/>
      <c r="P35" s="160"/>
      <c r="Q35" s="160"/>
      <c r="R35" s="160"/>
      <c r="S35" s="160"/>
      <c r="T35" s="160"/>
      <c r="U35" s="161"/>
      <c r="V35" s="161"/>
      <c r="W35" s="161"/>
      <c r="X35" s="161"/>
      <c r="Y35" s="162"/>
      <c r="Z35" s="162"/>
      <c r="AA35" s="162"/>
      <c r="AB35" s="162"/>
      <c r="AC35" s="163"/>
      <c r="AD35" s="163"/>
      <c r="AE35" s="163"/>
      <c r="AF35" s="163"/>
      <c r="AG35" s="163"/>
      <c r="AH35" s="163"/>
      <c r="AI35" s="163"/>
      <c r="AJ35" s="163"/>
      <c r="AK35" s="164"/>
      <c r="AL35" s="165"/>
      <c r="AM35" s="164"/>
      <c r="AN35" s="166"/>
      <c r="AO35" s="164"/>
      <c r="AP35" s="164"/>
      <c r="AS35" s="167"/>
      <c r="AT35" s="1170"/>
      <c r="AU35" s="1171"/>
      <c r="AV35" s="1171"/>
      <c r="AW35" s="1172"/>
      <c r="AX35" s="1172"/>
      <c r="AY35" s="1172"/>
      <c r="AZ35" s="1172"/>
      <c r="BA35" s="1236" t="s">
        <v>165</v>
      </c>
      <c r="BB35" s="1237">
        <v>2013</v>
      </c>
      <c r="BC35" s="1236" t="s">
        <v>279</v>
      </c>
      <c r="BD35" s="1236">
        <v>1</v>
      </c>
      <c r="BE35" s="1238">
        <v>655295504</v>
      </c>
      <c r="BF35" s="1239">
        <v>0.182</v>
      </c>
      <c r="BG35" s="1236"/>
      <c r="BH35" s="1236" t="s">
        <v>165</v>
      </c>
      <c r="BI35" s="1236" t="s">
        <v>294</v>
      </c>
      <c r="BJ35" s="1236" t="s">
        <v>279</v>
      </c>
      <c r="BK35" s="1236">
        <v>1</v>
      </c>
      <c r="BL35" s="1238">
        <v>620027344</v>
      </c>
      <c r="BM35" s="1239">
        <v>0.183</v>
      </c>
      <c r="BN35" s="1236">
        <v>2013</v>
      </c>
      <c r="BO35" s="1189"/>
      <c r="BP35" s="174"/>
      <c r="BQ35" s="174"/>
      <c r="BR35" s="174"/>
      <c r="BS35" s="174"/>
      <c r="BT35" s="174"/>
      <c r="BU35" s="174"/>
      <c r="BV35" s="174"/>
      <c r="BW35" s="174"/>
      <c r="BX35" s="174"/>
    </row>
    <row r="36" spans="1:76" s="152" customFormat="1" ht="15" customHeight="1" x14ac:dyDescent="0.25">
      <c r="A36" s="152">
        <f t="shared" si="0"/>
        <v>1973</v>
      </c>
      <c r="B36" s="152" t="str">
        <f t="shared" si="1"/>
        <v>1972-73</v>
      </c>
      <c r="C36" s="153">
        <v>26696</v>
      </c>
      <c r="D36" s="169"/>
      <c r="E36" s="170"/>
      <c r="F36" s="170"/>
      <c r="G36" s="170"/>
      <c r="H36" s="170"/>
      <c r="I36" s="169">
        <v>52.364127200000006</v>
      </c>
      <c r="J36" s="169">
        <v>74.2</v>
      </c>
      <c r="K36" s="169"/>
      <c r="L36" s="170"/>
      <c r="M36" s="170"/>
      <c r="N36" s="170"/>
      <c r="O36" s="169"/>
      <c r="P36" s="169"/>
      <c r="Q36" s="169"/>
      <c r="R36" s="169"/>
      <c r="S36" s="169"/>
      <c r="T36" s="169"/>
      <c r="U36" s="170"/>
      <c r="V36" s="170"/>
      <c r="W36" s="170"/>
      <c r="X36" s="170"/>
      <c r="Y36" s="170"/>
      <c r="Z36" s="170"/>
      <c r="AA36" s="170"/>
      <c r="AB36" s="170"/>
      <c r="AC36" s="170"/>
      <c r="AD36" s="170"/>
      <c r="AE36" s="170"/>
      <c r="AF36" s="170"/>
      <c r="AG36" s="170"/>
      <c r="AH36" s="170"/>
      <c r="AI36" s="170"/>
      <c r="AJ36" s="170"/>
      <c r="AK36" s="170"/>
      <c r="AL36" s="171"/>
      <c r="AM36" s="170"/>
      <c r="AN36" s="172"/>
      <c r="AO36" s="170"/>
      <c r="AP36" s="170"/>
      <c r="AS36" s="167"/>
      <c r="AT36" s="1170"/>
      <c r="AU36" s="1171"/>
      <c r="AV36" s="1171"/>
      <c r="AW36" s="1172"/>
      <c r="AX36" s="1172"/>
      <c r="AY36" s="1172"/>
      <c r="AZ36" s="1172"/>
      <c r="BA36" s="1236" t="s">
        <v>165</v>
      </c>
      <c r="BB36" s="1237">
        <v>2013</v>
      </c>
      <c r="BC36" s="1236" t="s">
        <v>281</v>
      </c>
      <c r="BD36" s="1236">
        <v>2</v>
      </c>
      <c r="BE36" s="1238">
        <v>602893544</v>
      </c>
      <c r="BF36" s="1239">
        <v>0.16700000000000001</v>
      </c>
      <c r="BG36" s="1236"/>
      <c r="BH36" s="1236" t="s">
        <v>165</v>
      </c>
      <c r="BI36" s="1236" t="s">
        <v>294</v>
      </c>
      <c r="BJ36" s="1236" t="s">
        <v>281</v>
      </c>
      <c r="BK36" s="1236">
        <v>2</v>
      </c>
      <c r="BL36" s="1238">
        <v>595991097</v>
      </c>
      <c r="BM36" s="1239">
        <v>0.17599999999999999</v>
      </c>
      <c r="BN36" s="1236">
        <v>2013</v>
      </c>
      <c r="BO36" s="1189"/>
      <c r="BP36" s="174"/>
      <c r="BQ36" s="174"/>
      <c r="BR36" s="174"/>
      <c r="BS36" s="174"/>
      <c r="BT36" s="174"/>
      <c r="BU36" s="174"/>
      <c r="BV36" s="174"/>
      <c r="BW36" s="174"/>
      <c r="BX36" s="174"/>
    </row>
    <row r="37" spans="1:76" s="152" customFormat="1" ht="15" customHeight="1" x14ac:dyDescent="0.25">
      <c r="A37" s="152">
        <f t="shared" si="0"/>
        <v>1973</v>
      </c>
      <c r="B37" s="152" t="str">
        <f t="shared" si="1"/>
        <v>1972-73</v>
      </c>
      <c r="C37" s="153">
        <v>26724</v>
      </c>
      <c r="D37" s="154"/>
      <c r="E37" s="155"/>
      <c r="F37" s="155"/>
      <c r="G37" s="155"/>
      <c r="H37" s="155"/>
      <c r="I37" s="156">
        <v>59.603329850032083</v>
      </c>
      <c r="J37" s="156">
        <v>84.457954545500002</v>
      </c>
      <c r="K37" s="157"/>
      <c r="L37" s="158"/>
      <c r="M37" s="159"/>
      <c r="N37" s="159"/>
      <c r="O37" s="160"/>
      <c r="P37" s="160"/>
      <c r="Q37" s="160"/>
      <c r="R37" s="160"/>
      <c r="S37" s="160"/>
      <c r="T37" s="160"/>
      <c r="U37" s="161"/>
      <c r="V37" s="161"/>
      <c r="W37" s="161"/>
      <c r="X37" s="161"/>
      <c r="Y37" s="162"/>
      <c r="Z37" s="162"/>
      <c r="AA37" s="162"/>
      <c r="AB37" s="162"/>
      <c r="AC37" s="163"/>
      <c r="AD37" s="163"/>
      <c r="AE37" s="163"/>
      <c r="AF37" s="163"/>
      <c r="AG37" s="163"/>
      <c r="AH37" s="163"/>
      <c r="AI37" s="163"/>
      <c r="AJ37" s="163"/>
      <c r="AK37" s="164"/>
      <c r="AL37" s="165"/>
      <c r="AM37" s="164"/>
      <c r="AN37" s="166"/>
      <c r="AO37" s="164"/>
      <c r="AP37" s="164"/>
      <c r="AS37" s="167"/>
      <c r="AT37" s="1170"/>
      <c r="AU37" s="1171"/>
      <c r="AV37" s="1171"/>
      <c r="AW37" s="1172"/>
      <c r="AX37" s="1172"/>
      <c r="AY37" s="1172"/>
      <c r="AZ37" s="1172"/>
      <c r="BA37" s="1236" t="s">
        <v>165</v>
      </c>
      <c r="BB37" s="1237">
        <v>2013</v>
      </c>
      <c r="BC37" s="1236" t="s">
        <v>282</v>
      </c>
      <c r="BD37" s="1236">
        <v>3</v>
      </c>
      <c r="BE37" s="1238">
        <v>438172534</v>
      </c>
      <c r="BF37" s="1239">
        <v>0.122</v>
      </c>
      <c r="BG37" s="1236"/>
      <c r="BH37" s="1236" t="s">
        <v>165</v>
      </c>
      <c r="BI37" s="1236" t="s">
        <v>294</v>
      </c>
      <c r="BJ37" s="1236" t="s">
        <v>283</v>
      </c>
      <c r="BK37" s="1236">
        <v>3</v>
      </c>
      <c r="BL37" s="1238">
        <v>428744165</v>
      </c>
      <c r="BM37" s="1239">
        <v>0.127</v>
      </c>
      <c r="BN37" s="1236">
        <v>2013</v>
      </c>
      <c r="BO37" s="1189"/>
      <c r="BP37" s="174"/>
      <c r="BQ37" s="174"/>
      <c r="BR37" s="174"/>
      <c r="BS37" s="174"/>
      <c r="BT37" s="174"/>
      <c r="BU37" s="174"/>
      <c r="BV37" s="174"/>
      <c r="BW37" s="174"/>
      <c r="BX37" s="174"/>
    </row>
    <row r="38" spans="1:76" s="152" customFormat="1" ht="15" customHeight="1" x14ac:dyDescent="0.25">
      <c r="A38" s="152">
        <f t="shared" si="0"/>
        <v>1973</v>
      </c>
      <c r="B38" s="152" t="str">
        <f t="shared" si="1"/>
        <v>1972-73</v>
      </c>
      <c r="C38" s="153">
        <v>26756</v>
      </c>
      <c r="D38" s="169"/>
      <c r="E38" s="170"/>
      <c r="F38" s="170"/>
      <c r="G38" s="170"/>
      <c r="H38" s="170"/>
      <c r="I38" s="169">
        <v>63.873798015778327</v>
      </c>
      <c r="J38" s="169">
        <v>90.509210526299995</v>
      </c>
      <c r="K38" s="169"/>
      <c r="L38" s="170"/>
      <c r="M38" s="170"/>
      <c r="N38" s="170"/>
      <c r="O38" s="169"/>
      <c r="P38" s="169"/>
      <c r="Q38" s="169"/>
      <c r="R38" s="169"/>
      <c r="S38" s="169"/>
      <c r="T38" s="169"/>
      <c r="U38" s="170"/>
      <c r="V38" s="170"/>
      <c r="W38" s="170"/>
      <c r="X38" s="170"/>
      <c r="Y38" s="170"/>
      <c r="Z38" s="170"/>
      <c r="AA38" s="170"/>
      <c r="AB38" s="170"/>
      <c r="AC38" s="170"/>
      <c r="AD38" s="170"/>
      <c r="AE38" s="170"/>
      <c r="AF38" s="170"/>
      <c r="AG38" s="170"/>
      <c r="AH38" s="170"/>
      <c r="AI38" s="170"/>
      <c r="AJ38" s="170"/>
      <c r="AK38" s="170"/>
      <c r="AL38" s="171"/>
      <c r="AM38" s="170"/>
      <c r="AN38" s="172"/>
      <c r="AO38" s="170"/>
      <c r="AP38" s="170"/>
      <c r="AS38" s="167"/>
      <c r="AT38" s="1170"/>
      <c r="AU38" s="1171"/>
      <c r="AV38" s="1171"/>
      <c r="AW38" s="1172"/>
      <c r="AX38" s="1172"/>
      <c r="AY38" s="1172"/>
      <c r="AZ38" s="1172"/>
      <c r="BA38" s="1236" t="s">
        <v>165</v>
      </c>
      <c r="BB38" s="1237">
        <v>2013</v>
      </c>
      <c r="BC38" s="1236" t="s">
        <v>283</v>
      </c>
      <c r="BD38" s="1236">
        <v>4</v>
      </c>
      <c r="BE38" s="1238">
        <v>431711055</v>
      </c>
      <c r="BF38" s="1239">
        <v>0.12</v>
      </c>
      <c r="BG38" s="1236"/>
      <c r="BH38" s="1236" t="s">
        <v>165</v>
      </c>
      <c r="BI38" s="1236" t="s">
        <v>294</v>
      </c>
      <c r="BJ38" s="1236" t="s">
        <v>282</v>
      </c>
      <c r="BK38" s="1236">
        <v>4</v>
      </c>
      <c r="BL38" s="1238">
        <v>410494059</v>
      </c>
      <c r="BM38" s="1239">
        <v>0.121</v>
      </c>
      <c r="BN38" s="1236">
        <v>2013</v>
      </c>
      <c r="BO38" s="1189"/>
      <c r="BP38" s="174"/>
      <c r="BQ38" s="174"/>
      <c r="BR38" s="174"/>
      <c r="BS38" s="174"/>
      <c r="BT38" s="174"/>
      <c r="BU38" s="174"/>
      <c r="BV38" s="174"/>
      <c r="BW38" s="174"/>
      <c r="BX38" s="174"/>
    </row>
    <row r="39" spans="1:76" s="152" customFormat="1" ht="15" customHeight="1" x14ac:dyDescent="0.25">
      <c r="A39" s="152">
        <f t="shared" si="0"/>
        <v>1973</v>
      </c>
      <c r="B39" s="152" t="str">
        <f t="shared" si="1"/>
        <v>1972-73</v>
      </c>
      <c r="C39" s="153">
        <v>26785</v>
      </c>
      <c r="D39" s="154"/>
      <c r="E39" s="155"/>
      <c r="F39" s="155"/>
      <c r="G39" s="155"/>
      <c r="H39" s="155"/>
      <c r="I39" s="156">
        <v>72.379997250000002</v>
      </c>
      <c r="J39" s="156">
        <v>102.5625</v>
      </c>
      <c r="K39" s="157"/>
      <c r="L39" s="158"/>
      <c r="M39" s="159"/>
      <c r="N39" s="159"/>
      <c r="O39" s="160"/>
      <c r="P39" s="160"/>
      <c r="Q39" s="160"/>
      <c r="R39" s="160"/>
      <c r="S39" s="160"/>
      <c r="T39" s="160"/>
      <c r="U39" s="161"/>
      <c r="V39" s="161"/>
      <c r="W39" s="161"/>
      <c r="X39" s="161"/>
      <c r="Y39" s="162"/>
      <c r="Z39" s="162"/>
      <c r="AA39" s="162"/>
      <c r="AB39" s="162"/>
      <c r="AC39" s="163"/>
      <c r="AD39" s="163"/>
      <c r="AE39" s="163"/>
      <c r="AF39" s="163"/>
      <c r="AG39" s="163"/>
      <c r="AH39" s="163"/>
      <c r="AI39" s="163"/>
      <c r="AJ39" s="163"/>
      <c r="AK39" s="164"/>
      <c r="AL39" s="165"/>
      <c r="AM39" s="164"/>
      <c r="AN39" s="166"/>
      <c r="AO39" s="164"/>
      <c r="AP39" s="164"/>
      <c r="AS39" s="167"/>
      <c r="AT39" s="1170"/>
      <c r="AU39" s="1171"/>
      <c r="AV39" s="1171"/>
      <c r="AW39" s="1172"/>
      <c r="AX39" s="1172"/>
      <c r="AY39" s="1172"/>
      <c r="AZ39" s="1172"/>
      <c r="BA39" s="1236" t="s">
        <v>165</v>
      </c>
      <c r="BB39" s="1237">
        <v>2013</v>
      </c>
      <c r="BC39" s="1236" t="s">
        <v>284</v>
      </c>
      <c r="BD39" s="1236">
        <v>5</v>
      </c>
      <c r="BE39" s="1238">
        <v>332391283</v>
      </c>
      <c r="BF39" s="1239">
        <v>9.1999999999999998E-2</v>
      </c>
      <c r="BG39" s="1236"/>
      <c r="BH39" s="1236" t="s">
        <v>165</v>
      </c>
      <c r="BI39" s="1236" t="s">
        <v>294</v>
      </c>
      <c r="BJ39" s="1236" t="s">
        <v>284</v>
      </c>
      <c r="BK39" s="1236">
        <v>5</v>
      </c>
      <c r="BL39" s="1238">
        <v>310453814</v>
      </c>
      <c r="BM39" s="1239">
        <v>9.1999999999999998E-2</v>
      </c>
      <c r="BN39" s="1236">
        <v>2013</v>
      </c>
      <c r="BO39" s="1189"/>
      <c r="BP39" s="174"/>
      <c r="BQ39" s="174"/>
      <c r="BR39" s="174"/>
      <c r="BS39" s="174"/>
      <c r="BT39" s="174"/>
      <c r="BU39" s="174"/>
      <c r="BV39" s="174"/>
      <c r="BW39" s="174"/>
      <c r="BX39" s="174"/>
    </row>
    <row r="40" spans="1:76" s="152" customFormat="1" ht="15" customHeight="1" x14ac:dyDescent="0.25">
      <c r="A40" s="152">
        <f t="shared" si="0"/>
        <v>1973</v>
      </c>
      <c r="B40" s="152" t="str">
        <f t="shared" si="1"/>
        <v>1972-73</v>
      </c>
      <c r="C40" s="153">
        <v>26816</v>
      </c>
      <c r="D40" s="169"/>
      <c r="E40" s="170"/>
      <c r="F40" s="170"/>
      <c r="G40" s="170"/>
      <c r="H40" s="170"/>
      <c r="I40" s="169">
        <v>84.824542785694121</v>
      </c>
      <c r="J40" s="169">
        <v>120.19642857140001</v>
      </c>
      <c r="K40" s="169"/>
      <c r="L40" s="170"/>
      <c r="M40" s="170"/>
      <c r="N40" s="170"/>
      <c r="O40" s="169"/>
      <c r="P40" s="169"/>
      <c r="Q40" s="169"/>
      <c r="R40" s="169"/>
      <c r="S40" s="169"/>
      <c r="T40" s="169"/>
      <c r="U40" s="170"/>
      <c r="V40" s="170"/>
      <c r="W40" s="170"/>
      <c r="X40" s="170"/>
      <c r="Y40" s="170"/>
      <c r="Z40" s="170"/>
      <c r="AA40" s="170"/>
      <c r="AB40" s="170"/>
      <c r="AC40" s="170"/>
      <c r="AD40" s="170"/>
      <c r="AE40" s="170"/>
      <c r="AF40" s="170"/>
      <c r="AG40" s="170"/>
      <c r="AH40" s="170"/>
      <c r="AI40" s="170"/>
      <c r="AJ40" s="170"/>
      <c r="AK40" s="170"/>
      <c r="AL40" s="171"/>
      <c r="AM40" s="170"/>
      <c r="AN40" s="172"/>
      <c r="AO40" s="170"/>
      <c r="AP40" s="170"/>
      <c r="AS40" s="167"/>
      <c r="AT40" s="1170"/>
      <c r="AU40" s="1171"/>
      <c r="AV40" s="1171"/>
      <c r="AW40" s="1172"/>
      <c r="AX40" s="1172"/>
      <c r="AY40" s="1172"/>
      <c r="AZ40" s="1172"/>
      <c r="BA40" s="1236" t="s">
        <v>165</v>
      </c>
      <c r="BB40" s="1237">
        <v>2013</v>
      </c>
      <c r="BC40" s="1236" t="s">
        <v>287</v>
      </c>
      <c r="BD40" s="1236">
        <v>6</v>
      </c>
      <c r="BE40" s="1238">
        <v>321118019</v>
      </c>
      <c r="BF40" s="1239">
        <v>8.8999999999999996E-2</v>
      </c>
      <c r="BG40" s="1236"/>
      <c r="BH40" s="1236" t="s">
        <v>165</v>
      </c>
      <c r="BI40" s="1236" t="s">
        <v>294</v>
      </c>
      <c r="BJ40" s="1236" t="s">
        <v>290</v>
      </c>
      <c r="BK40" s="1236">
        <v>6</v>
      </c>
      <c r="BL40" s="1238">
        <v>217829272</v>
      </c>
      <c r="BM40" s="1239">
        <v>6.4000000000000001E-2</v>
      </c>
      <c r="BN40" s="1236">
        <v>2013</v>
      </c>
      <c r="BO40" s="1189"/>
      <c r="BP40" s="174"/>
      <c r="BQ40" s="174"/>
      <c r="BR40" s="174"/>
      <c r="BS40" s="174"/>
      <c r="BT40" s="174"/>
      <c r="BU40" s="174"/>
      <c r="BV40" s="174"/>
      <c r="BW40" s="174"/>
      <c r="BX40" s="174"/>
    </row>
    <row r="41" spans="1:76" s="152" customFormat="1" ht="15" customHeight="1" x14ac:dyDescent="0.25">
      <c r="A41" s="152">
        <f t="shared" si="0"/>
        <v>1973</v>
      </c>
      <c r="B41" s="152" t="str">
        <f t="shared" si="1"/>
        <v>1973-74</v>
      </c>
      <c r="C41" s="153">
        <v>26847</v>
      </c>
      <c r="D41" s="154"/>
      <c r="E41" s="155"/>
      <c r="F41" s="155"/>
      <c r="G41" s="155"/>
      <c r="H41" s="155"/>
      <c r="I41" s="156">
        <v>84.632151161898051</v>
      </c>
      <c r="J41" s="156">
        <v>119.9238095238</v>
      </c>
      <c r="K41" s="157"/>
      <c r="L41" s="158"/>
      <c r="M41" s="159"/>
      <c r="N41" s="159"/>
      <c r="O41" s="160"/>
      <c r="P41" s="160"/>
      <c r="Q41" s="160"/>
      <c r="R41" s="160"/>
      <c r="S41" s="160"/>
      <c r="T41" s="160"/>
      <c r="U41" s="161"/>
      <c r="V41" s="161"/>
      <c r="W41" s="161"/>
      <c r="X41" s="161"/>
      <c r="Y41" s="162"/>
      <c r="Z41" s="162"/>
      <c r="AA41" s="162"/>
      <c r="AB41" s="162"/>
      <c r="AC41" s="163"/>
      <c r="AD41" s="163"/>
      <c r="AE41" s="163"/>
      <c r="AF41" s="163"/>
      <c r="AG41" s="163"/>
      <c r="AH41" s="163"/>
      <c r="AI41" s="163"/>
      <c r="AJ41" s="163"/>
      <c r="AK41" s="164"/>
      <c r="AL41" s="165"/>
      <c r="AM41" s="164"/>
      <c r="AN41" s="166"/>
      <c r="AO41" s="164"/>
      <c r="AP41" s="164"/>
      <c r="AS41" s="167"/>
      <c r="AT41" s="1170"/>
      <c r="AU41" s="1171"/>
      <c r="AV41" s="1171"/>
      <c r="AW41" s="1172"/>
      <c r="AX41" s="1172"/>
      <c r="AY41" s="1172"/>
      <c r="AZ41" s="1172"/>
      <c r="BA41" s="1236" t="s">
        <v>165</v>
      </c>
      <c r="BB41" s="1237">
        <v>2013</v>
      </c>
      <c r="BC41" s="1236" t="s">
        <v>286</v>
      </c>
      <c r="BD41" s="1236">
        <v>7</v>
      </c>
      <c r="BE41" s="1238">
        <v>180640631</v>
      </c>
      <c r="BF41" s="1239">
        <v>0.05</v>
      </c>
      <c r="BG41" s="1236"/>
      <c r="BH41" s="1236" t="s">
        <v>165</v>
      </c>
      <c r="BI41" s="1236" t="s">
        <v>294</v>
      </c>
      <c r="BJ41" s="1236" t="s">
        <v>286</v>
      </c>
      <c r="BK41" s="1236">
        <v>7</v>
      </c>
      <c r="BL41" s="1238">
        <v>185122554</v>
      </c>
      <c r="BM41" s="1239">
        <v>5.5E-2</v>
      </c>
      <c r="BN41" s="1236">
        <v>2013</v>
      </c>
      <c r="BO41" s="1189"/>
      <c r="BP41" s="174"/>
      <c r="BQ41" s="174"/>
      <c r="BR41" s="174"/>
      <c r="BS41" s="174"/>
      <c r="BT41" s="174"/>
      <c r="BU41" s="174"/>
      <c r="BV41" s="174"/>
      <c r="BW41" s="174"/>
      <c r="BX41" s="174"/>
    </row>
    <row r="42" spans="1:76" s="152" customFormat="1" ht="15" customHeight="1" x14ac:dyDescent="0.25">
      <c r="A42" s="152">
        <f t="shared" si="0"/>
        <v>1973</v>
      </c>
      <c r="B42" s="152" t="str">
        <f t="shared" si="1"/>
        <v>1973-74</v>
      </c>
      <c r="C42" s="153">
        <v>26877</v>
      </c>
      <c r="D42" s="169"/>
      <c r="E42" s="170"/>
      <c r="F42" s="170"/>
      <c r="G42" s="170"/>
      <c r="H42" s="170"/>
      <c r="I42" s="169">
        <v>75.217563666643144</v>
      </c>
      <c r="J42" s="169">
        <v>106.5833333333</v>
      </c>
      <c r="K42" s="169"/>
      <c r="L42" s="170"/>
      <c r="M42" s="170"/>
      <c r="N42" s="170"/>
      <c r="O42" s="169"/>
      <c r="P42" s="169"/>
      <c r="Q42" s="169"/>
      <c r="R42" s="169"/>
      <c r="S42" s="169"/>
      <c r="T42" s="169"/>
      <c r="U42" s="170"/>
      <c r="V42" s="170"/>
      <c r="W42" s="170"/>
      <c r="X42" s="170"/>
      <c r="Y42" s="170"/>
      <c r="Z42" s="170"/>
      <c r="AA42" s="170"/>
      <c r="AB42" s="170"/>
      <c r="AC42" s="170"/>
      <c r="AD42" s="170"/>
      <c r="AE42" s="170"/>
      <c r="AF42" s="170"/>
      <c r="AG42" s="170"/>
      <c r="AH42" s="170"/>
      <c r="AI42" s="170"/>
      <c r="AJ42" s="170"/>
      <c r="AK42" s="170"/>
      <c r="AL42" s="171"/>
      <c r="AM42" s="170"/>
      <c r="AN42" s="172"/>
      <c r="AO42" s="170"/>
      <c r="AP42" s="170"/>
      <c r="AS42" s="167"/>
      <c r="AT42" s="1170"/>
      <c r="AU42" s="1171"/>
      <c r="AV42" s="1171"/>
      <c r="AW42" s="1172"/>
      <c r="AX42" s="1172"/>
      <c r="AY42" s="1172"/>
      <c r="AZ42" s="1172"/>
      <c r="BA42" s="1236" t="s">
        <v>165</v>
      </c>
      <c r="BB42" s="1237">
        <v>2013</v>
      </c>
      <c r="BC42" s="1236" t="s">
        <v>288</v>
      </c>
      <c r="BD42" s="1236">
        <v>8</v>
      </c>
      <c r="BE42" s="1238">
        <v>137961914</v>
      </c>
      <c r="BF42" s="1239">
        <v>3.7999999999999999E-2</v>
      </c>
      <c r="BG42" s="1236"/>
      <c r="BH42" s="1236" t="s">
        <v>165</v>
      </c>
      <c r="BI42" s="1236" t="s">
        <v>294</v>
      </c>
      <c r="BJ42" s="1236" t="s">
        <v>287</v>
      </c>
      <c r="BK42" s="1236">
        <v>8</v>
      </c>
      <c r="BL42" s="1238">
        <v>160918742</v>
      </c>
      <c r="BM42" s="1239">
        <v>4.8000000000000001E-2</v>
      </c>
      <c r="BN42" s="1236">
        <v>2013</v>
      </c>
      <c r="BO42" s="1189"/>
      <c r="BP42" s="174"/>
      <c r="BQ42" s="174"/>
      <c r="BR42" s="174"/>
      <c r="BS42" s="174"/>
      <c r="BT42" s="174"/>
      <c r="BU42" s="174"/>
      <c r="BV42" s="174"/>
      <c r="BW42" s="174"/>
      <c r="BX42" s="174"/>
    </row>
    <row r="43" spans="1:76" s="152" customFormat="1" ht="15" customHeight="1" x14ac:dyDescent="0.25">
      <c r="A43" s="152">
        <f t="shared" si="0"/>
        <v>1973</v>
      </c>
      <c r="B43" s="152" t="str">
        <f t="shared" si="1"/>
        <v>1973-74</v>
      </c>
      <c r="C43" s="153">
        <v>26910</v>
      </c>
      <c r="D43" s="154"/>
      <c r="E43" s="155"/>
      <c r="F43" s="155"/>
      <c r="G43" s="155"/>
      <c r="H43" s="155"/>
      <c r="I43" s="156">
        <v>68.905869853943827</v>
      </c>
      <c r="J43" s="156">
        <v>102.66973684209999</v>
      </c>
      <c r="K43" s="157"/>
      <c r="L43" s="158"/>
      <c r="M43" s="159"/>
      <c r="N43" s="159"/>
      <c r="O43" s="160"/>
      <c r="P43" s="160"/>
      <c r="Q43" s="160"/>
      <c r="R43" s="160"/>
      <c r="S43" s="160"/>
      <c r="T43" s="160"/>
      <c r="U43" s="161"/>
      <c r="V43" s="161"/>
      <c r="W43" s="161"/>
      <c r="X43" s="161"/>
      <c r="Y43" s="162"/>
      <c r="Z43" s="162"/>
      <c r="AA43" s="162"/>
      <c r="AB43" s="162"/>
      <c r="AC43" s="163"/>
      <c r="AD43" s="163"/>
      <c r="AE43" s="163"/>
      <c r="AF43" s="163"/>
      <c r="AG43" s="163"/>
      <c r="AH43" s="163"/>
      <c r="AI43" s="163"/>
      <c r="AJ43" s="163"/>
      <c r="AK43" s="164"/>
      <c r="AL43" s="165"/>
      <c r="AM43" s="164"/>
      <c r="AN43" s="166"/>
      <c r="AO43" s="164"/>
      <c r="AP43" s="164"/>
      <c r="AS43" s="167"/>
      <c r="AT43" s="1170"/>
      <c r="AU43" s="1171"/>
      <c r="AV43" s="1171"/>
      <c r="AW43" s="1172"/>
      <c r="AX43" s="1172"/>
      <c r="AY43" s="1172"/>
      <c r="AZ43" s="1172"/>
      <c r="BA43" s="1236" t="s">
        <v>165</v>
      </c>
      <c r="BB43" s="1237">
        <v>2013</v>
      </c>
      <c r="BC43" s="1236" t="s">
        <v>290</v>
      </c>
      <c r="BD43" s="1236">
        <v>9</v>
      </c>
      <c r="BE43" s="1238">
        <v>131612007</v>
      </c>
      <c r="BF43" s="1239">
        <v>3.6999999999999998E-2</v>
      </c>
      <c r="BG43" s="1236"/>
      <c r="BH43" s="1236" t="s">
        <v>165</v>
      </c>
      <c r="BI43" s="1236" t="s">
        <v>294</v>
      </c>
      <c r="BJ43" s="1236" t="s">
        <v>288</v>
      </c>
      <c r="BK43" s="1236">
        <v>9</v>
      </c>
      <c r="BL43" s="1238">
        <v>149866353</v>
      </c>
      <c r="BM43" s="1239">
        <v>4.3999999999999997E-2</v>
      </c>
      <c r="BN43" s="1236">
        <v>2013</v>
      </c>
      <c r="BO43" s="1189"/>
      <c r="BP43" s="174"/>
      <c r="BQ43" s="174"/>
      <c r="BR43" s="174"/>
      <c r="BS43" s="174"/>
      <c r="BT43" s="174"/>
      <c r="BU43" s="174"/>
      <c r="BV43" s="174"/>
      <c r="BW43" s="174"/>
      <c r="BX43" s="174"/>
    </row>
    <row r="44" spans="1:76" s="152" customFormat="1" ht="15" customHeight="1" x14ac:dyDescent="0.25">
      <c r="A44" s="152">
        <f t="shared" si="0"/>
        <v>1973</v>
      </c>
      <c r="B44" s="152" t="str">
        <f t="shared" si="1"/>
        <v>1973-74</v>
      </c>
      <c r="C44" s="153">
        <v>26938</v>
      </c>
      <c r="D44" s="169"/>
      <c r="E44" s="170"/>
      <c r="F44" s="170"/>
      <c r="G44" s="170"/>
      <c r="H44" s="170"/>
      <c r="I44" s="169">
        <v>67.260547077191447</v>
      </c>
      <c r="J44" s="169">
        <v>100.08369565220001</v>
      </c>
      <c r="K44" s="169"/>
      <c r="L44" s="170"/>
      <c r="M44" s="170"/>
      <c r="N44" s="170"/>
      <c r="O44" s="169"/>
      <c r="P44" s="169"/>
      <c r="Q44" s="169"/>
      <c r="R44" s="169"/>
      <c r="S44" s="169"/>
      <c r="T44" s="169"/>
      <c r="U44" s="170"/>
      <c r="V44" s="170"/>
      <c r="W44" s="170"/>
      <c r="X44" s="170"/>
      <c r="Y44" s="170"/>
      <c r="Z44" s="170"/>
      <c r="AA44" s="170"/>
      <c r="AB44" s="170"/>
      <c r="AC44" s="170"/>
      <c r="AD44" s="170"/>
      <c r="AE44" s="170"/>
      <c r="AF44" s="170"/>
      <c r="AG44" s="170"/>
      <c r="AH44" s="170"/>
      <c r="AI44" s="170"/>
      <c r="AJ44" s="170"/>
      <c r="AK44" s="170"/>
      <c r="AL44" s="171"/>
      <c r="AM44" s="170"/>
      <c r="AN44" s="172"/>
      <c r="AO44" s="170"/>
      <c r="AP44" s="170"/>
      <c r="AS44" s="167"/>
      <c r="AT44" s="1170"/>
      <c r="AU44" s="1171"/>
      <c r="AV44" s="1171"/>
      <c r="AW44" s="1172"/>
      <c r="AX44" s="1172"/>
      <c r="AY44" s="1172"/>
      <c r="AZ44" s="1172"/>
      <c r="BA44" s="1236" t="s">
        <v>165</v>
      </c>
      <c r="BB44" s="1237">
        <v>2013</v>
      </c>
      <c r="BC44" s="1236" t="s">
        <v>289</v>
      </c>
      <c r="BD44" s="1236">
        <v>10</v>
      </c>
      <c r="BE44" s="1238">
        <v>93354264</v>
      </c>
      <c r="BF44" s="1239">
        <v>2.5999999999999999E-2</v>
      </c>
      <c r="BG44" s="1236"/>
      <c r="BH44" s="1236" t="s">
        <v>165</v>
      </c>
      <c r="BI44" s="1236" t="s">
        <v>294</v>
      </c>
      <c r="BJ44" s="1236" t="s">
        <v>285</v>
      </c>
      <c r="BK44" s="1236">
        <v>10</v>
      </c>
      <c r="BL44" s="1238">
        <v>94107146</v>
      </c>
      <c r="BM44" s="1239">
        <v>2.8000000000000001E-2</v>
      </c>
      <c r="BN44" s="1236">
        <v>2013</v>
      </c>
      <c r="BO44" s="1189"/>
      <c r="BP44" s="174"/>
      <c r="BQ44" s="174"/>
      <c r="BR44" s="174"/>
      <c r="BS44" s="174"/>
      <c r="BT44" s="174"/>
      <c r="BU44" s="174"/>
      <c r="BV44" s="174"/>
      <c r="BW44" s="174"/>
      <c r="BX44" s="174"/>
    </row>
    <row r="45" spans="1:76" s="152" customFormat="1" ht="15" customHeight="1" x14ac:dyDescent="0.25">
      <c r="A45" s="152">
        <f t="shared" si="0"/>
        <v>1973</v>
      </c>
      <c r="B45" s="152" t="str">
        <f t="shared" si="1"/>
        <v>1973-74</v>
      </c>
      <c r="C45" s="153">
        <v>26969</v>
      </c>
      <c r="D45" s="154"/>
      <c r="E45" s="155"/>
      <c r="F45" s="155"/>
      <c r="G45" s="155"/>
      <c r="H45" s="155"/>
      <c r="I45" s="156">
        <v>63.907803770225314</v>
      </c>
      <c r="J45" s="156">
        <v>95.222619047600006</v>
      </c>
      <c r="K45" s="157"/>
      <c r="L45" s="158"/>
      <c r="M45" s="159"/>
      <c r="N45" s="159"/>
      <c r="O45" s="160"/>
      <c r="P45" s="160"/>
      <c r="Q45" s="160"/>
      <c r="R45" s="160"/>
      <c r="S45" s="160"/>
      <c r="T45" s="160"/>
      <c r="U45" s="161"/>
      <c r="V45" s="161"/>
      <c r="W45" s="161"/>
      <c r="X45" s="161"/>
      <c r="Y45" s="162"/>
      <c r="Z45" s="162"/>
      <c r="AA45" s="162"/>
      <c r="AB45" s="162"/>
      <c r="AC45" s="163"/>
      <c r="AD45" s="163"/>
      <c r="AE45" s="163"/>
      <c r="AF45" s="163"/>
      <c r="AG45" s="163"/>
      <c r="AH45" s="163"/>
      <c r="AI45" s="163"/>
      <c r="AJ45" s="163"/>
      <c r="AK45" s="164"/>
      <c r="AL45" s="165"/>
      <c r="AM45" s="164"/>
      <c r="AN45" s="166"/>
      <c r="AO45" s="164"/>
      <c r="AP45" s="164"/>
      <c r="AS45" s="167"/>
      <c r="AT45" s="1170"/>
      <c r="AU45" s="1171"/>
      <c r="AV45" s="1171"/>
      <c r="AW45" s="1172"/>
      <c r="AX45" s="1172"/>
      <c r="AY45" s="1172"/>
      <c r="AZ45" s="1172"/>
      <c r="BA45" s="1236" t="s">
        <v>165</v>
      </c>
      <c r="BB45" s="1237">
        <v>2013</v>
      </c>
      <c r="BC45" s="1236" t="s">
        <v>291</v>
      </c>
      <c r="BD45" s="1236"/>
      <c r="BE45" s="1238">
        <v>274492227</v>
      </c>
      <c r="BF45" s="1239">
        <v>7.5999999999999998E-2</v>
      </c>
      <c r="BG45" s="1236"/>
      <c r="BH45" s="1236" t="s">
        <v>165</v>
      </c>
      <c r="BI45" s="1236" t="s">
        <v>294</v>
      </c>
      <c r="BJ45" s="1236" t="s">
        <v>291</v>
      </c>
      <c r="BK45" s="1236"/>
      <c r="BL45" s="1238">
        <v>213809811</v>
      </c>
      <c r="BM45" s="1239">
        <v>6.3E-2</v>
      </c>
      <c r="BN45" s="1236">
        <v>2013</v>
      </c>
      <c r="BO45" s="1189"/>
      <c r="BP45" s="174"/>
      <c r="BQ45" s="174"/>
      <c r="BR45" s="174"/>
      <c r="BS45" s="174"/>
      <c r="BT45" s="174"/>
      <c r="BU45" s="174"/>
      <c r="BV45" s="174"/>
      <c r="BW45" s="174"/>
      <c r="BX45" s="174"/>
    </row>
    <row r="46" spans="1:76" s="152" customFormat="1" ht="15" customHeight="1" x14ac:dyDescent="0.25">
      <c r="A46" s="152">
        <f t="shared" si="0"/>
        <v>1973</v>
      </c>
      <c r="B46" s="152" t="str">
        <f t="shared" si="1"/>
        <v>1973-74</v>
      </c>
      <c r="C46" s="153">
        <v>27001</v>
      </c>
      <c r="D46" s="169"/>
      <c r="E46" s="170"/>
      <c r="F46" s="170"/>
      <c r="G46" s="170"/>
      <c r="H46" s="170"/>
      <c r="I46" s="169">
        <v>71.738613652921401</v>
      </c>
      <c r="J46" s="169">
        <v>106.7470588235</v>
      </c>
      <c r="K46" s="169"/>
      <c r="L46" s="170"/>
      <c r="M46" s="170"/>
      <c r="N46" s="170"/>
      <c r="O46" s="169"/>
      <c r="P46" s="169"/>
      <c r="Q46" s="169"/>
      <c r="R46" s="169"/>
      <c r="S46" s="169"/>
      <c r="T46" s="169"/>
      <c r="U46" s="170"/>
      <c r="V46" s="170"/>
      <c r="W46" s="170"/>
      <c r="X46" s="170"/>
      <c r="Y46" s="170"/>
      <c r="Z46" s="170"/>
      <c r="AA46" s="170"/>
      <c r="AB46" s="170"/>
      <c r="AC46" s="170"/>
      <c r="AD46" s="170"/>
      <c r="AE46" s="170"/>
      <c r="AF46" s="170"/>
      <c r="AG46" s="170"/>
      <c r="AH46" s="170"/>
      <c r="AI46" s="170"/>
      <c r="AJ46" s="170"/>
      <c r="AK46" s="170"/>
      <c r="AL46" s="171"/>
      <c r="AM46" s="170"/>
      <c r="AN46" s="172"/>
      <c r="AO46" s="170"/>
      <c r="AP46" s="170"/>
      <c r="AS46" s="167"/>
      <c r="AT46" s="1170"/>
      <c r="AU46" s="1171"/>
      <c r="AV46" s="1171"/>
      <c r="AW46" s="1172"/>
      <c r="AX46" s="1172"/>
      <c r="AY46" s="1172"/>
      <c r="AZ46" s="1172"/>
      <c r="BA46" s="1236" t="s">
        <v>165</v>
      </c>
      <c r="BB46" s="1237">
        <v>2013</v>
      </c>
      <c r="BC46" s="1236" t="s">
        <v>292</v>
      </c>
      <c r="BD46" s="1236"/>
      <c r="BE46" s="1238">
        <v>3599642983</v>
      </c>
      <c r="BF46" s="1239">
        <v>1</v>
      </c>
      <c r="BG46" s="1236"/>
      <c r="BH46" s="1236" t="s">
        <v>165</v>
      </c>
      <c r="BI46" s="1236" t="s">
        <v>294</v>
      </c>
      <c r="BJ46" s="1236" t="s">
        <v>292</v>
      </c>
      <c r="BK46" s="1236"/>
      <c r="BL46" s="1238">
        <v>3387364358</v>
      </c>
      <c r="BM46" s="1239">
        <v>1</v>
      </c>
      <c r="BN46" s="1236">
        <v>2013</v>
      </c>
      <c r="BO46" s="1189"/>
      <c r="BP46" s="174"/>
      <c r="BQ46" s="174"/>
      <c r="BR46" s="174"/>
      <c r="BS46" s="174"/>
      <c r="BT46" s="174"/>
      <c r="BU46" s="174"/>
      <c r="BV46" s="174"/>
      <c r="BW46" s="174"/>
      <c r="BX46" s="174"/>
    </row>
    <row r="47" spans="1:76" s="152" customFormat="1" ht="15" customHeight="1" x14ac:dyDescent="0.25">
      <c r="A47" s="152">
        <f t="shared" si="0"/>
        <v>1974</v>
      </c>
      <c r="B47" s="152" t="str">
        <f t="shared" si="1"/>
        <v>1973-74</v>
      </c>
      <c r="C47" s="153">
        <v>27030</v>
      </c>
      <c r="D47" s="154"/>
      <c r="E47" s="155"/>
      <c r="F47" s="155"/>
      <c r="G47" s="155"/>
      <c r="H47" s="155"/>
      <c r="I47" s="156">
        <v>87.035677981824279</v>
      </c>
      <c r="J47" s="156">
        <v>129.5090909091</v>
      </c>
      <c r="K47" s="157"/>
      <c r="L47" s="158"/>
      <c r="M47" s="159"/>
      <c r="N47" s="159"/>
      <c r="O47" s="160"/>
      <c r="P47" s="160"/>
      <c r="Q47" s="160"/>
      <c r="R47" s="160"/>
      <c r="S47" s="160"/>
      <c r="T47" s="160"/>
      <c r="U47" s="161"/>
      <c r="V47" s="161"/>
      <c r="W47" s="161"/>
      <c r="X47" s="161"/>
      <c r="Y47" s="162"/>
      <c r="Z47" s="162"/>
      <c r="AA47" s="162"/>
      <c r="AB47" s="162"/>
      <c r="AC47" s="163"/>
      <c r="AD47" s="163"/>
      <c r="AE47" s="163"/>
      <c r="AF47" s="163"/>
      <c r="AG47" s="163"/>
      <c r="AH47" s="163"/>
      <c r="AI47" s="163"/>
      <c r="AJ47" s="163"/>
      <c r="AK47" s="164"/>
      <c r="AL47" s="165"/>
      <c r="AM47" s="164"/>
      <c r="AN47" s="166"/>
      <c r="AO47" s="164"/>
      <c r="AP47" s="164"/>
      <c r="AS47" s="167"/>
      <c r="AT47" s="1170"/>
      <c r="AU47" s="1171"/>
      <c r="AV47" s="1171"/>
      <c r="AW47" s="1172"/>
      <c r="AX47" s="1172"/>
      <c r="AY47" s="1172"/>
      <c r="AZ47" s="1172"/>
      <c r="BA47" s="1236" t="s">
        <v>165</v>
      </c>
      <c r="BB47" s="1237">
        <v>2012</v>
      </c>
      <c r="BC47" s="1236" t="s">
        <v>281</v>
      </c>
      <c r="BD47" s="1236">
        <v>1</v>
      </c>
      <c r="BE47" s="1238">
        <v>772399703</v>
      </c>
      <c r="BF47" s="1239">
        <v>0.26300000000000001</v>
      </c>
      <c r="BG47" s="1236"/>
      <c r="BH47" s="1236" t="s">
        <v>165</v>
      </c>
      <c r="BI47" s="1236" t="s">
        <v>295</v>
      </c>
      <c r="BJ47" s="1236" t="s">
        <v>281</v>
      </c>
      <c r="BK47" s="1236">
        <v>1</v>
      </c>
      <c r="BL47" s="1238">
        <v>619278559</v>
      </c>
      <c r="BM47" s="1239">
        <v>0.187</v>
      </c>
      <c r="BN47" s="1236">
        <v>2012</v>
      </c>
      <c r="BO47" s="1189"/>
      <c r="BP47" s="174"/>
      <c r="BQ47" s="174"/>
      <c r="BR47" s="174"/>
      <c r="BS47" s="174"/>
      <c r="BT47" s="174"/>
      <c r="BU47" s="174"/>
      <c r="BV47" s="174"/>
      <c r="BW47" s="174"/>
      <c r="BX47" s="174"/>
    </row>
    <row r="48" spans="1:76" s="152" customFormat="1" ht="15" customHeight="1" x14ac:dyDescent="0.25">
      <c r="A48" s="152">
        <f t="shared" si="0"/>
        <v>1974</v>
      </c>
      <c r="B48" s="152" t="str">
        <f t="shared" si="1"/>
        <v>1973-74</v>
      </c>
      <c r="C48" s="153">
        <v>27061</v>
      </c>
      <c r="D48" s="169"/>
      <c r="E48" s="170"/>
      <c r="F48" s="170"/>
      <c r="G48" s="170"/>
      <c r="H48" s="170"/>
      <c r="I48" s="169">
        <v>101.62528133945246</v>
      </c>
      <c r="J48" s="169">
        <v>151.21842105260001</v>
      </c>
      <c r="K48" s="169"/>
      <c r="L48" s="170"/>
      <c r="M48" s="170"/>
      <c r="N48" s="170"/>
      <c r="O48" s="169"/>
      <c r="P48" s="169"/>
      <c r="Q48" s="169"/>
      <c r="R48" s="169"/>
      <c r="S48" s="169"/>
      <c r="T48" s="169"/>
      <c r="U48" s="170"/>
      <c r="V48" s="170"/>
      <c r="W48" s="170"/>
      <c r="X48" s="170"/>
      <c r="Y48" s="170"/>
      <c r="Z48" s="170"/>
      <c r="AA48" s="170"/>
      <c r="AB48" s="170"/>
      <c r="AC48" s="170"/>
      <c r="AD48" s="170"/>
      <c r="AE48" s="170"/>
      <c r="AF48" s="170"/>
      <c r="AG48" s="170"/>
      <c r="AH48" s="170"/>
      <c r="AI48" s="170"/>
      <c r="AJ48" s="170"/>
      <c r="AK48" s="170"/>
      <c r="AL48" s="171"/>
      <c r="AM48" s="170"/>
      <c r="AN48" s="172"/>
      <c r="AO48" s="170"/>
      <c r="AP48" s="170"/>
      <c r="AS48" s="167"/>
      <c r="AT48" s="1170"/>
      <c r="AU48" s="1171"/>
      <c r="AV48" s="1171"/>
      <c r="AW48" s="1172"/>
      <c r="AX48" s="1172"/>
      <c r="AY48" s="1172"/>
      <c r="AZ48" s="1172"/>
      <c r="BA48" s="1236" t="s">
        <v>165</v>
      </c>
      <c r="BB48" s="1237">
        <v>2012</v>
      </c>
      <c r="BC48" s="1236" t="s">
        <v>279</v>
      </c>
      <c r="BD48" s="1236">
        <v>2</v>
      </c>
      <c r="BE48" s="1238">
        <v>471103226</v>
      </c>
      <c r="BF48" s="1239">
        <v>0.161</v>
      </c>
      <c r="BG48" s="1236"/>
      <c r="BH48" s="1236" t="s">
        <v>165</v>
      </c>
      <c r="BI48" s="1236" t="s">
        <v>295</v>
      </c>
      <c r="BJ48" s="1236" t="s">
        <v>279</v>
      </c>
      <c r="BK48" s="1236">
        <v>2</v>
      </c>
      <c r="BL48" s="1238">
        <v>547054759</v>
      </c>
      <c r="BM48" s="1239">
        <v>0.16500000000000001</v>
      </c>
      <c r="BN48" s="1236">
        <v>2012</v>
      </c>
      <c r="BO48" s="1189"/>
      <c r="BP48" s="174"/>
      <c r="BQ48" s="174"/>
      <c r="BR48" s="174"/>
      <c r="BS48" s="174"/>
      <c r="BT48" s="174"/>
      <c r="BU48" s="174"/>
      <c r="BV48" s="174"/>
      <c r="BW48" s="174"/>
      <c r="BX48" s="174"/>
    </row>
    <row r="49" spans="1:76" s="152" customFormat="1" ht="15" customHeight="1" x14ac:dyDescent="0.25">
      <c r="A49" s="152">
        <f t="shared" si="0"/>
        <v>1974</v>
      </c>
      <c r="B49" s="152" t="str">
        <f t="shared" si="1"/>
        <v>1973-74</v>
      </c>
      <c r="C49" s="153">
        <v>27089</v>
      </c>
      <c r="D49" s="154"/>
      <c r="E49" s="155"/>
      <c r="F49" s="155"/>
      <c r="G49" s="155"/>
      <c r="H49" s="155"/>
      <c r="I49" s="156">
        <v>113.29204887859061</v>
      </c>
      <c r="J49" s="156">
        <v>168.57857142859999</v>
      </c>
      <c r="K49" s="157"/>
      <c r="L49" s="158"/>
      <c r="M49" s="159"/>
      <c r="N49" s="159"/>
      <c r="O49" s="160"/>
      <c r="P49" s="160"/>
      <c r="Q49" s="160"/>
      <c r="R49" s="160"/>
      <c r="S49" s="160"/>
      <c r="T49" s="160"/>
      <c r="U49" s="161"/>
      <c r="V49" s="161"/>
      <c r="W49" s="161"/>
      <c r="X49" s="161"/>
      <c r="Y49" s="162"/>
      <c r="Z49" s="162"/>
      <c r="AA49" s="162"/>
      <c r="AB49" s="162"/>
      <c r="AC49" s="163"/>
      <c r="AD49" s="163"/>
      <c r="AE49" s="163"/>
      <c r="AF49" s="163"/>
      <c r="AG49" s="163"/>
      <c r="AH49" s="163"/>
      <c r="AI49" s="163"/>
      <c r="AJ49" s="163"/>
      <c r="AK49" s="164"/>
      <c r="AL49" s="165"/>
      <c r="AM49" s="164"/>
      <c r="AN49" s="166"/>
      <c r="AO49" s="164"/>
      <c r="AP49" s="164"/>
      <c r="AS49" s="167"/>
      <c r="AT49" s="1170"/>
      <c r="AU49" s="1171"/>
      <c r="AV49" s="1171"/>
      <c r="AW49" s="1172"/>
      <c r="AX49" s="1172"/>
      <c r="AY49" s="1172"/>
      <c r="AZ49" s="1172"/>
      <c r="BA49" s="1236" t="s">
        <v>165</v>
      </c>
      <c r="BB49" s="1237">
        <v>2012</v>
      </c>
      <c r="BC49" s="1236" t="s">
        <v>283</v>
      </c>
      <c r="BD49" s="1236">
        <v>3</v>
      </c>
      <c r="BE49" s="1238">
        <v>351151151</v>
      </c>
      <c r="BF49" s="1239">
        <v>0.12</v>
      </c>
      <c r="BG49" s="1236"/>
      <c r="BH49" s="1236" t="s">
        <v>165</v>
      </c>
      <c r="BI49" s="1236" t="s">
        <v>295</v>
      </c>
      <c r="BJ49" s="1236" t="s">
        <v>283</v>
      </c>
      <c r="BK49" s="1236">
        <v>3</v>
      </c>
      <c r="BL49" s="1238">
        <v>371607646</v>
      </c>
      <c r="BM49" s="1239">
        <v>0.112</v>
      </c>
      <c r="BN49" s="1236">
        <v>2012</v>
      </c>
      <c r="BO49" s="1189"/>
      <c r="BP49" s="174"/>
      <c r="BQ49" s="174"/>
      <c r="BR49" s="174"/>
      <c r="BS49" s="174"/>
      <c r="BT49" s="174"/>
      <c r="BU49" s="174"/>
      <c r="BV49" s="174"/>
      <c r="BW49" s="174"/>
      <c r="BX49" s="174"/>
    </row>
    <row r="50" spans="1:76" s="152" customFormat="1" ht="15" customHeight="1" x14ac:dyDescent="0.25">
      <c r="A50" s="152">
        <f t="shared" si="0"/>
        <v>1974</v>
      </c>
      <c r="B50" s="152" t="str">
        <f t="shared" si="1"/>
        <v>1973-74</v>
      </c>
      <c r="C50" s="153">
        <v>27120</v>
      </c>
      <c r="D50" s="169"/>
      <c r="E50" s="170"/>
      <c r="F50" s="170"/>
      <c r="G50" s="170"/>
      <c r="H50" s="170"/>
      <c r="I50" s="169">
        <v>115.67204115999999</v>
      </c>
      <c r="J50" s="169">
        <v>172.12</v>
      </c>
      <c r="K50" s="169"/>
      <c r="L50" s="170"/>
      <c r="M50" s="170"/>
      <c r="N50" s="170"/>
      <c r="O50" s="169"/>
      <c r="P50" s="169"/>
      <c r="Q50" s="169"/>
      <c r="R50" s="169"/>
      <c r="S50" s="169"/>
      <c r="T50" s="169"/>
      <c r="U50" s="170"/>
      <c r="V50" s="170"/>
      <c r="W50" s="170"/>
      <c r="X50" s="170"/>
      <c r="Y50" s="170"/>
      <c r="Z50" s="170"/>
      <c r="AA50" s="170"/>
      <c r="AB50" s="170"/>
      <c r="AC50" s="170"/>
      <c r="AD50" s="170"/>
      <c r="AE50" s="170"/>
      <c r="AF50" s="170"/>
      <c r="AG50" s="170"/>
      <c r="AH50" s="170"/>
      <c r="AI50" s="170"/>
      <c r="AJ50" s="170"/>
      <c r="AK50" s="170"/>
      <c r="AL50" s="171"/>
      <c r="AM50" s="170"/>
      <c r="AN50" s="172"/>
      <c r="AO50" s="170"/>
      <c r="AP50" s="170"/>
      <c r="AS50" s="167"/>
      <c r="AT50" s="1170"/>
      <c r="AU50" s="1171"/>
      <c r="AV50" s="1171"/>
      <c r="AW50" s="1172"/>
      <c r="AX50" s="1172"/>
      <c r="AY50" s="1172"/>
      <c r="AZ50" s="1172"/>
      <c r="BA50" s="1236" t="s">
        <v>165</v>
      </c>
      <c r="BB50" s="1237">
        <v>2012</v>
      </c>
      <c r="BC50" s="1236" t="s">
        <v>284</v>
      </c>
      <c r="BD50" s="1236">
        <v>4</v>
      </c>
      <c r="BE50" s="1238">
        <v>260648271</v>
      </c>
      <c r="BF50" s="1239">
        <v>8.8999999999999996E-2</v>
      </c>
      <c r="BG50" s="1236"/>
      <c r="BH50" s="1236" t="s">
        <v>165</v>
      </c>
      <c r="BI50" s="1236" t="s">
        <v>295</v>
      </c>
      <c r="BJ50" s="1236" t="s">
        <v>287</v>
      </c>
      <c r="BK50" s="1236">
        <v>4</v>
      </c>
      <c r="BL50" s="1238">
        <v>317770877</v>
      </c>
      <c r="BM50" s="1239">
        <v>9.6000000000000002E-2</v>
      </c>
      <c r="BN50" s="1236">
        <v>2012</v>
      </c>
      <c r="BO50" s="1189"/>
      <c r="BP50" s="174"/>
      <c r="BQ50" s="174"/>
      <c r="BR50" s="174"/>
      <c r="BS50" s="174"/>
      <c r="BT50" s="174"/>
      <c r="BU50" s="174"/>
      <c r="BV50" s="174"/>
      <c r="BW50" s="174"/>
      <c r="BX50" s="174"/>
    </row>
    <row r="51" spans="1:76" s="152" customFormat="1" ht="15" customHeight="1" x14ac:dyDescent="0.25">
      <c r="A51" s="152">
        <f t="shared" si="0"/>
        <v>1974</v>
      </c>
      <c r="B51" s="152" t="str">
        <f t="shared" si="1"/>
        <v>1973-74</v>
      </c>
      <c r="C51" s="153">
        <v>27150</v>
      </c>
      <c r="D51" s="154"/>
      <c r="E51" s="155"/>
      <c r="F51" s="155"/>
      <c r="G51" s="155"/>
      <c r="H51" s="155"/>
      <c r="I51" s="156">
        <v>109.50940684999999</v>
      </c>
      <c r="J51" s="156">
        <v>162.94999999999999</v>
      </c>
      <c r="K51" s="157"/>
      <c r="L51" s="158"/>
      <c r="M51" s="159"/>
      <c r="N51" s="159"/>
      <c r="O51" s="160"/>
      <c r="P51" s="160"/>
      <c r="Q51" s="160"/>
      <c r="R51" s="160"/>
      <c r="S51" s="160"/>
      <c r="T51" s="160"/>
      <c r="U51" s="161"/>
      <c r="V51" s="161"/>
      <c r="W51" s="161"/>
      <c r="X51" s="161"/>
      <c r="Y51" s="162"/>
      <c r="Z51" s="162"/>
      <c r="AA51" s="162"/>
      <c r="AB51" s="162"/>
      <c r="AC51" s="163"/>
      <c r="AD51" s="163"/>
      <c r="AE51" s="163"/>
      <c r="AF51" s="163"/>
      <c r="AG51" s="163"/>
      <c r="AH51" s="163"/>
      <c r="AI51" s="163"/>
      <c r="AJ51" s="163"/>
      <c r="AK51" s="164"/>
      <c r="AL51" s="165"/>
      <c r="AM51" s="164"/>
      <c r="AN51" s="166"/>
      <c r="AO51" s="164"/>
      <c r="AP51" s="164"/>
      <c r="AS51" s="167"/>
      <c r="AT51" s="1170"/>
      <c r="AU51" s="1171"/>
      <c r="AV51" s="1171"/>
      <c r="AW51" s="1172"/>
      <c r="AX51" s="1172"/>
      <c r="AY51" s="1172"/>
      <c r="AZ51" s="1172"/>
      <c r="BA51" s="1236" t="s">
        <v>165</v>
      </c>
      <c r="BB51" s="1237">
        <v>2012</v>
      </c>
      <c r="BC51" s="1236" t="s">
        <v>287</v>
      </c>
      <c r="BD51" s="1236">
        <v>5</v>
      </c>
      <c r="BE51" s="1238">
        <v>196396052</v>
      </c>
      <c r="BF51" s="1239">
        <v>6.7000000000000004E-2</v>
      </c>
      <c r="BG51" s="1236"/>
      <c r="BH51" s="1236" t="s">
        <v>165</v>
      </c>
      <c r="BI51" s="1236" t="s">
        <v>295</v>
      </c>
      <c r="BJ51" s="1236" t="s">
        <v>284</v>
      </c>
      <c r="BK51" s="1236">
        <v>5</v>
      </c>
      <c r="BL51" s="1238">
        <v>307159190</v>
      </c>
      <c r="BM51" s="1239">
        <v>9.2999999999999999E-2</v>
      </c>
      <c r="BN51" s="1236">
        <v>2012</v>
      </c>
      <c r="BO51" s="1189"/>
      <c r="BP51" s="174"/>
      <c r="BQ51" s="174"/>
      <c r="BR51" s="174"/>
      <c r="BS51" s="174"/>
      <c r="BT51" s="174"/>
      <c r="BU51" s="174"/>
      <c r="BV51" s="174"/>
      <c r="BW51" s="174"/>
      <c r="BX51" s="174"/>
    </row>
    <row r="52" spans="1:76" s="152" customFormat="1" ht="15" customHeight="1" x14ac:dyDescent="0.25">
      <c r="A52" s="152">
        <f t="shared" si="0"/>
        <v>1974</v>
      </c>
      <c r="B52" s="152" t="str">
        <f t="shared" si="1"/>
        <v>1973-74</v>
      </c>
      <c r="C52" s="153">
        <v>27183</v>
      </c>
      <c r="D52" s="169"/>
      <c r="E52" s="170"/>
      <c r="F52" s="170"/>
      <c r="G52" s="170"/>
      <c r="H52" s="170"/>
      <c r="I52" s="169">
        <v>103.35181286249998</v>
      </c>
      <c r="J52" s="169">
        <v>153.78749999999999</v>
      </c>
      <c r="K52" s="169"/>
      <c r="L52" s="170"/>
      <c r="M52" s="170"/>
      <c r="N52" s="170"/>
      <c r="O52" s="169"/>
      <c r="P52" s="169"/>
      <c r="Q52" s="169"/>
      <c r="R52" s="169"/>
      <c r="S52" s="169"/>
      <c r="T52" s="169"/>
      <c r="U52" s="170"/>
      <c r="V52" s="170"/>
      <c r="W52" s="170"/>
      <c r="X52" s="170"/>
      <c r="Y52" s="170"/>
      <c r="Z52" s="170"/>
      <c r="AA52" s="170"/>
      <c r="AB52" s="170"/>
      <c r="AC52" s="170"/>
      <c r="AD52" s="170"/>
      <c r="AE52" s="170"/>
      <c r="AF52" s="170"/>
      <c r="AG52" s="170"/>
      <c r="AH52" s="170"/>
      <c r="AI52" s="170"/>
      <c r="AJ52" s="170"/>
      <c r="AK52" s="170"/>
      <c r="AL52" s="171"/>
      <c r="AM52" s="170"/>
      <c r="AN52" s="172"/>
      <c r="AO52" s="170"/>
      <c r="AP52" s="170"/>
      <c r="AS52" s="167"/>
      <c r="AT52" s="1170"/>
      <c r="AU52" s="1171"/>
      <c r="AV52" s="1171"/>
      <c r="AW52" s="1172"/>
      <c r="AX52" s="1172"/>
      <c r="AY52" s="1172"/>
      <c r="AZ52" s="1172"/>
      <c r="BA52" s="1236" t="s">
        <v>165</v>
      </c>
      <c r="BB52" s="1237">
        <v>2012</v>
      </c>
      <c r="BC52" s="1236" t="s">
        <v>282</v>
      </c>
      <c r="BD52" s="1236">
        <v>6</v>
      </c>
      <c r="BE52" s="1238">
        <v>173942235</v>
      </c>
      <c r="BF52" s="1239">
        <v>5.8999999999999997E-2</v>
      </c>
      <c r="BG52" s="1236"/>
      <c r="BH52" s="1236" t="s">
        <v>165</v>
      </c>
      <c r="BI52" s="1236" t="s">
        <v>295</v>
      </c>
      <c r="BJ52" s="1236" t="s">
        <v>282</v>
      </c>
      <c r="BK52" s="1236">
        <v>6</v>
      </c>
      <c r="BL52" s="1238">
        <v>253345599</v>
      </c>
      <c r="BM52" s="1239">
        <v>7.6999999999999999E-2</v>
      </c>
      <c r="BN52" s="1236">
        <v>2012</v>
      </c>
      <c r="BO52" s="1189"/>
      <c r="BP52" s="174"/>
      <c r="BQ52" s="174"/>
      <c r="BR52" s="174"/>
      <c r="BS52" s="174"/>
      <c r="BT52" s="174"/>
      <c r="BU52" s="174"/>
      <c r="BV52" s="174"/>
      <c r="BW52" s="174"/>
      <c r="BX52" s="174"/>
    </row>
    <row r="53" spans="1:76" s="152" customFormat="1" ht="15" customHeight="1" x14ac:dyDescent="0.25">
      <c r="A53" s="152">
        <f t="shared" si="0"/>
        <v>1974</v>
      </c>
      <c r="B53" s="152" t="str">
        <f t="shared" si="1"/>
        <v>1974-75</v>
      </c>
      <c r="C53" s="153">
        <v>27211</v>
      </c>
      <c r="D53" s="154"/>
      <c r="E53" s="155"/>
      <c r="F53" s="155"/>
      <c r="G53" s="155"/>
      <c r="H53" s="155"/>
      <c r="I53" s="156">
        <v>96.765027777297163</v>
      </c>
      <c r="J53" s="156">
        <v>143.9863636364</v>
      </c>
      <c r="K53" s="157"/>
      <c r="L53" s="158"/>
      <c r="M53" s="159"/>
      <c r="N53" s="159"/>
      <c r="O53" s="160"/>
      <c r="P53" s="160"/>
      <c r="Q53" s="160"/>
      <c r="R53" s="160"/>
      <c r="S53" s="160"/>
      <c r="T53" s="160"/>
      <c r="U53" s="161"/>
      <c r="V53" s="161"/>
      <c r="W53" s="161"/>
      <c r="X53" s="161"/>
      <c r="Y53" s="162"/>
      <c r="Z53" s="162"/>
      <c r="AA53" s="162"/>
      <c r="AB53" s="162"/>
      <c r="AC53" s="163"/>
      <c r="AD53" s="163"/>
      <c r="AE53" s="163"/>
      <c r="AF53" s="163"/>
      <c r="AG53" s="163"/>
      <c r="AH53" s="163"/>
      <c r="AI53" s="163"/>
      <c r="AJ53" s="163"/>
      <c r="AK53" s="164"/>
      <c r="AL53" s="165"/>
      <c r="AM53" s="164"/>
      <c r="AN53" s="166"/>
      <c r="AO53" s="164"/>
      <c r="AP53" s="164"/>
      <c r="AS53" s="167"/>
      <c r="AT53" s="1170"/>
      <c r="AU53" s="1171"/>
      <c r="AV53" s="1171"/>
      <c r="AW53" s="1172"/>
      <c r="AX53" s="1172"/>
      <c r="AY53" s="1172"/>
      <c r="AZ53" s="1172"/>
      <c r="BA53" s="1236" t="s">
        <v>165</v>
      </c>
      <c r="BB53" s="1237">
        <v>2012</v>
      </c>
      <c r="BC53" s="1236" t="s">
        <v>286</v>
      </c>
      <c r="BD53" s="1236">
        <v>7</v>
      </c>
      <c r="BE53" s="1238">
        <v>154103253</v>
      </c>
      <c r="BF53" s="1239">
        <v>5.2999999999999999E-2</v>
      </c>
      <c r="BG53" s="1236"/>
      <c r="BH53" s="1236" t="s">
        <v>165</v>
      </c>
      <c r="BI53" s="1236" t="s">
        <v>295</v>
      </c>
      <c r="BJ53" s="1236" t="s">
        <v>286</v>
      </c>
      <c r="BK53" s="1236">
        <v>7</v>
      </c>
      <c r="BL53" s="1238">
        <v>171570000</v>
      </c>
      <c r="BM53" s="1239">
        <v>5.1999999999999998E-2</v>
      </c>
      <c r="BN53" s="1236">
        <v>2012</v>
      </c>
      <c r="BO53" s="1189"/>
      <c r="BP53" s="174"/>
      <c r="BQ53" s="174"/>
      <c r="BR53" s="174"/>
      <c r="BS53" s="174"/>
      <c r="BT53" s="174"/>
      <c r="BU53" s="174"/>
      <c r="BV53" s="174"/>
      <c r="BW53" s="174"/>
      <c r="BX53" s="174"/>
    </row>
    <row r="54" spans="1:76" s="152" customFormat="1" ht="15" customHeight="1" x14ac:dyDescent="0.25">
      <c r="A54" s="152">
        <f t="shared" si="0"/>
        <v>1974</v>
      </c>
      <c r="B54" s="152" t="str">
        <f t="shared" si="1"/>
        <v>1974-75</v>
      </c>
      <c r="C54" s="153">
        <v>27242</v>
      </c>
      <c r="D54" s="169"/>
      <c r="E54" s="170"/>
      <c r="F54" s="170"/>
      <c r="G54" s="170"/>
      <c r="H54" s="170"/>
      <c r="I54" s="169">
        <v>103.82056285500001</v>
      </c>
      <c r="J54" s="169">
        <v>154.48500000000001</v>
      </c>
      <c r="K54" s="169"/>
      <c r="L54" s="170"/>
      <c r="M54" s="170"/>
      <c r="N54" s="170"/>
      <c r="O54" s="169"/>
      <c r="P54" s="169"/>
      <c r="Q54" s="169"/>
      <c r="R54" s="169"/>
      <c r="S54" s="169"/>
      <c r="T54" s="169"/>
      <c r="U54" s="170"/>
      <c r="V54" s="170"/>
      <c r="W54" s="170"/>
      <c r="X54" s="170"/>
      <c r="Y54" s="170"/>
      <c r="Z54" s="170"/>
      <c r="AA54" s="170"/>
      <c r="AB54" s="170"/>
      <c r="AC54" s="170"/>
      <c r="AD54" s="170"/>
      <c r="AE54" s="170"/>
      <c r="AF54" s="170"/>
      <c r="AG54" s="170"/>
      <c r="AH54" s="170"/>
      <c r="AI54" s="170"/>
      <c r="AJ54" s="170"/>
      <c r="AK54" s="170"/>
      <c r="AL54" s="171"/>
      <c r="AM54" s="170"/>
      <c r="AN54" s="172"/>
      <c r="AO54" s="170"/>
      <c r="AP54" s="170"/>
      <c r="AS54" s="167"/>
      <c r="AT54" s="1170"/>
      <c r="AU54" s="1171"/>
      <c r="AV54" s="1171"/>
      <c r="AW54" s="1172"/>
      <c r="AX54" s="1172"/>
      <c r="AY54" s="1172"/>
      <c r="AZ54" s="1172"/>
      <c r="BA54" s="1236" t="s">
        <v>165</v>
      </c>
      <c r="BB54" s="1237">
        <v>2012</v>
      </c>
      <c r="BC54" s="1236" t="s">
        <v>296</v>
      </c>
      <c r="BD54" s="1236">
        <v>8</v>
      </c>
      <c r="BE54" s="1238">
        <v>117247314</v>
      </c>
      <c r="BF54" s="1239">
        <v>0.04</v>
      </c>
      <c r="BG54" s="1236"/>
      <c r="BH54" s="1236" t="s">
        <v>165</v>
      </c>
      <c r="BI54" s="1236" t="s">
        <v>295</v>
      </c>
      <c r="BJ54" s="1236" t="s">
        <v>288</v>
      </c>
      <c r="BK54" s="1236">
        <v>8</v>
      </c>
      <c r="BL54" s="1238">
        <v>136874866</v>
      </c>
      <c r="BM54" s="1239">
        <v>4.1000000000000002E-2</v>
      </c>
      <c r="BN54" s="1236">
        <v>2012</v>
      </c>
      <c r="BO54" s="1189"/>
      <c r="BP54" s="174"/>
      <c r="BQ54" s="174"/>
      <c r="BR54" s="174"/>
      <c r="BS54" s="174"/>
      <c r="BT54" s="174"/>
      <c r="BU54" s="174"/>
      <c r="BV54" s="174"/>
      <c r="BW54" s="174"/>
      <c r="BX54" s="174"/>
    </row>
    <row r="55" spans="1:76" s="152" customFormat="1" ht="15" customHeight="1" x14ac:dyDescent="0.25">
      <c r="A55" s="152">
        <f t="shared" si="0"/>
        <v>1974</v>
      </c>
      <c r="B55" s="152" t="str">
        <f t="shared" si="1"/>
        <v>1974-75</v>
      </c>
      <c r="C55" s="153">
        <v>27274</v>
      </c>
      <c r="D55" s="154"/>
      <c r="E55" s="155"/>
      <c r="F55" s="155"/>
      <c r="G55" s="155"/>
      <c r="H55" s="155"/>
      <c r="I55" s="156">
        <v>115.58781977999999</v>
      </c>
      <c r="J55" s="156">
        <v>151.41999999999999</v>
      </c>
      <c r="K55" s="157"/>
      <c r="L55" s="158"/>
      <c r="M55" s="159"/>
      <c r="N55" s="159"/>
      <c r="O55" s="160"/>
      <c r="P55" s="160"/>
      <c r="Q55" s="160"/>
      <c r="R55" s="160"/>
      <c r="S55" s="160"/>
      <c r="T55" s="160"/>
      <c r="U55" s="161"/>
      <c r="V55" s="161"/>
      <c r="W55" s="161"/>
      <c r="X55" s="161"/>
      <c r="Y55" s="162"/>
      <c r="Z55" s="162"/>
      <c r="AA55" s="162"/>
      <c r="AB55" s="162"/>
      <c r="AC55" s="163"/>
      <c r="AD55" s="163"/>
      <c r="AE55" s="163"/>
      <c r="AF55" s="163"/>
      <c r="AG55" s="163"/>
      <c r="AH55" s="163"/>
      <c r="AI55" s="163"/>
      <c r="AJ55" s="163"/>
      <c r="AK55" s="164"/>
      <c r="AL55" s="165"/>
      <c r="AM55" s="164"/>
      <c r="AN55" s="166"/>
      <c r="AO55" s="164"/>
      <c r="AP55" s="164"/>
      <c r="AS55" s="167"/>
      <c r="AT55" s="1170"/>
      <c r="AU55" s="1171"/>
      <c r="AV55" s="1171"/>
      <c r="AW55" s="1172"/>
      <c r="AX55" s="1172"/>
      <c r="AY55" s="1172"/>
      <c r="AZ55" s="1172"/>
      <c r="BA55" s="1236" t="s">
        <v>165</v>
      </c>
      <c r="BB55" s="1237">
        <v>2012</v>
      </c>
      <c r="BC55" s="1236" t="s">
        <v>289</v>
      </c>
      <c r="BD55" s="1236">
        <v>9</v>
      </c>
      <c r="BE55" s="1238">
        <v>112474135</v>
      </c>
      <c r="BF55" s="1239">
        <v>3.7999999999999999E-2</v>
      </c>
      <c r="BG55" s="1236"/>
      <c r="BH55" s="1236" t="s">
        <v>165</v>
      </c>
      <c r="BI55" s="1236" t="s">
        <v>295</v>
      </c>
      <c r="BJ55" s="1236" t="s">
        <v>290</v>
      </c>
      <c r="BK55" s="1236">
        <v>9</v>
      </c>
      <c r="BL55" s="1238">
        <v>100217651</v>
      </c>
      <c r="BM55" s="1239">
        <v>0.03</v>
      </c>
      <c r="BN55" s="1236">
        <v>2012</v>
      </c>
      <c r="BO55" s="1189"/>
      <c r="BP55" s="174"/>
      <c r="BQ55" s="174"/>
      <c r="BR55" s="174"/>
      <c r="BS55" s="174"/>
      <c r="BT55" s="174"/>
      <c r="BU55" s="174"/>
      <c r="BV55" s="174"/>
      <c r="BW55" s="174"/>
      <c r="BX55" s="174"/>
    </row>
    <row r="56" spans="1:76" s="152" customFormat="1" ht="15" customHeight="1" x14ac:dyDescent="0.25">
      <c r="A56" s="152">
        <f t="shared" si="0"/>
        <v>1974</v>
      </c>
      <c r="B56" s="152" t="str">
        <f t="shared" si="1"/>
        <v>1974-75</v>
      </c>
      <c r="C56" s="153">
        <v>27303</v>
      </c>
      <c r="D56" s="169"/>
      <c r="E56" s="170"/>
      <c r="F56" s="170"/>
      <c r="G56" s="170"/>
      <c r="H56" s="170"/>
      <c r="I56" s="169">
        <v>121.36246466739462</v>
      </c>
      <c r="J56" s="169">
        <v>158.98478260869999</v>
      </c>
      <c r="K56" s="169"/>
      <c r="L56" s="170"/>
      <c r="M56" s="170"/>
      <c r="N56" s="170"/>
      <c r="O56" s="169"/>
      <c r="P56" s="169"/>
      <c r="Q56" s="169"/>
      <c r="R56" s="169"/>
      <c r="S56" s="169"/>
      <c r="T56" s="169"/>
      <c r="U56" s="170"/>
      <c r="V56" s="170"/>
      <c r="W56" s="170"/>
      <c r="X56" s="170"/>
      <c r="Y56" s="170"/>
      <c r="Z56" s="170"/>
      <c r="AA56" s="170"/>
      <c r="AB56" s="170"/>
      <c r="AC56" s="170"/>
      <c r="AD56" s="170"/>
      <c r="AE56" s="170"/>
      <c r="AF56" s="170"/>
      <c r="AG56" s="170"/>
      <c r="AH56" s="170"/>
      <c r="AI56" s="170"/>
      <c r="AJ56" s="170"/>
      <c r="AK56" s="170"/>
      <c r="AL56" s="171"/>
      <c r="AM56" s="170"/>
      <c r="AN56" s="172"/>
      <c r="AO56" s="170"/>
      <c r="AP56" s="170"/>
      <c r="AS56" s="167"/>
      <c r="AT56" s="1170"/>
      <c r="AU56" s="1171"/>
      <c r="AV56" s="1171"/>
      <c r="AW56" s="1172"/>
      <c r="AX56" s="1172"/>
      <c r="AY56" s="1172"/>
      <c r="AZ56" s="1172"/>
      <c r="BA56" s="1236" t="s">
        <v>165</v>
      </c>
      <c r="BB56" s="1237">
        <v>2012</v>
      </c>
      <c r="BC56" s="1236" t="s">
        <v>288</v>
      </c>
      <c r="BD56" s="1236">
        <v>10</v>
      </c>
      <c r="BE56" s="1238">
        <v>103592536</v>
      </c>
      <c r="BF56" s="1239">
        <v>3.5000000000000003E-2</v>
      </c>
      <c r="BG56" s="1236"/>
      <c r="BH56" s="1236" t="s">
        <v>165</v>
      </c>
      <c r="BI56" s="1236" t="s">
        <v>295</v>
      </c>
      <c r="BJ56" s="1236" t="s">
        <v>289</v>
      </c>
      <c r="BK56" s="1236">
        <v>10</v>
      </c>
      <c r="BL56" s="1238">
        <v>98946031</v>
      </c>
      <c r="BM56" s="1239">
        <v>0.03</v>
      </c>
      <c r="BN56" s="1236">
        <v>2012</v>
      </c>
      <c r="BO56" s="1189"/>
      <c r="BP56" s="174"/>
      <c r="BQ56" s="174"/>
      <c r="BR56" s="174"/>
      <c r="BS56" s="174"/>
      <c r="BT56" s="174"/>
      <c r="BU56" s="174"/>
      <c r="BV56" s="174"/>
      <c r="BW56" s="174"/>
      <c r="BX56" s="174"/>
    </row>
    <row r="57" spans="1:76" s="152" customFormat="1" ht="15" customHeight="1" x14ac:dyDescent="0.25">
      <c r="A57" s="152">
        <f t="shared" si="0"/>
        <v>1974</v>
      </c>
      <c r="B57" s="152" t="str">
        <f t="shared" si="1"/>
        <v>1974-75</v>
      </c>
      <c r="C57" s="153">
        <v>27334</v>
      </c>
      <c r="D57" s="154"/>
      <c r="E57" s="155"/>
      <c r="F57" s="155"/>
      <c r="G57" s="155"/>
      <c r="H57" s="155"/>
      <c r="I57" s="156">
        <v>138.67773500000001</v>
      </c>
      <c r="J57" s="156">
        <v>182.5</v>
      </c>
      <c r="K57" s="157"/>
      <c r="L57" s="158"/>
      <c r="M57" s="159"/>
      <c r="N57" s="159"/>
      <c r="O57" s="160"/>
      <c r="P57" s="160"/>
      <c r="Q57" s="160"/>
      <c r="R57" s="160"/>
      <c r="S57" s="160"/>
      <c r="T57" s="160"/>
      <c r="U57" s="161"/>
      <c r="V57" s="161"/>
      <c r="W57" s="161"/>
      <c r="X57" s="161"/>
      <c r="Y57" s="162"/>
      <c r="Z57" s="162"/>
      <c r="AA57" s="162"/>
      <c r="AB57" s="162"/>
      <c r="AC57" s="163"/>
      <c r="AD57" s="163"/>
      <c r="AE57" s="163"/>
      <c r="AF57" s="163"/>
      <c r="AG57" s="163"/>
      <c r="AH57" s="163"/>
      <c r="AI57" s="163"/>
      <c r="AJ57" s="163"/>
      <c r="AK57" s="164"/>
      <c r="AL57" s="165"/>
      <c r="AM57" s="164"/>
      <c r="AN57" s="166"/>
      <c r="AO57" s="164"/>
      <c r="AP57" s="164"/>
      <c r="AS57" s="167"/>
      <c r="AT57" s="1170"/>
      <c r="AU57" s="1171"/>
      <c r="AV57" s="1171"/>
      <c r="AW57" s="1172"/>
      <c r="AX57" s="1172"/>
      <c r="AY57" s="1172"/>
      <c r="AZ57" s="1172"/>
      <c r="BA57" s="1236" t="s">
        <v>165</v>
      </c>
      <c r="BB57" s="1237">
        <v>2012</v>
      </c>
      <c r="BC57" s="1236" t="s">
        <v>291</v>
      </c>
      <c r="BD57" s="1236"/>
      <c r="BE57" s="1238">
        <v>220337119</v>
      </c>
      <c r="BF57" s="1239">
        <v>7.4999999999999997E-2</v>
      </c>
      <c r="BG57" s="1236"/>
      <c r="BH57" s="1236" t="s">
        <v>165</v>
      </c>
      <c r="BI57" s="1236" t="s">
        <v>295</v>
      </c>
      <c r="BJ57" s="1236" t="s">
        <v>291</v>
      </c>
      <c r="BK57" s="1236"/>
      <c r="BL57" s="1238">
        <v>384614310</v>
      </c>
      <c r="BM57" s="1239">
        <v>0.11600000000000001</v>
      </c>
      <c r="BN57" s="1236">
        <v>2012</v>
      </c>
      <c r="BO57" s="1189"/>
      <c r="BP57" s="174"/>
      <c r="BQ57" s="174"/>
      <c r="BR57" s="174"/>
      <c r="BS57" s="174"/>
      <c r="BT57" s="174"/>
      <c r="BU57" s="174"/>
      <c r="BV57" s="174"/>
      <c r="BW57" s="174"/>
      <c r="BX57" s="174"/>
    </row>
    <row r="58" spans="1:76" s="152" customFormat="1" ht="15" customHeight="1" x14ac:dyDescent="0.25">
      <c r="A58" s="152">
        <f t="shared" si="0"/>
        <v>1974</v>
      </c>
      <c r="B58" s="152" t="str">
        <f t="shared" si="1"/>
        <v>1974-75</v>
      </c>
      <c r="C58" s="153">
        <v>27365</v>
      </c>
      <c r="D58" s="169"/>
      <c r="E58" s="170"/>
      <c r="F58" s="170"/>
      <c r="G58" s="170"/>
      <c r="H58" s="170"/>
      <c r="I58" s="169">
        <v>138.45043886110275</v>
      </c>
      <c r="J58" s="169">
        <v>183.72361111110001</v>
      </c>
      <c r="K58" s="169"/>
      <c r="L58" s="170"/>
      <c r="M58" s="170"/>
      <c r="N58" s="170"/>
      <c r="O58" s="169"/>
      <c r="P58" s="169"/>
      <c r="Q58" s="169"/>
      <c r="R58" s="169"/>
      <c r="S58" s="169"/>
      <c r="T58" s="169"/>
      <c r="U58" s="170"/>
      <c r="V58" s="170"/>
      <c r="W58" s="170"/>
      <c r="X58" s="170"/>
      <c r="Y58" s="170"/>
      <c r="Z58" s="170"/>
      <c r="AA58" s="170"/>
      <c r="AB58" s="170"/>
      <c r="AC58" s="170"/>
      <c r="AD58" s="170"/>
      <c r="AE58" s="170"/>
      <c r="AF58" s="170"/>
      <c r="AG58" s="170"/>
      <c r="AH58" s="170"/>
      <c r="AI58" s="170"/>
      <c r="AJ58" s="170"/>
      <c r="AK58" s="170"/>
      <c r="AL58" s="171"/>
      <c r="AM58" s="170"/>
      <c r="AN58" s="172"/>
      <c r="AO58" s="170"/>
      <c r="AP58" s="170"/>
      <c r="AS58" s="167"/>
      <c r="AT58" s="1170"/>
      <c r="AU58" s="1171"/>
      <c r="AV58" s="1171"/>
      <c r="AW58" s="1172"/>
      <c r="AX58" s="1172"/>
      <c r="AY58" s="1172"/>
      <c r="AZ58" s="1172"/>
      <c r="BA58" s="1236" t="s">
        <v>165</v>
      </c>
      <c r="BB58" s="1237">
        <v>2012</v>
      </c>
      <c r="BC58" s="1236" t="s">
        <v>292</v>
      </c>
      <c r="BD58" s="1236"/>
      <c r="BE58" s="1238">
        <v>2933394994</v>
      </c>
      <c r="BF58" s="1239">
        <v>1</v>
      </c>
      <c r="BG58" s="1236"/>
      <c r="BH58" s="1236" t="s">
        <v>165</v>
      </c>
      <c r="BI58" s="1236" t="s">
        <v>295</v>
      </c>
      <c r="BJ58" s="1236" t="s">
        <v>292</v>
      </c>
      <c r="BK58" s="1236"/>
      <c r="BL58" s="1238">
        <v>3308439488</v>
      </c>
      <c r="BM58" s="1239">
        <v>1</v>
      </c>
      <c r="BN58" s="1236">
        <v>2012</v>
      </c>
      <c r="BO58" s="1189"/>
      <c r="BP58" s="174"/>
      <c r="BQ58" s="174"/>
      <c r="BR58" s="174"/>
      <c r="BS58" s="174"/>
      <c r="BT58" s="174"/>
      <c r="BU58" s="174"/>
      <c r="BV58" s="174"/>
      <c r="BW58" s="174"/>
      <c r="BX58" s="174"/>
    </row>
    <row r="59" spans="1:76" s="152" customFormat="1" ht="15" customHeight="1" x14ac:dyDescent="0.25">
      <c r="A59" s="152">
        <f t="shared" si="0"/>
        <v>1975</v>
      </c>
      <c r="B59" s="152" t="str">
        <f t="shared" si="1"/>
        <v>1974-75</v>
      </c>
      <c r="C59" s="153">
        <v>27395</v>
      </c>
      <c r="D59" s="154"/>
      <c r="E59" s="155"/>
      <c r="F59" s="155"/>
      <c r="G59" s="155"/>
      <c r="H59" s="155"/>
      <c r="I59" s="156">
        <v>131.89174647843626</v>
      </c>
      <c r="J59" s="156">
        <v>176.52386363639999</v>
      </c>
      <c r="K59" s="157"/>
      <c r="L59" s="158"/>
      <c r="M59" s="159"/>
      <c r="N59" s="159"/>
      <c r="O59" s="160"/>
      <c r="P59" s="160"/>
      <c r="Q59" s="160"/>
      <c r="R59" s="160"/>
      <c r="S59" s="160"/>
      <c r="T59" s="160"/>
      <c r="U59" s="161"/>
      <c r="V59" s="161"/>
      <c r="W59" s="161"/>
      <c r="X59" s="161"/>
      <c r="Y59" s="162"/>
      <c r="Z59" s="162"/>
      <c r="AA59" s="162"/>
      <c r="AB59" s="162"/>
      <c r="AC59" s="163"/>
      <c r="AD59" s="163"/>
      <c r="AE59" s="163"/>
      <c r="AF59" s="163"/>
      <c r="AG59" s="163"/>
      <c r="AH59" s="163"/>
      <c r="AI59" s="163"/>
      <c r="AJ59" s="163"/>
      <c r="AK59" s="164"/>
      <c r="AL59" s="165"/>
      <c r="AM59" s="164"/>
      <c r="AN59" s="166"/>
      <c r="AO59" s="164"/>
      <c r="AP59" s="164"/>
      <c r="AS59" s="167"/>
      <c r="AT59" s="1170"/>
      <c r="AU59" s="1171"/>
      <c r="AV59" s="1171"/>
      <c r="AW59" s="1172"/>
      <c r="AX59" s="1172"/>
      <c r="AY59" s="1172"/>
      <c r="AZ59" s="1172"/>
      <c r="BA59" s="1236" t="s">
        <v>165</v>
      </c>
      <c r="BB59" s="1237">
        <v>2011</v>
      </c>
      <c r="BC59" s="1236" t="s">
        <v>279</v>
      </c>
      <c r="BD59" s="1236">
        <v>1</v>
      </c>
      <c r="BE59" s="1238">
        <v>784497562.99999988</v>
      </c>
      <c r="BF59" s="1239">
        <v>0.22518435084858127</v>
      </c>
      <c r="BG59" s="1236"/>
      <c r="BH59" s="1236" t="s">
        <v>165</v>
      </c>
      <c r="BI59" s="1236" t="s">
        <v>297</v>
      </c>
      <c r="BJ59" s="1236" t="s">
        <v>279</v>
      </c>
      <c r="BK59" s="1236">
        <v>1</v>
      </c>
      <c r="BL59" s="1238">
        <v>762205409.72999966</v>
      </c>
      <c r="BM59" s="1239">
        <v>0.20754421704556564</v>
      </c>
      <c r="BN59" s="1236">
        <v>2011</v>
      </c>
      <c r="BO59" s="1189"/>
      <c r="BP59" s="174"/>
      <c r="BQ59" s="174"/>
      <c r="BR59" s="174"/>
      <c r="BS59" s="174"/>
      <c r="BT59" s="174"/>
      <c r="BU59" s="174"/>
      <c r="BV59" s="174"/>
      <c r="BW59" s="174"/>
      <c r="BX59" s="174"/>
    </row>
    <row r="60" spans="1:76" s="152" customFormat="1" ht="15" customHeight="1" x14ac:dyDescent="0.25">
      <c r="A60" s="152">
        <f t="shared" si="0"/>
        <v>1975</v>
      </c>
      <c r="B60" s="152" t="str">
        <f t="shared" si="1"/>
        <v>1974-75</v>
      </c>
      <c r="C60" s="153">
        <v>27428</v>
      </c>
      <c r="D60" s="169"/>
      <c r="E60" s="170"/>
      <c r="F60" s="170"/>
      <c r="G60" s="170"/>
      <c r="H60" s="170"/>
      <c r="I60" s="169">
        <v>131.51616938999999</v>
      </c>
      <c r="J60" s="169">
        <v>179.73</v>
      </c>
      <c r="K60" s="169"/>
      <c r="L60" s="170"/>
      <c r="M60" s="170"/>
      <c r="N60" s="170"/>
      <c r="O60" s="169"/>
      <c r="P60" s="169"/>
      <c r="Q60" s="169"/>
      <c r="R60" s="169"/>
      <c r="S60" s="169"/>
      <c r="T60" s="169"/>
      <c r="U60" s="170"/>
      <c r="V60" s="170"/>
      <c r="W60" s="170"/>
      <c r="X60" s="170"/>
      <c r="Y60" s="170"/>
      <c r="Z60" s="170"/>
      <c r="AA60" s="170"/>
      <c r="AB60" s="170"/>
      <c r="AC60" s="170"/>
      <c r="AD60" s="170"/>
      <c r="AE60" s="170"/>
      <c r="AF60" s="170"/>
      <c r="AG60" s="170"/>
      <c r="AH60" s="170"/>
      <c r="AI60" s="170"/>
      <c r="AJ60" s="170"/>
      <c r="AK60" s="170"/>
      <c r="AL60" s="171"/>
      <c r="AM60" s="170"/>
      <c r="AN60" s="172"/>
      <c r="AO60" s="170"/>
      <c r="AP60" s="170"/>
      <c r="AS60" s="167"/>
      <c r="AT60" s="1170"/>
      <c r="AU60" s="1171"/>
      <c r="AV60" s="1171"/>
      <c r="AW60" s="1172"/>
      <c r="AX60" s="1172"/>
      <c r="AY60" s="1172"/>
      <c r="AZ60" s="1172"/>
      <c r="BA60" s="1236" t="s">
        <v>165</v>
      </c>
      <c r="BB60" s="1237">
        <v>2011</v>
      </c>
      <c r="BC60" s="1236" t="s">
        <v>283</v>
      </c>
      <c r="BD60" s="1236">
        <v>2</v>
      </c>
      <c r="BE60" s="1238">
        <v>449255312.01999998</v>
      </c>
      <c r="BF60" s="1239">
        <v>0.12895548765713696</v>
      </c>
      <c r="BG60" s="1236"/>
      <c r="BH60" s="1236" t="s">
        <v>165</v>
      </c>
      <c r="BI60" s="1236" t="s">
        <v>297</v>
      </c>
      <c r="BJ60" s="1236" t="s">
        <v>281</v>
      </c>
      <c r="BK60" s="1236">
        <v>2</v>
      </c>
      <c r="BL60" s="1238">
        <v>738530708.09999979</v>
      </c>
      <c r="BM60" s="1239">
        <v>0.20109772985082605</v>
      </c>
      <c r="BN60" s="1236">
        <v>2011</v>
      </c>
      <c r="BO60" s="1189"/>
      <c r="BP60" s="174"/>
      <c r="BQ60" s="174"/>
      <c r="BR60" s="174"/>
      <c r="BS60" s="174"/>
      <c r="BT60" s="174"/>
      <c r="BU60" s="174"/>
      <c r="BV60" s="174"/>
      <c r="BW60" s="174"/>
      <c r="BX60" s="174"/>
    </row>
    <row r="61" spans="1:76" s="152" customFormat="1" ht="15" customHeight="1" x14ac:dyDescent="0.25">
      <c r="A61" s="152">
        <f t="shared" si="0"/>
        <v>1975</v>
      </c>
      <c r="B61" s="152" t="str">
        <f t="shared" si="1"/>
        <v>1974-75</v>
      </c>
      <c r="C61" s="153">
        <v>27456</v>
      </c>
      <c r="D61" s="154"/>
      <c r="E61" s="155"/>
      <c r="F61" s="155"/>
      <c r="G61" s="155"/>
      <c r="H61" s="155"/>
      <c r="I61" s="156">
        <v>131.51866385265879</v>
      </c>
      <c r="J61" s="156">
        <v>178.0368421053</v>
      </c>
      <c r="K61" s="157"/>
      <c r="L61" s="158"/>
      <c r="M61" s="159"/>
      <c r="N61" s="159"/>
      <c r="O61" s="160"/>
      <c r="P61" s="160"/>
      <c r="Q61" s="160"/>
      <c r="R61" s="160"/>
      <c r="S61" s="160"/>
      <c r="T61" s="160"/>
      <c r="U61" s="161"/>
      <c r="V61" s="161"/>
      <c r="W61" s="161"/>
      <c r="X61" s="161"/>
      <c r="Y61" s="162"/>
      <c r="Z61" s="162"/>
      <c r="AA61" s="162"/>
      <c r="AB61" s="162"/>
      <c r="AC61" s="163"/>
      <c r="AD61" s="163"/>
      <c r="AE61" s="163"/>
      <c r="AF61" s="163"/>
      <c r="AG61" s="163"/>
      <c r="AH61" s="163"/>
      <c r="AI61" s="163"/>
      <c r="AJ61" s="163"/>
      <c r="AK61" s="164"/>
      <c r="AL61" s="165"/>
      <c r="AM61" s="164"/>
      <c r="AN61" s="166"/>
      <c r="AO61" s="164"/>
      <c r="AP61" s="164"/>
      <c r="AS61" s="167"/>
      <c r="AT61" s="1170"/>
      <c r="AU61" s="1171"/>
      <c r="AV61" s="1171"/>
      <c r="AW61" s="1172"/>
      <c r="AX61" s="1172"/>
      <c r="AY61" s="1172"/>
      <c r="AZ61" s="1172"/>
      <c r="BA61" s="1236" t="s">
        <v>165</v>
      </c>
      <c r="BB61" s="1237">
        <v>2011</v>
      </c>
      <c r="BC61" s="1236" t="s">
        <v>281</v>
      </c>
      <c r="BD61" s="1236">
        <v>3</v>
      </c>
      <c r="BE61" s="1238">
        <v>442213355.84000003</v>
      </c>
      <c r="BF61" s="1239">
        <v>0.12693414507318629</v>
      </c>
      <c r="BG61" s="1236"/>
      <c r="BH61" s="1236" t="s">
        <v>165</v>
      </c>
      <c r="BI61" s="1236" t="s">
        <v>297</v>
      </c>
      <c r="BJ61" s="1236" t="s">
        <v>283</v>
      </c>
      <c r="BK61" s="1236">
        <v>3</v>
      </c>
      <c r="BL61" s="1238">
        <v>473916645.72999996</v>
      </c>
      <c r="BM61" s="1239">
        <v>0.1290448190570252</v>
      </c>
      <c r="BN61" s="1236">
        <v>2011</v>
      </c>
      <c r="BO61" s="1189"/>
      <c r="BP61" s="174"/>
      <c r="BQ61" s="174"/>
      <c r="BR61" s="174"/>
      <c r="BS61" s="174"/>
      <c r="BT61" s="174"/>
      <c r="BU61" s="174"/>
      <c r="BV61" s="174"/>
      <c r="BW61" s="174"/>
      <c r="BX61" s="174"/>
    </row>
    <row r="62" spans="1:76" s="152" customFormat="1" ht="15" customHeight="1" x14ac:dyDescent="0.25">
      <c r="A62" s="152">
        <f t="shared" si="0"/>
        <v>1975</v>
      </c>
      <c r="B62" s="152" t="str">
        <f t="shared" si="1"/>
        <v>1974-75</v>
      </c>
      <c r="C62" s="153">
        <v>27485</v>
      </c>
      <c r="D62" s="169"/>
      <c r="E62" s="170"/>
      <c r="F62" s="170"/>
      <c r="G62" s="170"/>
      <c r="H62" s="170"/>
      <c r="I62" s="169">
        <v>126.45665459999323</v>
      </c>
      <c r="J62" s="169">
        <v>169.57840909090001</v>
      </c>
      <c r="K62" s="169"/>
      <c r="L62" s="170"/>
      <c r="M62" s="170"/>
      <c r="N62" s="170"/>
      <c r="O62" s="169"/>
      <c r="P62" s="169"/>
      <c r="Q62" s="169"/>
      <c r="R62" s="169"/>
      <c r="S62" s="169"/>
      <c r="T62" s="169"/>
      <c r="U62" s="170"/>
      <c r="V62" s="170"/>
      <c r="W62" s="170"/>
      <c r="X62" s="170"/>
      <c r="Y62" s="170"/>
      <c r="Z62" s="170"/>
      <c r="AA62" s="170"/>
      <c r="AB62" s="170"/>
      <c r="AC62" s="170"/>
      <c r="AD62" s="170"/>
      <c r="AE62" s="170"/>
      <c r="AF62" s="170"/>
      <c r="AG62" s="170"/>
      <c r="AH62" s="170"/>
      <c r="AI62" s="170"/>
      <c r="AJ62" s="170"/>
      <c r="AK62" s="170"/>
      <c r="AL62" s="171"/>
      <c r="AM62" s="170"/>
      <c r="AN62" s="172"/>
      <c r="AO62" s="170"/>
      <c r="AP62" s="170"/>
      <c r="AS62" s="167"/>
      <c r="AT62" s="1170"/>
      <c r="AU62" s="1171"/>
      <c r="AV62" s="1171"/>
      <c r="AW62" s="1172"/>
      <c r="AX62" s="1172"/>
      <c r="AY62" s="1172"/>
      <c r="AZ62" s="1172"/>
      <c r="BA62" s="1236" t="s">
        <v>165</v>
      </c>
      <c r="BB62" s="1237">
        <v>2011</v>
      </c>
      <c r="BC62" s="1236" t="s">
        <v>282</v>
      </c>
      <c r="BD62" s="1236">
        <v>4</v>
      </c>
      <c r="BE62" s="1238">
        <v>335390627.97000003</v>
      </c>
      <c r="BF62" s="1239">
        <v>9.6271453733148799E-2</v>
      </c>
      <c r="BG62" s="1236"/>
      <c r="BH62" s="1236" t="s">
        <v>165</v>
      </c>
      <c r="BI62" s="1236" t="s">
        <v>297</v>
      </c>
      <c r="BJ62" s="1236" t="s">
        <v>282</v>
      </c>
      <c r="BK62" s="1236">
        <v>4</v>
      </c>
      <c r="BL62" s="1238">
        <v>319682429.44999999</v>
      </c>
      <c r="BM62" s="1239">
        <v>8.70477153224712E-2</v>
      </c>
      <c r="BN62" s="1236">
        <v>2011</v>
      </c>
      <c r="BO62" s="1189"/>
      <c r="BP62" s="174"/>
      <c r="BQ62" s="174"/>
      <c r="BR62" s="174"/>
      <c r="BS62" s="174"/>
      <c r="BT62" s="174"/>
      <c r="BU62" s="174"/>
      <c r="BV62" s="174"/>
      <c r="BW62" s="174"/>
      <c r="BX62" s="174"/>
    </row>
    <row r="63" spans="1:76" s="152" customFormat="1" ht="15" customHeight="1" x14ac:dyDescent="0.25">
      <c r="A63" s="152">
        <f t="shared" si="0"/>
        <v>1975</v>
      </c>
      <c r="B63" s="152" t="str">
        <f t="shared" si="1"/>
        <v>1974-75</v>
      </c>
      <c r="C63" s="153">
        <v>27515</v>
      </c>
      <c r="D63" s="154"/>
      <c r="E63" s="155"/>
      <c r="F63" s="155"/>
      <c r="G63" s="155"/>
      <c r="H63" s="155"/>
      <c r="I63" s="156">
        <v>124.52764163454154</v>
      </c>
      <c r="J63" s="156">
        <v>167.26547619050001</v>
      </c>
      <c r="K63" s="157"/>
      <c r="L63" s="158"/>
      <c r="M63" s="159"/>
      <c r="N63" s="159"/>
      <c r="O63" s="160"/>
      <c r="P63" s="160"/>
      <c r="Q63" s="160"/>
      <c r="R63" s="160"/>
      <c r="S63" s="160"/>
      <c r="T63" s="160"/>
      <c r="U63" s="161"/>
      <c r="V63" s="161"/>
      <c r="W63" s="161"/>
      <c r="X63" s="161"/>
      <c r="Y63" s="162"/>
      <c r="Z63" s="162"/>
      <c r="AA63" s="162"/>
      <c r="AB63" s="162"/>
      <c r="AC63" s="163"/>
      <c r="AD63" s="163"/>
      <c r="AE63" s="163"/>
      <c r="AF63" s="163"/>
      <c r="AG63" s="163"/>
      <c r="AH63" s="163"/>
      <c r="AI63" s="163"/>
      <c r="AJ63" s="163"/>
      <c r="AK63" s="164"/>
      <c r="AL63" s="165"/>
      <c r="AM63" s="164"/>
      <c r="AN63" s="166"/>
      <c r="AO63" s="164"/>
      <c r="AP63" s="164"/>
      <c r="AS63" s="167"/>
      <c r="AT63" s="1170"/>
      <c r="AU63" s="1171"/>
      <c r="AV63" s="1171"/>
      <c r="AW63" s="1172"/>
      <c r="AX63" s="1172"/>
      <c r="AY63" s="1172"/>
      <c r="AZ63" s="1172"/>
      <c r="BA63" s="1236" t="s">
        <v>165</v>
      </c>
      <c r="BB63" s="1237">
        <v>2011</v>
      </c>
      <c r="BC63" s="1236" t="s">
        <v>284</v>
      </c>
      <c r="BD63" s="1236">
        <v>5</v>
      </c>
      <c r="BE63" s="1238">
        <v>296772260.06000006</v>
      </c>
      <c r="BF63" s="1239">
        <v>8.5186330567960558E-2</v>
      </c>
      <c r="BG63" s="1236"/>
      <c r="BH63" s="1236" t="s">
        <v>165</v>
      </c>
      <c r="BI63" s="1236" t="s">
        <v>297</v>
      </c>
      <c r="BJ63" s="1236" t="s">
        <v>284</v>
      </c>
      <c r="BK63" s="1236">
        <v>5</v>
      </c>
      <c r="BL63" s="1238">
        <v>281448198.71000004</v>
      </c>
      <c r="BM63" s="1239">
        <v>7.6636750795095632E-2</v>
      </c>
      <c r="BN63" s="1236">
        <v>2011</v>
      </c>
      <c r="BO63" s="1189"/>
      <c r="BP63" s="174"/>
      <c r="BQ63" s="174"/>
      <c r="BR63" s="174"/>
      <c r="BS63" s="174"/>
      <c r="BT63" s="174"/>
      <c r="BU63" s="174"/>
      <c r="BV63" s="174"/>
      <c r="BW63" s="174"/>
      <c r="BX63" s="174"/>
    </row>
    <row r="64" spans="1:76" s="152" customFormat="1" ht="15" customHeight="1" x14ac:dyDescent="0.25">
      <c r="A64" s="152">
        <f t="shared" si="0"/>
        <v>1975</v>
      </c>
      <c r="B64" s="152" t="str">
        <f t="shared" si="1"/>
        <v>1974-75</v>
      </c>
      <c r="C64" s="153">
        <v>27547</v>
      </c>
      <c r="D64" s="169"/>
      <c r="E64" s="170"/>
      <c r="F64" s="170"/>
      <c r="G64" s="170"/>
      <c r="H64" s="170"/>
      <c r="I64" s="169">
        <v>123.97104107856065</v>
      </c>
      <c r="J64" s="169">
        <v>164.3607142857</v>
      </c>
      <c r="K64" s="169"/>
      <c r="L64" s="170"/>
      <c r="M64" s="170"/>
      <c r="N64" s="170"/>
      <c r="O64" s="169"/>
      <c r="P64" s="169"/>
      <c r="Q64" s="169"/>
      <c r="R64" s="169"/>
      <c r="S64" s="169"/>
      <c r="T64" s="169"/>
      <c r="U64" s="170"/>
      <c r="V64" s="170"/>
      <c r="W64" s="170"/>
      <c r="X64" s="170"/>
      <c r="Y64" s="170"/>
      <c r="Z64" s="170"/>
      <c r="AA64" s="170"/>
      <c r="AB64" s="170"/>
      <c r="AC64" s="170"/>
      <c r="AD64" s="170"/>
      <c r="AE64" s="170"/>
      <c r="AF64" s="170"/>
      <c r="AG64" s="170"/>
      <c r="AH64" s="170"/>
      <c r="AI64" s="170"/>
      <c r="AJ64" s="170"/>
      <c r="AK64" s="170"/>
      <c r="AL64" s="171"/>
      <c r="AM64" s="170"/>
      <c r="AN64" s="172"/>
      <c r="AO64" s="170"/>
      <c r="AP64" s="170"/>
      <c r="AS64" s="167"/>
      <c r="AT64" s="1170"/>
      <c r="AU64" s="1171"/>
      <c r="AV64" s="1171"/>
      <c r="AW64" s="1172"/>
      <c r="AX64" s="1172"/>
      <c r="AY64" s="1172"/>
      <c r="AZ64" s="1172"/>
      <c r="BA64" s="1236" t="s">
        <v>165</v>
      </c>
      <c r="BB64" s="1237">
        <v>2011</v>
      </c>
      <c r="BC64" s="1236" t="s">
        <v>288</v>
      </c>
      <c r="BD64" s="1236">
        <v>6</v>
      </c>
      <c r="BE64" s="1238">
        <v>211566750.22999996</v>
      </c>
      <c r="BF64" s="1239">
        <v>6.0728705299606493E-2</v>
      </c>
      <c r="BG64" s="1236"/>
      <c r="BH64" s="1236" t="s">
        <v>165</v>
      </c>
      <c r="BI64" s="1236" t="s">
        <v>297</v>
      </c>
      <c r="BJ64" s="1236" t="s">
        <v>298</v>
      </c>
      <c r="BK64" s="1236">
        <v>6</v>
      </c>
      <c r="BL64" s="1238">
        <v>232472654.44000006</v>
      </c>
      <c r="BM64" s="1239">
        <v>6.3300987416693141E-2</v>
      </c>
      <c r="BN64" s="1236">
        <v>2011</v>
      </c>
      <c r="BO64" s="1189"/>
      <c r="BP64" s="174"/>
      <c r="BQ64" s="174"/>
      <c r="BR64" s="174"/>
      <c r="BS64" s="174"/>
      <c r="BT64" s="174"/>
      <c r="BU64" s="174"/>
      <c r="BV64" s="174"/>
      <c r="BW64" s="174"/>
      <c r="BX64" s="174"/>
    </row>
    <row r="65" spans="1:76" s="152" customFormat="1" ht="15" customHeight="1" x14ac:dyDescent="0.25">
      <c r="A65" s="152">
        <f t="shared" si="0"/>
        <v>1975</v>
      </c>
      <c r="B65" s="152" t="str">
        <f t="shared" si="1"/>
        <v>1975-76</v>
      </c>
      <c r="C65" s="153">
        <v>27576</v>
      </c>
      <c r="D65" s="154"/>
      <c r="E65" s="155"/>
      <c r="F65" s="155"/>
      <c r="G65" s="155"/>
      <c r="H65" s="155"/>
      <c r="I65" s="156">
        <v>127.27951354129431</v>
      </c>
      <c r="J65" s="156">
        <v>165.17065217390001</v>
      </c>
      <c r="K65" s="157"/>
      <c r="L65" s="158"/>
      <c r="M65" s="159"/>
      <c r="N65" s="159"/>
      <c r="O65" s="160"/>
      <c r="P65" s="160"/>
      <c r="Q65" s="160"/>
      <c r="R65" s="160"/>
      <c r="S65" s="160"/>
      <c r="T65" s="160"/>
      <c r="U65" s="161"/>
      <c r="V65" s="161"/>
      <c r="W65" s="161"/>
      <c r="X65" s="161"/>
      <c r="Y65" s="162"/>
      <c r="Z65" s="162"/>
      <c r="AA65" s="162"/>
      <c r="AB65" s="162"/>
      <c r="AC65" s="163"/>
      <c r="AD65" s="163"/>
      <c r="AE65" s="163"/>
      <c r="AF65" s="163"/>
      <c r="AG65" s="163"/>
      <c r="AH65" s="163"/>
      <c r="AI65" s="163"/>
      <c r="AJ65" s="163"/>
      <c r="AK65" s="164"/>
      <c r="AL65" s="165"/>
      <c r="AM65" s="164"/>
      <c r="AN65" s="166"/>
      <c r="AO65" s="164"/>
      <c r="AP65" s="164"/>
      <c r="AS65" s="167"/>
      <c r="AT65" s="1170"/>
      <c r="AU65" s="1171"/>
      <c r="AV65" s="1171"/>
      <c r="AW65" s="1172"/>
      <c r="AX65" s="1172"/>
      <c r="AY65" s="1172"/>
      <c r="AZ65" s="1172"/>
      <c r="BA65" s="1236" t="s">
        <v>165</v>
      </c>
      <c r="BB65" s="1237">
        <v>2011</v>
      </c>
      <c r="BC65" s="1236" t="s">
        <v>286</v>
      </c>
      <c r="BD65" s="1236">
        <v>7</v>
      </c>
      <c r="BE65" s="1238">
        <v>185587657.65000001</v>
      </c>
      <c r="BF65" s="1239">
        <v>5.3271594692543348E-2</v>
      </c>
      <c r="BG65" s="1236"/>
      <c r="BH65" s="1236" t="s">
        <v>165</v>
      </c>
      <c r="BI65" s="1236" t="s">
        <v>297</v>
      </c>
      <c r="BJ65" s="1236" t="s">
        <v>288</v>
      </c>
      <c r="BK65" s="1236">
        <v>7</v>
      </c>
      <c r="BL65" s="1238">
        <v>160754823.71999997</v>
      </c>
      <c r="BM65" s="1239">
        <v>4.377262821722027E-2</v>
      </c>
      <c r="BN65" s="1236">
        <v>2011</v>
      </c>
      <c r="BO65" s="1189"/>
      <c r="BP65" s="174"/>
      <c r="BQ65" s="174"/>
      <c r="BR65" s="174"/>
      <c r="BS65" s="174"/>
      <c r="BT65" s="174"/>
      <c r="BU65" s="174"/>
      <c r="BV65" s="174"/>
      <c r="BW65" s="174"/>
      <c r="BX65" s="174"/>
    </row>
    <row r="66" spans="1:76" s="152" customFormat="1" ht="15" customHeight="1" x14ac:dyDescent="0.25">
      <c r="A66" s="152">
        <f t="shared" si="0"/>
        <v>1975</v>
      </c>
      <c r="B66" s="152" t="str">
        <f t="shared" si="1"/>
        <v>1975-76</v>
      </c>
      <c r="C66" s="153">
        <v>27607</v>
      </c>
      <c r="D66" s="169"/>
      <c r="E66" s="170"/>
      <c r="F66" s="170"/>
      <c r="G66" s="170"/>
      <c r="H66" s="170"/>
      <c r="I66" s="169">
        <v>127.17185426</v>
      </c>
      <c r="J66" s="169">
        <v>162.70375000000001</v>
      </c>
      <c r="K66" s="169"/>
      <c r="L66" s="170"/>
      <c r="M66" s="170"/>
      <c r="N66" s="170"/>
      <c r="O66" s="169"/>
      <c r="P66" s="169"/>
      <c r="Q66" s="169"/>
      <c r="R66" s="169"/>
      <c r="S66" s="169"/>
      <c r="T66" s="169"/>
      <c r="U66" s="170"/>
      <c r="V66" s="170"/>
      <c r="W66" s="170"/>
      <c r="X66" s="170"/>
      <c r="Y66" s="170"/>
      <c r="Z66" s="170"/>
      <c r="AA66" s="170"/>
      <c r="AB66" s="170"/>
      <c r="AC66" s="170"/>
      <c r="AD66" s="170"/>
      <c r="AE66" s="170"/>
      <c r="AF66" s="170"/>
      <c r="AG66" s="170"/>
      <c r="AH66" s="170"/>
      <c r="AI66" s="170"/>
      <c r="AJ66" s="170"/>
      <c r="AK66" s="170"/>
      <c r="AL66" s="171"/>
      <c r="AM66" s="170"/>
      <c r="AN66" s="172"/>
      <c r="AO66" s="170"/>
      <c r="AP66" s="170"/>
      <c r="AS66" s="167"/>
      <c r="AT66" s="1170"/>
      <c r="AU66" s="1171"/>
      <c r="AV66" s="1171"/>
      <c r="AW66" s="1172"/>
      <c r="AX66" s="1172"/>
      <c r="AY66" s="1172"/>
      <c r="AZ66" s="1172"/>
      <c r="BA66" s="1236" t="s">
        <v>165</v>
      </c>
      <c r="BB66" s="1237">
        <v>2011</v>
      </c>
      <c r="BC66" s="1236" t="s">
        <v>299</v>
      </c>
      <c r="BD66" s="1236">
        <v>8</v>
      </c>
      <c r="BE66" s="1238">
        <v>165338350.38999999</v>
      </c>
      <c r="BF66" s="1239">
        <v>4.7459177515567913E-2</v>
      </c>
      <c r="BG66" s="1236"/>
      <c r="BH66" s="1236" t="s">
        <v>165</v>
      </c>
      <c r="BI66" s="1236" t="s">
        <v>297</v>
      </c>
      <c r="BJ66" s="1236" t="s">
        <v>299</v>
      </c>
      <c r="BK66" s="1236">
        <v>8</v>
      </c>
      <c r="BL66" s="1238">
        <v>136306131.96000001</v>
      </c>
      <c r="BM66" s="1239">
        <v>3.7115387892837082E-2</v>
      </c>
      <c r="BN66" s="1236">
        <v>2011</v>
      </c>
      <c r="BO66" s="1189"/>
      <c r="BP66" s="174"/>
      <c r="BQ66" s="174"/>
      <c r="BR66" s="174"/>
      <c r="BS66" s="174"/>
      <c r="BT66" s="174"/>
      <c r="BU66" s="174"/>
      <c r="BV66" s="174"/>
      <c r="BW66" s="174"/>
      <c r="BX66" s="174"/>
    </row>
    <row r="67" spans="1:76" s="152" customFormat="1" ht="15" customHeight="1" x14ac:dyDescent="0.25">
      <c r="A67" s="152">
        <f t="shared" si="0"/>
        <v>1975</v>
      </c>
      <c r="B67" s="152" t="str">
        <f t="shared" si="1"/>
        <v>1975-76</v>
      </c>
      <c r="C67" s="153">
        <v>27638</v>
      </c>
      <c r="D67" s="154"/>
      <c r="E67" s="155"/>
      <c r="F67" s="155"/>
      <c r="G67" s="155"/>
      <c r="H67" s="155"/>
      <c r="I67" s="156">
        <v>114.51572933634917</v>
      </c>
      <c r="J67" s="156">
        <v>143.8318181818</v>
      </c>
      <c r="K67" s="157"/>
      <c r="L67" s="158"/>
      <c r="M67" s="159"/>
      <c r="N67" s="159"/>
      <c r="O67" s="160"/>
      <c r="P67" s="160"/>
      <c r="Q67" s="160"/>
      <c r="R67" s="160"/>
      <c r="S67" s="160"/>
      <c r="T67" s="160"/>
      <c r="U67" s="161"/>
      <c r="V67" s="161"/>
      <c r="W67" s="161"/>
      <c r="X67" s="161"/>
      <c r="Y67" s="162"/>
      <c r="Z67" s="162"/>
      <c r="AA67" s="162"/>
      <c r="AB67" s="162"/>
      <c r="AC67" s="163"/>
      <c r="AD67" s="163"/>
      <c r="AE67" s="163"/>
      <c r="AF67" s="163"/>
      <c r="AG67" s="163"/>
      <c r="AH67" s="163"/>
      <c r="AI67" s="163"/>
      <c r="AJ67" s="163"/>
      <c r="AK67" s="164"/>
      <c r="AL67" s="165"/>
      <c r="AM67" s="164"/>
      <c r="AN67" s="166"/>
      <c r="AO67" s="164"/>
      <c r="AP67" s="164"/>
      <c r="AS67" s="167"/>
      <c r="AT67" s="1170"/>
      <c r="AU67" s="1171"/>
      <c r="AV67" s="1171"/>
      <c r="AW67" s="1172"/>
      <c r="AX67" s="1172"/>
      <c r="AY67" s="1172"/>
      <c r="AZ67" s="1172"/>
      <c r="BA67" s="1236" t="s">
        <v>165</v>
      </c>
      <c r="BB67" s="1237">
        <v>2011</v>
      </c>
      <c r="BC67" s="1236" t="s">
        <v>287</v>
      </c>
      <c r="BD67" s="1236">
        <v>9</v>
      </c>
      <c r="BE67" s="1238">
        <v>147998181.80999997</v>
      </c>
      <c r="BF67" s="1239">
        <v>4.2481807553626724E-2</v>
      </c>
      <c r="BG67" s="1236"/>
      <c r="BH67" s="1236" t="s">
        <v>165</v>
      </c>
      <c r="BI67" s="1236" t="s">
        <v>297</v>
      </c>
      <c r="BJ67" s="1236" t="s">
        <v>289</v>
      </c>
      <c r="BK67" s="1236">
        <v>9</v>
      </c>
      <c r="BL67" s="1238">
        <v>130671743.03999999</v>
      </c>
      <c r="BM67" s="1239">
        <v>3.5581175694912835E-2</v>
      </c>
      <c r="BN67" s="1236">
        <v>2011</v>
      </c>
      <c r="BO67" s="1189"/>
      <c r="BP67" s="174"/>
      <c r="BQ67" s="174"/>
      <c r="BR67" s="174"/>
      <c r="BS67" s="174"/>
      <c r="BT67" s="174"/>
      <c r="BU67" s="174"/>
      <c r="BV67" s="174"/>
      <c r="BW67" s="174"/>
      <c r="BX67" s="174"/>
    </row>
    <row r="68" spans="1:76" s="152" customFormat="1" ht="15" customHeight="1" x14ac:dyDescent="0.25">
      <c r="A68" s="152">
        <f t="shared" si="0"/>
        <v>1975</v>
      </c>
      <c r="B68" s="152" t="str">
        <f t="shared" si="1"/>
        <v>1975-76</v>
      </c>
      <c r="C68" s="153">
        <v>27668</v>
      </c>
      <c r="D68" s="169"/>
      <c r="E68" s="170"/>
      <c r="F68" s="170"/>
      <c r="G68" s="170"/>
      <c r="H68" s="170"/>
      <c r="I68" s="169">
        <v>112.31398569780897</v>
      </c>
      <c r="J68" s="169">
        <v>142.75108695649999</v>
      </c>
      <c r="K68" s="169"/>
      <c r="L68" s="170"/>
      <c r="M68" s="170"/>
      <c r="N68" s="170"/>
      <c r="O68" s="169"/>
      <c r="P68" s="169"/>
      <c r="Q68" s="169"/>
      <c r="R68" s="169"/>
      <c r="S68" s="169"/>
      <c r="T68" s="169"/>
      <c r="U68" s="170"/>
      <c r="V68" s="170"/>
      <c r="W68" s="170"/>
      <c r="X68" s="170"/>
      <c r="Y68" s="170"/>
      <c r="Z68" s="170"/>
      <c r="AA68" s="170"/>
      <c r="AB68" s="170"/>
      <c r="AC68" s="170"/>
      <c r="AD68" s="170"/>
      <c r="AE68" s="170"/>
      <c r="AF68" s="170"/>
      <c r="AG68" s="170"/>
      <c r="AH68" s="170"/>
      <c r="AI68" s="170"/>
      <c r="AJ68" s="170"/>
      <c r="AK68" s="170"/>
      <c r="AL68" s="171"/>
      <c r="AM68" s="170"/>
      <c r="AN68" s="172"/>
      <c r="AO68" s="170"/>
      <c r="AP68" s="170"/>
      <c r="AS68" s="167"/>
      <c r="AT68" s="1170"/>
      <c r="AU68" s="1171"/>
      <c r="AV68" s="1171"/>
      <c r="AW68" s="1172"/>
      <c r="AX68" s="1172"/>
      <c r="AY68" s="1172"/>
      <c r="AZ68" s="1172"/>
      <c r="BA68" s="1236" t="s">
        <v>165</v>
      </c>
      <c r="BB68" s="1237">
        <v>2011</v>
      </c>
      <c r="BC68" s="1236" t="s">
        <v>300</v>
      </c>
      <c r="BD68" s="1236">
        <v>10</v>
      </c>
      <c r="BE68" s="1238">
        <v>108413295.86</v>
      </c>
      <c r="BF68" s="1239">
        <v>3.111925237629997E-2</v>
      </c>
      <c r="BG68" s="1236"/>
      <c r="BH68" s="1236" t="s">
        <v>165</v>
      </c>
      <c r="BI68" s="1236" t="s">
        <v>297</v>
      </c>
      <c r="BJ68" s="1236" t="s">
        <v>287</v>
      </c>
      <c r="BK68" s="1236">
        <v>10</v>
      </c>
      <c r="BL68" s="1238">
        <v>120936724.94</v>
      </c>
      <c r="BM68" s="1239">
        <v>3.2930385391279821E-2</v>
      </c>
      <c r="BN68" s="1236">
        <v>2011</v>
      </c>
      <c r="BO68" s="1189"/>
      <c r="BP68" s="174"/>
      <c r="BQ68" s="174"/>
      <c r="BR68" s="174"/>
      <c r="BS68" s="174"/>
      <c r="BT68" s="174"/>
      <c r="BU68" s="174"/>
      <c r="BV68" s="174"/>
      <c r="BW68" s="174"/>
      <c r="BX68" s="174"/>
    </row>
    <row r="69" spans="1:76" s="152" customFormat="1" ht="15" customHeight="1" x14ac:dyDescent="0.25">
      <c r="A69" s="152">
        <f t="shared" si="0"/>
        <v>1975</v>
      </c>
      <c r="B69" s="152" t="str">
        <f t="shared" si="1"/>
        <v>1975-76</v>
      </c>
      <c r="C69" s="153">
        <v>27701</v>
      </c>
      <c r="D69" s="154"/>
      <c r="E69" s="155"/>
      <c r="F69" s="155"/>
      <c r="G69" s="155"/>
      <c r="H69" s="155"/>
      <c r="I69" s="156">
        <v>112.97543865624999</v>
      </c>
      <c r="J69" s="156">
        <v>142.28125</v>
      </c>
      <c r="K69" s="157"/>
      <c r="L69" s="158"/>
      <c r="M69" s="159"/>
      <c r="N69" s="159"/>
      <c r="O69" s="160"/>
      <c r="P69" s="160"/>
      <c r="Q69" s="160"/>
      <c r="R69" s="160"/>
      <c r="S69" s="160"/>
      <c r="T69" s="160"/>
      <c r="U69" s="161"/>
      <c r="V69" s="161"/>
      <c r="W69" s="161"/>
      <c r="X69" s="161"/>
      <c r="Y69" s="162"/>
      <c r="Z69" s="162"/>
      <c r="AA69" s="162"/>
      <c r="AB69" s="162"/>
      <c r="AC69" s="163"/>
      <c r="AD69" s="163"/>
      <c r="AE69" s="163"/>
      <c r="AF69" s="163"/>
      <c r="AG69" s="163"/>
      <c r="AH69" s="163"/>
      <c r="AI69" s="163"/>
      <c r="AJ69" s="163"/>
      <c r="AK69" s="164"/>
      <c r="AL69" s="165"/>
      <c r="AM69" s="164"/>
      <c r="AN69" s="166"/>
      <c r="AO69" s="164"/>
      <c r="AP69" s="164"/>
      <c r="AS69" s="167"/>
      <c r="AT69" s="1170"/>
      <c r="AU69" s="1171"/>
      <c r="AV69" s="1171"/>
      <c r="AW69" s="1172"/>
      <c r="AX69" s="1172"/>
      <c r="AY69" s="1172"/>
      <c r="AZ69" s="1172"/>
      <c r="BA69" s="1236" t="s">
        <v>165</v>
      </c>
      <c r="BB69" s="1237">
        <v>2011</v>
      </c>
      <c r="BC69" s="1236" t="s">
        <v>291</v>
      </c>
      <c r="BD69" s="1236"/>
      <c r="BE69" s="1238">
        <v>356768072.94999981</v>
      </c>
      <c r="BF69" s="1239">
        <v>0.10240769468234155</v>
      </c>
      <c r="BG69" s="1236"/>
      <c r="BH69" s="1236" t="s">
        <v>165</v>
      </c>
      <c r="BI69" s="1236" t="s">
        <v>297</v>
      </c>
      <c r="BJ69" s="1236" t="s">
        <v>296</v>
      </c>
      <c r="BK69" s="1236">
        <v>11</v>
      </c>
      <c r="BL69" s="1238">
        <v>106252945.60999998</v>
      </c>
      <c r="BM69" s="1239">
        <v>2.8932075427310584E-2</v>
      </c>
      <c r="BN69" s="1236">
        <v>2011</v>
      </c>
      <c r="BO69" s="1189"/>
      <c r="BP69" s="174"/>
      <c r="BQ69" s="174"/>
      <c r="BR69" s="174"/>
      <c r="BS69" s="174"/>
      <c r="BT69" s="174"/>
      <c r="BU69" s="174"/>
      <c r="BV69" s="174"/>
      <c r="BW69" s="174"/>
      <c r="BX69" s="174"/>
    </row>
    <row r="70" spans="1:76" s="152" customFormat="1" ht="15" customHeight="1" x14ac:dyDescent="0.25">
      <c r="A70" s="152">
        <f t="shared" si="0"/>
        <v>1975</v>
      </c>
      <c r="B70" s="152" t="str">
        <f t="shared" si="1"/>
        <v>1975-76</v>
      </c>
      <c r="C70" s="153">
        <v>27729</v>
      </c>
      <c r="D70" s="169"/>
      <c r="E70" s="170"/>
      <c r="F70" s="170"/>
      <c r="G70" s="170"/>
      <c r="H70" s="170"/>
      <c r="I70" s="169">
        <v>110.8221561552548</v>
      </c>
      <c r="J70" s="169">
        <v>139.31447368420001</v>
      </c>
      <c r="K70" s="169"/>
      <c r="L70" s="170"/>
      <c r="M70" s="170"/>
      <c r="N70" s="170"/>
      <c r="O70" s="169"/>
      <c r="P70" s="169"/>
      <c r="Q70" s="169"/>
      <c r="R70" s="169"/>
      <c r="S70" s="169"/>
      <c r="T70" s="169"/>
      <c r="U70" s="170"/>
      <c r="V70" s="170"/>
      <c r="W70" s="170"/>
      <c r="X70" s="170"/>
      <c r="Y70" s="170"/>
      <c r="Z70" s="170"/>
      <c r="AA70" s="170"/>
      <c r="AB70" s="170"/>
      <c r="AC70" s="170"/>
      <c r="AD70" s="170"/>
      <c r="AE70" s="170"/>
      <c r="AF70" s="170"/>
      <c r="AG70" s="170"/>
      <c r="AH70" s="170"/>
      <c r="AI70" s="170"/>
      <c r="AJ70" s="170"/>
      <c r="AK70" s="170"/>
      <c r="AL70" s="171"/>
      <c r="AM70" s="170"/>
      <c r="AN70" s="172"/>
      <c r="AO70" s="170"/>
      <c r="AP70" s="170"/>
      <c r="AS70" s="167"/>
      <c r="AT70" s="1170"/>
      <c r="AU70" s="1171"/>
      <c r="AV70" s="1171"/>
      <c r="AW70" s="1172"/>
      <c r="AX70" s="1172"/>
      <c r="AY70" s="1172"/>
      <c r="AZ70" s="1172"/>
      <c r="BA70" s="1236" t="s">
        <v>165</v>
      </c>
      <c r="BB70" s="1237">
        <v>2011</v>
      </c>
      <c r="BC70" s="1236" t="s">
        <v>292</v>
      </c>
      <c r="BD70" s="1236"/>
      <c r="BE70" s="1238">
        <v>3483801427.7800002</v>
      </c>
      <c r="BF70" s="1239">
        <v>2.6015975686936341E-2</v>
      </c>
      <c r="BG70" s="1236"/>
      <c r="BH70" s="1236" t="s">
        <v>165</v>
      </c>
      <c r="BI70" s="1236" t="s">
        <v>297</v>
      </c>
      <c r="BJ70" s="1236" t="s">
        <v>300</v>
      </c>
      <c r="BK70" s="1236">
        <v>12</v>
      </c>
      <c r="BL70" s="1238">
        <v>76958175.060000002</v>
      </c>
      <c r="BM70" s="1239">
        <v>2.0955275289559028E-2</v>
      </c>
      <c r="BN70" s="1236">
        <v>2011</v>
      </c>
      <c r="BO70" s="1189"/>
      <c r="BP70" s="174"/>
      <c r="BQ70" s="174"/>
      <c r="BR70" s="174"/>
      <c r="BS70" s="174"/>
      <c r="BT70" s="174"/>
      <c r="BU70" s="174"/>
      <c r="BV70" s="174"/>
      <c r="BW70" s="174"/>
      <c r="BX70" s="174"/>
    </row>
    <row r="71" spans="1:76" s="152" customFormat="1" ht="15" customHeight="1" x14ac:dyDescent="0.25">
      <c r="A71" s="152">
        <f t="shared" si="0"/>
        <v>1976</v>
      </c>
      <c r="B71" s="152" t="str">
        <f t="shared" si="1"/>
        <v>1975-76</v>
      </c>
      <c r="C71" s="153">
        <v>27760</v>
      </c>
      <c r="D71" s="154"/>
      <c r="E71" s="155"/>
      <c r="F71" s="155"/>
      <c r="G71" s="155"/>
      <c r="H71" s="155"/>
      <c r="I71" s="156">
        <v>104.26686447262662</v>
      </c>
      <c r="J71" s="156">
        <v>131.25119047620001</v>
      </c>
      <c r="K71" s="157"/>
      <c r="L71" s="158"/>
      <c r="M71" s="159"/>
      <c r="N71" s="159"/>
      <c r="O71" s="160"/>
      <c r="P71" s="160"/>
      <c r="Q71" s="160"/>
      <c r="R71" s="160"/>
      <c r="S71" s="160"/>
      <c r="T71" s="160"/>
      <c r="U71" s="161"/>
      <c r="V71" s="161"/>
      <c r="W71" s="161"/>
      <c r="X71" s="161"/>
      <c r="Y71" s="162"/>
      <c r="Z71" s="162"/>
      <c r="AA71" s="162"/>
      <c r="AB71" s="162"/>
      <c r="AC71" s="163"/>
      <c r="AD71" s="163"/>
      <c r="AE71" s="163"/>
      <c r="AF71" s="163"/>
      <c r="AG71" s="163"/>
      <c r="AH71" s="163"/>
      <c r="AI71" s="163"/>
      <c r="AJ71" s="163"/>
      <c r="AK71" s="164"/>
      <c r="AL71" s="165"/>
      <c r="AM71" s="164"/>
      <c r="AN71" s="166"/>
      <c r="AO71" s="164"/>
      <c r="AP71" s="164"/>
      <c r="AS71" s="167"/>
      <c r="AT71" s="1170"/>
      <c r="AU71" s="1171"/>
      <c r="AV71" s="1171"/>
      <c r="AW71" s="1172"/>
      <c r="AX71" s="1172"/>
      <c r="AY71" s="1172"/>
      <c r="AZ71" s="1172"/>
      <c r="BA71" s="1236" t="s">
        <v>165</v>
      </c>
      <c r="BB71" s="1237">
        <v>2010</v>
      </c>
      <c r="BC71" s="1236" t="s">
        <v>281</v>
      </c>
      <c r="BD71" s="1236">
        <v>1</v>
      </c>
      <c r="BE71" s="1238">
        <v>891000156.54999971</v>
      </c>
      <c r="BF71" s="1239">
        <v>0.23477197423957175</v>
      </c>
      <c r="BG71" s="1236"/>
      <c r="BH71" s="1236" t="s">
        <v>165</v>
      </c>
      <c r="BI71" s="1236" t="s">
        <v>297</v>
      </c>
      <c r="BJ71" s="1236" t="s">
        <v>291</v>
      </c>
      <c r="BK71" s="1236"/>
      <c r="BL71" s="1238">
        <v>132359904.86000109</v>
      </c>
      <c r="BM71" s="1239">
        <v>3.6040852599203574E-2</v>
      </c>
      <c r="BN71" s="1236">
        <v>2011</v>
      </c>
      <c r="BO71" s="1189"/>
      <c r="BP71" s="174"/>
      <c r="BQ71" s="174"/>
      <c r="BR71" s="174"/>
      <c r="BS71" s="174"/>
      <c r="BT71" s="174"/>
      <c r="BU71" s="174"/>
      <c r="BV71" s="174"/>
      <c r="BW71" s="174"/>
      <c r="BX71" s="174"/>
    </row>
    <row r="72" spans="1:76" s="152" customFormat="1" ht="15" customHeight="1" x14ac:dyDescent="0.25">
      <c r="A72" s="152">
        <f t="shared" si="0"/>
        <v>1976</v>
      </c>
      <c r="B72" s="152" t="str">
        <f t="shared" si="1"/>
        <v>1975-76</v>
      </c>
      <c r="C72" s="153">
        <v>27792</v>
      </c>
      <c r="D72" s="169"/>
      <c r="E72" s="170"/>
      <c r="F72" s="170"/>
      <c r="G72" s="170"/>
      <c r="H72" s="170"/>
      <c r="I72" s="169">
        <v>104.023542425</v>
      </c>
      <c r="J72" s="169">
        <v>131.14250000000001</v>
      </c>
      <c r="K72" s="169"/>
      <c r="L72" s="170"/>
      <c r="M72" s="170"/>
      <c r="N72" s="170"/>
      <c r="O72" s="169"/>
      <c r="P72" s="169"/>
      <c r="Q72" s="169"/>
      <c r="R72" s="169"/>
      <c r="S72" s="169"/>
      <c r="T72" s="169"/>
      <c r="U72" s="170"/>
      <c r="V72" s="170"/>
      <c r="W72" s="170"/>
      <c r="X72" s="170"/>
      <c r="Y72" s="170"/>
      <c r="Z72" s="170"/>
      <c r="AA72" s="170"/>
      <c r="AB72" s="170"/>
      <c r="AC72" s="170"/>
      <c r="AD72" s="170"/>
      <c r="AE72" s="170"/>
      <c r="AF72" s="170"/>
      <c r="AG72" s="170"/>
      <c r="AH72" s="170"/>
      <c r="AI72" s="170"/>
      <c r="AJ72" s="170"/>
      <c r="AK72" s="170"/>
      <c r="AL72" s="171"/>
      <c r="AM72" s="170"/>
      <c r="AN72" s="172"/>
      <c r="AO72" s="170"/>
      <c r="AP72" s="170"/>
      <c r="AS72" s="167"/>
      <c r="AT72" s="1170"/>
      <c r="AU72" s="1171"/>
      <c r="AV72" s="1171"/>
      <c r="AW72" s="1172"/>
      <c r="AX72" s="1172"/>
      <c r="AY72" s="1172"/>
      <c r="AZ72" s="1172"/>
      <c r="BA72" s="1236" t="s">
        <v>165</v>
      </c>
      <c r="BB72" s="1237">
        <v>2010</v>
      </c>
      <c r="BC72" s="1236" t="s">
        <v>279</v>
      </c>
      <c r="BD72" s="1236">
        <v>2</v>
      </c>
      <c r="BE72" s="1238">
        <v>847227430.13000011</v>
      </c>
      <c r="BF72" s="1239">
        <v>0.22323818344960875</v>
      </c>
      <c r="BG72" s="1236"/>
      <c r="BH72" s="1236" t="s">
        <v>165</v>
      </c>
      <c r="BI72" s="1236" t="s">
        <v>297</v>
      </c>
      <c r="BJ72" s="1236" t="s">
        <v>292</v>
      </c>
      <c r="BK72" s="1236"/>
      <c r="BL72" s="1238">
        <v>3672496495.3500004</v>
      </c>
      <c r="BM72" s="1239"/>
      <c r="BN72" s="1236">
        <v>2011</v>
      </c>
      <c r="BO72" s="1189"/>
      <c r="BP72" s="174"/>
      <c r="BQ72" s="174"/>
      <c r="BR72" s="174"/>
      <c r="BS72" s="174"/>
      <c r="BT72" s="174"/>
      <c r="BU72" s="174"/>
      <c r="BV72" s="174"/>
      <c r="BW72" s="174"/>
      <c r="BX72" s="174"/>
    </row>
    <row r="73" spans="1:76" s="152" customFormat="1" ht="15" customHeight="1" x14ac:dyDescent="0.25">
      <c r="A73" s="152">
        <f t="shared" si="0"/>
        <v>1976</v>
      </c>
      <c r="B73" s="152" t="str">
        <f t="shared" si="1"/>
        <v>1975-76</v>
      </c>
      <c r="C73" s="153">
        <v>27820</v>
      </c>
      <c r="D73" s="154"/>
      <c r="E73" s="155"/>
      <c r="F73" s="155"/>
      <c r="G73" s="155"/>
      <c r="H73" s="155"/>
      <c r="I73" s="156">
        <v>106.12755790215999</v>
      </c>
      <c r="J73" s="156">
        <v>132.51086956520001</v>
      </c>
      <c r="K73" s="157"/>
      <c r="L73" s="158"/>
      <c r="M73" s="159"/>
      <c r="N73" s="159"/>
      <c r="O73" s="160"/>
      <c r="P73" s="160"/>
      <c r="Q73" s="160"/>
      <c r="R73" s="160"/>
      <c r="S73" s="160"/>
      <c r="T73" s="160"/>
      <c r="U73" s="161"/>
      <c r="V73" s="161"/>
      <c r="W73" s="161"/>
      <c r="X73" s="161"/>
      <c r="Y73" s="162"/>
      <c r="Z73" s="162"/>
      <c r="AA73" s="162"/>
      <c r="AB73" s="162"/>
      <c r="AC73" s="163"/>
      <c r="AD73" s="163"/>
      <c r="AE73" s="163"/>
      <c r="AF73" s="163"/>
      <c r="AG73" s="163"/>
      <c r="AH73" s="163"/>
      <c r="AI73" s="163"/>
      <c r="AJ73" s="163"/>
      <c r="AK73" s="164"/>
      <c r="AL73" s="165"/>
      <c r="AM73" s="164"/>
      <c r="AN73" s="166"/>
      <c r="AO73" s="164"/>
      <c r="AP73" s="164"/>
      <c r="AS73" s="167"/>
      <c r="AT73" s="1170"/>
      <c r="AU73" s="1171"/>
      <c r="AV73" s="1171"/>
      <c r="AW73" s="1172"/>
      <c r="AX73" s="1172"/>
      <c r="AY73" s="1172"/>
      <c r="AZ73" s="1172"/>
      <c r="BA73" s="1236" t="s">
        <v>165</v>
      </c>
      <c r="BB73" s="1237">
        <v>2010</v>
      </c>
      <c r="BC73" s="1236" t="s">
        <v>283</v>
      </c>
      <c r="BD73" s="1236">
        <v>3</v>
      </c>
      <c r="BE73" s="1238">
        <v>471992378</v>
      </c>
      <c r="BF73" s="1239">
        <v>0.12436651283895921</v>
      </c>
      <c r="BG73" s="1236"/>
      <c r="BH73" s="1236" t="s">
        <v>165</v>
      </c>
      <c r="BI73" s="1236" t="s">
        <v>301</v>
      </c>
      <c r="BJ73" s="1236" t="s">
        <v>279</v>
      </c>
      <c r="BK73" s="1236">
        <v>1</v>
      </c>
      <c r="BL73" s="1238">
        <v>801978851.91000009</v>
      </c>
      <c r="BM73" s="1239">
        <v>0.22661853877908558</v>
      </c>
      <c r="BN73" s="1236">
        <v>2010</v>
      </c>
      <c r="BO73" s="1189"/>
      <c r="BP73" s="174"/>
      <c r="BQ73" s="174"/>
      <c r="BR73" s="174"/>
      <c r="BS73" s="174"/>
      <c r="BT73" s="174"/>
      <c r="BU73" s="174"/>
      <c r="BV73" s="174"/>
      <c r="BW73" s="174"/>
      <c r="BX73" s="174"/>
    </row>
    <row r="74" spans="1:76" s="152" customFormat="1" ht="15" customHeight="1" x14ac:dyDescent="0.25">
      <c r="A74" s="152">
        <f t="shared" si="0"/>
        <v>1976</v>
      </c>
      <c r="B74" s="152" t="str">
        <f t="shared" si="1"/>
        <v>1975-76</v>
      </c>
      <c r="C74" s="153">
        <v>27851</v>
      </c>
      <c r="D74" s="169"/>
      <c r="E74" s="170"/>
      <c r="F74" s="170"/>
      <c r="G74" s="170"/>
      <c r="H74" s="170"/>
      <c r="I74" s="169">
        <v>103.24360688125</v>
      </c>
      <c r="J74" s="169">
        <v>127.91875</v>
      </c>
      <c r="K74" s="169"/>
      <c r="L74" s="170"/>
      <c r="M74" s="170"/>
      <c r="N74" s="170"/>
      <c r="O74" s="169"/>
      <c r="P74" s="169"/>
      <c r="Q74" s="169"/>
      <c r="R74" s="169"/>
      <c r="S74" s="169"/>
      <c r="T74" s="169"/>
      <c r="U74" s="170"/>
      <c r="V74" s="170"/>
      <c r="W74" s="170"/>
      <c r="X74" s="170"/>
      <c r="Y74" s="170"/>
      <c r="Z74" s="170"/>
      <c r="AA74" s="170"/>
      <c r="AB74" s="170"/>
      <c r="AC74" s="170"/>
      <c r="AD74" s="170"/>
      <c r="AE74" s="170"/>
      <c r="AF74" s="170"/>
      <c r="AG74" s="170"/>
      <c r="AH74" s="170"/>
      <c r="AI74" s="170"/>
      <c r="AJ74" s="170"/>
      <c r="AK74" s="170"/>
      <c r="AL74" s="171"/>
      <c r="AM74" s="170"/>
      <c r="AN74" s="172"/>
      <c r="AO74" s="170"/>
      <c r="AP74" s="170"/>
      <c r="AS74" s="167"/>
      <c r="AT74" s="1170"/>
      <c r="AU74" s="1171"/>
      <c r="AV74" s="1171"/>
      <c r="AW74" s="1172"/>
      <c r="AX74" s="1172"/>
      <c r="AY74" s="1172"/>
      <c r="AZ74" s="1172"/>
      <c r="BA74" s="1236" t="s">
        <v>165</v>
      </c>
      <c r="BB74" s="1237">
        <v>2010</v>
      </c>
      <c r="BC74" s="1236" t="s">
        <v>284</v>
      </c>
      <c r="BD74" s="1236">
        <v>4</v>
      </c>
      <c r="BE74" s="1238">
        <v>325177880.49999994</v>
      </c>
      <c r="BF74" s="1239">
        <v>8.5681974826612106E-2</v>
      </c>
      <c r="BG74" s="1236"/>
      <c r="BH74" s="1236" t="s">
        <v>165</v>
      </c>
      <c r="BI74" s="1236" t="s">
        <v>301</v>
      </c>
      <c r="BJ74" s="1236" t="s">
        <v>281</v>
      </c>
      <c r="BK74" s="1236">
        <v>2</v>
      </c>
      <c r="BL74" s="1238">
        <v>667819273.07999992</v>
      </c>
      <c r="BM74" s="1239">
        <v>0.18870850206768852</v>
      </c>
      <c r="BN74" s="1236">
        <v>2010</v>
      </c>
      <c r="BO74" s="1189"/>
      <c r="BP74" s="174"/>
      <c r="BQ74" s="174"/>
      <c r="BR74" s="174"/>
      <c r="BS74" s="174"/>
      <c r="BT74" s="174"/>
      <c r="BU74" s="174"/>
      <c r="BV74" s="174"/>
      <c r="BW74" s="174"/>
      <c r="BX74" s="174"/>
    </row>
    <row r="75" spans="1:76" s="152" customFormat="1" ht="15" customHeight="1" x14ac:dyDescent="0.25">
      <c r="A75" s="152">
        <f t="shared" ref="A75:A138" si="2">YEAR(C75)</f>
        <v>1976</v>
      </c>
      <c r="B75" s="152" t="str">
        <f t="shared" si="1"/>
        <v>1975-76</v>
      </c>
      <c r="C75" s="153">
        <v>27883</v>
      </c>
      <c r="D75" s="154"/>
      <c r="E75" s="155"/>
      <c r="F75" s="155"/>
      <c r="G75" s="155"/>
      <c r="H75" s="155"/>
      <c r="I75" s="156">
        <v>103.40850502500001</v>
      </c>
      <c r="J75" s="156">
        <v>126.8925</v>
      </c>
      <c r="K75" s="157"/>
      <c r="L75" s="158"/>
      <c r="M75" s="159"/>
      <c r="N75" s="159"/>
      <c r="O75" s="160"/>
      <c r="P75" s="160"/>
      <c r="Q75" s="160"/>
      <c r="R75" s="160"/>
      <c r="S75" s="160"/>
      <c r="T75" s="160"/>
      <c r="U75" s="161"/>
      <c r="V75" s="161"/>
      <c r="W75" s="161"/>
      <c r="X75" s="161"/>
      <c r="Y75" s="162"/>
      <c r="Z75" s="162"/>
      <c r="AA75" s="162"/>
      <c r="AB75" s="162"/>
      <c r="AC75" s="163"/>
      <c r="AD75" s="163"/>
      <c r="AE75" s="163"/>
      <c r="AF75" s="163"/>
      <c r="AG75" s="163"/>
      <c r="AH75" s="163"/>
      <c r="AI75" s="163"/>
      <c r="AJ75" s="163"/>
      <c r="AK75" s="164"/>
      <c r="AL75" s="165"/>
      <c r="AM75" s="164"/>
      <c r="AN75" s="166"/>
      <c r="AO75" s="164"/>
      <c r="AP75" s="164"/>
      <c r="AS75" s="167"/>
      <c r="AT75" s="1170"/>
      <c r="AU75" s="1171"/>
      <c r="AV75" s="1171"/>
      <c r="AW75" s="1172"/>
      <c r="AX75" s="1172"/>
      <c r="AY75" s="1172"/>
      <c r="AZ75" s="1172"/>
      <c r="BA75" s="1236" t="s">
        <v>165</v>
      </c>
      <c r="BB75" s="1237">
        <v>2010</v>
      </c>
      <c r="BC75" s="1236" t="s">
        <v>282</v>
      </c>
      <c r="BD75" s="1236">
        <v>5</v>
      </c>
      <c r="BE75" s="1238">
        <v>197652703.62</v>
      </c>
      <c r="BF75" s="1239">
        <v>5.2080030627977066E-2</v>
      </c>
      <c r="BG75" s="1236"/>
      <c r="BH75" s="1236" t="s">
        <v>165</v>
      </c>
      <c r="BI75" s="1236" t="s">
        <v>301</v>
      </c>
      <c r="BJ75" s="1236" t="s">
        <v>283</v>
      </c>
      <c r="BK75" s="1236">
        <v>3</v>
      </c>
      <c r="BL75" s="1238">
        <v>422475772.86999989</v>
      </c>
      <c r="BM75" s="1239">
        <v>0.11938075684832208</v>
      </c>
      <c r="BN75" s="1236">
        <v>2010</v>
      </c>
      <c r="BO75" s="1189"/>
      <c r="BP75" s="174"/>
      <c r="BQ75" s="174"/>
      <c r="BR75" s="174"/>
      <c r="BS75" s="174"/>
      <c r="BT75" s="174"/>
      <c r="BU75" s="174"/>
      <c r="BV75" s="174"/>
      <c r="BW75" s="174"/>
      <c r="BX75" s="174"/>
    </row>
    <row r="76" spans="1:76" s="152" customFormat="1" ht="15" customHeight="1" x14ac:dyDescent="0.25">
      <c r="A76" s="152">
        <f t="shared" si="2"/>
        <v>1976</v>
      </c>
      <c r="B76" s="152" t="str">
        <f t="shared" ref="B76:B139" si="3">IF(MONTH(C76) &gt;= 7, A76 &amp; "-" &amp; RIGHT(A76+1, 2), A76-1 &amp; "-" &amp; RIGHT(A76, 2))</f>
        <v>1975-76</v>
      </c>
      <c r="C76" s="153">
        <v>27912</v>
      </c>
      <c r="D76" s="169"/>
      <c r="E76" s="170"/>
      <c r="F76" s="170"/>
      <c r="G76" s="170"/>
      <c r="H76" s="170"/>
      <c r="I76" s="169">
        <v>101.67028218980217</v>
      </c>
      <c r="J76" s="169">
        <v>125.6238636364</v>
      </c>
      <c r="K76" s="169"/>
      <c r="L76" s="170"/>
      <c r="M76" s="170"/>
      <c r="N76" s="170"/>
      <c r="O76" s="169"/>
      <c r="P76" s="169"/>
      <c r="Q76" s="169"/>
      <c r="R76" s="169"/>
      <c r="S76" s="169"/>
      <c r="T76" s="169"/>
      <c r="U76" s="170"/>
      <c r="V76" s="170"/>
      <c r="W76" s="170"/>
      <c r="X76" s="170"/>
      <c r="Y76" s="170"/>
      <c r="Z76" s="170"/>
      <c r="AA76" s="170"/>
      <c r="AB76" s="170"/>
      <c r="AC76" s="170"/>
      <c r="AD76" s="170"/>
      <c r="AE76" s="170"/>
      <c r="AF76" s="170"/>
      <c r="AG76" s="170"/>
      <c r="AH76" s="170"/>
      <c r="AI76" s="170"/>
      <c r="AJ76" s="170"/>
      <c r="AK76" s="170"/>
      <c r="AL76" s="171"/>
      <c r="AM76" s="170"/>
      <c r="AN76" s="172"/>
      <c r="AO76" s="170"/>
      <c r="AP76" s="170"/>
      <c r="AS76" s="167"/>
      <c r="AT76" s="1170"/>
      <c r="AU76" s="1171"/>
      <c r="AV76" s="1171"/>
      <c r="AW76" s="1172"/>
      <c r="AX76" s="1172"/>
      <c r="AY76" s="1172"/>
      <c r="AZ76" s="1172"/>
      <c r="BA76" s="1236" t="s">
        <v>165</v>
      </c>
      <c r="BB76" s="1237">
        <v>2010</v>
      </c>
      <c r="BC76" s="1236" t="s">
        <v>286</v>
      </c>
      <c r="BD76" s="1236">
        <v>6</v>
      </c>
      <c r="BE76" s="1238">
        <v>178812407.03</v>
      </c>
      <c r="BF76" s="1239">
        <v>4.7115751336691492E-2</v>
      </c>
      <c r="BG76" s="1236"/>
      <c r="BH76" s="1236" t="s">
        <v>165</v>
      </c>
      <c r="BI76" s="1236" t="s">
        <v>301</v>
      </c>
      <c r="BJ76" s="1236" t="s">
        <v>284</v>
      </c>
      <c r="BK76" s="1236">
        <v>4</v>
      </c>
      <c r="BL76" s="1238">
        <v>293433624.23000002</v>
      </c>
      <c r="BM76" s="1239">
        <v>8.2916773919016501E-2</v>
      </c>
      <c r="BN76" s="1236">
        <v>2010</v>
      </c>
      <c r="BO76" s="1189"/>
      <c r="BP76" s="174"/>
      <c r="BQ76" s="174"/>
      <c r="BR76" s="174"/>
      <c r="BS76" s="174"/>
      <c r="BT76" s="174"/>
      <c r="BU76" s="174"/>
      <c r="BV76" s="174"/>
      <c r="BW76" s="174"/>
      <c r="BX76" s="174"/>
    </row>
    <row r="77" spans="1:76" s="152" customFormat="1" ht="15" customHeight="1" x14ac:dyDescent="0.25">
      <c r="A77" s="152">
        <f t="shared" si="2"/>
        <v>1976</v>
      </c>
      <c r="B77" s="152" t="str">
        <f t="shared" si="3"/>
        <v>1976-77</v>
      </c>
      <c r="C77" s="153">
        <v>27942</v>
      </c>
      <c r="D77" s="154"/>
      <c r="E77" s="155"/>
      <c r="F77" s="155"/>
      <c r="G77" s="155"/>
      <c r="H77" s="155"/>
      <c r="I77" s="156">
        <v>94.711974745461859</v>
      </c>
      <c r="J77" s="156">
        <v>117.5090909091</v>
      </c>
      <c r="K77" s="157"/>
      <c r="L77" s="158"/>
      <c r="M77" s="159"/>
      <c r="N77" s="159"/>
      <c r="O77" s="160"/>
      <c r="P77" s="160"/>
      <c r="Q77" s="160"/>
      <c r="R77" s="160"/>
      <c r="S77" s="160"/>
      <c r="T77" s="160"/>
      <c r="U77" s="161"/>
      <c r="V77" s="161"/>
      <c r="W77" s="161"/>
      <c r="X77" s="161"/>
      <c r="Y77" s="162"/>
      <c r="Z77" s="162"/>
      <c r="AA77" s="162"/>
      <c r="AB77" s="162"/>
      <c r="AC77" s="163"/>
      <c r="AD77" s="163"/>
      <c r="AE77" s="163"/>
      <c r="AF77" s="163"/>
      <c r="AG77" s="163"/>
      <c r="AH77" s="163"/>
      <c r="AI77" s="163"/>
      <c r="AJ77" s="163"/>
      <c r="AK77" s="164"/>
      <c r="AL77" s="165"/>
      <c r="AM77" s="164"/>
      <c r="AN77" s="166"/>
      <c r="AO77" s="164"/>
      <c r="AP77" s="164"/>
      <c r="AS77" s="167"/>
      <c r="AT77" s="1170"/>
      <c r="AU77" s="1171"/>
      <c r="AV77" s="1171"/>
      <c r="AW77" s="1172"/>
      <c r="AX77" s="1172"/>
      <c r="AY77" s="1172"/>
      <c r="AZ77" s="1172"/>
      <c r="BA77" s="1236" t="s">
        <v>165</v>
      </c>
      <c r="BB77" s="1237">
        <v>2010</v>
      </c>
      <c r="BC77" s="1236" t="s">
        <v>287</v>
      </c>
      <c r="BD77" s="1236">
        <v>7</v>
      </c>
      <c r="BE77" s="1238">
        <v>136866649.75</v>
      </c>
      <c r="BF77" s="1239">
        <v>3.6063353449658268E-2</v>
      </c>
      <c r="BG77" s="1236"/>
      <c r="BH77" s="1236" t="s">
        <v>165</v>
      </c>
      <c r="BI77" s="1236" t="s">
        <v>301</v>
      </c>
      <c r="BJ77" s="1236" t="s">
        <v>282</v>
      </c>
      <c r="BK77" s="1236">
        <v>5</v>
      </c>
      <c r="BL77" s="1238">
        <v>208556648.89000002</v>
      </c>
      <c r="BM77" s="1239">
        <v>5.8932729848864579E-2</v>
      </c>
      <c r="BN77" s="1236">
        <v>2010</v>
      </c>
      <c r="BO77" s="1189"/>
      <c r="BP77" s="174"/>
      <c r="BQ77" s="174"/>
      <c r="BR77" s="174"/>
      <c r="BS77" s="174"/>
      <c r="BT77" s="174"/>
      <c r="BU77" s="174"/>
      <c r="BV77" s="174"/>
      <c r="BW77" s="174"/>
      <c r="BX77" s="174"/>
    </row>
    <row r="78" spans="1:76" s="152" customFormat="1" ht="15" customHeight="1" x14ac:dyDescent="0.25">
      <c r="A78" s="152">
        <f t="shared" si="2"/>
        <v>1976</v>
      </c>
      <c r="B78" s="152" t="str">
        <f t="shared" si="3"/>
        <v>1976-77</v>
      </c>
      <c r="C78" s="153">
        <v>27974</v>
      </c>
      <c r="D78" s="169"/>
      <c r="E78" s="170"/>
      <c r="F78" s="170"/>
      <c r="G78" s="170"/>
      <c r="H78" s="170"/>
      <c r="I78" s="169">
        <v>88.09251764765726</v>
      </c>
      <c r="J78" s="169">
        <v>109.78095238100001</v>
      </c>
      <c r="K78" s="169"/>
      <c r="L78" s="170"/>
      <c r="M78" s="170"/>
      <c r="N78" s="170"/>
      <c r="O78" s="169"/>
      <c r="P78" s="169"/>
      <c r="Q78" s="169"/>
      <c r="R78" s="169"/>
      <c r="S78" s="169"/>
      <c r="T78" s="169"/>
      <c r="U78" s="170"/>
      <c r="V78" s="170"/>
      <c r="W78" s="170"/>
      <c r="X78" s="170"/>
      <c r="Y78" s="170"/>
      <c r="Z78" s="170"/>
      <c r="AA78" s="170"/>
      <c r="AB78" s="170"/>
      <c r="AC78" s="170"/>
      <c r="AD78" s="170"/>
      <c r="AE78" s="170"/>
      <c r="AF78" s="170"/>
      <c r="AG78" s="170"/>
      <c r="AH78" s="170"/>
      <c r="AI78" s="170"/>
      <c r="AJ78" s="170"/>
      <c r="AK78" s="170"/>
      <c r="AL78" s="171"/>
      <c r="AM78" s="170"/>
      <c r="AN78" s="172"/>
      <c r="AO78" s="170"/>
      <c r="AP78" s="170"/>
      <c r="AS78" s="167"/>
      <c r="AT78" s="1170"/>
      <c r="AU78" s="1171"/>
      <c r="AV78" s="1171"/>
      <c r="AW78" s="1172"/>
      <c r="AX78" s="1172"/>
      <c r="AY78" s="1172"/>
      <c r="AZ78" s="1172"/>
      <c r="BA78" s="1236" t="s">
        <v>165</v>
      </c>
      <c r="BB78" s="1237">
        <v>2010</v>
      </c>
      <c r="BC78" s="1236" t="s">
        <v>296</v>
      </c>
      <c r="BD78" s="1236">
        <v>8</v>
      </c>
      <c r="BE78" s="1238">
        <v>109489732.09</v>
      </c>
      <c r="BF78" s="1239">
        <v>2.8849737424584406E-2</v>
      </c>
      <c r="BG78" s="1236"/>
      <c r="BH78" s="1236" t="s">
        <v>165</v>
      </c>
      <c r="BI78" s="1236" t="s">
        <v>301</v>
      </c>
      <c r="BJ78" s="1236" t="s">
        <v>287</v>
      </c>
      <c r="BK78" s="1236">
        <v>6</v>
      </c>
      <c r="BL78" s="1238">
        <v>203882858.15999997</v>
      </c>
      <c r="BM78" s="1239">
        <v>5.7612037135747113E-2</v>
      </c>
      <c r="BN78" s="1236">
        <v>2010</v>
      </c>
      <c r="BO78" s="1189"/>
      <c r="BP78" s="174"/>
      <c r="BQ78" s="174"/>
      <c r="BR78" s="174"/>
      <c r="BS78" s="174"/>
      <c r="BT78" s="174"/>
      <c r="BU78" s="174"/>
      <c r="BV78" s="174"/>
      <c r="BW78" s="174"/>
      <c r="BX78" s="174"/>
    </row>
    <row r="79" spans="1:76" s="152" customFormat="1" ht="15" customHeight="1" x14ac:dyDescent="0.25">
      <c r="A79" s="152">
        <f t="shared" si="2"/>
        <v>1976</v>
      </c>
      <c r="B79" s="152" t="str">
        <f t="shared" si="3"/>
        <v>1976-77</v>
      </c>
      <c r="C79" s="153">
        <v>28004</v>
      </c>
      <c r="D79" s="154"/>
      <c r="E79" s="155"/>
      <c r="F79" s="155"/>
      <c r="G79" s="155"/>
      <c r="H79" s="155"/>
      <c r="I79" s="156">
        <v>92.442806811326903</v>
      </c>
      <c r="J79" s="156">
        <v>114.3795454545</v>
      </c>
      <c r="K79" s="157"/>
      <c r="L79" s="158"/>
      <c r="M79" s="159"/>
      <c r="N79" s="159"/>
      <c r="O79" s="160"/>
      <c r="P79" s="160"/>
      <c r="Q79" s="160"/>
      <c r="R79" s="160"/>
      <c r="S79" s="160"/>
      <c r="T79" s="160"/>
      <c r="U79" s="161"/>
      <c r="V79" s="161"/>
      <c r="W79" s="161"/>
      <c r="X79" s="161"/>
      <c r="Y79" s="162"/>
      <c r="Z79" s="162"/>
      <c r="AA79" s="162"/>
      <c r="AB79" s="162"/>
      <c r="AC79" s="163"/>
      <c r="AD79" s="163"/>
      <c r="AE79" s="163"/>
      <c r="AF79" s="163"/>
      <c r="AG79" s="163"/>
      <c r="AH79" s="163"/>
      <c r="AI79" s="163"/>
      <c r="AJ79" s="163"/>
      <c r="AK79" s="164"/>
      <c r="AL79" s="165"/>
      <c r="AM79" s="164"/>
      <c r="AN79" s="166"/>
      <c r="AO79" s="164"/>
      <c r="AP79" s="164"/>
      <c r="AS79" s="167"/>
      <c r="AT79" s="1170"/>
      <c r="AU79" s="1171"/>
      <c r="AV79" s="1171"/>
      <c r="AW79" s="1172"/>
      <c r="AX79" s="1172"/>
      <c r="AY79" s="1172"/>
      <c r="AZ79" s="1172"/>
      <c r="BA79" s="1236" t="s">
        <v>165</v>
      </c>
      <c r="BB79" s="1237">
        <v>2010</v>
      </c>
      <c r="BC79" s="1236" t="s">
        <v>299</v>
      </c>
      <c r="BD79" s="1236">
        <v>9</v>
      </c>
      <c r="BE79" s="1238">
        <v>103096619.3</v>
      </c>
      <c r="BF79" s="1239">
        <v>2.716519932410167E-2</v>
      </c>
      <c r="BG79" s="1236"/>
      <c r="BH79" s="1236" t="s">
        <v>165</v>
      </c>
      <c r="BI79" s="1236" t="s">
        <v>301</v>
      </c>
      <c r="BJ79" s="1236" t="s">
        <v>299</v>
      </c>
      <c r="BK79" s="1236">
        <v>7</v>
      </c>
      <c r="BL79" s="1238">
        <v>157400710.97</v>
      </c>
      <c r="BM79" s="1239">
        <v>4.4477381215051723E-2</v>
      </c>
      <c r="BN79" s="1236">
        <v>2010</v>
      </c>
      <c r="BO79" s="1189"/>
      <c r="BP79" s="174"/>
      <c r="BQ79" s="174"/>
      <c r="BR79" s="174"/>
      <c r="BS79" s="174"/>
      <c r="BT79" s="174"/>
      <c r="BU79" s="174"/>
      <c r="BV79" s="174"/>
      <c r="BW79" s="174"/>
      <c r="BX79" s="174"/>
    </row>
    <row r="80" spans="1:76" s="152" customFormat="1" ht="15" customHeight="1" x14ac:dyDescent="0.25">
      <c r="A80" s="152">
        <f t="shared" si="2"/>
        <v>1976</v>
      </c>
      <c r="B80" s="152" t="str">
        <f t="shared" si="3"/>
        <v>1976-77</v>
      </c>
      <c r="C80" s="153">
        <v>28034</v>
      </c>
      <c r="D80" s="169"/>
      <c r="E80" s="170"/>
      <c r="F80" s="170"/>
      <c r="G80" s="170"/>
      <c r="H80" s="170"/>
      <c r="I80" s="169">
        <v>94.737068771393623</v>
      </c>
      <c r="J80" s="169">
        <v>116.1571428571</v>
      </c>
      <c r="K80" s="169"/>
      <c r="L80" s="170"/>
      <c r="M80" s="170"/>
      <c r="N80" s="170"/>
      <c r="O80" s="169"/>
      <c r="P80" s="169"/>
      <c r="Q80" s="169"/>
      <c r="R80" s="169"/>
      <c r="S80" s="169"/>
      <c r="T80" s="169"/>
      <c r="U80" s="170"/>
      <c r="V80" s="170"/>
      <c r="W80" s="170"/>
      <c r="X80" s="170"/>
      <c r="Y80" s="170"/>
      <c r="Z80" s="170"/>
      <c r="AA80" s="170"/>
      <c r="AB80" s="170"/>
      <c r="AC80" s="170"/>
      <c r="AD80" s="170"/>
      <c r="AE80" s="170"/>
      <c r="AF80" s="170"/>
      <c r="AG80" s="170"/>
      <c r="AH80" s="170"/>
      <c r="AI80" s="170"/>
      <c r="AJ80" s="170"/>
      <c r="AK80" s="170"/>
      <c r="AL80" s="171"/>
      <c r="AM80" s="170"/>
      <c r="AN80" s="172"/>
      <c r="AO80" s="170"/>
      <c r="AP80" s="170"/>
      <c r="AS80" s="167"/>
      <c r="AT80" s="1170"/>
      <c r="AU80" s="1171"/>
      <c r="AV80" s="1171"/>
      <c r="AW80" s="1172"/>
      <c r="AX80" s="1172"/>
      <c r="AY80" s="1172"/>
      <c r="AZ80" s="1172"/>
      <c r="BA80" s="1236" t="s">
        <v>165</v>
      </c>
      <c r="BB80" s="1237">
        <v>2010</v>
      </c>
      <c r="BC80" s="1236" t="s">
        <v>300</v>
      </c>
      <c r="BD80" s="1236">
        <v>10</v>
      </c>
      <c r="BE80" s="1238">
        <v>97929592.149999976</v>
      </c>
      <c r="BF80" s="1239">
        <v>2.580372575303962E-2</v>
      </c>
      <c r="BG80" s="1236"/>
      <c r="BH80" s="1236" t="s">
        <v>165</v>
      </c>
      <c r="BI80" s="1236" t="s">
        <v>301</v>
      </c>
      <c r="BJ80" s="1236" t="s">
        <v>298</v>
      </c>
      <c r="BK80" s="1236">
        <v>8</v>
      </c>
      <c r="BL80" s="1238">
        <v>151490410.84</v>
      </c>
      <c r="BM80" s="1239">
        <v>4.2807282837748449E-2</v>
      </c>
      <c r="BN80" s="1236">
        <v>2010</v>
      </c>
      <c r="BO80" s="1189"/>
      <c r="BP80" s="174"/>
      <c r="BQ80" s="174"/>
      <c r="BR80" s="174"/>
      <c r="BS80" s="174"/>
      <c r="BT80" s="174"/>
      <c r="BU80" s="174"/>
      <c r="BV80" s="174"/>
      <c r="BW80" s="174"/>
      <c r="BX80" s="174"/>
    </row>
    <row r="81" spans="1:76" s="152" customFormat="1" ht="15" customHeight="1" x14ac:dyDescent="0.25">
      <c r="A81" s="152">
        <f t="shared" si="2"/>
        <v>1976</v>
      </c>
      <c r="B81" s="152" t="str">
        <f t="shared" si="3"/>
        <v>1976-77</v>
      </c>
      <c r="C81" s="153">
        <v>28065</v>
      </c>
      <c r="D81" s="154"/>
      <c r="E81" s="155"/>
      <c r="F81" s="155"/>
      <c r="G81" s="155"/>
      <c r="H81" s="155"/>
      <c r="I81" s="156">
        <v>129.05573651592704</v>
      </c>
      <c r="J81" s="156">
        <v>130.64318181819999</v>
      </c>
      <c r="K81" s="157"/>
      <c r="L81" s="158"/>
      <c r="M81" s="159"/>
      <c r="N81" s="159"/>
      <c r="O81" s="160"/>
      <c r="P81" s="160"/>
      <c r="Q81" s="160"/>
      <c r="R81" s="160"/>
      <c r="S81" s="160"/>
      <c r="T81" s="160"/>
      <c r="U81" s="161"/>
      <c r="V81" s="161"/>
      <c r="W81" s="161"/>
      <c r="X81" s="161"/>
      <c r="Y81" s="162"/>
      <c r="Z81" s="162"/>
      <c r="AA81" s="162"/>
      <c r="AB81" s="162"/>
      <c r="AC81" s="163"/>
      <c r="AD81" s="163"/>
      <c r="AE81" s="163"/>
      <c r="AF81" s="163"/>
      <c r="AG81" s="163"/>
      <c r="AH81" s="163"/>
      <c r="AI81" s="163"/>
      <c r="AJ81" s="163"/>
      <c r="AK81" s="164"/>
      <c r="AL81" s="165"/>
      <c r="AM81" s="164"/>
      <c r="AN81" s="166"/>
      <c r="AO81" s="164"/>
      <c r="AP81" s="164"/>
      <c r="AS81" s="167"/>
      <c r="AT81" s="1170"/>
      <c r="AU81" s="1171"/>
      <c r="AV81" s="1171"/>
      <c r="AW81" s="1172"/>
      <c r="AX81" s="1172"/>
      <c r="AY81" s="1172"/>
      <c r="AZ81" s="1172"/>
      <c r="BA81" s="1236" t="s">
        <v>165</v>
      </c>
      <c r="BB81" s="1237">
        <v>2010</v>
      </c>
      <c r="BC81" s="1236" t="s">
        <v>291</v>
      </c>
      <c r="BD81" s="1236"/>
      <c r="BE81" s="1238">
        <v>435927019.64999962</v>
      </c>
      <c r="BF81" s="1239">
        <v>0.11486355672919553</v>
      </c>
      <c r="BG81" s="1236"/>
      <c r="BH81" s="1236" t="s">
        <v>165</v>
      </c>
      <c r="BI81" s="1236" t="s">
        <v>301</v>
      </c>
      <c r="BJ81" s="1236" t="s">
        <v>300</v>
      </c>
      <c r="BK81" s="1236">
        <v>9</v>
      </c>
      <c r="BL81" s="1238">
        <v>127624675.78999999</v>
      </c>
      <c r="BM81" s="1239">
        <v>3.606344166158891E-2</v>
      </c>
      <c r="BN81" s="1236">
        <v>2010</v>
      </c>
      <c r="BO81" s="1189"/>
      <c r="BP81" s="174"/>
      <c r="BQ81" s="174"/>
      <c r="BR81" s="174"/>
      <c r="BS81" s="174"/>
      <c r="BT81" s="174"/>
      <c r="BU81" s="174"/>
      <c r="BV81" s="174"/>
      <c r="BW81" s="174"/>
      <c r="BX81" s="174"/>
    </row>
    <row r="82" spans="1:76" s="152" customFormat="1" ht="15" customHeight="1" x14ac:dyDescent="0.25">
      <c r="A82" s="152">
        <f t="shared" si="2"/>
        <v>1976</v>
      </c>
      <c r="B82" s="152" t="str">
        <f t="shared" si="3"/>
        <v>1976-77</v>
      </c>
      <c r="C82" s="153">
        <v>28095</v>
      </c>
      <c r="D82" s="169"/>
      <c r="E82" s="170"/>
      <c r="F82" s="170"/>
      <c r="G82" s="170"/>
      <c r="H82" s="170"/>
      <c r="I82" s="169">
        <v>123.29709045</v>
      </c>
      <c r="J82" s="169">
        <v>133.94999999999999</v>
      </c>
      <c r="K82" s="169"/>
      <c r="L82" s="170"/>
      <c r="M82" s="170"/>
      <c r="N82" s="170"/>
      <c r="O82" s="169"/>
      <c r="P82" s="169"/>
      <c r="Q82" s="169"/>
      <c r="R82" s="169"/>
      <c r="S82" s="169"/>
      <c r="T82" s="169"/>
      <c r="U82" s="170"/>
      <c r="V82" s="170"/>
      <c r="W82" s="170"/>
      <c r="X82" s="170"/>
      <c r="Y82" s="170"/>
      <c r="Z82" s="170"/>
      <c r="AA82" s="170"/>
      <c r="AB82" s="170"/>
      <c r="AC82" s="170"/>
      <c r="AD82" s="170"/>
      <c r="AE82" s="170"/>
      <c r="AF82" s="170"/>
      <c r="AG82" s="170"/>
      <c r="AH82" s="170"/>
      <c r="AI82" s="170"/>
      <c r="AJ82" s="170"/>
      <c r="AK82" s="170"/>
      <c r="AL82" s="171"/>
      <c r="AM82" s="170"/>
      <c r="AN82" s="172"/>
      <c r="AO82" s="170"/>
      <c r="AP82" s="170"/>
      <c r="AS82" s="167"/>
      <c r="AT82" s="1170"/>
      <c r="AU82" s="1171"/>
      <c r="AV82" s="1171"/>
      <c r="AW82" s="1172"/>
      <c r="AX82" s="1172"/>
      <c r="AY82" s="1172"/>
      <c r="AZ82" s="1172"/>
      <c r="BA82" s="1236" t="s">
        <v>165</v>
      </c>
      <c r="BB82" s="1237">
        <v>2010</v>
      </c>
      <c r="BC82" s="1236" t="s">
        <v>292</v>
      </c>
      <c r="BD82" s="1236"/>
      <c r="BE82" s="1238">
        <v>3795172568.77</v>
      </c>
      <c r="BF82" s="1239"/>
      <c r="BG82" s="1236"/>
      <c r="BH82" s="1236" t="s">
        <v>165</v>
      </c>
      <c r="BI82" s="1236" t="s">
        <v>301</v>
      </c>
      <c r="BJ82" s="1236" t="s">
        <v>296</v>
      </c>
      <c r="BK82" s="1236">
        <v>10</v>
      </c>
      <c r="BL82" s="1238">
        <v>96854634.329999998</v>
      </c>
      <c r="BM82" s="1239">
        <v>2.7368621570971838E-2</v>
      </c>
      <c r="BN82" s="1236">
        <v>2010</v>
      </c>
      <c r="BO82" s="1189"/>
      <c r="BP82" s="174"/>
      <c r="BQ82" s="174"/>
      <c r="BR82" s="174"/>
      <c r="BS82" s="174"/>
      <c r="BT82" s="174"/>
      <c r="BU82" s="174"/>
      <c r="BV82" s="174"/>
      <c r="BW82" s="174"/>
      <c r="BX82" s="174"/>
    </row>
    <row r="83" spans="1:76" s="152" customFormat="1" ht="15" customHeight="1" x14ac:dyDescent="0.25">
      <c r="A83" s="152">
        <f t="shared" si="2"/>
        <v>1977</v>
      </c>
      <c r="B83" s="152" t="str">
        <f t="shared" si="3"/>
        <v>1976-77</v>
      </c>
      <c r="C83" s="153">
        <v>28128</v>
      </c>
      <c r="D83" s="154"/>
      <c r="E83" s="155"/>
      <c r="F83" s="155"/>
      <c r="G83" s="155"/>
      <c r="H83" s="155"/>
      <c r="I83" s="156">
        <v>121.61450878499998</v>
      </c>
      <c r="J83" s="156">
        <v>132.19499999999999</v>
      </c>
      <c r="K83" s="157"/>
      <c r="L83" s="158"/>
      <c r="M83" s="159"/>
      <c r="N83" s="159"/>
      <c r="O83" s="160"/>
      <c r="P83" s="160"/>
      <c r="Q83" s="160"/>
      <c r="R83" s="160"/>
      <c r="S83" s="160"/>
      <c r="T83" s="160"/>
      <c r="U83" s="161"/>
      <c r="V83" s="161"/>
      <c r="W83" s="161"/>
      <c r="X83" s="161"/>
      <c r="Y83" s="162"/>
      <c r="Z83" s="162"/>
      <c r="AA83" s="162"/>
      <c r="AB83" s="162"/>
      <c r="AC83" s="163"/>
      <c r="AD83" s="163"/>
      <c r="AE83" s="163"/>
      <c r="AF83" s="163"/>
      <c r="AG83" s="163"/>
      <c r="AH83" s="163"/>
      <c r="AI83" s="163"/>
      <c r="AJ83" s="163"/>
      <c r="AK83" s="164"/>
      <c r="AL83" s="165"/>
      <c r="AM83" s="164"/>
      <c r="AN83" s="166"/>
      <c r="AO83" s="164"/>
      <c r="AP83" s="164"/>
      <c r="AS83" s="167"/>
      <c r="AT83" s="1170"/>
      <c r="AU83" s="1171"/>
      <c r="AV83" s="1171"/>
      <c r="AW83" s="1172"/>
      <c r="AX83" s="1172"/>
      <c r="AY83" s="1172"/>
      <c r="AZ83" s="1172"/>
      <c r="BA83" s="1236" t="s">
        <v>165</v>
      </c>
      <c r="BB83" s="1237">
        <v>2009</v>
      </c>
      <c r="BC83" s="1236" t="s">
        <v>281</v>
      </c>
      <c r="BD83" s="1236">
        <v>1</v>
      </c>
      <c r="BE83" s="1238">
        <v>896632304.86999989</v>
      </c>
      <c r="BF83" s="1239">
        <v>0.27171352222257095</v>
      </c>
      <c r="BG83" s="1236"/>
      <c r="BH83" s="1236" t="s">
        <v>165</v>
      </c>
      <c r="BI83" s="1236" t="s">
        <v>301</v>
      </c>
      <c r="BJ83" s="1236" t="s">
        <v>291</v>
      </c>
      <c r="BK83" s="1236"/>
      <c r="BL83" s="1238">
        <v>407375942.05000067</v>
      </c>
      <c r="BM83" s="1239">
        <v>0.11511393411591463</v>
      </c>
      <c r="BN83" s="1236">
        <v>2010</v>
      </c>
      <c r="BO83" s="174"/>
      <c r="BP83" s="174"/>
      <c r="BQ83" s="174"/>
      <c r="BR83" s="174"/>
      <c r="BS83" s="174"/>
      <c r="BT83" s="174"/>
      <c r="BU83" s="174"/>
      <c r="BV83" s="174"/>
      <c r="BW83" s="174"/>
      <c r="BX83" s="174"/>
    </row>
    <row r="84" spans="1:76" s="152" customFormat="1" ht="15" customHeight="1" x14ac:dyDescent="0.25">
      <c r="A84" s="152">
        <f t="shared" si="2"/>
        <v>1977</v>
      </c>
      <c r="B84" s="152" t="str">
        <f t="shared" si="3"/>
        <v>1976-77</v>
      </c>
      <c r="C84" s="153">
        <v>28157</v>
      </c>
      <c r="D84" s="169"/>
      <c r="E84" s="170"/>
      <c r="F84" s="170"/>
      <c r="G84" s="170"/>
      <c r="H84" s="170"/>
      <c r="I84" s="169">
        <v>124.48248552000001</v>
      </c>
      <c r="J84" s="169">
        <v>136.52000000000001</v>
      </c>
      <c r="K84" s="169"/>
      <c r="L84" s="170"/>
      <c r="M84" s="170"/>
      <c r="N84" s="170"/>
      <c r="O84" s="169"/>
      <c r="P84" s="169"/>
      <c r="Q84" s="169"/>
      <c r="R84" s="169"/>
      <c r="S84" s="169"/>
      <c r="T84" s="169"/>
      <c r="U84" s="170"/>
      <c r="V84" s="170"/>
      <c r="W84" s="170"/>
      <c r="X84" s="170"/>
      <c r="Y84" s="170"/>
      <c r="Z84" s="170"/>
      <c r="AA84" s="170"/>
      <c r="AB84" s="170"/>
      <c r="AC84" s="170"/>
      <c r="AD84" s="170"/>
      <c r="AE84" s="170"/>
      <c r="AF84" s="170"/>
      <c r="AG84" s="170"/>
      <c r="AH84" s="170"/>
      <c r="AI84" s="170"/>
      <c r="AJ84" s="170"/>
      <c r="AK84" s="170"/>
      <c r="AL84" s="171"/>
      <c r="AM84" s="170"/>
      <c r="AN84" s="172"/>
      <c r="AO84" s="170"/>
      <c r="AP84" s="170"/>
      <c r="AS84" s="167"/>
      <c r="AT84" s="1170"/>
      <c r="AU84" s="1171"/>
      <c r="AV84" s="1171"/>
      <c r="AW84" s="1172"/>
      <c r="AX84" s="1172"/>
      <c r="AY84" s="1172"/>
      <c r="AZ84" s="1172"/>
      <c r="BA84" s="1236" t="s">
        <v>165</v>
      </c>
      <c r="BB84" s="1237">
        <v>2009</v>
      </c>
      <c r="BC84" s="1236" t="s">
        <v>283</v>
      </c>
      <c r="BD84" s="1236">
        <v>2</v>
      </c>
      <c r="BE84" s="1238">
        <v>469136791.20999974</v>
      </c>
      <c r="BF84" s="1239">
        <v>0.14216620263570084</v>
      </c>
      <c r="BG84" s="1236"/>
      <c r="BH84" s="1236" t="s">
        <v>165</v>
      </c>
      <c r="BI84" s="1236" t="s">
        <v>301</v>
      </c>
      <c r="BJ84" s="1236" t="s">
        <v>292</v>
      </c>
      <c r="BK84" s="1236"/>
      <c r="BL84" s="1238">
        <v>3538893403.1200008</v>
      </c>
      <c r="BM84" s="1239"/>
      <c r="BN84" s="1236">
        <v>2010</v>
      </c>
      <c r="BO84" s="174"/>
      <c r="BP84" s="174"/>
      <c r="BQ84" s="174"/>
      <c r="BR84" s="174"/>
      <c r="BS84" s="174"/>
      <c r="BT84" s="174"/>
      <c r="BU84" s="174"/>
      <c r="BV84" s="174"/>
      <c r="BW84" s="174"/>
      <c r="BX84" s="174"/>
    </row>
    <row r="85" spans="1:76" s="152" customFormat="1" ht="15" customHeight="1" x14ac:dyDescent="0.25">
      <c r="A85" s="152">
        <f t="shared" si="2"/>
        <v>1977</v>
      </c>
      <c r="B85" s="152" t="str">
        <f t="shared" si="3"/>
        <v>1976-77</v>
      </c>
      <c r="C85" s="153">
        <v>28185</v>
      </c>
      <c r="D85" s="154"/>
      <c r="E85" s="155"/>
      <c r="F85" s="155"/>
      <c r="G85" s="155"/>
      <c r="H85" s="155"/>
      <c r="I85" s="156">
        <v>134.51023509568373</v>
      </c>
      <c r="J85" s="156">
        <v>148.37826086960001</v>
      </c>
      <c r="K85" s="157"/>
      <c r="L85" s="158"/>
      <c r="M85" s="159"/>
      <c r="N85" s="159"/>
      <c r="O85" s="160"/>
      <c r="P85" s="160"/>
      <c r="Q85" s="160"/>
      <c r="R85" s="160"/>
      <c r="S85" s="160"/>
      <c r="T85" s="160"/>
      <c r="U85" s="161"/>
      <c r="V85" s="161"/>
      <c r="W85" s="161"/>
      <c r="X85" s="161"/>
      <c r="Y85" s="162"/>
      <c r="Z85" s="162"/>
      <c r="AA85" s="162"/>
      <c r="AB85" s="162"/>
      <c r="AC85" s="163"/>
      <c r="AD85" s="163"/>
      <c r="AE85" s="163"/>
      <c r="AF85" s="163"/>
      <c r="AG85" s="163"/>
      <c r="AH85" s="163"/>
      <c r="AI85" s="163"/>
      <c r="AJ85" s="163"/>
      <c r="AK85" s="164"/>
      <c r="AL85" s="165"/>
      <c r="AM85" s="164"/>
      <c r="AN85" s="166"/>
      <c r="AO85" s="164"/>
      <c r="AP85" s="164"/>
      <c r="AS85" s="167"/>
      <c r="AT85" s="1170"/>
      <c r="AU85" s="1171"/>
      <c r="AV85" s="1171"/>
      <c r="AW85" s="1172"/>
      <c r="AX85" s="1172"/>
      <c r="AY85" s="1172"/>
      <c r="AZ85" s="1172"/>
      <c r="BA85" s="1236" t="s">
        <v>165</v>
      </c>
      <c r="BB85" s="1237">
        <v>2009</v>
      </c>
      <c r="BC85" s="1236" t="s">
        <v>279</v>
      </c>
      <c r="BD85" s="1236">
        <v>3</v>
      </c>
      <c r="BE85" s="1238">
        <v>426591188.01999998</v>
      </c>
      <c r="BF85" s="1239">
        <v>0.129273274692942</v>
      </c>
      <c r="BG85" s="1236"/>
      <c r="BH85" s="1236" t="s">
        <v>165</v>
      </c>
      <c r="BI85" s="1236" t="s">
        <v>302</v>
      </c>
      <c r="BJ85" s="1236" t="s">
        <v>281</v>
      </c>
      <c r="BK85" s="1236">
        <v>1</v>
      </c>
      <c r="BL85" s="1238">
        <v>991854734.85736406</v>
      </c>
      <c r="BM85" s="1239">
        <v>0.27091550533034003</v>
      </c>
      <c r="BN85" s="1236">
        <v>2009</v>
      </c>
      <c r="BO85" s="174"/>
      <c r="BP85" s="174"/>
      <c r="BQ85" s="174"/>
      <c r="BR85" s="174"/>
      <c r="BS85" s="174"/>
      <c r="BT85" s="174"/>
      <c r="BU85" s="174"/>
      <c r="BV85" s="174"/>
      <c r="BW85" s="174"/>
      <c r="BX85" s="174"/>
    </row>
    <row r="86" spans="1:76" s="152" customFormat="1" ht="15" customHeight="1" x14ac:dyDescent="0.25">
      <c r="A86" s="152">
        <f t="shared" si="2"/>
        <v>1977</v>
      </c>
      <c r="B86" s="152" t="str">
        <f t="shared" si="3"/>
        <v>1976-77</v>
      </c>
      <c r="C86" s="153">
        <v>28216</v>
      </c>
      <c r="D86" s="169"/>
      <c r="E86" s="170"/>
      <c r="F86" s="170"/>
      <c r="G86" s="170"/>
      <c r="H86" s="170"/>
      <c r="I86" s="169">
        <v>135.05395793293286</v>
      </c>
      <c r="J86" s="169">
        <v>149.1671052632</v>
      </c>
      <c r="K86" s="169"/>
      <c r="L86" s="170"/>
      <c r="M86" s="170"/>
      <c r="N86" s="170"/>
      <c r="O86" s="169"/>
      <c r="P86" s="169"/>
      <c r="Q86" s="169"/>
      <c r="R86" s="169"/>
      <c r="S86" s="169"/>
      <c r="T86" s="169"/>
      <c r="U86" s="170"/>
      <c r="V86" s="170"/>
      <c r="W86" s="170"/>
      <c r="X86" s="170"/>
      <c r="Y86" s="170"/>
      <c r="Z86" s="170"/>
      <c r="AA86" s="170"/>
      <c r="AB86" s="170"/>
      <c r="AC86" s="170"/>
      <c r="AD86" s="170"/>
      <c r="AE86" s="170"/>
      <c r="AF86" s="170"/>
      <c r="AG86" s="170"/>
      <c r="AH86" s="170"/>
      <c r="AI86" s="170"/>
      <c r="AJ86" s="170"/>
      <c r="AK86" s="170"/>
      <c r="AL86" s="171"/>
      <c r="AM86" s="170"/>
      <c r="AN86" s="172"/>
      <c r="AO86" s="170"/>
      <c r="AP86" s="170"/>
      <c r="AS86" s="167"/>
      <c r="AT86" s="1170"/>
      <c r="AU86" s="1171"/>
      <c r="AV86" s="1171"/>
      <c r="AW86" s="1172"/>
      <c r="AX86" s="1172"/>
      <c r="AY86" s="1172"/>
      <c r="AZ86" s="1172"/>
      <c r="BA86" s="1236" t="s">
        <v>165</v>
      </c>
      <c r="BB86" s="1237">
        <v>2009</v>
      </c>
      <c r="BC86" s="1236" t="s">
        <v>282</v>
      </c>
      <c r="BD86" s="1236">
        <v>4</v>
      </c>
      <c r="BE86" s="1238">
        <v>396678485.30999988</v>
      </c>
      <c r="BF86" s="1239">
        <v>0.12020859369897628</v>
      </c>
      <c r="BG86" s="1236"/>
      <c r="BH86" s="1236" t="s">
        <v>165</v>
      </c>
      <c r="BI86" s="1236" t="s">
        <v>302</v>
      </c>
      <c r="BJ86" s="1236" t="s">
        <v>283</v>
      </c>
      <c r="BK86" s="1236">
        <v>2</v>
      </c>
      <c r="BL86" s="1238">
        <v>520151374.25836855</v>
      </c>
      <c r="BM86" s="1239">
        <v>0.14207430529203618</v>
      </c>
      <c r="BN86" s="1236">
        <v>2009</v>
      </c>
      <c r="BO86" s="174"/>
      <c r="BP86" s="174"/>
      <c r="BQ86" s="174"/>
      <c r="BR86" s="174"/>
      <c r="BS86" s="174"/>
      <c r="BT86" s="174"/>
      <c r="BU86" s="174"/>
      <c r="BV86" s="174"/>
      <c r="BW86" s="174"/>
      <c r="BX86" s="174"/>
    </row>
    <row r="87" spans="1:76" s="152" customFormat="1" ht="15" customHeight="1" x14ac:dyDescent="0.25">
      <c r="A87" s="152">
        <f t="shared" si="2"/>
        <v>1977</v>
      </c>
      <c r="B87" s="152" t="str">
        <f t="shared" si="3"/>
        <v>1976-77</v>
      </c>
      <c r="C87" s="153">
        <v>28247</v>
      </c>
      <c r="D87" s="154"/>
      <c r="E87" s="155"/>
      <c r="F87" s="155"/>
      <c r="G87" s="155"/>
      <c r="H87" s="155"/>
      <c r="I87" s="156">
        <v>132.7133323159338</v>
      </c>
      <c r="J87" s="156">
        <v>146.50227272730001</v>
      </c>
      <c r="K87" s="157"/>
      <c r="L87" s="158"/>
      <c r="M87" s="159"/>
      <c r="N87" s="159"/>
      <c r="O87" s="160"/>
      <c r="P87" s="160"/>
      <c r="Q87" s="160"/>
      <c r="R87" s="160"/>
      <c r="S87" s="160"/>
      <c r="T87" s="160"/>
      <c r="U87" s="161"/>
      <c r="V87" s="161"/>
      <c r="W87" s="161"/>
      <c r="X87" s="161"/>
      <c r="Y87" s="162"/>
      <c r="Z87" s="162"/>
      <c r="AA87" s="162"/>
      <c r="AB87" s="162"/>
      <c r="AC87" s="163"/>
      <c r="AD87" s="163"/>
      <c r="AE87" s="163"/>
      <c r="AF87" s="163"/>
      <c r="AG87" s="163"/>
      <c r="AH87" s="163"/>
      <c r="AI87" s="163"/>
      <c r="AJ87" s="163"/>
      <c r="AK87" s="164"/>
      <c r="AL87" s="165"/>
      <c r="AM87" s="164"/>
      <c r="AN87" s="166"/>
      <c r="AO87" s="164"/>
      <c r="AP87" s="164"/>
      <c r="AS87" s="167"/>
      <c r="AT87" s="1170"/>
      <c r="AU87" s="1171"/>
      <c r="AV87" s="1171"/>
      <c r="AW87" s="1172"/>
      <c r="AX87" s="1172"/>
      <c r="AY87" s="1172"/>
      <c r="AZ87" s="1172"/>
      <c r="BA87" s="1236" t="s">
        <v>165</v>
      </c>
      <c r="BB87" s="1237">
        <v>2009</v>
      </c>
      <c r="BC87" s="1236" t="s">
        <v>284</v>
      </c>
      <c r="BD87" s="1236">
        <v>5</v>
      </c>
      <c r="BE87" s="1238">
        <v>301851633.33000004</v>
      </c>
      <c r="BF87" s="1239">
        <v>9.1472468742492763E-2</v>
      </c>
      <c r="BG87" s="1236"/>
      <c r="BH87" s="1236" t="s">
        <v>165</v>
      </c>
      <c r="BI87" s="1236" t="s">
        <v>302</v>
      </c>
      <c r="BJ87" s="1236" t="s">
        <v>279</v>
      </c>
      <c r="BK87" s="1236">
        <v>3</v>
      </c>
      <c r="BL87" s="1238">
        <v>471967056.88397598</v>
      </c>
      <c r="BM87" s="1239">
        <v>0.12891322612215322</v>
      </c>
      <c r="BN87" s="1236">
        <v>2009</v>
      </c>
      <c r="BO87" s="174"/>
      <c r="BP87" s="174"/>
      <c r="BQ87" s="174"/>
      <c r="BR87" s="174"/>
      <c r="BS87" s="174"/>
      <c r="BT87" s="174"/>
      <c r="BU87" s="174"/>
      <c r="BV87" s="174"/>
      <c r="BW87" s="174"/>
      <c r="BX87" s="174"/>
    </row>
    <row r="88" spans="1:76" s="152" customFormat="1" ht="15" customHeight="1" x14ac:dyDescent="0.25">
      <c r="A88" s="152">
        <f t="shared" si="2"/>
        <v>1977</v>
      </c>
      <c r="B88" s="152" t="str">
        <f t="shared" si="3"/>
        <v>1976-77</v>
      </c>
      <c r="C88" s="153">
        <v>28277</v>
      </c>
      <c r="D88" s="169"/>
      <c r="E88" s="170"/>
      <c r="F88" s="170"/>
      <c r="G88" s="170"/>
      <c r="H88" s="170"/>
      <c r="I88" s="169">
        <v>126.17212195500001</v>
      </c>
      <c r="J88" s="169">
        <v>140.745</v>
      </c>
      <c r="K88" s="169"/>
      <c r="L88" s="170"/>
      <c r="M88" s="170"/>
      <c r="N88" s="170"/>
      <c r="O88" s="169"/>
      <c r="P88" s="169"/>
      <c r="Q88" s="169"/>
      <c r="R88" s="169"/>
      <c r="S88" s="169"/>
      <c r="T88" s="169"/>
      <c r="U88" s="170"/>
      <c r="V88" s="170"/>
      <c r="W88" s="170"/>
      <c r="X88" s="170"/>
      <c r="Y88" s="170"/>
      <c r="Z88" s="170"/>
      <c r="AA88" s="170"/>
      <c r="AB88" s="170"/>
      <c r="AC88" s="170"/>
      <c r="AD88" s="170"/>
      <c r="AE88" s="170"/>
      <c r="AF88" s="170"/>
      <c r="AG88" s="170"/>
      <c r="AH88" s="170"/>
      <c r="AI88" s="170"/>
      <c r="AJ88" s="170"/>
      <c r="AK88" s="170"/>
      <c r="AL88" s="171"/>
      <c r="AM88" s="170"/>
      <c r="AN88" s="172"/>
      <c r="AO88" s="170"/>
      <c r="AP88" s="170"/>
      <c r="AS88" s="167"/>
      <c r="AT88" s="1170"/>
      <c r="AU88" s="1171"/>
      <c r="AV88" s="1171"/>
      <c r="AW88" s="1172"/>
      <c r="AX88" s="1172"/>
      <c r="AY88" s="1172"/>
      <c r="AZ88" s="1172"/>
      <c r="BA88" s="1236" t="s">
        <v>165</v>
      </c>
      <c r="BB88" s="1237">
        <v>2009</v>
      </c>
      <c r="BC88" s="1236" t="s">
        <v>286</v>
      </c>
      <c r="BD88" s="1236">
        <v>6</v>
      </c>
      <c r="BE88" s="1238">
        <v>203790049.66000006</v>
      </c>
      <c r="BF88" s="1239">
        <v>6.1756097662641729E-2</v>
      </c>
      <c r="BG88" s="1236"/>
      <c r="BH88" s="1236" t="s">
        <v>165</v>
      </c>
      <c r="BI88" s="1236" t="s">
        <v>302</v>
      </c>
      <c r="BJ88" s="1236" t="s">
        <v>282</v>
      </c>
      <c r="BK88" s="1236">
        <v>4</v>
      </c>
      <c r="BL88" s="1238">
        <v>438872584.56960142</v>
      </c>
      <c r="BM88" s="1239">
        <v>0.11987379184251641</v>
      </c>
      <c r="BN88" s="1236">
        <v>2009</v>
      </c>
      <c r="BO88" s="174"/>
      <c r="BP88" s="174"/>
      <c r="BQ88" s="174"/>
      <c r="BR88" s="174"/>
      <c r="BS88" s="174"/>
      <c r="BT88" s="174"/>
      <c r="BU88" s="174"/>
      <c r="BV88" s="174"/>
      <c r="BW88" s="174"/>
      <c r="BX88" s="174"/>
    </row>
    <row r="89" spans="1:76" s="152" customFormat="1" ht="15" customHeight="1" x14ac:dyDescent="0.25">
      <c r="A89" s="152">
        <f t="shared" si="2"/>
        <v>1977</v>
      </c>
      <c r="B89" s="152" t="str">
        <f t="shared" si="3"/>
        <v>1977-78</v>
      </c>
      <c r="C89" s="153">
        <v>28307</v>
      </c>
      <c r="D89" s="154"/>
      <c r="E89" s="155"/>
      <c r="F89" s="155"/>
      <c r="G89" s="155"/>
      <c r="H89" s="155"/>
      <c r="I89" s="156">
        <v>127.77924967496182</v>
      </c>
      <c r="J89" s="156">
        <v>143.43214285709999</v>
      </c>
      <c r="K89" s="157"/>
      <c r="L89" s="158"/>
      <c r="M89" s="159"/>
      <c r="N89" s="159"/>
      <c r="O89" s="160"/>
      <c r="P89" s="160"/>
      <c r="Q89" s="160"/>
      <c r="R89" s="160"/>
      <c r="S89" s="160"/>
      <c r="T89" s="160"/>
      <c r="U89" s="161"/>
      <c r="V89" s="161"/>
      <c r="W89" s="161"/>
      <c r="X89" s="161"/>
      <c r="Y89" s="162"/>
      <c r="Z89" s="162"/>
      <c r="AA89" s="162"/>
      <c r="AB89" s="162"/>
      <c r="AC89" s="163"/>
      <c r="AD89" s="163"/>
      <c r="AE89" s="163"/>
      <c r="AF89" s="163"/>
      <c r="AG89" s="163"/>
      <c r="AH89" s="163"/>
      <c r="AI89" s="163"/>
      <c r="AJ89" s="163"/>
      <c r="AK89" s="164"/>
      <c r="AL89" s="165"/>
      <c r="AM89" s="164"/>
      <c r="AN89" s="166"/>
      <c r="AO89" s="164"/>
      <c r="AP89" s="164"/>
      <c r="AS89" s="167"/>
      <c r="AT89" s="1170"/>
      <c r="AU89" s="1171"/>
      <c r="AV89" s="1171"/>
      <c r="AW89" s="1172"/>
      <c r="AX89" s="1172"/>
      <c r="AY89" s="1172"/>
      <c r="AZ89" s="1172"/>
      <c r="BA89" s="1236" t="s">
        <v>165</v>
      </c>
      <c r="BB89" s="1237">
        <v>2009</v>
      </c>
      <c r="BC89" s="1236" t="s">
        <v>296</v>
      </c>
      <c r="BD89" s="1236">
        <v>7</v>
      </c>
      <c r="BE89" s="1238">
        <v>96084067.070000008</v>
      </c>
      <c r="BF89" s="1239">
        <v>2.9117108709176696E-2</v>
      </c>
      <c r="BG89" s="1236"/>
      <c r="BH89" s="1236" t="s">
        <v>165</v>
      </c>
      <c r="BI89" s="1236" t="s">
        <v>302</v>
      </c>
      <c r="BJ89" s="1236" t="s">
        <v>284</v>
      </c>
      <c r="BK89" s="1236">
        <v>5</v>
      </c>
      <c r="BL89" s="1238">
        <v>333959141.67758656</v>
      </c>
      <c r="BM89" s="1239">
        <v>9.1217701995727138E-2</v>
      </c>
      <c r="BN89" s="1236">
        <v>2009</v>
      </c>
      <c r="BO89" s="174"/>
      <c r="BP89" s="174"/>
      <c r="BQ89" s="174"/>
      <c r="BR89" s="174"/>
      <c r="BS89" s="174"/>
      <c r="BT89" s="174"/>
      <c r="BU89" s="174"/>
      <c r="BV89" s="174"/>
      <c r="BW89" s="174"/>
      <c r="BX89" s="174"/>
    </row>
    <row r="90" spans="1:76" s="152" customFormat="1" ht="15" customHeight="1" x14ac:dyDescent="0.25">
      <c r="A90" s="152">
        <f t="shared" si="2"/>
        <v>1977</v>
      </c>
      <c r="B90" s="152" t="str">
        <f t="shared" si="3"/>
        <v>1977-78</v>
      </c>
      <c r="C90" s="153">
        <v>28338</v>
      </c>
      <c r="D90" s="169"/>
      <c r="E90" s="170"/>
      <c r="F90" s="170"/>
      <c r="G90" s="170"/>
      <c r="H90" s="170"/>
      <c r="I90" s="169">
        <v>131.19023749430994</v>
      </c>
      <c r="J90" s="169">
        <v>144.97840909089999</v>
      </c>
      <c r="K90" s="169"/>
      <c r="L90" s="170"/>
      <c r="M90" s="170"/>
      <c r="N90" s="170"/>
      <c r="O90" s="169"/>
      <c r="P90" s="169"/>
      <c r="Q90" s="169"/>
      <c r="R90" s="169"/>
      <c r="S90" s="169"/>
      <c r="T90" s="169"/>
      <c r="U90" s="170"/>
      <c r="V90" s="170"/>
      <c r="W90" s="170"/>
      <c r="X90" s="170"/>
      <c r="Y90" s="170"/>
      <c r="Z90" s="170"/>
      <c r="AA90" s="170"/>
      <c r="AB90" s="170"/>
      <c r="AC90" s="170"/>
      <c r="AD90" s="170"/>
      <c r="AE90" s="170"/>
      <c r="AF90" s="170"/>
      <c r="AG90" s="170"/>
      <c r="AH90" s="170"/>
      <c r="AI90" s="170"/>
      <c r="AJ90" s="170"/>
      <c r="AK90" s="170"/>
      <c r="AL90" s="171"/>
      <c r="AM90" s="170"/>
      <c r="AN90" s="172"/>
      <c r="AO90" s="170"/>
      <c r="AP90" s="170"/>
      <c r="AS90" s="167"/>
      <c r="AT90" s="1170"/>
      <c r="AU90" s="1171"/>
      <c r="AV90" s="1171"/>
      <c r="AW90" s="1172"/>
      <c r="AX90" s="1172"/>
      <c r="AY90" s="1172"/>
      <c r="AZ90" s="1172"/>
      <c r="BA90" s="1236" t="s">
        <v>165</v>
      </c>
      <c r="BB90" s="1237">
        <v>2009</v>
      </c>
      <c r="BC90" s="1236" t="s">
        <v>289</v>
      </c>
      <c r="BD90" s="1236">
        <v>8</v>
      </c>
      <c r="BE90" s="1238">
        <v>90246627.790000007</v>
      </c>
      <c r="BF90" s="1239">
        <v>2.7348143684255855E-2</v>
      </c>
      <c r="BG90" s="1236"/>
      <c r="BH90" s="1236" t="s">
        <v>165</v>
      </c>
      <c r="BI90" s="1236" t="s">
        <v>302</v>
      </c>
      <c r="BJ90" s="1236" t="s">
        <v>298</v>
      </c>
      <c r="BK90" s="1236">
        <v>6</v>
      </c>
      <c r="BL90" s="1238">
        <v>225466893.50685829</v>
      </c>
      <c r="BM90" s="1239">
        <v>6.158409618164154E-2</v>
      </c>
      <c r="BN90" s="1236">
        <v>2009</v>
      </c>
      <c r="BO90" s="174"/>
      <c r="BP90" s="174"/>
      <c r="BQ90" s="174"/>
      <c r="BR90" s="174"/>
      <c r="BS90" s="174"/>
      <c r="BT90" s="174"/>
      <c r="BU90" s="174"/>
      <c r="BV90" s="174"/>
      <c r="BW90" s="174"/>
      <c r="BX90" s="174"/>
    </row>
    <row r="91" spans="1:76" s="152" customFormat="1" ht="15" customHeight="1" x14ac:dyDescent="0.25">
      <c r="A91" s="152">
        <f t="shared" si="2"/>
        <v>1977</v>
      </c>
      <c r="B91" s="152" t="str">
        <f t="shared" si="3"/>
        <v>1977-78</v>
      </c>
      <c r="C91" s="153">
        <v>28369</v>
      </c>
      <c r="D91" s="154"/>
      <c r="E91" s="155"/>
      <c r="F91" s="155"/>
      <c r="G91" s="155"/>
      <c r="H91" s="155"/>
      <c r="I91" s="156">
        <v>135.20428868866099</v>
      </c>
      <c r="J91" s="156">
        <v>149.75227272730001</v>
      </c>
      <c r="K91" s="157"/>
      <c r="L91" s="158"/>
      <c r="M91" s="159"/>
      <c r="N91" s="159"/>
      <c r="O91" s="160"/>
      <c r="P91" s="160"/>
      <c r="Q91" s="160"/>
      <c r="R91" s="160"/>
      <c r="S91" s="160"/>
      <c r="T91" s="160"/>
      <c r="U91" s="161"/>
      <c r="V91" s="161"/>
      <c r="W91" s="161"/>
      <c r="X91" s="161"/>
      <c r="Y91" s="162"/>
      <c r="Z91" s="162"/>
      <c r="AA91" s="162"/>
      <c r="AB91" s="162"/>
      <c r="AC91" s="163"/>
      <c r="AD91" s="163"/>
      <c r="AE91" s="163"/>
      <c r="AF91" s="163"/>
      <c r="AG91" s="163"/>
      <c r="AH91" s="163"/>
      <c r="AI91" s="163"/>
      <c r="AJ91" s="163"/>
      <c r="AK91" s="164"/>
      <c r="AL91" s="165"/>
      <c r="AM91" s="164"/>
      <c r="AN91" s="166"/>
      <c r="AO91" s="164"/>
      <c r="AP91" s="164"/>
      <c r="AS91" s="167"/>
      <c r="AT91" s="1170"/>
      <c r="AU91" s="1171"/>
      <c r="AV91" s="1171"/>
      <c r="AW91" s="1172"/>
      <c r="AX91" s="1172"/>
      <c r="AY91" s="1172"/>
      <c r="AZ91" s="1172"/>
      <c r="BA91" s="1236" t="s">
        <v>165</v>
      </c>
      <c r="BB91" s="1237">
        <v>2009</v>
      </c>
      <c r="BC91" s="1236" t="s">
        <v>300</v>
      </c>
      <c r="BD91" s="1236">
        <v>9</v>
      </c>
      <c r="BE91" s="1238">
        <v>78358898.810000002</v>
      </c>
      <c r="BF91" s="1239">
        <v>2.374571190164074E-2</v>
      </c>
      <c r="BG91" s="1236"/>
      <c r="BH91" s="1236" t="s">
        <v>165</v>
      </c>
      <c r="BI91" s="1236" t="s">
        <v>302</v>
      </c>
      <c r="BJ91" s="1236" t="s">
        <v>296</v>
      </c>
      <c r="BK91" s="1236">
        <v>7</v>
      </c>
      <c r="BL91" s="1238">
        <v>106304386.07734288</v>
      </c>
      <c r="BM91" s="1239">
        <v>2.9036012493418698E-2</v>
      </c>
      <c r="BN91" s="1236">
        <v>2009</v>
      </c>
      <c r="BO91" s="174"/>
      <c r="BP91" s="174"/>
      <c r="BQ91" s="174"/>
      <c r="BR91" s="174"/>
      <c r="BS91" s="174"/>
      <c r="BT91" s="174"/>
      <c r="BU91" s="174"/>
      <c r="BV91" s="174"/>
      <c r="BW91" s="174"/>
      <c r="BX91" s="174"/>
    </row>
    <row r="92" spans="1:76" s="152" customFormat="1" ht="15" customHeight="1" x14ac:dyDescent="0.25">
      <c r="A92" s="152">
        <f t="shared" si="2"/>
        <v>1977</v>
      </c>
      <c r="B92" s="152" t="str">
        <f t="shared" si="3"/>
        <v>1977-78</v>
      </c>
      <c r="C92" s="153">
        <v>28401</v>
      </c>
      <c r="D92" s="169"/>
      <c r="E92" s="170"/>
      <c r="F92" s="170"/>
      <c r="G92" s="170"/>
      <c r="H92" s="170"/>
      <c r="I92" s="169">
        <v>141.53373293811219</v>
      </c>
      <c r="J92" s="169">
        <v>159.02738095239999</v>
      </c>
      <c r="K92" s="169"/>
      <c r="L92" s="170"/>
      <c r="M92" s="170"/>
      <c r="N92" s="170"/>
      <c r="O92" s="169"/>
      <c r="P92" s="169"/>
      <c r="Q92" s="169"/>
      <c r="R92" s="169"/>
      <c r="S92" s="169"/>
      <c r="T92" s="169"/>
      <c r="U92" s="170"/>
      <c r="V92" s="170"/>
      <c r="W92" s="170"/>
      <c r="X92" s="170"/>
      <c r="Y92" s="170"/>
      <c r="Z92" s="170"/>
      <c r="AA92" s="170"/>
      <c r="AB92" s="170"/>
      <c r="AC92" s="170"/>
      <c r="AD92" s="170"/>
      <c r="AE92" s="170"/>
      <c r="AF92" s="170"/>
      <c r="AG92" s="170"/>
      <c r="AH92" s="170"/>
      <c r="AI92" s="170"/>
      <c r="AJ92" s="170"/>
      <c r="AK92" s="170"/>
      <c r="AL92" s="171"/>
      <c r="AM92" s="170"/>
      <c r="AN92" s="172"/>
      <c r="AO92" s="170"/>
      <c r="AP92" s="170"/>
      <c r="AS92" s="167"/>
      <c r="AT92" s="1170"/>
      <c r="AU92" s="1171"/>
      <c r="AV92" s="1171"/>
      <c r="AW92" s="1172"/>
      <c r="AX92" s="1172"/>
      <c r="AY92" s="1172"/>
      <c r="AZ92" s="1172"/>
      <c r="BA92" s="1236" t="s">
        <v>165</v>
      </c>
      <c r="BB92" s="1237">
        <v>2009</v>
      </c>
      <c r="BC92" s="1236" t="s">
        <v>287</v>
      </c>
      <c r="BD92" s="1236">
        <v>10</v>
      </c>
      <c r="BE92" s="1238">
        <v>77942931.959999993</v>
      </c>
      <c r="BF92" s="1239">
        <v>2.3619658203455376E-2</v>
      </c>
      <c r="BG92" s="1236"/>
      <c r="BH92" s="1236" t="s">
        <v>165</v>
      </c>
      <c r="BI92" s="1236" t="s">
        <v>302</v>
      </c>
      <c r="BJ92" s="1236" t="s">
        <v>289</v>
      </c>
      <c r="BK92" s="1236">
        <v>8</v>
      </c>
      <c r="BL92" s="1238">
        <v>99947909.459657371</v>
      </c>
      <c r="BM92" s="1239">
        <v>2.7299802527905544E-2</v>
      </c>
      <c r="BN92" s="1236">
        <v>2009</v>
      </c>
      <c r="BO92" s="174"/>
      <c r="BP92" s="174"/>
      <c r="BQ92" s="174"/>
      <c r="BR92" s="174"/>
      <c r="BS92" s="174"/>
      <c r="BT92" s="174"/>
      <c r="BU92" s="174"/>
      <c r="BV92" s="174"/>
      <c r="BW92" s="174"/>
      <c r="BX92" s="174"/>
    </row>
    <row r="93" spans="1:76" s="152" customFormat="1" ht="15" customHeight="1" x14ac:dyDescent="0.25">
      <c r="A93" s="152">
        <f t="shared" si="2"/>
        <v>1977</v>
      </c>
      <c r="B93" s="152" t="str">
        <f t="shared" si="3"/>
        <v>1977-78</v>
      </c>
      <c r="C93" s="153">
        <v>28430</v>
      </c>
      <c r="D93" s="154"/>
      <c r="E93" s="155"/>
      <c r="F93" s="155"/>
      <c r="G93" s="155"/>
      <c r="H93" s="155"/>
      <c r="I93" s="156">
        <v>143.73786385000002</v>
      </c>
      <c r="J93" s="156">
        <v>162.05000000000001</v>
      </c>
      <c r="K93" s="157"/>
      <c r="L93" s="158"/>
      <c r="M93" s="159"/>
      <c r="N93" s="159"/>
      <c r="O93" s="160"/>
      <c r="P93" s="160"/>
      <c r="Q93" s="160"/>
      <c r="R93" s="160"/>
      <c r="S93" s="160"/>
      <c r="T93" s="160"/>
      <c r="U93" s="161"/>
      <c r="V93" s="161"/>
      <c r="W93" s="161"/>
      <c r="X93" s="161"/>
      <c r="Y93" s="162"/>
      <c r="Z93" s="162"/>
      <c r="AA93" s="162"/>
      <c r="AB93" s="162"/>
      <c r="AC93" s="163"/>
      <c r="AD93" s="163"/>
      <c r="AE93" s="163"/>
      <c r="AF93" s="163"/>
      <c r="AG93" s="163"/>
      <c r="AH93" s="163"/>
      <c r="AI93" s="163"/>
      <c r="AJ93" s="163"/>
      <c r="AK93" s="164"/>
      <c r="AL93" s="165"/>
      <c r="AM93" s="164"/>
      <c r="AN93" s="166"/>
      <c r="AO93" s="164"/>
      <c r="AP93" s="164"/>
      <c r="AS93" s="167"/>
      <c r="AT93" s="1170"/>
      <c r="AU93" s="1171"/>
      <c r="AV93" s="1171"/>
      <c r="AW93" s="1172"/>
      <c r="AX93" s="1172"/>
      <c r="AY93" s="1172"/>
      <c r="AZ93" s="1172"/>
      <c r="BA93" s="1236" t="s">
        <v>165</v>
      </c>
      <c r="BB93" s="1237">
        <v>2009</v>
      </c>
      <c r="BC93" s="1236" t="s">
        <v>291</v>
      </c>
      <c r="BD93" s="1236"/>
      <c r="BE93" s="1238">
        <v>262604882.28000021</v>
      </c>
      <c r="BF93" s="1239">
        <v>7.9579217846146841E-2</v>
      </c>
      <c r="BG93" s="1236"/>
      <c r="BH93" s="1236" t="s">
        <v>165</v>
      </c>
      <c r="BI93" s="1236" t="s">
        <v>302</v>
      </c>
      <c r="BJ93" s="1236" t="s">
        <v>300</v>
      </c>
      <c r="BK93" s="1236">
        <v>9</v>
      </c>
      <c r="BL93" s="1238">
        <v>86693818.087707683</v>
      </c>
      <c r="BM93" s="1239">
        <v>2.3679575960914741E-2</v>
      </c>
      <c r="BN93" s="1236">
        <v>2009</v>
      </c>
      <c r="BO93" s="174"/>
      <c r="BP93" s="174"/>
      <c r="BQ93" s="174"/>
      <c r="BR93" s="174"/>
      <c r="BS93" s="174"/>
      <c r="BT93" s="174"/>
      <c r="BU93" s="174"/>
      <c r="BV93" s="174"/>
      <c r="BW93" s="174"/>
      <c r="BX93" s="174"/>
    </row>
    <row r="94" spans="1:76" s="152" customFormat="1" ht="15" customHeight="1" x14ac:dyDescent="0.25">
      <c r="A94" s="152">
        <f t="shared" si="2"/>
        <v>1977</v>
      </c>
      <c r="B94" s="152" t="str">
        <f t="shared" si="3"/>
        <v>1977-78</v>
      </c>
      <c r="C94" s="153">
        <v>28460</v>
      </c>
      <c r="D94" s="169"/>
      <c r="E94" s="170"/>
      <c r="F94" s="170"/>
      <c r="G94" s="170"/>
      <c r="H94" s="170"/>
      <c r="I94" s="169">
        <v>140.46710851252919</v>
      </c>
      <c r="J94" s="169">
        <v>160.32916666669999</v>
      </c>
      <c r="K94" s="169"/>
      <c r="L94" s="170"/>
      <c r="M94" s="170"/>
      <c r="N94" s="170"/>
      <c r="O94" s="169"/>
      <c r="P94" s="169"/>
      <c r="Q94" s="169"/>
      <c r="R94" s="169"/>
      <c r="S94" s="169"/>
      <c r="T94" s="169"/>
      <c r="U94" s="170"/>
      <c r="V94" s="170"/>
      <c r="W94" s="170"/>
      <c r="X94" s="170"/>
      <c r="Y94" s="170"/>
      <c r="Z94" s="170"/>
      <c r="AA94" s="170"/>
      <c r="AB94" s="170"/>
      <c r="AC94" s="170"/>
      <c r="AD94" s="170"/>
      <c r="AE94" s="170"/>
      <c r="AF94" s="170"/>
      <c r="AG94" s="170"/>
      <c r="AH94" s="170"/>
      <c r="AI94" s="170"/>
      <c r="AJ94" s="170"/>
      <c r="AK94" s="170"/>
      <c r="AL94" s="171"/>
      <c r="AM94" s="170"/>
      <c r="AN94" s="172"/>
      <c r="AO94" s="170"/>
      <c r="AP94" s="170"/>
      <c r="AS94" s="167"/>
      <c r="AT94" s="1170"/>
      <c r="AU94" s="1171"/>
      <c r="AV94" s="1171"/>
      <c r="AW94" s="1172"/>
      <c r="AX94" s="1172"/>
      <c r="AY94" s="1172"/>
      <c r="AZ94" s="1172"/>
      <c r="BA94" s="1236" t="s">
        <v>165</v>
      </c>
      <c r="BB94" s="1237">
        <v>2009</v>
      </c>
      <c r="BC94" s="1236" t="s">
        <v>292</v>
      </c>
      <c r="BD94" s="1236"/>
      <c r="BE94" s="1238">
        <v>3299917860.3099995</v>
      </c>
      <c r="BF94" s="1239"/>
      <c r="BG94" s="1236"/>
      <c r="BH94" s="1236" t="s">
        <v>165</v>
      </c>
      <c r="BI94" s="1236" t="s">
        <v>302</v>
      </c>
      <c r="BJ94" s="1236" t="s">
        <v>287</v>
      </c>
      <c r="BK94" s="1236">
        <v>10</v>
      </c>
      <c r="BL94" s="1238">
        <v>86447250.976157621</v>
      </c>
      <c r="BM94" s="1239">
        <v>2.3612228544729816E-2</v>
      </c>
      <c r="BN94" s="1236">
        <v>2009</v>
      </c>
      <c r="BO94" s="174"/>
      <c r="BP94" s="174"/>
      <c r="BQ94" s="174"/>
      <c r="BR94" s="174"/>
      <c r="BS94" s="174"/>
      <c r="BT94" s="174"/>
      <c r="BU94" s="174"/>
      <c r="BV94" s="174"/>
      <c r="BW94" s="174"/>
      <c r="BX94" s="174"/>
    </row>
    <row r="95" spans="1:76" s="152" customFormat="1" ht="15" customHeight="1" x14ac:dyDescent="0.25">
      <c r="A95" s="152">
        <f t="shared" si="2"/>
        <v>1978</v>
      </c>
      <c r="B95" s="152" t="str">
        <f t="shared" si="3"/>
        <v>1977-78</v>
      </c>
      <c r="C95" s="153">
        <v>28492</v>
      </c>
      <c r="D95" s="154"/>
      <c r="E95" s="155"/>
      <c r="F95" s="155"/>
      <c r="G95" s="155"/>
      <c r="H95" s="155"/>
      <c r="I95" s="156">
        <v>152.30184299999999</v>
      </c>
      <c r="J95" s="156">
        <v>173.35</v>
      </c>
      <c r="K95" s="157"/>
      <c r="L95" s="158"/>
      <c r="M95" s="159"/>
      <c r="N95" s="159"/>
      <c r="O95" s="160"/>
      <c r="P95" s="160"/>
      <c r="Q95" s="160"/>
      <c r="R95" s="160"/>
      <c r="S95" s="160"/>
      <c r="T95" s="160"/>
      <c r="U95" s="161"/>
      <c r="V95" s="161"/>
      <c r="W95" s="161"/>
      <c r="X95" s="161"/>
      <c r="Y95" s="162"/>
      <c r="Z95" s="162"/>
      <c r="AA95" s="162"/>
      <c r="AB95" s="162"/>
      <c r="AC95" s="163"/>
      <c r="AD95" s="163"/>
      <c r="AE95" s="163"/>
      <c r="AF95" s="163"/>
      <c r="AG95" s="163"/>
      <c r="AH95" s="163"/>
      <c r="AI95" s="163"/>
      <c r="AJ95" s="163"/>
      <c r="AK95" s="164"/>
      <c r="AL95" s="165"/>
      <c r="AM95" s="164"/>
      <c r="AN95" s="166"/>
      <c r="AO95" s="164"/>
      <c r="AP95" s="164"/>
      <c r="AS95" s="167"/>
      <c r="AT95" s="1170"/>
      <c r="AU95" s="1171"/>
      <c r="AV95" s="1171"/>
      <c r="AW95" s="1172"/>
      <c r="AX95" s="1172"/>
      <c r="AY95" s="1172"/>
      <c r="AZ95" s="1172"/>
      <c r="BA95" s="1236" t="s">
        <v>165</v>
      </c>
      <c r="BB95" s="1237">
        <v>2008</v>
      </c>
      <c r="BC95" s="1236" t="s">
        <v>282</v>
      </c>
      <c r="BD95" s="1236">
        <v>1</v>
      </c>
      <c r="BE95" s="1238">
        <v>708997178.98999989</v>
      </c>
      <c r="BF95" s="1239">
        <v>0.16327158528672142</v>
      </c>
      <c r="BG95" s="1236"/>
      <c r="BH95" s="1236" t="s">
        <v>165</v>
      </c>
      <c r="BI95" s="1236" t="s">
        <v>302</v>
      </c>
      <c r="BJ95" s="1236" t="s">
        <v>291</v>
      </c>
      <c r="BK95" s="1236"/>
      <c r="BL95" s="1238">
        <v>299456916.64537954</v>
      </c>
      <c r="BM95" s="1239">
        <v>8.1793753708616662E-2</v>
      </c>
      <c r="BN95" s="1236">
        <v>2009</v>
      </c>
      <c r="BO95" s="174"/>
      <c r="BP95" s="174"/>
      <c r="BQ95" s="174"/>
      <c r="BR95" s="174"/>
      <c r="BS95" s="174"/>
      <c r="BT95" s="174"/>
      <c r="BU95" s="174"/>
      <c r="BV95" s="174"/>
      <c r="BW95" s="174"/>
      <c r="BX95" s="174"/>
    </row>
    <row r="96" spans="1:76" s="152" customFormat="1" ht="15" customHeight="1" x14ac:dyDescent="0.25">
      <c r="A96" s="152">
        <f t="shared" si="2"/>
        <v>1978</v>
      </c>
      <c r="B96" s="152" t="str">
        <f t="shared" si="3"/>
        <v>1977-78</v>
      </c>
      <c r="C96" s="153">
        <v>28522</v>
      </c>
      <c r="D96" s="169"/>
      <c r="E96" s="170"/>
      <c r="F96" s="170"/>
      <c r="G96" s="170"/>
      <c r="H96" s="170"/>
      <c r="I96" s="169">
        <v>156.891699405</v>
      </c>
      <c r="J96" s="169">
        <v>178.3075</v>
      </c>
      <c r="K96" s="169"/>
      <c r="L96" s="170"/>
      <c r="M96" s="170"/>
      <c r="N96" s="170"/>
      <c r="O96" s="169"/>
      <c r="P96" s="169"/>
      <c r="Q96" s="169"/>
      <c r="R96" s="169"/>
      <c r="S96" s="169"/>
      <c r="T96" s="169"/>
      <c r="U96" s="170"/>
      <c r="V96" s="170"/>
      <c r="W96" s="170"/>
      <c r="X96" s="170"/>
      <c r="Y96" s="170"/>
      <c r="Z96" s="170"/>
      <c r="AA96" s="170"/>
      <c r="AB96" s="170"/>
      <c r="AC96" s="170"/>
      <c r="AD96" s="170"/>
      <c r="AE96" s="170"/>
      <c r="AF96" s="170"/>
      <c r="AG96" s="170"/>
      <c r="AH96" s="170"/>
      <c r="AI96" s="170"/>
      <c r="AJ96" s="170"/>
      <c r="AK96" s="170"/>
      <c r="AL96" s="171"/>
      <c r="AM96" s="170"/>
      <c r="AN96" s="172"/>
      <c r="AO96" s="170"/>
      <c r="AP96" s="170"/>
      <c r="AS96" s="167"/>
      <c r="AT96" s="1170"/>
      <c r="AU96" s="1171"/>
      <c r="AV96" s="1171"/>
      <c r="AW96" s="1172"/>
      <c r="AX96" s="1172"/>
      <c r="AY96" s="1172"/>
      <c r="AZ96" s="1172"/>
      <c r="BA96" s="1236" t="s">
        <v>165</v>
      </c>
      <c r="BB96" s="1237">
        <v>2008</v>
      </c>
      <c r="BC96" s="1236" t="s">
        <v>279</v>
      </c>
      <c r="BD96" s="1236">
        <v>2</v>
      </c>
      <c r="BE96" s="1238">
        <v>672143508.62</v>
      </c>
      <c r="BF96" s="1239">
        <v>0.15478472897296869</v>
      </c>
      <c r="BG96" s="1236"/>
      <c r="BH96" s="1236" t="s">
        <v>165</v>
      </c>
      <c r="BI96" s="1236" t="s">
        <v>302</v>
      </c>
      <c r="BJ96" s="1236" t="s">
        <v>292</v>
      </c>
      <c r="BK96" s="1236"/>
      <c r="BL96" s="1238">
        <v>3661122067</v>
      </c>
      <c r="BM96" s="1239"/>
      <c r="BN96" s="1236">
        <v>2009</v>
      </c>
      <c r="BO96" s="174"/>
      <c r="BP96" s="174"/>
      <c r="BQ96" s="174"/>
      <c r="BR96" s="174"/>
      <c r="BS96" s="174"/>
      <c r="BT96" s="174"/>
      <c r="BU96" s="174"/>
      <c r="BV96" s="174"/>
      <c r="BW96" s="174"/>
      <c r="BX96" s="174"/>
    </row>
    <row r="97" spans="1:76" s="152" customFormat="1" ht="15" customHeight="1" x14ac:dyDescent="0.25">
      <c r="A97" s="152">
        <f t="shared" si="2"/>
        <v>1978</v>
      </c>
      <c r="B97" s="152" t="str">
        <f t="shared" si="3"/>
        <v>1977-78</v>
      </c>
      <c r="C97" s="153">
        <v>28550</v>
      </c>
      <c r="D97" s="154"/>
      <c r="E97" s="155"/>
      <c r="F97" s="155"/>
      <c r="G97" s="155"/>
      <c r="H97" s="155"/>
      <c r="I97" s="156">
        <v>160.68875156663751</v>
      </c>
      <c r="J97" s="156">
        <v>183.6833333333</v>
      </c>
      <c r="K97" s="157"/>
      <c r="L97" s="158"/>
      <c r="M97" s="159"/>
      <c r="N97" s="159"/>
      <c r="O97" s="160"/>
      <c r="P97" s="160"/>
      <c r="Q97" s="160"/>
      <c r="R97" s="160"/>
      <c r="S97" s="160"/>
      <c r="T97" s="160"/>
      <c r="U97" s="161"/>
      <c r="V97" s="161"/>
      <c r="W97" s="161"/>
      <c r="X97" s="161"/>
      <c r="Y97" s="162"/>
      <c r="Z97" s="162"/>
      <c r="AA97" s="162"/>
      <c r="AB97" s="162"/>
      <c r="AC97" s="163"/>
      <c r="AD97" s="163"/>
      <c r="AE97" s="163"/>
      <c r="AF97" s="163"/>
      <c r="AG97" s="163"/>
      <c r="AH97" s="163"/>
      <c r="AI97" s="163"/>
      <c r="AJ97" s="163"/>
      <c r="AK97" s="164"/>
      <c r="AL97" s="165"/>
      <c r="AM97" s="164"/>
      <c r="AN97" s="166"/>
      <c r="AO97" s="164"/>
      <c r="AP97" s="164"/>
      <c r="AS97" s="167"/>
      <c r="AT97" s="1170"/>
      <c r="AU97" s="1171"/>
      <c r="AV97" s="1171"/>
      <c r="AW97" s="1172"/>
      <c r="AX97" s="1172"/>
      <c r="AY97" s="1172"/>
      <c r="AZ97" s="1172"/>
      <c r="BA97" s="1236" t="s">
        <v>165</v>
      </c>
      <c r="BB97" s="1237">
        <v>2008</v>
      </c>
      <c r="BC97" s="1236" t="s">
        <v>281</v>
      </c>
      <c r="BD97" s="1236">
        <v>3</v>
      </c>
      <c r="BE97" s="1238">
        <v>660985564.25000024</v>
      </c>
      <c r="BF97" s="1239">
        <v>0.15221521907953567</v>
      </c>
      <c r="BG97" s="1236"/>
      <c r="BH97" s="1236" t="s">
        <v>165</v>
      </c>
      <c r="BI97" s="1236" t="s">
        <v>303</v>
      </c>
      <c r="BJ97" s="1236" t="s">
        <v>281</v>
      </c>
      <c r="BK97" s="1236">
        <v>1</v>
      </c>
      <c r="BL97" s="1238">
        <v>833260879.08000016</v>
      </c>
      <c r="BM97" s="1239">
        <v>0.20322622756671099</v>
      </c>
      <c r="BN97" s="1236">
        <v>2008</v>
      </c>
      <c r="BO97" s="174"/>
      <c r="BP97" s="174"/>
      <c r="BQ97" s="174"/>
      <c r="BR97" s="174"/>
      <c r="BS97" s="174"/>
      <c r="BT97" s="174"/>
      <c r="BU97" s="174"/>
      <c r="BV97" s="174"/>
      <c r="BW97" s="174"/>
      <c r="BX97" s="174"/>
    </row>
    <row r="98" spans="1:76" s="152" customFormat="1" ht="15" customHeight="1" x14ac:dyDescent="0.25">
      <c r="A98" s="152">
        <f t="shared" si="2"/>
        <v>1978</v>
      </c>
      <c r="B98" s="152" t="str">
        <f t="shared" si="3"/>
        <v>1977-78</v>
      </c>
      <c r="C98" s="153">
        <v>28583</v>
      </c>
      <c r="D98" s="169"/>
      <c r="E98" s="170"/>
      <c r="F98" s="170"/>
      <c r="G98" s="170"/>
      <c r="H98" s="170"/>
      <c r="I98" s="169">
        <v>153.7616610855078</v>
      </c>
      <c r="J98" s="169">
        <v>174.70394736840001</v>
      </c>
      <c r="K98" s="169"/>
      <c r="L98" s="170"/>
      <c r="M98" s="170"/>
      <c r="N98" s="170"/>
      <c r="O98" s="169"/>
      <c r="P98" s="169"/>
      <c r="Q98" s="169"/>
      <c r="R98" s="169"/>
      <c r="S98" s="169"/>
      <c r="T98" s="169"/>
      <c r="U98" s="170"/>
      <c r="V98" s="170"/>
      <c r="W98" s="170"/>
      <c r="X98" s="170"/>
      <c r="Y98" s="170"/>
      <c r="Z98" s="170"/>
      <c r="AA98" s="170"/>
      <c r="AB98" s="170"/>
      <c r="AC98" s="170"/>
      <c r="AD98" s="170"/>
      <c r="AE98" s="170"/>
      <c r="AF98" s="170"/>
      <c r="AG98" s="170"/>
      <c r="AH98" s="170"/>
      <c r="AI98" s="170"/>
      <c r="AJ98" s="170"/>
      <c r="AK98" s="170"/>
      <c r="AL98" s="171"/>
      <c r="AM98" s="170"/>
      <c r="AN98" s="172"/>
      <c r="AO98" s="170"/>
      <c r="AP98" s="170"/>
      <c r="AS98" s="167"/>
      <c r="AT98" s="1170"/>
      <c r="AU98" s="1171"/>
      <c r="AV98" s="1171"/>
      <c r="AW98" s="1172"/>
      <c r="AX98" s="1172"/>
      <c r="AY98" s="1172"/>
      <c r="AZ98" s="1172"/>
      <c r="BA98" s="1236" t="s">
        <v>165</v>
      </c>
      <c r="BB98" s="1237">
        <v>2008</v>
      </c>
      <c r="BC98" s="1236" t="s">
        <v>283</v>
      </c>
      <c r="BD98" s="1236">
        <v>4</v>
      </c>
      <c r="BE98" s="1238">
        <v>568341943.97000003</v>
      </c>
      <c r="BF98" s="1239">
        <v>0.13088076077976571</v>
      </c>
      <c r="BG98" s="1236"/>
      <c r="BH98" s="1236" t="s">
        <v>165</v>
      </c>
      <c r="BI98" s="1236" t="s">
        <v>303</v>
      </c>
      <c r="BJ98" s="1236" t="s">
        <v>282</v>
      </c>
      <c r="BK98" s="1236">
        <v>2</v>
      </c>
      <c r="BL98" s="1238">
        <v>594276406.40999997</v>
      </c>
      <c r="BM98" s="1239">
        <v>0.14493966444212567</v>
      </c>
      <c r="BN98" s="1236">
        <v>2008</v>
      </c>
      <c r="BO98" s="174"/>
      <c r="BP98" s="174"/>
      <c r="BQ98" s="174"/>
      <c r="BR98" s="174"/>
      <c r="BS98" s="174"/>
      <c r="BT98" s="174"/>
      <c r="BU98" s="174"/>
      <c r="BV98" s="174"/>
      <c r="BW98" s="174"/>
      <c r="BX98" s="174"/>
    </row>
    <row r="99" spans="1:76" s="152" customFormat="1" ht="15" customHeight="1" x14ac:dyDescent="0.25">
      <c r="A99" s="152">
        <f t="shared" si="2"/>
        <v>1978</v>
      </c>
      <c r="B99" s="152" t="str">
        <f t="shared" si="3"/>
        <v>1977-78</v>
      </c>
      <c r="C99" s="153">
        <v>28611</v>
      </c>
      <c r="D99" s="154"/>
      <c r="E99" s="155"/>
      <c r="F99" s="155"/>
      <c r="G99" s="155"/>
      <c r="H99" s="155"/>
      <c r="I99" s="156">
        <v>156.29342335718079</v>
      </c>
      <c r="J99" s="156">
        <v>176.6428571429</v>
      </c>
      <c r="K99" s="157"/>
      <c r="L99" s="158"/>
      <c r="M99" s="159"/>
      <c r="N99" s="159"/>
      <c r="O99" s="160"/>
      <c r="P99" s="160"/>
      <c r="Q99" s="160"/>
      <c r="R99" s="160"/>
      <c r="S99" s="160"/>
      <c r="T99" s="160"/>
      <c r="U99" s="161"/>
      <c r="V99" s="161"/>
      <c r="W99" s="161"/>
      <c r="X99" s="161"/>
      <c r="Y99" s="162"/>
      <c r="Z99" s="162"/>
      <c r="AA99" s="162"/>
      <c r="AB99" s="162"/>
      <c r="AC99" s="163"/>
      <c r="AD99" s="163"/>
      <c r="AE99" s="163"/>
      <c r="AF99" s="163"/>
      <c r="AG99" s="163"/>
      <c r="AH99" s="163"/>
      <c r="AI99" s="163"/>
      <c r="AJ99" s="163"/>
      <c r="AK99" s="164"/>
      <c r="AL99" s="165"/>
      <c r="AM99" s="164"/>
      <c r="AN99" s="166"/>
      <c r="AO99" s="164"/>
      <c r="AP99" s="164"/>
      <c r="AS99" s="167"/>
      <c r="AT99" s="1170"/>
      <c r="AU99" s="1171"/>
      <c r="AV99" s="1171"/>
      <c r="AW99" s="1172"/>
      <c r="AX99" s="1172"/>
      <c r="AY99" s="1172"/>
      <c r="AZ99" s="1172"/>
      <c r="BA99" s="1236" t="s">
        <v>165</v>
      </c>
      <c r="BB99" s="1237">
        <v>2008</v>
      </c>
      <c r="BC99" s="1236" t="s">
        <v>284</v>
      </c>
      <c r="BD99" s="1236">
        <v>5</v>
      </c>
      <c r="BE99" s="1238">
        <v>420151567.44999993</v>
      </c>
      <c r="BF99" s="1239">
        <v>9.6754704406560005E-2</v>
      </c>
      <c r="BG99" s="1236"/>
      <c r="BH99" s="1236" t="s">
        <v>165</v>
      </c>
      <c r="BI99" s="1236" t="s">
        <v>303</v>
      </c>
      <c r="BJ99" s="1236" t="s">
        <v>279</v>
      </c>
      <c r="BK99" s="1236">
        <v>3</v>
      </c>
      <c r="BL99" s="1238">
        <v>575396501.14999998</v>
      </c>
      <c r="BM99" s="1239">
        <v>0.14033499378118813</v>
      </c>
      <c r="BN99" s="1236">
        <v>2008</v>
      </c>
      <c r="BO99" s="174"/>
      <c r="BP99" s="174"/>
      <c r="BQ99" s="174"/>
      <c r="BR99" s="174"/>
      <c r="BS99" s="174"/>
      <c r="BT99" s="174"/>
      <c r="BU99" s="174"/>
      <c r="BV99" s="174"/>
      <c r="BW99" s="174"/>
      <c r="BX99" s="174"/>
    </row>
    <row r="100" spans="1:76" s="152" customFormat="1" ht="15" customHeight="1" x14ac:dyDescent="0.25">
      <c r="A100" s="152">
        <f t="shared" si="2"/>
        <v>1978</v>
      </c>
      <c r="B100" s="152" t="str">
        <f t="shared" si="3"/>
        <v>1977-78</v>
      </c>
      <c r="C100" s="153">
        <v>28642</v>
      </c>
      <c r="D100" s="169"/>
      <c r="E100" s="170"/>
      <c r="F100" s="170"/>
      <c r="G100" s="170"/>
      <c r="H100" s="170"/>
      <c r="I100" s="169">
        <v>160.13572647728859</v>
      </c>
      <c r="J100" s="169">
        <v>183.7556818182</v>
      </c>
      <c r="K100" s="169"/>
      <c r="L100" s="170"/>
      <c r="M100" s="170"/>
      <c r="N100" s="170"/>
      <c r="O100" s="169"/>
      <c r="P100" s="169"/>
      <c r="Q100" s="169"/>
      <c r="R100" s="169"/>
      <c r="S100" s="169"/>
      <c r="T100" s="169"/>
      <c r="U100" s="170"/>
      <c r="V100" s="170"/>
      <c r="W100" s="170"/>
      <c r="X100" s="170"/>
      <c r="Y100" s="170"/>
      <c r="Z100" s="170"/>
      <c r="AA100" s="170"/>
      <c r="AB100" s="170"/>
      <c r="AC100" s="170"/>
      <c r="AD100" s="170"/>
      <c r="AE100" s="170"/>
      <c r="AF100" s="170"/>
      <c r="AG100" s="170"/>
      <c r="AH100" s="170"/>
      <c r="AI100" s="170"/>
      <c r="AJ100" s="170"/>
      <c r="AK100" s="170"/>
      <c r="AL100" s="171"/>
      <c r="AM100" s="170"/>
      <c r="AN100" s="172"/>
      <c r="AO100" s="170"/>
      <c r="AP100" s="170"/>
      <c r="AS100" s="167"/>
      <c r="AT100" s="1170"/>
      <c r="AU100" s="1171"/>
      <c r="AV100" s="1171"/>
      <c r="AW100" s="1172"/>
      <c r="AX100" s="1172"/>
      <c r="AY100" s="1172"/>
      <c r="AZ100" s="1172"/>
      <c r="BA100" s="1236" t="s">
        <v>165</v>
      </c>
      <c r="BB100" s="1237">
        <v>2008</v>
      </c>
      <c r="BC100" s="1236" t="s">
        <v>304</v>
      </c>
      <c r="BD100" s="1236">
        <v>6</v>
      </c>
      <c r="BE100" s="1238">
        <v>263355594.13</v>
      </c>
      <c r="BF100" s="1239">
        <v>6.0646906111791403E-2</v>
      </c>
      <c r="BG100" s="1236"/>
      <c r="BH100" s="1236" t="s">
        <v>165</v>
      </c>
      <c r="BI100" s="1236" t="s">
        <v>303</v>
      </c>
      <c r="BJ100" s="1236" t="s">
        <v>283</v>
      </c>
      <c r="BK100" s="1236">
        <v>4</v>
      </c>
      <c r="BL100" s="1238">
        <v>556446679.08000004</v>
      </c>
      <c r="BM100" s="1239">
        <v>0.1357132709221977</v>
      </c>
      <c r="BN100" s="1236">
        <v>2008</v>
      </c>
      <c r="BO100" s="174"/>
      <c r="BP100" s="174"/>
      <c r="BQ100" s="174"/>
      <c r="BR100" s="174"/>
      <c r="BS100" s="174"/>
      <c r="BT100" s="174"/>
      <c r="BU100" s="174"/>
      <c r="BV100" s="174"/>
      <c r="BW100" s="174"/>
      <c r="BX100" s="174"/>
    </row>
    <row r="101" spans="1:76" s="152" customFormat="1" ht="15" customHeight="1" x14ac:dyDescent="0.25">
      <c r="A101" s="152">
        <f t="shared" si="2"/>
        <v>1978</v>
      </c>
      <c r="B101" s="152" t="str">
        <f t="shared" si="3"/>
        <v>1978-79</v>
      </c>
      <c r="C101" s="153">
        <v>28674</v>
      </c>
      <c r="D101" s="154"/>
      <c r="E101" s="155"/>
      <c r="F101" s="155"/>
      <c r="G101" s="155"/>
      <c r="H101" s="155"/>
      <c r="I101" s="156">
        <v>163.83555362140385</v>
      </c>
      <c r="J101" s="156">
        <v>189.2464285714</v>
      </c>
      <c r="K101" s="157"/>
      <c r="L101" s="158"/>
      <c r="M101" s="159"/>
      <c r="N101" s="159"/>
      <c r="O101" s="160"/>
      <c r="P101" s="160"/>
      <c r="Q101" s="160"/>
      <c r="R101" s="160"/>
      <c r="S101" s="160"/>
      <c r="T101" s="160"/>
      <c r="U101" s="161"/>
      <c r="V101" s="161"/>
      <c r="W101" s="161"/>
      <c r="X101" s="161"/>
      <c r="Y101" s="162"/>
      <c r="Z101" s="162"/>
      <c r="AA101" s="162"/>
      <c r="AB101" s="162"/>
      <c r="AC101" s="163"/>
      <c r="AD101" s="163"/>
      <c r="AE101" s="163"/>
      <c r="AF101" s="163"/>
      <c r="AG101" s="163"/>
      <c r="AH101" s="163"/>
      <c r="AI101" s="163"/>
      <c r="AJ101" s="163"/>
      <c r="AK101" s="164"/>
      <c r="AL101" s="165"/>
      <c r="AM101" s="164"/>
      <c r="AN101" s="166"/>
      <c r="AO101" s="164"/>
      <c r="AP101" s="164"/>
      <c r="AS101" s="167"/>
      <c r="AT101" s="1170"/>
      <c r="AU101" s="1171"/>
      <c r="AV101" s="1171"/>
      <c r="AW101" s="1172"/>
      <c r="AX101" s="1172"/>
      <c r="AY101" s="1172"/>
      <c r="AZ101" s="1172"/>
      <c r="BA101" s="1236" t="s">
        <v>165</v>
      </c>
      <c r="BB101" s="1237">
        <v>2008</v>
      </c>
      <c r="BC101" s="1236" t="s">
        <v>305</v>
      </c>
      <c r="BD101" s="1236">
        <v>7</v>
      </c>
      <c r="BE101" s="1238">
        <v>242568462.67999998</v>
      </c>
      <c r="BF101" s="1239">
        <v>5.5859936563845095E-2</v>
      </c>
      <c r="BG101" s="1236"/>
      <c r="BH101" s="1236" t="s">
        <v>165</v>
      </c>
      <c r="BI101" s="1236" t="s">
        <v>303</v>
      </c>
      <c r="BJ101" s="1236" t="s">
        <v>284</v>
      </c>
      <c r="BK101" s="1236">
        <v>5</v>
      </c>
      <c r="BL101" s="1238">
        <v>418766474.67999995</v>
      </c>
      <c r="BM101" s="1239">
        <v>0.10213407711470905</v>
      </c>
      <c r="BN101" s="1236">
        <v>2008</v>
      </c>
      <c r="BO101" s="174"/>
      <c r="BP101" s="174"/>
      <c r="BQ101" s="174"/>
      <c r="BR101" s="174"/>
      <c r="BS101" s="174"/>
      <c r="BT101" s="174"/>
      <c r="BU101" s="174"/>
      <c r="BV101" s="174"/>
      <c r="BW101" s="174"/>
      <c r="BX101" s="174"/>
    </row>
    <row r="102" spans="1:76" s="152" customFormat="1" ht="15" customHeight="1" x14ac:dyDescent="0.25">
      <c r="A102" s="152">
        <f t="shared" si="2"/>
        <v>1978</v>
      </c>
      <c r="B102" s="152" t="str">
        <f t="shared" si="3"/>
        <v>1978-79</v>
      </c>
      <c r="C102" s="153">
        <v>28703</v>
      </c>
      <c r="D102" s="169"/>
      <c r="E102" s="170"/>
      <c r="F102" s="170"/>
      <c r="G102" s="170"/>
      <c r="H102" s="170"/>
      <c r="I102" s="169">
        <v>179.12148177271939</v>
      </c>
      <c r="J102" s="169">
        <v>206.3659090909</v>
      </c>
      <c r="K102" s="169"/>
      <c r="L102" s="170"/>
      <c r="M102" s="170"/>
      <c r="N102" s="170"/>
      <c r="O102" s="169"/>
      <c r="P102" s="169"/>
      <c r="Q102" s="169"/>
      <c r="R102" s="169"/>
      <c r="S102" s="169"/>
      <c r="T102" s="169"/>
      <c r="U102" s="170"/>
      <c r="V102" s="170"/>
      <c r="W102" s="170"/>
      <c r="X102" s="170"/>
      <c r="Y102" s="170"/>
      <c r="Z102" s="170"/>
      <c r="AA102" s="170"/>
      <c r="AB102" s="170"/>
      <c r="AC102" s="170"/>
      <c r="AD102" s="170"/>
      <c r="AE102" s="170"/>
      <c r="AF102" s="170"/>
      <c r="AG102" s="170"/>
      <c r="AH102" s="170"/>
      <c r="AI102" s="170"/>
      <c r="AJ102" s="170"/>
      <c r="AK102" s="170"/>
      <c r="AL102" s="171"/>
      <c r="AM102" s="170"/>
      <c r="AN102" s="172"/>
      <c r="AO102" s="170"/>
      <c r="AP102" s="170"/>
      <c r="AS102" s="167"/>
      <c r="AT102" s="1170"/>
      <c r="AU102" s="1171"/>
      <c r="AV102" s="1171"/>
      <c r="AW102" s="1172"/>
      <c r="AX102" s="1172"/>
      <c r="AY102" s="1172"/>
      <c r="AZ102" s="1172"/>
      <c r="BA102" s="1236" t="s">
        <v>165</v>
      </c>
      <c r="BB102" s="1237">
        <v>2008</v>
      </c>
      <c r="BC102" s="1236" t="s">
        <v>286</v>
      </c>
      <c r="BD102" s="1236">
        <v>8</v>
      </c>
      <c r="BE102" s="1238">
        <v>223250760.30000001</v>
      </c>
      <c r="BF102" s="1239">
        <v>5.1411354841456952E-2</v>
      </c>
      <c r="BG102" s="1236"/>
      <c r="BH102" s="1236" t="s">
        <v>165</v>
      </c>
      <c r="BI102" s="1236" t="s">
        <v>303</v>
      </c>
      <c r="BJ102" s="1236" t="s">
        <v>298</v>
      </c>
      <c r="BK102" s="1236">
        <v>6</v>
      </c>
      <c r="BL102" s="1238">
        <v>257132714.26000005</v>
      </c>
      <c r="BM102" s="1239">
        <v>6.2712786373391963E-2</v>
      </c>
      <c r="BN102" s="1236">
        <v>2008</v>
      </c>
      <c r="BO102" s="174"/>
      <c r="BP102" s="174"/>
      <c r="BQ102" s="174"/>
      <c r="BR102" s="174"/>
      <c r="BS102" s="174"/>
      <c r="BT102" s="174"/>
      <c r="BU102" s="174"/>
      <c r="BV102" s="174"/>
      <c r="BW102" s="174"/>
      <c r="BX102" s="174"/>
    </row>
    <row r="103" spans="1:76" s="152" customFormat="1" ht="15" customHeight="1" x14ac:dyDescent="0.25">
      <c r="A103" s="152">
        <f t="shared" si="2"/>
        <v>1978</v>
      </c>
      <c r="B103" s="152" t="str">
        <f t="shared" si="3"/>
        <v>1978-79</v>
      </c>
      <c r="C103" s="153">
        <v>28734</v>
      </c>
      <c r="D103" s="154"/>
      <c r="E103" s="155"/>
      <c r="F103" s="155"/>
      <c r="G103" s="155"/>
      <c r="H103" s="155"/>
      <c r="I103" s="156">
        <v>183.54904116432277</v>
      </c>
      <c r="J103" s="156">
        <v>212.2928571429</v>
      </c>
      <c r="K103" s="157"/>
      <c r="L103" s="158"/>
      <c r="M103" s="159"/>
      <c r="N103" s="159"/>
      <c r="O103" s="160"/>
      <c r="P103" s="160"/>
      <c r="Q103" s="160"/>
      <c r="R103" s="160"/>
      <c r="S103" s="160"/>
      <c r="T103" s="160"/>
      <c r="U103" s="161"/>
      <c r="V103" s="161"/>
      <c r="W103" s="161"/>
      <c r="X103" s="161"/>
      <c r="Y103" s="162"/>
      <c r="Z103" s="162"/>
      <c r="AA103" s="162"/>
      <c r="AB103" s="162"/>
      <c r="AC103" s="163"/>
      <c r="AD103" s="163"/>
      <c r="AE103" s="163"/>
      <c r="AF103" s="163"/>
      <c r="AG103" s="163"/>
      <c r="AH103" s="163"/>
      <c r="AI103" s="163"/>
      <c r="AJ103" s="163"/>
      <c r="AK103" s="164"/>
      <c r="AL103" s="165"/>
      <c r="AM103" s="164"/>
      <c r="AN103" s="166"/>
      <c r="AO103" s="164"/>
      <c r="AP103" s="164"/>
      <c r="AS103" s="167"/>
      <c r="AT103" s="1170"/>
      <c r="AU103" s="1171"/>
      <c r="AV103" s="1171"/>
      <c r="AW103" s="1172"/>
      <c r="AX103" s="1172"/>
      <c r="AY103" s="1172"/>
      <c r="AZ103" s="1172"/>
      <c r="BA103" s="1236" t="s">
        <v>165</v>
      </c>
      <c r="BB103" s="1237">
        <v>2008</v>
      </c>
      <c r="BC103" s="1236" t="s">
        <v>299</v>
      </c>
      <c r="BD103" s="1236">
        <v>9</v>
      </c>
      <c r="BE103" s="1238">
        <v>132427916.67</v>
      </c>
      <c r="BF103" s="1239">
        <v>3.0496194528911811E-2</v>
      </c>
      <c r="BG103" s="1236"/>
      <c r="BH103" s="1236" t="s">
        <v>165</v>
      </c>
      <c r="BI103" s="1236" t="s">
        <v>303</v>
      </c>
      <c r="BJ103" s="1236" t="s">
        <v>304</v>
      </c>
      <c r="BK103" s="1236">
        <v>7</v>
      </c>
      <c r="BL103" s="1238">
        <v>158173357.88</v>
      </c>
      <c r="BM103" s="1239">
        <v>3.8577323897652352E-2</v>
      </c>
      <c r="BN103" s="1236">
        <v>2008</v>
      </c>
      <c r="BO103" s="174"/>
      <c r="BP103" s="174"/>
      <c r="BQ103" s="174"/>
      <c r="BR103" s="174"/>
      <c r="BS103" s="174"/>
      <c r="BT103" s="174"/>
      <c r="BU103" s="174"/>
      <c r="BV103" s="174"/>
      <c r="BW103" s="174"/>
      <c r="BX103" s="174"/>
    </row>
    <row r="104" spans="1:76" s="152" customFormat="1" ht="15" customHeight="1" x14ac:dyDescent="0.25">
      <c r="A104" s="152">
        <f t="shared" si="2"/>
        <v>1978</v>
      </c>
      <c r="B104" s="152" t="str">
        <f t="shared" si="3"/>
        <v>1978-79</v>
      </c>
      <c r="C104" s="153">
        <v>28765</v>
      </c>
      <c r="D104" s="169"/>
      <c r="E104" s="170"/>
      <c r="F104" s="170"/>
      <c r="G104" s="170"/>
      <c r="H104" s="170"/>
      <c r="I104" s="169">
        <v>191.43007409996179</v>
      </c>
      <c r="J104" s="169">
        <v>227.6295454545</v>
      </c>
      <c r="K104" s="169"/>
      <c r="L104" s="170"/>
      <c r="M104" s="170"/>
      <c r="N104" s="170"/>
      <c r="O104" s="169"/>
      <c r="P104" s="169"/>
      <c r="Q104" s="169"/>
      <c r="R104" s="169"/>
      <c r="S104" s="169"/>
      <c r="T104" s="169"/>
      <c r="U104" s="170"/>
      <c r="V104" s="170"/>
      <c r="W104" s="170"/>
      <c r="X104" s="170"/>
      <c r="Y104" s="170"/>
      <c r="Z104" s="170"/>
      <c r="AA104" s="170"/>
      <c r="AB104" s="170"/>
      <c r="AC104" s="170"/>
      <c r="AD104" s="170"/>
      <c r="AE104" s="170"/>
      <c r="AF104" s="170"/>
      <c r="AG104" s="170"/>
      <c r="AH104" s="170"/>
      <c r="AI104" s="170"/>
      <c r="AJ104" s="170"/>
      <c r="AK104" s="170"/>
      <c r="AL104" s="171"/>
      <c r="AM104" s="170"/>
      <c r="AN104" s="172"/>
      <c r="AO104" s="170"/>
      <c r="AP104" s="170"/>
      <c r="AS104" s="167"/>
      <c r="AT104" s="1170"/>
      <c r="AU104" s="1171"/>
      <c r="AV104" s="1171"/>
      <c r="AW104" s="1172"/>
      <c r="AX104" s="1172"/>
      <c r="AY104" s="1172"/>
      <c r="AZ104" s="1172"/>
      <c r="BA104" s="1236" t="s">
        <v>165</v>
      </c>
      <c r="BB104" s="1237">
        <v>2008</v>
      </c>
      <c r="BC104" s="1236" t="s">
        <v>289</v>
      </c>
      <c r="BD104" s="1236">
        <v>10</v>
      </c>
      <c r="BE104" s="1238">
        <v>117018953.22999999</v>
      </c>
      <c r="BF104" s="1239">
        <v>2.6947737690116099E-2</v>
      </c>
      <c r="BG104" s="1236"/>
      <c r="BH104" s="1236" t="s">
        <v>165</v>
      </c>
      <c r="BI104" s="1236" t="s">
        <v>303</v>
      </c>
      <c r="BJ104" s="1236" t="s">
        <v>305</v>
      </c>
      <c r="BK104" s="1236">
        <v>8</v>
      </c>
      <c r="BL104" s="1238">
        <v>138539946.33000004</v>
      </c>
      <c r="BM104" s="1239">
        <v>3.378887856948988E-2</v>
      </c>
      <c r="BN104" s="1236">
        <v>2008</v>
      </c>
      <c r="BO104" s="174"/>
      <c r="BP104" s="174"/>
      <c r="BQ104" s="174"/>
      <c r="BR104" s="174"/>
      <c r="BS104" s="174"/>
      <c r="BT104" s="174"/>
      <c r="BU104" s="174"/>
      <c r="BV104" s="174"/>
      <c r="BW104" s="174"/>
      <c r="BX104" s="174"/>
    </row>
    <row r="105" spans="1:76" s="152" customFormat="1" ht="15" customHeight="1" x14ac:dyDescent="0.25">
      <c r="A105" s="152">
        <f t="shared" si="2"/>
        <v>1978</v>
      </c>
      <c r="B105" s="152" t="str">
        <f t="shared" si="3"/>
        <v>1978-79</v>
      </c>
      <c r="C105" s="153">
        <v>28795</v>
      </c>
      <c r="D105" s="154"/>
      <c r="E105" s="155"/>
      <c r="F105" s="155"/>
      <c r="G105" s="155"/>
      <c r="H105" s="155"/>
      <c r="I105" s="156">
        <v>180.69706098064981</v>
      </c>
      <c r="J105" s="156">
        <v>205.3261363636</v>
      </c>
      <c r="K105" s="157"/>
      <c r="L105" s="158"/>
      <c r="M105" s="159"/>
      <c r="N105" s="159"/>
      <c r="O105" s="160"/>
      <c r="P105" s="160"/>
      <c r="Q105" s="160"/>
      <c r="R105" s="160"/>
      <c r="S105" s="160"/>
      <c r="T105" s="160"/>
      <c r="U105" s="161"/>
      <c r="V105" s="161"/>
      <c r="W105" s="161"/>
      <c r="X105" s="161"/>
      <c r="Y105" s="162"/>
      <c r="Z105" s="162"/>
      <c r="AA105" s="162"/>
      <c r="AB105" s="162"/>
      <c r="AC105" s="163"/>
      <c r="AD105" s="163"/>
      <c r="AE105" s="163"/>
      <c r="AF105" s="163"/>
      <c r="AG105" s="163"/>
      <c r="AH105" s="163"/>
      <c r="AI105" s="163"/>
      <c r="AJ105" s="163"/>
      <c r="AK105" s="164"/>
      <c r="AL105" s="165"/>
      <c r="AM105" s="164"/>
      <c r="AN105" s="166"/>
      <c r="AO105" s="164"/>
      <c r="AP105" s="164"/>
      <c r="AS105" s="167"/>
      <c r="AT105" s="1170"/>
      <c r="AU105" s="1171"/>
      <c r="AV105" s="1171"/>
      <c r="AW105" s="1172"/>
      <c r="AX105" s="1172"/>
      <c r="AY105" s="1172"/>
      <c r="AZ105" s="1172"/>
      <c r="BA105" s="1236" t="s">
        <v>165</v>
      </c>
      <c r="BB105" s="1237">
        <v>2008</v>
      </c>
      <c r="BC105" s="1236" t="s">
        <v>291</v>
      </c>
      <c r="BD105" s="1236"/>
      <c r="BE105" s="1238">
        <v>333199261.27000046</v>
      </c>
      <c r="BF105" s="1239">
        <v>7.6730871738327142E-2</v>
      </c>
      <c r="BG105" s="1236"/>
      <c r="BH105" s="1236" t="s">
        <v>165</v>
      </c>
      <c r="BI105" s="1236" t="s">
        <v>303</v>
      </c>
      <c r="BJ105" s="1236" t="s">
        <v>299</v>
      </c>
      <c r="BK105" s="1236">
        <v>9</v>
      </c>
      <c r="BL105" s="1238">
        <v>125392522.83</v>
      </c>
      <c r="BM105" s="1239">
        <v>3.0582318238616114E-2</v>
      </c>
      <c r="BN105" s="1236">
        <v>2008</v>
      </c>
      <c r="BO105" s="174"/>
      <c r="BP105" s="174"/>
      <c r="BQ105" s="174"/>
      <c r="BR105" s="174"/>
      <c r="BS105" s="174"/>
      <c r="BT105" s="174"/>
      <c r="BU105" s="174"/>
      <c r="BV105" s="174"/>
      <c r="BW105" s="174"/>
      <c r="BX105" s="174"/>
    </row>
    <row r="106" spans="1:76" s="152" customFormat="1" ht="15" customHeight="1" x14ac:dyDescent="0.25">
      <c r="A106" s="152">
        <f t="shared" si="2"/>
        <v>1978</v>
      </c>
      <c r="B106" s="152" t="str">
        <f t="shared" si="3"/>
        <v>1978-79</v>
      </c>
      <c r="C106" s="153">
        <v>28825</v>
      </c>
      <c r="D106" s="169"/>
      <c r="E106" s="170"/>
      <c r="F106" s="170"/>
      <c r="G106" s="170"/>
      <c r="H106" s="170"/>
      <c r="I106" s="169">
        <v>180.52651828747102</v>
      </c>
      <c r="J106" s="169">
        <v>207.69583333329999</v>
      </c>
      <c r="K106" s="169"/>
      <c r="L106" s="170"/>
      <c r="M106" s="170"/>
      <c r="N106" s="170"/>
      <c r="O106" s="169"/>
      <c r="P106" s="169"/>
      <c r="Q106" s="169"/>
      <c r="R106" s="169"/>
      <c r="S106" s="169"/>
      <c r="T106" s="169"/>
      <c r="U106" s="170"/>
      <c r="V106" s="170"/>
      <c r="W106" s="170"/>
      <c r="X106" s="170"/>
      <c r="Y106" s="170"/>
      <c r="Z106" s="170"/>
      <c r="AA106" s="170"/>
      <c r="AB106" s="170"/>
      <c r="AC106" s="170"/>
      <c r="AD106" s="170"/>
      <c r="AE106" s="170"/>
      <c r="AF106" s="170"/>
      <c r="AG106" s="170"/>
      <c r="AH106" s="170"/>
      <c r="AI106" s="170"/>
      <c r="AJ106" s="170"/>
      <c r="AK106" s="170"/>
      <c r="AL106" s="171"/>
      <c r="AM106" s="170"/>
      <c r="AN106" s="172"/>
      <c r="AO106" s="170"/>
      <c r="AP106" s="170"/>
      <c r="AS106" s="167"/>
      <c r="AT106" s="1170"/>
      <c r="AU106" s="1171"/>
      <c r="AV106" s="1171"/>
      <c r="AW106" s="1172"/>
      <c r="AX106" s="1172"/>
      <c r="AY106" s="1172"/>
      <c r="AZ106" s="1172"/>
      <c r="BA106" s="1236" t="s">
        <v>165</v>
      </c>
      <c r="BB106" s="1237">
        <v>2008</v>
      </c>
      <c r="BC106" s="1236" t="s">
        <v>292</v>
      </c>
      <c r="BD106" s="1236"/>
      <c r="BE106" s="1238">
        <v>4342440711.5600004</v>
      </c>
      <c r="BF106" s="1239"/>
      <c r="BG106" s="1236"/>
      <c r="BH106" s="1236" t="s">
        <v>165</v>
      </c>
      <c r="BI106" s="1236" t="s">
        <v>303</v>
      </c>
      <c r="BJ106" s="1236" t="s">
        <v>289</v>
      </c>
      <c r="BK106" s="1236">
        <v>10</v>
      </c>
      <c r="BL106" s="1238">
        <v>112543766.14</v>
      </c>
      <c r="BM106" s="1239">
        <v>2.7448600555968799E-2</v>
      </c>
      <c r="BN106" s="1236">
        <v>2008</v>
      </c>
      <c r="BO106" s="174"/>
      <c r="BP106" s="174"/>
      <c r="BQ106" s="174"/>
      <c r="BR106" s="174"/>
      <c r="BS106" s="174"/>
      <c r="BT106" s="174"/>
      <c r="BU106" s="174"/>
      <c r="BV106" s="174"/>
      <c r="BW106" s="174"/>
      <c r="BX106" s="174"/>
    </row>
    <row r="107" spans="1:76" s="152" customFormat="1" ht="15" customHeight="1" x14ac:dyDescent="0.25">
      <c r="A107" s="152">
        <f t="shared" si="2"/>
        <v>1979</v>
      </c>
      <c r="B107" s="152" t="str">
        <f t="shared" si="3"/>
        <v>1978-79</v>
      </c>
      <c r="C107" s="153">
        <v>28856</v>
      </c>
      <c r="D107" s="154"/>
      <c r="E107" s="155"/>
      <c r="F107" s="155"/>
      <c r="G107" s="155"/>
      <c r="H107" s="155"/>
      <c r="I107" s="156">
        <v>200.57408789887967</v>
      </c>
      <c r="J107" s="156">
        <v>227.33068181819999</v>
      </c>
      <c r="K107" s="157"/>
      <c r="L107" s="158"/>
      <c r="M107" s="159"/>
      <c r="N107" s="159"/>
      <c r="O107" s="160"/>
      <c r="P107" s="160"/>
      <c r="Q107" s="160"/>
      <c r="R107" s="160"/>
      <c r="S107" s="160"/>
      <c r="T107" s="160"/>
      <c r="U107" s="161"/>
      <c r="V107" s="161"/>
      <c r="W107" s="161"/>
      <c r="X107" s="161"/>
      <c r="Y107" s="162"/>
      <c r="Z107" s="162"/>
      <c r="AA107" s="162"/>
      <c r="AB107" s="162"/>
      <c r="AC107" s="163"/>
      <c r="AD107" s="163"/>
      <c r="AE107" s="163"/>
      <c r="AF107" s="163"/>
      <c r="AG107" s="163"/>
      <c r="AH107" s="163"/>
      <c r="AI107" s="163"/>
      <c r="AJ107" s="163"/>
      <c r="AK107" s="164"/>
      <c r="AL107" s="165"/>
      <c r="AM107" s="164"/>
      <c r="AN107" s="166"/>
      <c r="AO107" s="164"/>
      <c r="AP107" s="164"/>
      <c r="AS107" s="167"/>
      <c r="AT107" s="1170"/>
      <c r="AU107" s="1171"/>
      <c r="AV107" s="1171"/>
      <c r="AW107" s="1172"/>
      <c r="AX107" s="1172"/>
      <c r="AY107" s="1172"/>
      <c r="AZ107" s="1172"/>
      <c r="BA107" s="1236" t="s">
        <v>61</v>
      </c>
      <c r="BB107" s="1237">
        <v>2015</v>
      </c>
      <c r="BC107" s="1236" t="s">
        <v>285</v>
      </c>
      <c r="BD107" s="1236">
        <v>1</v>
      </c>
      <c r="BE107" s="1238">
        <v>1153369212.23</v>
      </c>
      <c r="BF107" s="1239">
        <v>0.45832016711519769</v>
      </c>
      <c r="BG107" s="1236"/>
      <c r="BH107" s="1236" t="s">
        <v>165</v>
      </c>
      <c r="BI107" s="1236" t="s">
        <v>303</v>
      </c>
      <c r="BJ107" s="1236" t="s">
        <v>291</v>
      </c>
      <c r="BK107" s="1236"/>
      <c r="BL107" s="1238">
        <v>330234835.58999968</v>
      </c>
      <c r="BM107" s="1239">
        <v>8.0541858537949318E-2</v>
      </c>
      <c r="BN107" s="1236">
        <v>2008</v>
      </c>
      <c r="BO107" s="174"/>
      <c r="BP107" s="174"/>
      <c r="BQ107" s="174"/>
      <c r="BR107" s="174"/>
      <c r="BS107" s="174"/>
      <c r="BT107" s="174"/>
      <c r="BU107" s="174"/>
      <c r="BV107" s="174"/>
      <c r="BW107" s="174"/>
      <c r="BX107" s="174"/>
    </row>
    <row r="108" spans="1:76" s="152" customFormat="1" ht="15" customHeight="1" x14ac:dyDescent="0.25">
      <c r="A108" s="152">
        <f t="shared" si="2"/>
        <v>1979</v>
      </c>
      <c r="B108" s="152" t="str">
        <f t="shared" si="3"/>
        <v>1978-79</v>
      </c>
      <c r="C108" s="153">
        <v>28887</v>
      </c>
      <c r="D108" s="169"/>
      <c r="E108" s="170"/>
      <c r="F108" s="170"/>
      <c r="G108" s="170"/>
      <c r="H108" s="170"/>
      <c r="I108" s="169">
        <v>218.16557665625001</v>
      </c>
      <c r="J108" s="169">
        <v>246.15625</v>
      </c>
      <c r="K108" s="169"/>
      <c r="L108" s="170"/>
      <c r="M108" s="170"/>
      <c r="N108" s="170"/>
      <c r="O108" s="169"/>
      <c r="P108" s="169"/>
      <c r="Q108" s="169"/>
      <c r="R108" s="169"/>
      <c r="S108" s="169"/>
      <c r="T108" s="169"/>
      <c r="U108" s="170"/>
      <c r="V108" s="170"/>
      <c r="W108" s="170"/>
      <c r="X108" s="170"/>
      <c r="Y108" s="170"/>
      <c r="Z108" s="170"/>
      <c r="AA108" s="170"/>
      <c r="AB108" s="170"/>
      <c r="AC108" s="170"/>
      <c r="AD108" s="170"/>
      <c r="AE108" s="170"/>
      <c r="AF108" s="170"/>
      <c r="AG108" s="170"/>
      <c r="AH108" s="170"/>
      <c r="AI108" s="170"/>
      <c r="AJ108" s="170"/>
      <c r="AK108" s="170"/>
      <c r="AL108" s="171"/>
      <c r="AM108" s="170"/>
      <c r="AN108" s="172"/>
      <c r="AO108" s="170"/>
      <c r="AP108" s="170"/>
      <c r="AS108" s="167"/>
      <c r="AT108" s="1170"/>
      <c r="AU108" s="1171"/>
      <c r="AV108" s="1171"/>
      <c r="AW108" s="1172"/>
      <c r="AX108" s="1172"/>
      <c r="AY108" s="1172"/>
      <c r="AZ108" s="1172"/>
      <c r="BA108" s="1236" t="s">
        <v>61</v>
      </c>
      <c r="BB108" s="1237">
        <v>2015</v>
      </c>
      <c r="BC108" s="1236" t="s">
        <v>281</v>
      </c>
      <c r="BD108" s="1236">
        <v>2</v>
      </c>
      <c r="BE108" s="1238">
        <v>599310132.35000002</v>
      </c>
      <c r="BF108" s="1239">
        <v>0.23815090354406698</v>
      </c>
      <c r="BG108" s="1236"/>
      <c r="BH108" s="1236" t="s">
        <v>165</v>
      </c>
      <c r="BI108" s="1236" t="s">
        <v>303</v>
      </c>
      <c r="BJ108" s="1236" t="s">
        <v>292</v>
      </c>
      <c r="BK108" s="1236"/>
      <c r="BL108" s="1238">
        <v>4100164083.4299998</v>
      </c>
      <c r="BM108" s="1239"/>
      <c r="BN108" s="1236">
        <v>2008</v>
      </c>
      <c r="BO108" s="174"/>
      <c r="BP108" s="174"/>
      <c r="BQ108" s="174"/>
      <c r="BR108" s="174"/>
      <c r="BS108" s="174"/>
      <c r="BT108" s="174"/>
      <c r="BU108" s="174"/>
      <c r="BV108" s="174"/>
      <c r="BW108" s="174"/>
      <c r="BX108" s="174"/>
    </row>
    <row r="109" spans="1:76" s="152" customFormat="1" ht="15" customHeight="1" x14ac:dyDescent="0.25">
      <c r="A109" s="152">
        <f t="shared" si="2"/>
        <v>1979</v>
      </c>
      <c r="B109" s="152" t="str">
        <f t="shared" si="3"/>
        <v>1978-79</v>
      </c>
      <c r="C109" s="153">
        <v>28915</v>
      </c>
      <c r="D109" s="154"/>
      <c r="E109" s="155"/>
      <c r="F109" s="155"/>
      <c r="G109" s="155"/>
      <c r="H109" s="155"/>
      <c r="I109" s="156">
        <v>216.27687395453734</v>
      </c>
      <c r="J109" s="156">
        <v>241.8409090909</v>
      </c>
      <c r="K109" s="157"/>
      <c r="L109" s="158"/>
      <c r="M109" s="159"/>
      <c r="N109" s="159"/>
      <c r="O109" s="160"/>
      <c r="P109" s="160"/>
      <c r="Q109" s="160"/>
      <c r="R109" s="160"/>
      <c r="S109" s="160"/>
      <c r="T109" s="160"/>
      <c r="U109" s="161"/>
      <c r="V109" s="161"/>
      <c r="W109" s="161"/>
      <c r="X109" s="161"/>
      <c r="Y109" s="162"/>
      <c r="Z109" s="162"/>
      <c r="AA109" s="162"/>
      <c r="AB109" s="162"/>
      <c r="AC109" s="163"/>
      <c r="AD109" s="163"/>
      <c r="AE109" s="163"/>
      <c r="AF109" s="163"/>
      <c r="AG109" s="163"/>
      <c r="AH109" s="163"/>
      <c r="AI109" s="163"/>
      <c r="AJ109" s="163"/>
      <c r="AK109" s="164"/>
      <c r="AL109" s="165"/>
      <c r="AM109" s="164"/>
      <c r="AN109" s="166"/>
      <c r="AO109" s="164"/>
      <c r="AP109" s="164"/>
      <c r="AS109" s="167"/>
      <c r="AT109" s="1170"/>
      <c r="AU109" s="1171"/>
      <c r="AV109" s="1171"/>
      <c r="AW109" s="1172"/>
      <c r="AX109" s="1172"/>
      <c r="AY109" s="1172"/>
      <c r="AZ109" s="1172"/>
      <c r="BA109" s="1236" t="s">
        <v>61</v>
      </c>
      <c r="BB109" s="1237">
        <v>2015</v>
      </c>
      <c r="BC109" s="1236" t="s">
        <v>306</v>
      </c>
      <c r="BD109" s="1236">
        <v>3</v>
      </c>
      <c r="BE109" s="1238">
        <v>136583776.70999998</v>
      </c>
      <c r="BF109" s="1239">
        <v>5.4274987318170917E-2</v>
      </c>
      <c r="BG109" s="1236"/>
      <c r="BH109" s="1236" t="s">
        <v>165</v>
      </c>
      <c r="BI109" s="1236" t="s">
        <v>307</v>
      </c>
      <c r="BJ109" s="1236" t="s">
        <v>281</v>
      </c>
      <c r="BK109" s="1236">
        <v>1</v>
      </c>
      <c r="BL109" s="1238">
        <v>735391718.79999983</v>
      </c>
      <c r="BM109" s="1239">
        <v>0.1844729725338857</v>
      </c>
      <c r="BN109" s="1236">
        <v>2007</v>
      </c>
      <c r="BO109" s="174"/>
      <c r="BP109" s="174"/>
      <c r="BQ109" s="174"/>
      <c r="BR109" s="174"/>
      <c r="BS109" s="174"/>
      <c r="BT109" s="174"/>
      <c r="BU109" s="174"/>
      <c r="BV109" s="174"/>
      <c r="BW109" s="174"/>
      <c r="BX109" s="174"/>
    </row>
    <row r="110" spans="1:76" s="152" customFormat="1" ht="15" customHeight="1" x14ac:dyDescent="0.25">
      <c r="A110" s="152">
        <f t="shared" si="2"/>
        <v>1979</v>
      </c>
      <c r="B110" s="152" t="str">
        <f t="shared" si="3"/>
        <v>1978-79</v>
      </c>
      <c r="C110" s="153">
        <v>28947</v>
      </c>
      <c r="D110" s="169"/>
      <c r="E110" s="170"/>
      <c r="F110" s="170"/>
      <c r="G110" s="170"/>
      <c r="H110" s="170"/>
      <c r="I110" s="169">
        <v>217.12680574737797</v>
      </c>
      <c r="J110" s="169">
        <v>239.3605263158</v>
      </c>
      <c r="K110" s="169"/>
      <c r="L110" s="170"/>
      <c r="M110" s="170"/>
      <c r="N110" s="170"/>
      <c r="O110" s="169"/>
      <c r="P110" s="169"/>
      <c r="Q110" s="169"/>
      <c r="R110" s="169"/>
      <c r="S110" s="169"/>
      <c r="T110" s="169"/>
      <c r="U110" s="170"/>
      <c r="V110" s="170"/>
      <c r="W110" s="170"/>
      <c r="X110" s="170"/>
      <c r="Y110" s="170"/>
      <c r="Z110" s="170"/>
      <c r="AA110" s="170"/>
      <c r="AB110" s="170"/>
      <c r="AC110" s="170"/>
      <c r="AD110" s="170"/>
      <c r="AE110" s="170"/>
      <c r="AF110" s="170"/>
      <c r="AG110" s="170"/>
      <c r="AH110" s="170"/>
      <c r="AI110" s="170"/>
      <c r="AJ110" s="170"/>
      <c r="AK110" s="170"/>
      <c r="AL110" s="171"/>
      <c r="AM110" s="170"/>
      <c r="AN110" s="172"/>
      <c r="AO110" s="170"/>
      <c r="AP110" s="170"/>
      <c r="AS110" s="167"/>
      <c r="AT110" s="1170"/>
      <c r="AU110" s="1171"/>
      <c r="AV110" s="1171"/>
      <c r="AW110" s="1172"/>
      <c r="AX110" s="1172"/>
      <c r="AY110" s="1172"/>
      <c r="AZ110" s="1172"/>
      <c r="BA110" s="1236" t="s">
        <v>61</v>
      </c>
      <c r="BB110" s="1237">
        <v>2015</v>
      </c>
      <c r="BC110" s="1236" t="s">
        <v>308</v>
      </c>
      <c r="BD110" s="1236">
        <v>4</v>
      </c>
      <c r="BE110" s="1238">
        <v>111185230.85999998</v>
      </c>
      <c r="BF110" s="1239">
        <v>4.4182238478492619E-2</v>
      </c>
      <c r="BG110" s="1236"/>
      <c r="BH110" s="1236" t="s">
        <v>165</v>
      </c>
      <c r="BI110" s="1236" t="s">
        <v>307</v>
      </c>
      <c r="BJ110" s="1236" t="s">
        <v>282</v>
      </c>
      <c r="BK110" s="1236">
        <v>2</v>
      </c>
      <c r="BL110" s="1238">
        <v>638515856.45999992</v>
      </c>
      <c r="BM110" s="1239">
        <v>0.1601716677519868</v>
      </c>
      <c r="BN110" s="1236">
        <v>2007</v>
      </c>
      <c r="BO110" s="174"/>
      <c r="BP110" s="174"/>
      <c r="BQ110" s="174"/>
      <c r="BR110" s="174"/>
      <c r="BS110" s="174"/>
      <c r="BT110" s="174"/>
      <c r="BU110" s="174"/>
      <c r="BV110" s="174"/>
      <c r="BW110" s="174"/>
      <c r="BX110" s="174"/>
    </row>
    <row r="111" spans="1:76" s="152" customFormat="1" ht="15" customHeight="1" x14ac:dyDescent="0.25">
      <c r="A111" s="152">
        <f t="shared" si="2"/>
        <v>1979</v>
      </c>
      <c r="B111" s="152" t="str">
        <f t="shared" si="3"/>
        <v>1978-79</v>
      </c>
      <c r="C111" s="153">
        <v>28976</v>
      </c>
      <c r="D111" s="154"/>
      <c r="E111" s="155"/>
      <c r="F111" s="155"/>
      <c r="G111" s="155"/>
      <c r="H111" s="155"/>
      <c r="I111" s="156">
        <v>233.77421422618187</v>
      </c>
      <c r="J111" s="156">
        <v>258.27380952380003</v>
      </c>
      <c r="K111" s="157"/>
      <c r="L111" s="158"/>
      <c r="M111" s="159"/>
      <c r="N111" s="159"/>
      <c r="O111" s="160"/>
      <c r="P111" s="160"/>
      <c r="Q111" s="160"/>
      <c r="R111" s="160"/>
      <c r="S111" s="160"/>
      <c r="T111" s="160"/>
      <c r="U111" s="161"/>
      <c r="V111" s="161"/>
      <c r="W111" s="161"/>
      <c r="X111" s="161"/>
      <c r="Y111" s="162"/>
      <c r="Z111" s="162"/>
      <c r="AA111" s="162"/>
      <c r="AB111" s="162"/>
      <c r="AC111" s="163"/>
      <c r="AD111" s="163"/>
      <c r="AE111" s="163"/>
      <c r="AF111" s="163"/>
      <c r="AG111" s="163"/>
      <c r="AH111" s="163"/>
      <c r="AI111" s="163"/>
      <c r="AJ111" s="163"/>
      <c r="AK111" s="164"/>
      <c r="AL111" s="165"/>
      <c r="AM111" s="164"/>
      <c r="AN111" s="166"/>
      <c r="AO111" s="164"/>
      <c r="AP111" s="164"/>
      <c r="AS111" s="167"/>
      <c r="AT111" s="1170"/>
      <c r="AU111" s="1171"/>
      <c r="AV111" s="1171"/>
      <c r="AW111" s="1172"/>
      <c r="AX111" s="1172"/>
      <c r="AY111" s="1172"/>
      <c r="AZ111" s="1172"/>
      <c r="BA111" s="1236" t="s">
        <v>61</v>
      </c>
      <c r="BB111" s="1237">
        <v>2015</v>
      </c>
      <c r="BC111" s="1236" t="s">
        <v>286</v>
      </c>
      <c r="BD111" s="1236">
        <v>5</v>
      </c>
      <c r="BE111" s="1238">
        <v>85893768.76000002</v>
      </c>
      <c r="BF111" s="1239">
        <v>3.4132042051064376E-2</v>
      </c>
      <c r="BG111" s="1236"/>
      <c r="BH111" s="1236" t="s">
        <v>165</v>
      </c>
      <c r="BI111" s="1236" t="s">
        <v>307</v>
      </c>
      <c r="BJ111" s="1236" t="s">
        <v>283</v>
      </c>
      <c r="BK111" s="1236">
        <v>3</v>
      </c>
      <c r="BL111" s="1238">
        <v>597646915.80000019</v>
      </c>
      <c r="BM111" s="1239">
        <v>0.14991969621746434</v>
      </c>
      <c r="BN111" s="1236">
        <v>2007</v>
      </c>
      <c r="BO111" s="174"/>
      <c r="BP111" s="174"/>
      <c r="BQ111" s="174"/>
      <c r="BR111" s="174"/>
      <c r="BS111" s="174"/>
      <c r="BT111" s="174"/>
      <c r="BU111" s="174"/>
      <c r="BV111" s="174"/>
      <c r="BW111" s="174"/>
      <c r="BX111" s="174"/>
    </row>
    <row r="112" spans="1:76" s="152" customFormat="1" ht="15" customHeight="1" x14ac:dyDescent="0.25">
      <c r="A112" s="152">
        <f t="shared" si="2"/>
        <v>1979</v>
      </c>
      <c r="B112" s="152" t="str">
        <f t="shared" si="3"/>
        <v>1978-79</v>
      </c>
      <c r="C112" s="153">
        <v>29007</v>
      </c>
      <c r="D112" s="169"/>
      <c r="E112" s="170"/>
      <c r="F112" s="170"/>
      <c r="G112" s="170"/>
      <c r="H112" s="170"/>
      <c r="I112" s="169">
        <v>249.07932295718109</v>
      </c>
      <c r="J112" s="169">
        <v>279.24285714289999</v>
      </c>
      <c r="K112" s="169"/>
      <c r="L112" s="170"/>
      <c r="M112" s="170"/>
      <c r="N112" s="170"/>
      <c r="O112" s="169"/>
      <c r="P112" s="169"/>
      <c r="Q112" s="169"/>
      <c r="R112" s="169"/>
      <c r="S112" s="169"/>
      <c r="T112" s="169"/>
      <c r="U112" s="170"/>
      <c r="V112" s="170"/>
      <c r="W112" s="170"/>
      <c r="X112" s="170"/>
      <c r="Y112" s="170"/>
      <c r="Z112" s="170"/>
      <c r="AA112" s="170"/>
      <c r="AB112" s="170"/>
      <c r="AC112" s="170"/>
      <c r="AD112" s="170"/>
      <c r="AE112" s="170"/>
      <c r="AF112" s="170"/>
      <c r="AG112" s="170"/>
      <c r="AH112" s="170"/>
      <c r="AI112" s="170"/>
      <c r="AJ112" s="170"/>
      <c r="AK112" s="170"/>
      <c r="AL112" s="171"/>
      <c r="AM112" s="170"/>
      <c r="AN112" s="172"/>
      <c r="AO112" s="170"/>
      <c r="AP112" s="170"/>
      <c r="AS112" s="167"/>
      <c r="AT112" s="1170"/>
      <c r="AU112" s="1171"/>
      <c r="AV112" s="1171"/>
      <c r="AW112" s="1172"/>
      <c r="AX112" s="1172"/>
      <c r="AY112" s="1172"/>
      <c r="AZ112" s="1172"/>
      <c r="BA112" s="1236" t="s">
        <v>61</v>
      </c>
      <c r="BB112" s="1237">
        <v>2015</v>
      </c>
      <c r="BC112" s="1236" t="s">
        <v>309</v>
      </c>
      <c r="BD112" s="1236">
        <v>6</v>
      </c>
      <c r="BE112" s="1238">
        <v>85645456.129999995</v>
      </c>
      <c r="BF112" s="1239">
        <v>3.4033368803268571E-2</v>
      </c>
      <c r="BG112" s="1236"/>
      <c r="BH112" s="1236" t="s">
        <v>165</v>
      </c>
      <c r="BI112" s="1236" t="s">
        <v>307</v>
      </c>
      <c r="BJ112" s="1236" t="s">
        <v>279</v>
      </c>
      <c r="BK112" s="1236">
        <v>4</v>
      </c>
      <c r="BL112" s="1238">
        <v>584217459.3499999</v>
      </c>
      <c r="BM112" s="1239">
        <v>0.1465509177997682</v>
      </c>
      <c r="BN112" s="1236">
        <v>2007</v>
      </c>
      <c r="BO112" s="174"/>
      <c r="BP112" s="174"/>
      <c r="BQ112" s="174"/>
      <c r="BR112" s="174"/>
      <c r="BS112" s="174"/>
      <c r="BT112" s="174"/>
      <c r="BU112" s="174"/>
      <c r="BV112" s="174"/>
      <c r="BW112" s="174"/>
      <c r="BX112" s="174"/>
    </row>
    <row r="113" spans="1:76" s="152" customFormat="1" ht="15" customHeight="1" x14ac:dyDescent="0.25">
      <c r="A113" s="152">
        <f t="shared" si="2"/>
        <v>1979</v>
      </c>
      <c r="B113" s="152" t="str">
        <f t="shared" si="3"/>
        <v>1979-80</v>
      </c>
      <c r="C113" s="153">
        <v>29038</v>
      </c>
      <c r="D113" s="154"/>
      <c r="E113" s="155"/>
      <c r="F113" s="155"/>
      <c r="G113" s="155"/>
      <c r="H113" s="155"/>
      <c r="I113" s="156">
        <v>260.89102877728078</v>
      </c>
      <c r="J113" s="156">
        <v>294.85909090910002</v>
      </c>
      <c r="K113" s="157"/>
      <c r="L113" s="158"/>
      <c r="M113" s="159"/>
      <c r="N113" s="159"/>
      <c r="O113" s="160"/>
      <c r="P113" s="160"/>
      <c r="Q113" s="160"/>
      <c r="R113" s="160"/>
      <c r="S113" s="160"/>
      <c r="T113" s="160"/>
      <c r="U113" s="161"/>
      <c r="V113" s="161"/>
      <c r="W113" s="161"/>
      <c r="X113" s="161"/>
      <c r="Y113" s="162"/>
      <c r="Z113" s="162"/>
      <c r="AA113" s="162"/>
      <c r="AB113" s="162"/>
      <c r="AC113" s="163"/>
      <c r="AD113" s="163"/>
      <c r="AE113" s="163"/>
      <c r="AF113" s="163"/>
      <c r="AG113" s="163"/>
      <c r="AH113" s="163"/>
      <c r="AI113" s="163"/>
      <c r="AJ113" s="163"/>
      <c r="AK113" s="164"/>
      <c r="AL113" s="165"/>
      <c r="AM113" s="164"/>
      <c r="AN113" s="166"/>
      <c r="AO113" s="164"/>
      <c r="AP113" s="164"/>
      <c r="AS113" s="167"/>
      <c r="AT113" s="1170"/>
      <c r="AU113" s="1171"/>
      <c r="AV113" s="1171"/>
      <c r="AW113" s="1172"/>
      <c r="AX113" s="1172"/>
      <c r="AY113" s="1172"/>
      <c r="AZ113" s="1172"/>
      <c r="BA113" s="1236" t="s">
        <v>61</v>
      </c>
      <c r="BB113" s="1237">
        <v>2015</v>
      </c>
      <c r="BC113" s="1236" t="s">
        <v>310</v>
      </c>
      <c r="BD113" s="1236">
        <v>7</v>
      </c>
      <c r="BE113" s="1238">
        <v>63307829.289999992</v>
      </c>
      <c r="BF113" s="1239">
        <v>2.5156952857960546E-2</v>
      </c>
      <c r="BG113" s="1236"/>
      <c r="BH113" s="1236" t="s">
        <v>165</v>
      </c>
      <c r="BI113" s="1236" t="s">
        <v>307</v>
      </c>
      <c r="BJ113" s="1236" t="s">
        <v>284</v>
      </c>
      <c r="BK113" s="1236">
        <v>5</v>
      </c>
      <c r="BL113" s="1238">
        <v>343277955.83999997</v>
      </c>
      <c r="BM113" s="1239">
        <v>8.6111256491294558E-2</v>
      </c>
      <c r="BN113" s="1236">
        <v>2007</v>
      </c>
      <c r="BO113" s="174"/>
      <c r="BP113" s="174"/>
      <c r="BQ113" s="174"/>
      <c r="BR113" s="174"/>
      <c r="BS113" s="174"/>
      <c r="BT113" s="174"/>
      <c r="BU113" s="174"/>
      <c r="BV113" s="174"/>
      <c r="BW113" s="174"/>
      <c r="BX113" s="174"/>
    </row>
    <row r="114" spans="1:76" s="152" customFormat="1" ht="15" customHeight="1" x14ac:dyDescent="0.25">
      <c r="A114" s="152">
        <f t="shared" si="2"/>
        <v>1979</v>
      </c>
      <c r="B114" s="152" t="str">
        <f t="shared" si="3"/>
        <v>1979-80</v>
      </c>
      <c r="C114" s="153">
        <v>29068</v>
      </c>
      <c r="D114" s="169"/>
      <c r="E114" s="170"/>
      <c r="F114" s="170"/>
      <c r="G114" s="170"/>
      <c r="H114" s="170"/>
      <c r="I114" s="169">
        <v>267.24095528177787</v>
      </c>
      <c r="J114" s="169">
        <v>301.55454545449999</v>
      </c>
      <c r="K114" s="169"/>
      <c r="L114" s="170"/>
      <c r="M114" s="170"/>
      <c r="N114" s="170"/>
      <c r="O114" s="169"/>
      <c r="P114" s="169"/>
      <c r="Q114" s="169"/>
      <c r="R114" s="169"/>
      <c r="S114" s="169"/>
      <c r="T114" s="169"/>
      <c r="U114" s="170"/>
      <c r="V114" s="170"/>
      <c r="W114" s="170"/>
      <c r="X114" s="170"/>
      <c r="Y114" s="170"/>
      <c r="Z114" s="170"/>
      <c r="AA114" s="170"/>
      <c r="AB114" s="170"/>
      <c r="AC114" s="170"/>
      <c r="AD114" s="170"/>
      <c r="AE114" s="170"/>
      <c r="AF114" s="170"/>
      <c r="AG114" s="170"/>
      <c r="AH114" s="170"/>
      <c r="AI114" s="170"/>
      <c r="AJ114" s="170"/>
      <c r="AK114" s="170"/>
      <c r="AL114" s="171"/>
      <c r="AM114" s="170"/>
      <c r="AN114" s="172"/>
      <c r="AO114" s="170"/>
      <c r="AP114" s="170"/>
      <c r="AS114" s="167"/>
      <c r="AT114" s="1170"/>
      <c r="AU114" s="1171"/>
      <c r="AV114" s="1171"/>
      <c r="AW114" s="1172"/>
      <c r="AX114" s="1172"/>
      <c r="AY114" s="1172"/>
      <c r="AZ114" s="1172"/>
      <c r="BA114" s="1236" t="s">
        <v>61</v>
      </c>
      <c r="BB114" s="1237">
        <v>2015</v>
      </c>
      <c r="BC114" s="1236" t="s">
        <v>311</v>
      </c>
      <c r="BD114" s="1236">
        <v>8</v>
      </c>
      <c r="BE114" s="1238">
        <v>57952664.039999999</v>
      </c>
      <c r="BF114" s="1239">
        <v>2.3028943711987215E-2</v>
      </c>
      <c r="BG114" s="1236"/>
      <c r="BH114" s="1236" t="s">
        <v>165</v>
      </c>
      <c r="BI114" s="1236" t="s">
        <v>307</v>
      </c>
      <c r="BJ114" s="1236" t="s">
        <v>305</v>
      </c>
      <c r="BK114" s="1236">
        <v>6</v>
      </c>
      <c r="BL114" s="1238">
        <v>224310348.78</v>
      </c>
      <c r="BM114" s="1239">
        <v>5.6268238751833045E-2</v>
      </c>
      <c r="BN114" s="1236">
        <v>2007</v>
      </c>
      <c r="BO114" s="174"/>
      <c r="BP114" s="174"/>
      <c r="BQ114" s="174"/>
      <c r="BR114" s="174"/>
      <c r="BS114" s="174"/>
      <c r="BT114" s="174"/>
      <c r="BU114" s="174"/>
      <c r="BV114" s="174"/>
      <c r="BW114" s="174"/>
      <c r="BX114" s="174"/>
    </row>
    <row r="115" spans="1:76" s="152" customFormat="1" ht="15" customHeight="1" x14ac:dyDescent="0.25">
      <c r="A115" s="152">
        <f t="shared" si="2"/>
        <v>1979</v>
      </c>
      <c r="B115" s="152" t="str">
        <f t="shared" si="3"/>
        <v>1979-80</v>
      </c>
      <c r="C115" s="153">
        <v>29101</v>
      </c>
      <c r="D115" s="154"/>
      <c r="E115" s="155"/>
      <c r="F115" s="155"/>
      <c r="G115" s="155"/>
      <c r="H115" s="155"/>
      <c r="I115" s="156">
        <v>316.34898630999999</v>
      </c>
      <c r="J115" s="156">
        <v>357.41125</v>
      </c>
      <c r="K115" s="157"/>
      <c r="L115" s="158"/>
      <c r="M115" s="159"/>
      <c r="N115" s="159"/>
      <c r="O115" s="160"/>
      <c r="P115" s="160"/>
      <c r="Q115" s="160"/>
      <c r="R115" s="160"/>
      <c r="S115" s="160"/>
      <c r="T115" s="160"/>
      <c r="U115" s="161"/>
      <c r="V115" s="161"/>
      <c r="W115" s="161"/>
      <c r="X115" s="161"/>
      <c r="Y115" s="162"/>
      <c r="Z115" s="162"/>
      <c r="AA115" s="162"/>
      <c r="AB115" s="162"/>
      <c r="AC115" s="163"/>
      <c r="AD115" s="163"/>
      <c r="AE115" s="163"/>
      <c r="AF115" s="163"/>
      <c r="AG115" s="163"/>
      <c r="AH115" s="163"/>
      <c r="AI115" s="163"/>
      <c r="AJ115" s="163"/>
      <c r="AK115" s="164"/>
      <c r="AL115" s="165"/>
      <c r="AM115" s="164"/>
      <c r="AN115" s="166"/>
      <c r="AO115" s="164"/>
      <c r="AP115" s="164"/>
      <c r="AS115" s="167"/>
      <c r="AT115" s="1170"/>
      <c r="AU115" s="1171"/>
      <c r="AV115" s="1171"/>
      <c r="AW115" s="1172"/>
      <c r="AX115" s="1172"/>
      <c r="AY115" s="1172"/>
      <c r="AZ115" s="1172"/>
      <c r="BA115" s="1236" t="s">
        <v>61</v>
      </c>
      <c r="BB115" s="1237">
        <v>2015</v>
      </c>
      <c r="BC115" s="1236" t="s">
        <v>287</v>
      </c>
      <c r="BD115" s="1236">
        <v>9</v>
      </c>
      <c r="BE115" s="1238">
        <v>57326301.210000008</v>
      </c>
      <c r="BF115" s="1239">
        <v>2.2780042740922369E-2</v>
      </c>
      <c r="BG115" s="1236"/>
      <c r="BH115" s="1236" t="s">
        <v>165</v>
      </c>
      <c r="BI115" s="1236" t="s">
        <v>307</v>
      </c>
      <c r="BJ115" s="1236" t="s">
        <v>298</v>
      </c>
      <c r="BK115" s="1236">
        <v>7</v>
      </c>
      <c r="BL115" s="1238">
        <v>217135240.74000001</v>
      </c>
      <c r="BM115" s="1239">
        <v>5.4468363291513167E-2</v>
      </c>
      <c r="BN115" s="1236">
        <v>2007</v>
      </c>
      <c r="BO115" s="174"/>
      <c r="BP115" s="174"/>
      <c r="BQ115" s="174"/>
      <c r="BR115" s="174"/>
      <c r="BS115" s="174"/>
      <c r="BT115" s="174"/>
      <c r="BU115" s="174"/>
      <c r="BV115" s="174"/>
      <c r="BW115" s="174"/>
      <c r="BX115" s="174"/>
    </row>
    <row r="116" spans="1:76" s="152" customFormat="1" ht="15" customHeight="1" x14ac:dyDescent="0.25">
      <c r="A116" s="152">
        <f t="shared" si="2"/>
        <v>1979</v>
      </c>
      <c r="B116" s="152" t="str">
        <f t="shared" si="3"/>
        <v>1979-80</v>
      </c>
      <c r="C116" s="153">
        <v>29129</v>
      </c>
      <c r="D116" s="169"/>
      <c r="E116" s="170"/>
      <c r="F116" s="170"/>
      <c r="G116" s="170"/>
      <c r="H116" s="170"/>
      <c r="I116" s="169">
        <v>356.17694647285384</v>
      </c>
      <c r="J116" s="169">
        <v>390.86847826090002</v>
      </c>
      <c r="K116" s="169"/>
      <c r="L116" s="170"/>
      <c r="M116" s="170"/>
      <c r="N116" s="170"/>
      <c r="O116" s="169"/>
      <c r="P116" s="169"/>
      <c r="Q116" s="169"/>
      <c r="R116" s="169"/>
      <c r="S116" s="169"/>
      <c r="T116" s="169"/>
      <c r="U116" s="170"/>
      <c r="V116" s="170"/>
      <c r="W116" s="170"/>
      <c r="X116" s="170"/>
      <c r="Y116" s="170"/>
      <c r="Z116" s="170"/>
      <c r="AA116" s="170"/>
      <c r="AB116" s="170"/>
      <c r="AC116" s="170"/>
      <c r="AD116" s="170"/>
      <c r="AE116" s="170"/>
      <c r="AF116" s="170"/>
      <c r="AG116" s="170"/>
      <c r="AH116" s="170"/>
      <c r="AI116" s="170"/>
      <c r="AJ116" s="170"/>
      <c r="AK116" s="170"/>
      <c r="AL116" s="171"/>
      <c r="AM116" s="170"/>
      <c r="AN116" s="172"/>
      <c r="AO116" s="170"/>
      <c r="AP116" s="170"/>
      <c r="AS116" s="167"/>
      <c r="AT116" s="1170"/>
      <c r="AU116" s="1171"/>
      <c r="AV116" s="1171"/>
      <c r="AW116" s="1172"/>
      <c r="AX116" s="1172"/>
      <c r="AY116" s="1172"/>
      <c r="AZ116" s="1172"/>
      <c r="BA116" s="1236" t="s">
        <v>61</v>
      </c>
      <c r="BB116" s="1237">
        <v>2015</v>
      </c>
      <c r="BC116" s="1236" t="s">
        <v>312</v>
      </c>
      <c r="BD116" s="1236">
        <v>10</v>
      </c>
      <c r="BE116" s="1238">
        <v>52529136.829999998</v>
      </c>
      <c r="BF116" s="1239">
        <v>2.0873769227630221E-2</v>
      </c>
      <c r="BG116" s="1236"/>
      <c r="BH116" s="1236" t="s">
        <v>165</v>
      </c>
      <c r="BI116" s="1236" t="s">
        <v>307</v>
      </c>
      <c r="BJ116" s="1236" t="s">
        <v>299</v>
      </c>
      <c r="BK116" s="1236">
        <v>8</v>
      </c>
      <c r="BL116" s="1238">
        <v>89413293.359999985</v>
      </c>
      <c r="BM116" s="1239">
        <v>2.2429319760465524E-2</v>
      </c>
      <c r="BN116" s="1236">
        <v>2007</v>
      </c>
      <c r="BO116" s="174"/>
      <c r="BP116" s="174"/>
      <c r="BQ116" s="174"/>
      <c r="BR116" s="174"/>
      <c r="BS116" s="174"/>
      <c r="BT116" s="174"/>
      <c r="BU116" s="174"/>
      <c r="BV116" s="174"/>
      <c r="BW116" s="174"/>
      <c r="BX116" s="174"/>
    </row>
    <row r="117" spans="1:76" s="152" customFormat="1" ht="15" customHeight="1" x14ac:dyDescent="0.25">
      <c r="A117" s="152">
        <f t="shared" si="2"/>
        <v>1979</v>
      </c>
      <c r="B117" s="152" t="str">
        <f t="shared" si="3"/>
        <v>1979-80</v>
      </c>
      <c r="C117" s="153">
        <v>29160</v>
      </c>
      <c r="D117" s="154"/>
      <c r="E117" s="155"/>
      <c r="F117" s="155"/>
      <c r="G117" s="155"/>
      <c r="H117" s="155"/>
      <c r="I117" s="156">
        <v>359.29021555679321</v>
      </c>
      <c r="J117" s="156">
        <v>393.13522727269998</v>
      </c>
      <c r="K117" s="157"/>
      <c r="L117" s="158"/>
      <c r="M117" s="159"/>
      <c r="N117" s="159"/>
      <c r="O117" s="160"/>
      <c r="P117" s="160"/>
      <c r="Q117" s="160"/>
      <c r="R117" s="160"/>
      <c r="S117" s="160"/>
      <c r="T117" s="160"/>
      <c r="U117" s="161"/>
      <c r="V117" s="161"/>
      <c r="W117" s="161"/>
      <c r="X117" s="161"/>
      <c r="Y117" s="162"/>
      <c r="Z117" s="162"/>
      <c r="AA117" s="162"/>
      <c r="AB117" s="162"/>
      <c r="AC117" s="163"/>
      <c r="AD117" s="163"/>
      <c r="AE117" s="163"/>
      <c r="AF117" s="163"/>
      <c r="AG117" s="163"/>
      <c r="AH117" s="163"/>
      <c r="AI117" s="163"/>
      <c r="AJ117" s="163"/>
      <c r="AK117" s="164"/>
      <c r="AL117" s="165"/>
      <c r="AM117" s="164"/>
      <c r="AN117" s="166"/>
      <c r="AO117" s="164"/>
      <c r="AP117" s="164"/>
      <c r="AS117" s="167"/>
      <c r="AT117" s="1170"/>
      <c r="AU117" s="1171"/>
      <c r="AV117" s="1171"/>
      <c r="AW117" s="1172"/>
      <c r="AX117" s="1172"/>
      <c r="AY117" s="1172"/>
      <c r="AZ117" s="1172"/>
      <c r="BA117" s="1236" t="s">
        <v>61</v>
      </c>
      <c r="BB117" s="1237">
        <v>2015</v>
      </c>
      <c r="BC117" s="1236" t="s">
        <v>291</v>
      </c>
      <c r="BD117" s="1236"/>
      <c r="BE117" s="1238">
        <v>113410699.3100009</v>
      </c>
      <c r="BF117" s="1239">
        <v>4.5066584151238577E-2</v>
      </c>
      <c r="BG117" s="1236"/>
      <c r="BH117" s="1236" t="s">
        <v>165</v>
      </c>
      <c r="BI117" s="1236" t="s">
        <v>307</v>
      </c>
      <c r="BJ117" s="1236" t="s">
        <v>289</v>
      </c>
      <c r="BK117" s="1236">
        <v>9</v>
      </c>
      <c r="BL117" s="1238">
        <v>76398687.209999993</v>
      </c>
      <c r="BM117" s="1239">
        <v>1.916460651788789E-2</v>
      </c>
      <c r="BN117" s="1236">
        <v>2007</v>
      </c>
      <c r="BO117" s="174"/>
      <c r="BP117" s="174"/>
      <c r="BQ117" s="174"/>
      <c r="BR117" s="174"/>
      <c r="BS117" s="174"/>
      <c r="BT117" s="174"/>
      <c r="BU117" s="174"/>
      <c r="BV117" s="174"/>
      <c r="BW117" s="174"/>
      <c r="BX117" s="174"/>
    </row>
    <row r="118" spans="1:76" s="152" customFormat="1" ht="15" customHeight="1" x14ac:dyDescent="0.25">
      <c r="A118" s="152">
        <f t="shared" si="2"/>
        <v>1979</v>
      </c>
      <c r="B118" s="152" t="str">
        <f t="shared" si="3"/>
        <v>1979-80</v>
      </c>
      <c r="C118" s="153">
        <v>29192</v>
      </c>
      <c r="D118" s="169"/>
      <c r="E118" s="170"/>
      <c r="F118" s="170"/>
      <c r="G118" s="170"/>
      <c r="H118" s="170"/>
      <c r="I118" s="169">
        <v>412.41151794835497</v>
      </c>
      <c r="J118" s="169">
        <v>455.92096774189997</v>
      </c>
      <c r="K118" s="169"/>
      <c r="L118" s="170"/>
      <c r="M118" s="170"/>
      <c r="N118" s="170"/>
      <c r="O118" s="169"/>
      <c r="P118" s="169"/>
      <c r="Q118" s="169"/>
      <c r="R118" s="169"/>
      <c r="S118" s="169"/>
      <c r="T118" s="169"/>
      <c r="U118" s="170"/>
      <c r="V118" s="170"/>
      <c r="W118" s="170"/>
      <c r="X118" s="170"/>
      <c r="Y118" s="170"/>
      <c r="Z118" s="170"/>
      <c r="AA118" s="170"/>
      <c r="AB118" s="170"/>
      <c r="AC118" s="170"/>
      <c r="AD118" s="170"/>
      <c r="AE118" s="170"/>
      <c r="AF118" s="170"/>
      <c r="AG118" s="170"/>
      <c r="AH118" s="170"/>
      <c r="AI118" s="170"/>
      <c r="AJ118" s="170"/>
      <c r="AK118" s="170"/>
      <c r="AL118" s="171"/>
      <c r="AM118" s="170"/>
      <c r="AN118" s="172"/>
      <c r="AO118" s="170"/>
      <c r="AP118" s="170"/>
      <c r="AS118" s="167"/>
      <c r="AT118" s="1170"/>
      <c r="AU118" s="1171"/>
      <c r="AV118" s="1171"/>
      <c r="AW118" s="1172"/>
      <c r="AX118" s="1172"/>
      <c r="AY118" s="1172"/>
      <c r="AZ118" s="1172"/>
      <c r="BA118" s="1236" t="s">
        <v>61</v>
      </c>
      <c r="BB118" s="1237">
        <v>2015</v>
      </c>
      <c r="BC118" s="1236" t="s">
        <v>292</v>
      </c>
      <c r="BD118" s="1236"/>
      <c r="BE118" s="1238">
        <v>2516514207.7200007</v>
      </c>
      <c r="BF118" s="1239"/>
      <c r="BG118" s="1236"/>
      <c r="BH118" s="1236" t="s">
        <v>165</v>
      </c>
      <c r="BI118" s="1236" t="s">
        <v>307</v>
      </c>
      <c r="BJ118" s="1236" t="s">
        <v>300</v>
      </c>
      <c r="BK118" s="1236">
        <v>10</v>
      </c>
      <c r="BL118" s="1238">
        <v>67676068.400000006</v>
      </c>
      <c r="BM118" s="1239">
        <v>1.6976538065354367E-2</v>
      </c>
      <c r="BN118" s="1236">
        <v>2007</v>
      </c>
      <c r="BO118" s="174"/>
      <c r="BP118" s="174"/>
      <c r="BQ118" s="174"/>
      <c r="BR118" s="174"/>
      <c r="BS118" s="174"/>
      <c r="BT118" s="174"/>
      <c r="BU118" s="174"/>
      <c r="BV118" s="174"/>
      <c r="BW118" s="174"/>
      <c r="BX118" s="174"/>
    </row>
    <row r="119" spans="1:76" s="152" customFormat="1" ht="15" customHeight="1" x14ac:dyDescent="0.25">
      <c r="A119" s="152">
        <f t="shared" si="2"/>
        <v>1980</v>
      </c>
      <c r="B119" s="152" t="str">
        <f t="shared" si="3"/>
        <v>1979-80</v>
      </c>
      <c r="C119" s="153">
        <v>29221</v>
      </c>
      <c r="D119" s="154"/>
      <c r="E119" s="155"/>
      <c r="F119" s="155"/>
      <c r="G119" s="155"/>
      <c r="H119" s="155"/>
      <c r="I119" s="156">
        <v>612.49272669092556</v>
      </c>
      <c r="J119" s="156">
        <v>677.96818181820004</v>
      </c>
      <c r="K119" s="157"/>
      <c r="L119" s="158"/>
      <c r="M119" s="159"/>
      <c r="N119" s="159"/>
      <c r="O119" s="160"/>
      <c r="P119" s="160"/>
      <c r="Q119" s="160"/>
      <c r="R119" s="160"/>
      <c r="S119" s="160"/>
      <c r="T119" s="160"/>
      <c r="U119" s="161"/>
      <c r="V119" s="161"/>
      <c r="W119" s="161"/>
      <c r="X119" s="161"/>
      <c r="Y119" s="162"/>
      <c r="Z119" s="162"/>
      <c r="AA119" s="162"/>
      <c r="AB119" s="162"/>
      <c r="AC119" s="163"/>
      <c r="AD119" s="163"/>
      <c r="AE119" s="163"/>
      <c r="AF119" s="163"/>
      <c r="AG119" s="163"/>
      <c r="AH119" s="163"/>
      <c r="AI119" s="163"/>
      <c r="AJ119" s="163"/>
      <c r="AK119" s="164"/>
      <c r="AL119" s="165"/>
      <c r="AM119" s="164"/>
      <c r="AN119" s="166"/>
      <c r="AO119" s="164"/>
      <c r="AP119" s="164"/>
      <c r="AS119" s="167"/>
      <c r="AT119" s="1170"/>
      <c r="AU119" s="1171"/>
      <c r="AV119" s="1171"/>
      <c r="AW119" s="1172"/>
      <c r="AX119" s="1172"/>
      <c r="AY119" s="1172"/>
      <c r="AZ119" s="1172"/>
      <c r="BA119" s="1236" t="s">
        <v>61</v>
      </c>
      <c r="BB119" s="1237">
        <v>2014</v>
      </c>
      <c r="BC119" s="1236" t="s">
        <v>285</v>
      </c>
      <c r="BD119" s="1236">
        <v>1</v>
      </c>
      <c r="BE119" s="1238">
        <v>1096001602</v>
      </c>
      <c r="BF119" s="1239">
        <v>0.40100000000000002</v>
      </c>
      <c r="BG119" s="1236"/>
      <c r="BH119" s="1236" t="s">
        <v>165</v>
      </c>
      <c r="BI119" s="1236" t="s">
        <v>307</v>
      </c>
      <c r="BJ119" s="1236" t="s">
        <v>291</v>
      </c>
      <c r="BK119" s="1236"/>
      <c r="BL119" s="1238">
        <v>412463405.71999836</v>
      </c>
      <c r="BM119" s="1239">
        <v>0.10346642281854621</v>
      </c>
      <c r="BN119" s="1236">
        <v>2007</v>
      </c>
      <c r="BO119" s="174"/>
      <c r="BP119" s="174"/>
      <c r="BQ119" s="174"/>
      <c r="BR119" s="174"/>
      <c r="BS119" s="174"/>
      <c r="BT119" s="174"/>
      <c r="BU119" s="174"/>
      <c r="BV119" s="174"/>
      <c r="BW119" s="174"/>
      <c r="BX119" s="174"/>
    </row>
    <row r="120" spans="1:76" s="152" customFormat="1" ht="15" customHeight="1" x14ac:dyDescent="0.25">
      <c r="A120" s="152">
        <f t="shared" si="2"/>
        <v>1980</v>
      </c>
      <c r="B120" s="152" t="str">
        <f t="shared" si="3"/>
        <v>1979-80</v>
      </c>
      <c r="C120" s="153">
        <v>29252</v>
      </c>
      <c r="D120" s="169"/>
      <c r="E120" s="170"/>
      <c r="F120" s="170"/>
      <c r="G120" s="170"/>
      <c r="H120" s="170"/>
      <c r="I120" s="169">
        <v>604.62718869645448</v>
      </c>
      <c r="J120" s="169">
        <v>664.30357142859998</v>
      </c>
      <c r="K120" s="169"/>
      <c r="L120" s="170"/>
      <c r="M120" s="170"/>
      <c r="N120" s="170"/>
      <c r="O120" s="169"/>
      <c r="P120" s="169"/>
      <c r="Q120" s="169"/>
      <c r="R120" s="169"/>
      <c r="S120" s="169"/>
      <c r="T120" s="169"/>
      <c r="U120" s="170"/>
      <c r="V120" s="170"/>
      <c r="W120" s="170"/>
      <c r="X120" s="170"/>
      <c r="Y120" s="170"/>
      <c r="Z120" s="170"/>
      <c r="AA120" s="170"/>
      <c r="AB120" s="170"/>
      <c r="AC120" s="170"/>
      <c r="AD120" s="170"/>
      <c r="AE120" s="170"/>
      <c r="AF120" s="170"/>
      <c r="AG120" s="170"/>
      <c r="AH120" s="170"/>
      <c r="AI120" s="170"/>
      <c r="AJ120" s="170"/>
      <c r="AK120" s="170"/>
      <c r="AL120" s="171"/>
      <c r="AM120" s="170"/>
      <c r="AN120" s="172"/>
      <c r="AO120" s="170"/>
      <c r="AP120" s="170"/>
      <c r="AS120" s="167"/>
      <c r="AT120" s="1170"/>
      <c r="AU120" s="1171"/>
      <c r="AV120" s="1171"/>
      <c r="AW120" s="1172"/>
      <c r="AX120" s="1172"/>
      <c r="AY120" s="1172"/>
      <c r="AZ120" s="1172"/>
      <c r="BA120" s="1236" t="s">
        <v>61</v>
      </c>
      <c r="BB120" s="1237">
        <v>2014</v>
      </c>
      <c r="BC120" s="1236" t="s">
        <v>281</v>
      </c>
      <c r="BD120" s="1236">
        <v>2</v>
      </c>
      <c r="BE120" s="1238">
        <v>709117603</v>
      </c>
      <c r="BF120" s="1239">
        <v>0.26</v>
      </c>
      <c r="BG120" s="1236"/>
      <c r="BH120" s="1236" t="s">
        <v>165</v>
      </c>
      <c r="BI120" s="1236" t="s">
        <v>307</v>
      </c>
      <c r="BJ120" s="1236" t="s">
        <v>292</v>
      </c>
      <c r="BK120" s="1236"/>
      <c r="BL120" s="1238">
        <v>3986446950.4599991</v>
      </c>
      <c r="BM120" s="1239"/>
      <c r="BN120" s="1236">
        <v>2007</v>
      </c>
      <c r="BO120" s="174"/>
      <c r="BP120" s="174"/>
      <c r="BQ120" s="174"/>
      <c r="BR120" s="174"/>
      <c r="BS120" s="174"/>
      <c r="BT120" s="174"/>
      <c r="BU120" s="174"/>
      <c r="BV120" s="174"/>
      <c r="BW120" s="174"/>
      <c r="BX120" s="174"/>
    </row>
    <row r="121" spans="1:76" s="152" customFormat="1" ht="15" customHeight="1" x14ac:dyDescent="0.25">
      <c r="A121" s="152">
        <f t="shared" si="2"/>
        <v>1980</v>
      </c>
      <c r="B121" s="152" t="str">
        <f t="shared" si="3"/>
        <v>1979-80</v>
      </c>
      <c r="C121" s="153">
        <v>29283</v>
      </c>
      <c r="D121" s="154"/>
      <c r="E121" s="155"/>
      <c r="F121" s="155"/>
      <c r="G121" s="155"/>
      <c r="H121" s="155"/>
      <c r="I121" s="156">
        <v>508.3766492237919</v>
      </c>
      <c r="J121" s="156">
        <v>550.62261904759998</v>
      </c>
      <c r="K121" s="157"/>
      <c r="L121" s="158"/>
      <c r="M121" s="159"/>
      <c r="N121" s="159"/>
      <c r="O121" s="160"/>
      <c r="P121" s="160"/>
      <c r="Q121" s="160"/>
      <c r="R121" s="160"/>
      <c r="S121" s="160"/>
      <c r="T121" s="160"/>
      <c r="U121" s="161"/>
      <c r="V121" s="161"/>
      <c r="W121" s="161"/>
      <c r="X121" s="161"/>
      <c r="Y121" s="162"/>
      <c r="Z121" s="162"/>
      <c r="AA121" s="162"/>
      <c r="AB121" s="162"/>
      <c r="AC121" s="163"/>
      <c r="AD121" s="163"/>
      <c r="AE121" s="163"/>
      <c r="AF121" s="163"/>
      <c r="AG121" s="163"/>
      <c r="AH121" s="163"/>
      <c r="AI121" s="163"/>
      <c r="AJ121" s="163"/>
      <c r="AK121" s="164"/>
      <c r="AL121" s="165"/>
      <c r="AM121" s="164"/>
      <c r="AN121" s="166"/>
      <c r="AO121" s="164"/>
      <c r="AP121" s="164"/>
      <c r="AS121" s="167"/>
      <c r="AT121" s="1170"/>
      <c r="AU121" s="1171"/>
      <c r="AV121" s="1171"/>
      <c r="AW121" s="1172"/>
      <c r="AX121" s="1172"/>
      <c r="AY121" s="1172"/>
      <c r="AZ121" s="1172"/>
      <c r="BA121" s="1236" t="s">
        <v>61</v>
      </c>
      <c r="BB121" s="1237">
        <v>2014</v>
      </c>
      <c r="BC121" s="1236" t="s">
        <v>308</v>
      </c>
      <c r="BD121" s="1236">
        <v>3</v>
      </c>
      <c r="BE121" s="1238">
        <v>210725419</v>
      </c>
      <c r="BF121" s="1239">
        <v>7.6999999999999999E-2</v>
      </c>
      <c r="BG121" s="1236"/>
      <c r="BH121" s="1236" t="s">
        <v>165</v>
      </c>
      <c r="BI121" s="1236" t="s">
        <v>313</v>
      </c>
      <c r="BJ121" s="1236" t="s">
        <v>281</v>
      </c>
      <c r="BK121" s="1236">
        <v>1</v>
      </c>
      <c r="BL121" s="1238">
        <v>972318685.42252743</v>
      </c>
      <c r="BM121" s="1239">
        <v>0.20867483729336431</v>
      </c>
      <c r="BN121" s="1236">
        <v>2006</v>
      </c>
      <c r="BO121" s="174"/>
      <c r="BP121" s="174"/>
      <c r="BQ121" s="174"/>
      <c r="BR121" s="174"/>
      <c r="BS121" s="174"/>
      <c r="BT121" s="174"/>
      <c r="BU121" s="174"/>
      <c r="BV121" s="174"/>
      <c r="BW121" s="174"/>
      <c r="BX121" s="174"/>
    </row>
    <row r="122" spans="1:76" s="152" customFormat="1" ht="15" customHeight="1" x14ac:dyDescent="0.25">
      <c r="A122" s="152">
        <f t="shared" si="2"/>
        <v>1980</v>
      </c>
      <c r="B122" s="152" t="str">
        <f t="shared" si="3"/>
        <v>1979-80</v>
      </c>
      <c r="C122" s="153">
        <v>29312</v>
      </c>
      <c r="D122" s="169"/>
      <c r="E122" s="170"/>
      <c r="F122" s="170"/>
      <c r="G122" s="170"/>
      <c r="H122" s="170"/>
      <c r="I122" s="169">
        <v>463.81543311750005</v>
      </c>
      <c r="J122" s="169">
        <v>516.92250000000001</v>
      </c>
      <c r="K122" s="169"/>
      <c r="L122" s="170"/>
      <c r="M122" s="170"/>
      <c r="N122" s="170"/>
      <c r="O122" s="169"/>
      <c r="P122" s="169"/>
      <c r="Q122" s="169"/>
      <c r="R122" s="169"/>
      <c r="S122" s="169"/>
      <c r="T122" s="169"/>
      <c r="U122" s="170"/>
      <c r="V122" s="170"/>
      <c r="W122" s="170"/>
      <c r="X122" s="170"/>
      <c r="Y122" s="170"/>
      <c r="Z122" s="170"/>
      <c r="AA122" s="170"/>
      <c r="AB122" s="170"/>
      <c r="AC122" s="170"/>
      <c r="AD122" s="170"/>
      <c r="AE122" s="170"/>
      <c r="AF122" s="170"/>
      <c r="AG122" s="170"/>
      <c r="AH122" s="170"/>
      <c r="AI122" s="170"/>
      <c r="AJ122" s="170"/>
      <c r="AK122" s="170"/>
      <c r="AL122" s="171"/>
      <c r="AM122" s="170"/>
      <c r="AN122" s="172"/>
      <c r="AO122" s="170"/>
      <c r="AP122" s="170"/>
      <c r="AS122" s="167"/>
      <c r="AT122" s="1170"/>
      <c r="AU122" s="1171"/>
      <c r="AV122" s="1171"/>
      <c r="AW122" s="1172"/>
      <c r="AX122" s="1172"/>
      <c r="AY122" s="1172"/>
      <c r="AZ122" s="1172"/>
      <c r="BA122" s="1236" t="s">
        <v>61</v>
      </c>
      <c r="BB122" s="1237">
        <v>2014</v>
      </c>
      <c r="BC122" s="1236" t="s">
        <v>306</v>
      </c>
      <c r="BD122" s="1236">
        <v>4</v>
      </c>
      <c r="BE122" s="1238">
        <v>207192692</v>
      </c>
      <c r="BF122" s="1239">
        <v>7.5999999999999998E-2</v>
      </c>
      <c r="BG122" s="1236"/>
      <c r="BH122" s="1236" t="s">
        <v>165</v>
      </c>
      <c r="BI122" s="1236" t="s">
        <v>313</v>
      </c>
      <c r="BJ122" s="1236" t="s">
        <v>282</v>
      </c>
      <c r="BK122" s="1236">
        <v>2</v>
      </c>
      <c r="BL122" s="1238">
        <v>814615092.74104667</v>
      </c>
      <c r="BM122" s="1239">
        <v>0.17482917327726419</v>
      </c>
      <c r="BN122" s="1236">
        <v>2006</v>
      </c>
      <c r="BO122" s="174"/>
      <c r="BP122" s="174"/>
      <c r="BQ122" s="174"/>
      <c r="BR122" s="174"/>
      <c r="BS122" s="174"/>
      <c r="BT122" s="174"/>
      <c r="BU122" s="174"/>
      <c r="BV122" s="174"/>
      <c r="BW122" s="174"/>
      <c r="BX122" s="174"/>
    </row>
    <row r="123" spans="1:76" s="152" customFormat="1" ht="15" customHeight="1" x14ac:dyDescent="0.25">
      <c r="A123" s="152">
        <f t="shared" si="2"/>
        <v>1980</v>
      </c>
      <c r="B123" s="152" t="str">
        <f t="shared" si="3"/>
        <v>1979-80</v>
      </c>
      <c r="C123" s="153">
        <v>29342</v>
      </c>
      <c r="D123" s="154"/>
      <c r="E123" s="155"/>
      <c r="F123" s="155"/>
      <c r="G123" s="155"/>
      <c r="H123" s="155"/>
      <c r="I123" s="156">
        <v>451.25813717749998</v>
      </c>
      <c r="J123" s="156">
        <v>515.60749999999996</v>
      </c>
      <c r="K123" s="157"/>
      <c r="L123" s="158"/>
      <c r="M123" s="159"/>
      <c r="N123" s="159"/>
      <c r="O123" s="160"/>
      <c r="P123" s="160"/>
      <c r="Q123" s="160"/>
      <c r="R123" s="160"/>
      <c r="S123" s="160"/>
      <c r="T123" s="160"/>
      <c r="U123" s="161"/>
      <c r="V123" s="161"/>
      <c r="W123" s="161"/>
      <c r="X123" s="161"/>
      <c r="Y123" s="162"/>
      <c r="Z123" s="162"/>
      <c r="AA123" s="162"/>
      <c r="AB123" s="162"/>
      <c r="AC123" s="163"/>
      <c r="AD123" s="163"/>
      <c r="AE123" s="163"/>
      <c r="AF123" s="163"/>
      <c r="AG123" s="163"/>
      <c r="AH123" s="163"/>
      <c r="AI123" s="163"/>
      <c r="AJ123" s="163"/>
      <c r="AK123" s="164"/>
      <c r="AL123" s="165"/>
      <c r="AM123" s="164"/>
      <c r="AN123" s="166"/>
      <c r="AO123" s="164"/>
      <c r="AP123" s="164"/>
      <c r="AS123" s="167"/>
      <c r="AT123" s="1170"/>
      <c r="AU123" s="1171"/>
      <c r="AV123" s="1171"/>
      <c r="AW123" s="1172"/>
      <c r="AX123" s="1172"/>
      <c r="AY123" s="1172"/>
      <c r="AZ123" s="1172"/>
      <c r="BA123" s="1236" t="s">
        <v>61</v>
      </c>
      <c r="BB123" s="1237">
        <v>2014</v>
      </c>
      <c r="BC123" s="1236" t="s">
        <v>286</v>
      </c>
      <c r="BD123" s="1236">
        <v>5</v>
      </c>
      <c r="BE123" s="1238">
        <v>148313983</v>
      </c>
      <c r="BF123" s="1239">
        <v>5.3999999999999999E-2</v>
      </c>
      <c r="BG123" s="1236"/>
      <c r="BH123" s="1236" t="s">
        <v>165</v>
      </c>
      <c r="BI123" s="1236" t="s">
        <v>313</v>
      </c>
      <c r="BJ123" s="1236" t="s">
        <v>283</v>
      </c>
      <c r="BK123" s="1236">
        <v>3</v>
      </c>
      <c r="BL123" s="1238">
        <v>788187594.20796895</v>
      </c>
      <c r="BM123" s="1239">
        <v>0.16915741766962189</v>
      </c>
      <c r="BN123" s="1236">
        <v>2006</v>
      </c>
      <c r="BO123" s="174"/>
      <c r="BP123" s="174"/>
      <c r="BQ123" s="174"/>
      <c r="BR123" s="174"/>
      <c r="BS123" s="174"/>
      <c r="BT123" s="174"/>
      <c r="BU123" s="174"/>
      <c r="BV123" s="174"/>
      <c r="BW123" s="174"/>
      <c r="BX123" s="174"/>
    </row>
    <row r="124" spans="1:76" s="152" customFormat="1" ht="15" customHeight="1" x14ac:dyDescent="0.25">
      <c r="A124" s="152">
        <f t="shared" si="2"/>
        <v>1980</v>
      </c>
      <c r="B124" s="152" t="str">
        <f t="shared" si="3"/>
        <v>1979-80</v>
      </c>
      <c r="C124" s="153">
        <v>29374</v>
      </c>
      <c r="D124" s="169"/>
      <c r="E124" s="170"/>
      <c r="F124" s="170"/>
      <c r="G124" s="170"/>
      <c r="H124" s="170"/>
      <c r="I124" s="169">
        <v>520.95864479999591</v>
      </c>
      <c r="J124" s="169">
        <v>603.0619047619</v>
      </c>
      <c r="K124" s="169"/>
      <c r="L124" s="170"/>
      <c r="M124" s="170"/>
      <c r="N124" s="170"/>
      <c r="O124" s="169"/>
      <c r="P124" s="169"/>
      <c r="Q124" s="169"/>
      <c r="R124" s="169"/>
      <c r="S124" s="169"/>
      <c r="T124" s="169"/>
      <c r="U124" s="170"/>
      <c r="V124" s="170"/>
      <c r="W124" s="170"/>
      <c r="X124" s="170"/>
      <c r="Y124" s="170"/>
      <c r="Z124" s="170"/>
      <c r="AA124" s="170"/>
      <c r="AB124" s="170"/>
      <c r="AC124" s="170"/>
      <c r="AD124" s="170"/>
      <c r="AE124" s="170"/>
      <c r="AF124" s="170"/>
      <c r="AG124" s="170"/>
      <c r="AH124" s="170"/>
      <c r="AI124" s="170"/>
      <c r="AJ124" s="170"/>
      <c r="AK124" s="170"/>
      <c r="AL124" s="171"/>
      <c r="AM124" s="170"/>
      <c r="AN124" s="172"/>
      <c r="AO124" s="170"/>
      <c r="AP124" s="170"/>
      <c r="AS124" s="167"/>
      <c r="AT124" s="1170"/>
      <c r="AU124" s="1171"/>
      <c r="AV124" s="1171"/>
      <c r="AW124" s="1172"/>
      <c r="AX124" s="1172"/>
      <c r="AY124" s="1172"/>
      <c r="AZ124" s="1172"/>
      <c r="BA124" s="1236" t="s">
        <v>61</v>
      </c>
      <c r="BB124" s="1237">
        <v>2014</v>
      </c>
      <c r="BC124" s="1236" t="s">
        <v>312</v>
      </c>
      <c r="BD124" s="1236">
        <v>6</v>
      </c>
      <c r="BE124" s="1238">
        <v>90219485</v>
      </c>
      <c r="BF124" s="1239">
        <v>3.3000000000000002E-2</v>
      </c>
      <c r="BG124" s="1236"/>
      <c r="BH124" s="1236" t="s">
        <v>165</v>
      </c>
      <c r="BI124" s="1236" t="s">
        <v>313</v>
      </c>
      <c r="BJ124" s="1236" t="s">
        <v>279</v>
      </c>
      <c r="BK124" s="1236">
        <v>4</v>
      </c>
      <c r="BL124" s="1238">
        <v>696850905.82959712</v>
      </c>
      <c r="BM124" s="1239">
        <v>0.14955513204863852</v>
      </c>
      <c r="BN124" s="1236">
        <v>2006</v>
      </c>
      <c r="BO124" s="174"/>
      <c r="BP124" s="174"/>
      <c r="BQ124" s="174"/>
      <c r="BR124" s="174"/>
      <c r="BS124" s="174"/>
      <c r="BT124" s="174"/>
      <c r="BU124" s="174"/>
      <c r="BV124" s="174"/>
      <c r="BW124" s="174"/>
      <c r="BX124" s="174"/>
    </row>
    <row r="125" spans="1:76" s="152" customFormat="1" ht="15" customHeight="1" x14ac:dyDescent="0.25">
      <c r="A125" s="152">
        <f t="shared" si="2"/>
        <v>1980</v>
      </c>
      <c r="B125" s="152" t="str">
        <f t="shared" si="3"/>
        <v>1980-81</v>
      </c>
      <c r="C125" s="153">
        <v>29403</v>
      </c>
      <c r="D125" s="154"/>
      <c r="E125" s="155"/>
      <c r="F125" s="155"/>
      <c r="G125" s="155"/>
      <c r="H125" s="155"/>
      <c r="I125" s="156">
        <v>558.31371132606057</v>
      </c>
      <c r="J125" s="156">
        <v>643.45652173910003</v>
      </c>
      <c r="K125" s="157"/>
      <c r="L125" s="158"/>
      <c r="M125" s="159"/>
      <c r="N125" s="159"/>
      <c r="O125" s="160"/>
      <c r="P125" s="160"/>
      <c r="Q125" s="160"/>
      <c r="R125" s="160"/>
      <c r="S125" s="160"/>
      <c r="T125" s="160"/>
      <c r="U125" s="161"/>
      <c r="V125" s="161"/>
      <c r="W125" s="161"/>
      <c r="X125" s="161"/>
      <c r="Y125" s="162"/>
      <c r="Z125" s="162"/>
      <c r="AA125" s="162"/>
      <c r="AB125" s="162"/>
      <c r="AC125" s="163"/>
      <c r="AD125" s="163"/>
      <c r="AE125" s="163"/>
      <c r="AF125" s="163"/>
      <c r="AG125" s="163"/>
      <c r="AH125" s="163"/>
      <c r="AI125" s="163"/>
      <c r="AJ125" s="163"/>
      <c r="AK125" s="164"/>
      <c r="AL125" s="165"/>
      <c r="AM125" s="164"/>
      <c r="AN125" s="166"/>
      <c r="AO125" s="164"/>
      <c r="AP125" s="164"/>
      <c r="AS125" s="167"/>
      <c r="AT125" s="1170"/>
      <c r="AU125" s="1171"/>
      <c r="AV125" s="1171"/>
      <c r="AW125" s="1172"/>
      <c r="AX125" s="1172"/>
      <c r="AY125" s="1172"/>
      <c r="AZ125" s="1172"/>
      <c r="BA125" s="1236" t="s">
        <v>61</v>
      </c>
      <c r="BB125" s="1237">
        <v>2014</v>
      </c>
      <c r="BC125" s="1236" t="s">
        <v>287</v>
      </c>
      <c r="BD125" s="1236">
        <v>7</v>
      </c>
      <c r="BE125" s="1238">
        <v>42107114</v>
      </c>
      <c r="BF125" s="1239">
        <v>1.4999999999999999E-2</v>
      </c>
      <c r="BG125" s="1236"/>
      <c r="BH125" s="1236" t="s">
        <v>165</v>
      </c>
      <c r="BI125" s="1236" t="s">
        <v>313</v>
      </c>
      <c r="BJ125" s="1236" t="s">
        <v>284</v>
      </c>
      <c r="BK125" s="1236">
        <v>5</v>
      </c>
      <c r="BL125" s="1238">
        <v>366243674.89516747</v>
      </c>
      <c r="BM125" s="1239">
        <v>7.8601635877501977E-2</v>
      </c>
      <c r="BN125" s="1236">
        <v>2006</v>
      </c>
      <c r="BO125" s="174"/>
      <c r="BP125" s="174"/>
      <c r="BQ125" s="174"/>
      <c r="BR125" s="174"/>
      <c r="BS125" s="174"/>
      <c r="BT125" s="174"/>
      <c r="BU125" s="174"/>
      <c r="BV125" s="174"/>
      <c r="BW125" s="174"/>
      <c r="BX125" s="174"/>
    </row>
    <row r="126" spans="1:76" s="152" customFormat="1" ht="15" customHeight="1" x14ac:dyDescent="0.25">
      <c r="A126" s="152">
        <f t="shared" si="2"/>
        <v>1980</v>
      </c>
      <c r="B126" s="152" t="str">
        <f t="shared" si="3"/>
        <v>1980-81</v>
      </c>
      <c r="C126" s="153">
        <v>29434</v>
      </c>
      <c r="D126" s="169"/>
      <c r="E126" s="170"/>
      <c r="F126" s="170"/>
      <c r="G126" s="170"/>
      <c r="H126" s="170"/>
      <c r="I126" s="169">
        <v>538.19154841374996</v>
      </c>
      <c r="J126" s="169">
        <v>627.31624999999997</v>
      </c>
      <c r="K126" s="169"/>
      <c r="L126" s="170"/>
      <c r="M126" s="170"/>
      <c r="N126" s="170"/>
      <c r="O126" s="169"/>
      <c r="P126" s="169"/>
      <c r="Q126" s="169"/>
      <c r="R126" s="169"/>
      <c r="S126" s="169"/>
      <c r="T126" s="169"/>
      <c r="U126" s="170"/>
      <c r="V126" s="170"/>
      <c r="W126" s="170"/>
      <c r="X126" s="170"/>
      <c r="Y126" s="170"/>
      <c r="Z126" s="170"/>
      <c r="AA126" s="170"/>
      <c r="AB126" s="170"/>
      <c r="AC126" s="170"/>
      <c r="AD126" s="170"/>
      <c r="AE126" s="170"/>
      <c r="AF126" s="170"/>
      <c r="AG126" s="170"/>
      <c r="AH126" s="170"/>
      <c r="AI126" s="170"/>
      <c r="AJ126" s="170"/>
      <c r="AK126" s="170"/>
      <c r="AL126" s="171"/>
      <c r="AM126" s="170"/>
      <c r="AN126" s="172"/>
      <c r="AO126" s="170"/>
      <c r="AP126" s="170"/>
      <c r="AS126" s="167"/>
      <c r="AT126" s="1170"/>
      <c r="AU126" s="1171"/>
      <c r="AV126" s="1171"/>
      <c r="AW126" s="1172"/>
      <c r="AX126" s="1172"/>
      <c r="AY126" s="1172"/>
      <c r="AZ126" s="1172"/>
      <c r="BA126" s="1236" t="s">
        <v>61</v>
      </c>
      <c r="BB126" s="1237">
        <v>2014</v>
      </c>
      <c r="BC126" s="1236" t="s">
        <v>314</v>
      </c>
      <c r="BD126" s="1236">
        <v>8</v>
      </c>
      <c r="BE126" s="1238">
        <v>39907818</v>
      </c>
      <c r="BF126" s="1239">
        <v>1.4999999999999999E-2</v>
      </c>
      <c r="BG126" s="1236"/>
      <c r="BH126" s="1236" t="s">
        <v>165</v>
      </c>
      <c r="BI126" s="1236" t="s">
        <v>313</v>
      </c>
      <c r="BJ126" s="1236" t="s">
        <v>305</v>
      </c>
      <c r="BK126" s="1236">
        <v>6</v>
      </c>
      <c r="BL126" s="1238">
        <v>333546279.11351848</v>
      </c>
      <c r="BM126" s="1239">
        <v>7.1584261999011398E-2</v>
      </c>
      <c r="BN126" s="1236">
        <v>2006</v>
      </c>
      <c r="BO126" s="174"/>
      <c r="BP126" s="174"/>
      <c r="BQ126" s="174"/>
      <c r="BR126" s="174"/>
      <c r="BS126" s="174"/>
      <c r="BT126" s="174"/>
      <c r="BU126" s="174"/>
      <c r="BV126" s="174"/>
      <c r="BW126" s="174"/>
      <c r="BX126" s="174"/>
    </row>
    <row r="127" spans="1:76" s="152" customFormat="1" ht="15" customHeight="1" x14ac:dyDescent="0.25">
      <c r="A127" s="152">
        <f t="shared" si="2"/>
        <v>1980</v>
      </c>
      <c r="B127" s="152" t="str">
        <f t="shared" si="3"/>
        <v>1980-81</v>
      </c>
      <c r="C127" s="153">
        <v>29465</v>
      </c>
      <c r="D127" s="154"/>
      <c r="E127" s="155"/>
      <c r="F127" s="155"/>
      <c r="G127" s="155"/>
      <c r="H127" s="155"/>
      <c r="I127" s="156">
        <v>577.27564813634024</v>
      </c>
      <c r="J127" s="156">
        <v>674.83522727269997</v>
      </c>
      <c r="K127" s="157"/>
      <c r="L127" s="158"/>
      <c r="M127" s="159"/>
      <c r="N127" s="159"/>
      <c r="O127" s="160"/>
      <c r="P127" s="160"/>
      <c r="Q127" s="160"/>
      <c r="R127" s="160"/>
      <c r="S127" s="160"/>
      <c r="T127" s="160"/>
      <c r="U127" s="161"/>
      <c r="V127" s="161"/>
      <c r="W127" s="161"/>
      <c r="X127" s="161"/>
      <c r="Y127" s="162"/>
      <c r="Z127" s="162"/>
      <c r="AA127" s="162"/>
      <c r="AB127" s="162"/>
      <c r="AC127" s="163"/>
      <c r="AD127" s="163"/>
      <c r="AE127" s="163"/>
      <c r="AF127" s="163"/>
      <c r="AG127" s="163"/>
      <c r="AH127" s="163"/>
      <c r="AI127" s="163"/>
      <c r="AJ127" s="163"/>
      <c r="AK127" s="164"/>
      <c r="AL127" s="165"/>
      <c r="AM127" s="164"/>
      <c r="AN127" s="166"/>
      <c r="AO127" s="164"/>
      <c r="AP127" s="164"/>
      <c r="AS127" s="167"/>
      <c r="AT127" s="1170"/>
      <c r="AU127" s="1171"/>
      <c r="AV127" s="1171"/>
      <c r="AW127" s="1172"/>
      <c r="AX127" s="1172"/>
      <c r="AY127" s="1172"/>
      <c r="AZ127" s="1172"/>
      <c r="BA127" s="1236" t="s">
        <v>61</v>
      </c>
      <c r="BB127" s="1237">
        <v>2014</v>
      </c>
      <c r="BC127" s="1236" t="s">
        <v>310</v>
      </c>
      <c r="BD127" s="1236">
        <v>9</v>
      </c>
      <c r="BE127" s="1238">
        <v>31763987</v>
      </c>
      <c r="BF127" s="1239">
        <v>1.2E-2</v>
      </c>
      <c r="BG127" s="1236"/>
      <c r="BH127" s="1236" t="s">
        <v>165</v>
      </c>
      <c r="BI127" s="1236" t="s">
        <v>313</v>
      </c>
      <c r="BJ127" s="1236" t="s">
        <v>298</v>
      </c>
      <c r="BK127" s="1236">
        <v>7</v>
      </c>
      <c r="BL127" s="1238">
        <v>262105789.13041076</v>
      </c>
      <c r="BM127" s="1239">
        <v>5.6252012555604955E-2</v>
      </c>
      <c r="BN127" s="1236">
        <v>2006</v>
      </c>
      <c r="BO127" s="174"/>
      <c r="BP127" s="174"/>
      <c r="BQ127" s="174"/>
      <c r="BR127" s="174"/>
      <c r="BS127" s="174"/>
      <c r="BT127" s="174"/>
      <c r="BU127" s="174"/>
      <c r="BV127" s="174"/>
      <c r="BW127" s="174"/>
      <c r="BX127" s="174"/>
    </row>
    <row r="128" spans="1:76" s="152" customFormat="1" ht="15" customHeight="1" x14ac:dyDescent="0.25">
      <c r="A128" s="152">
        <f t="shared" si="2"/>
        <v>1980</v>
      </c>
      <c r="B128" s="152" t="str">
        <f t="shared" si="3"/>
        <v>1980-81</v>
      </c>
      <c r="C128" s="153">
        <v>29495</v>
      </c>
      <c r="D128" s="169"/>
      <c r="E128" s="170"/>
      <c r="F128" s="170"/>
      <c r="G128" s="170"/>
      <c r="H128" s="170"/>
      <c r="I128" s="169">
        <v>563.06145364781491</v>
      </c>
      <c r="J128" s="169">
        <v>660.2456521739</v>
      </c>
      <c r="K128" s="169"/>
      <c r="L128" s="170"/>
      <c r="M128" s="170"/>
      <c r="N128" s="170"/>
      <c r="O128" s="169"/>
      <c r="P128" s="169"/>
      <c r="Q128" s="169"/>
      <c r="R128" s="169"/>
      <c r="S128" s="169"/>
      <c r="T128" s="169"/>
      <c r="U128" s="170"/>
      <c r="V128" s="170"/>
      <c r="W128" s="170"/>
      <c r="X128" s="170"/>
      <c r="Y128" s="170"/>
      <c r="Z128" s="170"/>
      <c r="AA128" s="170"/>
      <c r="AB128" s="170"/>
      <c r="AC128" s="170"/>
      <c r="AD128" s="170"/>
      <c r="AE128" s="170"/>
      <c r="AF128" s="170"/>
      <c r="AG128" s="170"/>
      <c r="AH128" s="170"/>
      <c r="AI128" s="170"/>
      <c r="AJ128" s="170"/>
      <c r="AK128" s="170"/>
      <c r="AL128" s="171"/>
      <c r="AM128" s="170"/>
      <c r="AN128" s="172"/>
      <c r="AO128" s="170"/>
      <c r="AP128" s="170"/>
      <c r="AS128" s="167"/>
      <c r="AT128" s="1170"/>
      <c r="AU128" s="1171"/>
      <c r="AV128" s="1171"/>
      <c r="AW128" s="1172"/>
      <c r="AX128" s="1172"/>
      <c r="AY128" s="1172"/>
      <c r="AZ128" s="1172"/>
      <c r="BA128" s="1236" t="s">
        <v>61</v>
      </c>
      <c r="BB128" s="1237">
        <v>2014</v>
      </c>
      <c r="BC128" s="1236" t="s">
        <v>315</v>
      </c>
      <c r="BD128" s="1236">
        <v>10</v>
      </c>
      <c r="BE128" s="1238">
        <v>28976692</v>
      </c>
      <c r="BF128" s="1239">
        <v>1.0999999999999999E-2</v>
      </c>
      <c r="BG128" s="1236"/>
      <c r="BH128" s="1236" t="s">
        <v>165</v>
      </c>
      <c r="BI128" s="1236" t="s">
        <v>313</v>
      </c>
      <c r="BJ128" s="1236" t="s">
        <v>299</v>
      </c>
      <c r="BK128" s="1236">
        <v>8</v>
      </c>
      <c r="BL128" s="1238">
        <v>104447621.62512727</v>
      </c>
      <c r="BM128" s="1239">
        <v>2.2416097494651042E-2</v>
      </c>
      <c r="BN128" s="1236">
        <v>2006</v>
      </c>
      <c r="BO128" s="174"/>
      <c r="BP128" s="174"/>
      <c r="BQ128" s="174"/>
      <c r="BR128" s="174"/>
      <c r="BS128" s="174"/>
      <c r="BT128" s="174"/>
      <c r="BU128" s="174"/>
      <c r="BV128" s="174"/>
      <c r="BW128" s="174"/>
      <c r="BX128" s="174"/>
    </row>
    <row r="129" spans="1:76" s="152" customFormat="1" ht="15" customHeight="1" x14ac:dyDescent="0.25">
      <c r="A129" s="152">
        <f t="shared" si="2"/>
        <v>1980</v>
      </c>
      <c r="B129" s="152" t="str">
        <f t="shared" si="3"/>
        <v>1980-81</v>
      </c>
      <c r="C129" s="153">
        <v>29528</v>
      </c>
      <c r="D129" s="154"/>
      <c r="E129" s="155"/>
      <c r="F129" s="155"/>
      <c r="G129" s="155"/>
      <c r="H129" s="155"/>
      <c r="I129" s="156">
        <v>535.36449262500003</v>
      </c>
      <c r="J129" s="156">
        <v>623.32500000000005</v>
      </c>
      <c r="K129" s="157"/>
      <c r="L129" s="158"/>
      <c r="M129" s="159"/>
      <c r="N129" s="159"/>
      <c r="O129" s="160"/>
      <c r="P129" s="160"/>
      <c r="Q129" s="160"/>
      <c r="R129" s="160"/>
      <c r="S129" s="160"/>
      <c r="T129" s="160"/>
      <c r="U129" s="161"/>
      <c r="V129" s="161"/>
      <c r="W129" s="161"/>
      <c r="X129" s="161"/>
      <c r="Y129" s="162"/>
      <c r="Z129" s="162"/>
      <c r="AA129" s="162"/>
      <c r="AB129" s="162"/>
      <c r="AC129" s="163"/>
      <c r="AD129" s="163"/>
      <c r="AE129" s="163"/>
      <c r="AF129" s="163"/>
      <c r="AG129" s="163"/>
      <c r="AH129" s="163"/>
      <c r="AI129" s="163"/>
      <c r="AJ129" s="163"/>
      <c r="AK129" s="164"/>
      <c r="AL129" s="165"/>
      <c r="AM129" s="164"/>
      <c r="AN129" s="166"/>
      <c r="AO129" s="164"/>
      <c r="AP129" s="164"/>
      <c r="AS129" s="167"/>
      <c r="AT129" s="1170"/>
      <c r="AU129" s="1171"/>
      <c r="AV129" s="1171"/>
      <c r="AW129" s="1172"/>
      <c r="AX129" s="1172"/>
      <c r="AY129" s="1172"/>
      <c r="AZ129" s="1172"/>
      <c r="BA129" s="1236" t="s">
        <v>61</v>
      </c>
      <c r="BB129" s="1237">
        <v>2014</v>
      </c>
      <c r="BC129" s="1236" t="s">
        <v>291</v>
      </c>
      <c r="BD129" s="1236"/>
      <c r="BE129" s="1238">
        <v>125789184</v>
      </c>
      <c r="BF129" s="1239">
        <v>4.5999999999999999E-2</v>
      </c>
      <c r="BG129" s="1236"/>
      <c r="BH129" s="1236" t="s">
        <v>165</v>
      </c>
      <c r="BI129" s="1236" t="s">
        <v>313</v>
      </c>
      <c r="BJ129" s="1236" t="s">
        <v>300</v>
      </c>
      <c r="BK129" s="1236">
        <v>9</v>
      </c>
      <c r="BL129" s="1238">
        <v>94678195.61666666</v>
      </c>
      <c r="BM129" s="1239">
        <v>2.0319425474119853E-2</v>
      </c>
      <c r="BN129" s="1236">
        <v>2006</v>
      </c>
      <c r="BO129" s="174"/>
      <c r="BP129" s="174"/>
      <c r="BQ129" s="174"/>
      <c r="BR129" s="174"/>
      <c r="BS129" s="174"/>
      <c r="BT129" s="174"/>
      <c r="BU129" s="174"/>
      <c r="BV129" s="174"/>
      <c r="BW129" s="174"/>
      <c r="BX129" s="174"/>
    </row>
    <row r="130" spans="1:76" s="152" customFormat="1" ht="15" customHeight="1" x14ac:dyDescent="0.25">
      <c r="A130" s="152">
        <f t="shared" si="2"/>
        <v>1980</v>
      </c>
      <c r="B130" s="152" t="str">
        <f t="shared" si="3"/>
        <v>1980-81</v>
      </c>
      <c r="C130" s="153">
        <v>29556</v>
      </c>
      <c r="D130" s="169"/>
      <c r="E130" s="170"/>
      <c r="F130" s="170"/>
      <c r="G130" s="170"/>
      <c r="H130" s="170"/>
      <c r="I130" s="169">
        <v>502.95392594591385</v>
      </c>
      <c r="J130" s="169">
        <v>593.83783783779995</v>
      </c>
      <c r="K130" s="169"/>
      <c r="L130" s="170"/>
      <c r="M130" s="170"/>
      <c r="N130" s="170"/>
      <c r="O130" s="169"/>
      <c r="P130" s="169"/>
      <c r="Q130" s="169"/>
      <c r="R130" s="169"/>
      <c r="S130" s="169"/>
      <c r="T130" s="169"/>
      <c r="U130" s="170"/>
      <c r="V130" s="170"/>
      <c r="W130" s="170"/>
      <c r="X130" s="170"/>
      <c r="Y130" s="170"/>
      <c r="Z130" s="170"/>
      <c r="AA130" s="170"/>
      <c r="AB130" s="170"/>
      <c r="AC130" s="170"/>
      <c r="AD130" s="170"/>
      <c r="AE130" s="170"/>
      <c r="AF130" s="170"/>
      <c r="AG130" s="170"/>
      <c r="AH130" s="170"/>
      <c r="AI130" s="170"/>
      <c r="AJ130" s="170"/>
      <c r="AK130" s="170"/>
      <c r="AL130" s="171"/>
      <c r="AM130" s="170"/>
      <c r="AN130" s="172"/>
      <c r="AO130" s="170"/>
      <c r="AP130" s="170"/>
      <c r="AS130" s="167"/>
      <c r="AT130" s="1170"/>
      <c r="AU130" s="1171"/>
      <c r="AV130" s="1171"/>
      <c r="AW130" s="1172"/>
      <c r="AX130" s="1172"/>
      <c r="AY130" s="1172"/>
      <c r="AZ130" s="1172"/>
      <c r="BA130" s="1236" t="s">
        <v>61</v>
      </c>
      <c r="BB130" s="1237">
        <v>2014</v>
      </c>
      <c r="BC130" s="1236" t="s">
        <v>292</v>
      </c>
      <c r="BD130" s="1236"/>
      <c r="BE130" s="1238">
        <v>2730115579</v>
      </c>
      <c r="BF130" s="1239"/>
      <c r="BG130" s="1236"/>
      <c r="BH130" s="1236" t="s">
        <v>165</v>
      </c>
      <c r="BI130" s="1236" t="s">
        <v>313</v>
      </c>
      <c r="BJ130" s="1236" t="s">
        <v>289</v>
      </c>
      <c r="BK130" s="1236">
        <v>10</v>
      </c>
      <c r="BL130" s="1238">
        <v>55328239.799994715</v>
      </c>
      <c r="BM130" s="1239">
        <v>1.1874307890087414E-2</v>
      </c>
      <c r="BN130" s="1236">
        <v>2006</v>
      </c>
      <c r="BO130" s="174"/>
      <c r="BP130" s="174"/>
      <c r="BQ130" s="174"/>
      <c r="BR130" s="174"/>
      <c r="BS130" s="174"/>
      <c r="BT130" s="174"/>
      <c r="BU130" s="174"/>
      <c r="BV130" s="174"/>
      <c r="BW130" s="174"/>
      <c r="BX130" s="174"/>
    </row>
    <row r="131" spans="1:76" s="152" customFormat="1" ht="15" customHeight="1" x14ac:dyDescent="0.25">
      <c r="A131" s="152">
        <f t="shared" si="2"/>
        <v>1981</v>
      </c>
      <c r="B131" s="152" t="str">
        <f t="shared" si="3"/>
        <v>1980-81</v>
      </c>
      <c r="C131" s="153">
        <v>29587</v>
      </c>
      <c r="D131" s="154"/>
      <c r="E131" s="155"/>
      <c r="F131" s="155"/>
      <c r="G131" s="155"/>
      <c r="H131" s="155"/>
      <c r="I131" s="156">
        <v>474.78380268294143</v>
      </c>
      <c r="J131" s="156">
        <v>555.82926829270002</v>
      </c>
      <c r="K131" s="157"/>
      <c r="L131" s="158"/>
      <c r="M131" s="159"/>
      <c r="N131" s="159"/>
      <c r="O131" s="160"/>
      <c r="P131" s="160"/>
      <c r="Q131" s="160"/>
      <c r="R131" s="160"/>
      <c r="S131" s="160"/>
      <c r="T131" s="160"/>
      <c r="U131" s="161"/>
      <c r="V131" s="161"/>
      <c r="W131" s="161"/>
      <c r="X131" s="161"/>
      <c r="Y131" s="162"/>
      <c r="Z131" s="162"/>
      <c r="AA131" s="162"/>
      <c r="AB131" s="162"/>
      <c r="AC131" s="163"/>
      <c r="AD131" s="163"/>
      <c r="AE131" s="163"/>
      <c r="AF131" s="163"/>
      <c r="AG131" s="163"/>
      <c r="AH131" s="163"/>
      <c r="AI131" s="163"/>
      <c r="AJ131" s="163"/>
      <c r="AK131" s="164"/>
      <c r="AL131" s="165"/>
      <c r="AM131" s="164"/>
      <c r="AN131" s="166"/>
      <c r="AO131" s="164"/>
      <c r="AP131" s="164"/>
      <c r="AS131" s="167"/>
      <c r="AT131" s="1170"/>
      <c r="AU131" s="1171"/>
      <c r="AV131" s="1171"/>
      <c r="AW131" s="1172"/>
      <c r="AX131" s="1172"/>
      <c r="AY131" s="1172"/>
      <c r="AZ131" s="1172"/>
      <c r="BA131" s="1236" t="s">
        <v>61</v>
      </c>
      <c r="BB131" s="1237">
        <v>2013</v>
      </c>
      <c r="BC131" s="1236" t="s">
        <v>281</v>
      </c>
      <c r="BD131" s="1236">
        <v>1</v>
      </c>
      <c r="BE131" s="1238">
        <v>1029510309</v>
      </c>
      <c r="BF131" s="1239">
        <v>0.33</v>
      </c>
      <c r="BG131" s="1236"/>
      <c r="BH131" s="1236" t="s">
        <v>165</v>
      </c>
      <c r="BI131" s="1236" t="s">
        <v>313</v>
      </c>
      <c r="BJ131" s="1236" t="s">
        <v>291</v>
      </c>
      <c r="BK131" s="1236"/>
      <c r="BL131" s="1238">
        <v>171169684.18060112</v>
      </c>
      <c r="BM131" s="1239">
        <v>3.6735698420134397E-2</v>
      </c>
      <c r="BN131" s="1236">
        <v>2006</v>
      </c>
      <c r="BO131" s="174"/>
      <c r="BP131" s="174"/>
      <c r="BQ131" s="174"/>
      <c r="BR131" s="174"/>
      <c r="BS131" s="174"/>
      <c r="BT131" s="174"/>
      <c r="BU131" s="174"/>
      <c r="BV131" s="174"/>
      <c r="BW131" s="174"/>
      <c r="BX131" s="174"/>
    </row>
    <row r="132" spans="1:76" s="152" customFormat="1" ht="15" customHeight="1" x14ac:dyDescent="0.25">
      <c r="A132" s="152">
        <f t="shared" si="2"/>
        <v>1981</v>
      </c>
      <c r="B132" s="152" t="str">
        <f t="shared" si="3"/>
        <v>1980-81</v>
      </c>
      <c r="C132" s="153">
        <v>29619</v>
      </c>
      <c r="D132" s="169"/>
      <c r="E132" s="170"/>
      <c r="F132" s="170"/>
      <c r="G132" s="170"/>
      <c r="H132" s="170"/>
      <c r="I132" s="169">
        <v>431.49093468749999</v>
      </c>
      <c r="J132" s="169">
        <v>499.0625</v>
      </c>
      <c r="K132" s="169"/>
      <c r="L132" s="170"/>
      <c r="M132" s="170"/>
      <c r="N132" s="170"/>
      <c r="O132" s="169"/>
      <c r="P132" s="169"/>
      <c r="Q132" s="169"/>
      <c r="R132" s="169"/>
      <c r="S132" s="169"/>
      <c r="T132" s="169"/>
      <c r="U132" s="170"/>
      <c r="V132" s="170"/>
      <c r="W132" s="170"/>
      <c r="X132" s="170"/>
      <c r="Y132" s="170"/>
      <c r="Z132" s="170"/>
      <c r="AA132" s="170"/>
      <c r="AB132" s="170"/>
      <c r="AC132" s="170"/>
      <c r="AD132" s="170"/>
      <c r="AE132" s="170"/>
      <c r="AF132" s="170"/>
      <c r="AG132" s="170"/>
      <c r="AH132" s="170"/>
      <c r="AI132" s="170"/>
      <c r="AJ132" s="170"/>
      <c r="AK132" s="170"/>
      <c r="AL132" s="171"/>
      <c r="AM132" s="170"/>
      <c r="AN132" s="172"/>
      <c r="AO132" s="170"/>
      <c r="AP132" s="170"/>
      <c r="AS132" s="167"/>
      <c r="AT132" s="1170"/>
      <c r="AU132" s="1171"/>
      <c r="AV132" s="1171"/>
      <c r="AW132" s="1172"/>
      <c r="AX132" s="1172"/>
      <c r="AY132" s="1172"/>
      <c r="AZ132" s="1172"/>
      <c r="BA132" s="1236" t="s">
        <v>61</v>
      </c>
      <c r="BB132" s="1237">
        <v>2013</v>
      </c>
      <c r="BC132" s="1236" t="s">
        <v>285</v>
      </c>
      <c r="BD132" s="1236">
        <v>2</v>
      </c>
      <c r="BE132" s="1238">
        <v>1001586084</v>
      </c>
      <c r="BF132" s="1239">
        <v>0.32100000000000001</v>
      </c>
      <c r="BG132" s="1236"/>
      <c r="BH132" s="1236" t="s">
        <v>165</v>
      </c>
      <c r="BI132" s="1236" t="s">
        <v>313</v>
      </c>
      <c r="BJ132" s="1236" t="s">
        <v>292</v>
      </c>
      <c r="BK132" s="1236"/>
      <c r="BL132" s="1238">
        <v>4659491762.5626268</v>
      </c>
      <c r="BM132" s="1239"/>
      <c r="BN132" s="1236">
        <v>2006</v>
      </c>
      <c r="BO132" s="174"/>
      <c r="BP132" s="174"/>
      <c r="BQ132" s="174"/>
      <c r="BR132" s="174"/>
      <c r="BS132" s="174"/>
      <c r="BT132" s="174"/>
      <c r="BU132" s="174"/>
      <c r="BV132" s="174"/>
      <c r="BW132" s="174"/>
      <c r="BX132" s="174"/>
    </row>
    <row r="133" spans="1:76" s="152" customFormat="1" ht="15" customHeight="1" x14ac:dyDescent="0.25">
      <c r="A133" s="152">
        <f t="shared" si="2"/>
        <v>1981</v>
      </c>
      <c r="B133" s="152" t="str">
        <f t="shared" si="3"/>
        <v>1980-81</v>
      </c>
      <c r="C133" s="153">
        <v>29647</v>
      </c>
      <c r="D133" s="154"/>
      <c r="E133" s="155"/>
      <c r="F133" s="155"/>
      <c r="G133" s="155"/>
      <c r="H133" s="155"/>
      <c r="I133" s="156">
        <v>427.82365322157534</v>
      </c>
      <c r="J133" s="156">
        <v>499.8693181818</v>
      </c>
      <c r="K133" s="157"/>
      <c r="L133" s="158"/>
      <c r="M133" s="159"/>
      <c r="N133" s="159"/>
      <c r="O133" s="160"/>
      <c r="P133" s="160"/>
      <c r="Q133" s="160"/>
      <c r="R133" s="160"/>
      <c r="S133" s="160"/>
      <c r="T133" s="160"/>
      <c r="U133" s="161"/>
      <c r="V133" s="161"/>
      <c r="W133" s="161"/>
      <c r="X133" s="161"/>
      <c r="Y133" s="162"/>
      <c r="Z133" s="162"/>
      <c r="AA133" s="162"/>
      <c r="AB133" s="162"/>
      <c r="AC133" s="163"/>
      <c r="AD133" s="163"/>
      <c r="AE133" s="163"/>
      <c r="AF133" s="163"/>
      <c r="AG133" s="163"/>
      <c r="AH133" s="163"/>
      <c r="AI133" s="163"/>
      <c r="AJ133" s="163"/>
      <c r="AK133" s="164"/>
      <c r="AL133" s="165"/>
      <c r="AM133" s="164"/>
      <c r="AN133" s="166"/>
      <c r="AO133" s="164"/>
      <c r="AP133" s="164"/>
      <c r="AS133" s="167"/>
      <c r="AT133" s="1170"/>
      <c r="AU133" s="1171"/>
      <c r="AV133" s="1171"/>
      <c r="AW133" s="1172"/>
      <c r="AX133" s="1172"/>
      <c r="AY133" s="1172"/>
      <c r="AZ133" s="1172"/>
      <c r="BA133" s="1236" t="s">
        <v>61</v>
      </c>
      <c r="BB133" s="1237">
        <v>2013</v>
      </c>
      <c r="BC133" s="1236" t="s">
        <v>306</v>
      </c>
      <c r="BD133" s="1236">
        <v>3</v>
      </c>
      <c r="BE133" s="1238">
        <v>350017534</v>
      </c>
      <c r="BF133" s="1239">
        <v>0.112</v>
      </c>
      <c r="BG133" s="1236"/>
      <c r="BH133" s="1236" t="s">
        <v>165</v>
      </c>
      <c r="BI133" s="1236" t="s">
        <v>316</v>
      </c>
      <c r="BJ133" s="1236" t="s">
        <v>281</v>
      </c>
      <c r="BK133" s="1236">
        <v>1</v>
      </c>
      <c r="BL133" s="1238">
        <v>663218080.17009938</v>
      </c>
      <c r="BM133" s="1239">
        <v>0.17701212477622832</v>
      </c>
      <c r="BN133" s="1236">
        <v>2005</v>
      </c>
      <c r="BO133" s="174"/>
      <c r="BP133" s="174"/>
      <c r="BQ133" s="174"/>
      <c r="BR133" s="174"/>
      <c r="BS133" s="174"/>
      <c r="BT133" s="174"/>
      <c r="BU133" s="174"/>
      <c r="BV133" s="174"/>
      <c r="BW133" s="174"/>
      <c r="BX133" s="174"/>
    </row>
    <row r="134" spans="1:76" s="152" customFormat="1" ht="15" customHeight="1" x14ac:dyDescent="0.25">
      <c r="A134" s="152">
        <f t="shared" si="2"/>
        <v>1981</v>
      </c>
      <c r="B134" s="152" t="str">
        <f t="shared" si="3"/>
        <v>1980-81</v>
      </c>
      <c r="C134" s="153">
        <v>29677</v>
      </c>
      <c r="D134" s="169"/>
      <c r="E134" s="170"/>
      <c r="F134" s="170"/>
      <c r="G134" s="170"/>
      <c r="H134" s="170"/>
      <c r="I134" s="169">
        <v>430.36164579375003</v>
      </c>
      <c r="J134" s="169">
        <v>495.13125000000002</v>
      </c>
      <c r="K134" s="169"/>
      <c r="L134" s="170"/>
      <c r="M134" s="170"/>
      <c r="N134" s="170"/>
      <c r="O134" s="169"/>
      <c r="P134" s="169"/>
      <c r="Q134" s="169"/>
      <c r="R134" s="169"/>
      <c r="S134" s="169"/>
      <c r="T134" s="169"/>
      <c r="U134" s="170"/>
      <c r="V134" s="170"/>
      <c r="W134" s="170"/>
      <c r="X134" s="170"/>
      <c r="Y134" s="170"/>
      <c r="Z134" s="170"/>
      <c r="AA134" s="170"/>
      <c r="AB134" s="170"/>
      <c r="AC134" s="170"/>
      <c r="AD134" s="170"/>
      <c r="AE134" s="170"/>
      <c r="AF134" s="170"/>
      <c r="AG134" s="170"/>
      <c r="AH134" s="170"/>
      <c r="AI134" s="170"/>
      <c r="AJ134" s="170"/>
      <c r="AK134" s="170"/>
      <c r="AL134" s="171"/>
      <c r="AM134" s="170"/>
      <c r="AN134" s="172"/>
      <c r="AO134" s="170"/>
      <c r="AP134" s="170"/>
      <c r="AS134" s="167"/>
      <c r="AT134" s="1170"/>
      <c r="AU134" s="1171"/>
      <c r="AV134" s="1171"/>
      <c r="AW134" s="1172"/>
      <c r="AX134" s="1172"/>
      <c r="AY134" s="1172"/>
      <c r="AZ134" s="1172"/>
      <c r="BA134" s="1236" t="s">
        <v>61</v>
      </c>
      <c r="BB134" s="1237">
        <v>2013</v>
      </c>
      <c r="BC134" s="1236" t="s">
        <v>308</v>
      </c>
      <c r="BD134" s="1236">
        <v>4</v>
      </c>
      <c r="BE134" s="1238">
        <v>250493002</v>
      </c>
      <c r="BF134" s="1239">
        <v>0.08</v>
      </c>
      <c r="BG134" s="1236"/>
      <c r="BH134" s="1236" t="s">
        <v>165</v>
      </c>
      <c r="BI134" s="1236" t="s">
        <v>316</v>
      </c>
      <c r="BJ134" s="1236" t="s">
        <v>283</v>
      </c>
      <c r="BK134" s="1236">
        <v>2</v>
      </c>
      <c r="BL134" s="1238">
        <v>634591640.7650069</v>
      </c>
      <c r="BM134" s="1239">
        <v>0.1693717618015432</v>
      </c>
      <c r="BN134" s="1236">
        <v>2005</v>
      </c>
      <c r="BO134" s="174"/>
      <c r="BP134" s="174"/>
      <c r="BQ134" s="174"/>
      <c r="BR134" s="174"/>
      <c r="BS134" s="174"/>
      <c r="BT134" s="174"/>
      <c r="BU134" s="174"/>
      <c r="BV134" s="174"/>
      <c r="BW134" s="174"/>
      <c r="BX134" s="174"/>
    </row>
    <row r="135" spans="1:76" s="152" customFormat="1" ht="15" customHeight="1" x14ac:dyDescent="0.25">
      <c r="A135" s="152">
        <f t="shared" si="2"/>
        <v>1981</v>
      </c>
      <c r="B135" s="152" t="str">
        <f t="shared" si="3"/>
        <v>1980-81</v>
      </c>
      <c r="C135" s="153">
        <v>29707</v>
      </c>
      <c r="D135" s="154"/>
      <c r="E135" s="155"/>
      <c r="F135" s="155"/>
      <c r="G135" s="155"/>
      <c r="H135" s="155"/>
      <c r="I135" s="156">
        <v>421.05558447971077</v>
      </c>
      <c r="J135" s="156">
        <v>479.37162162160001</v>
      </c>
      <c r="K135" s="157"/>
      <c r="L135" s="158"/>
      <c r="M135" s="159"/>
      <c r="N135" s="159"/>
      <c r="O135" s="160"/>
      <c r="P135" s="160"/>
      <c r="Q135" s="160"/>
      <c r="R135" s="160"/>
      <c r="S135" s="160"/>
      <c r="T135" s="160"/>
      <c r="U135" s="161"/>
      <c r="V135" s="161"/>
      <c r="W135" s="161"/>
      <c r="X135" s="161"/>
      <c r="Y135" s="162"/>
      <c r="Z135" s="162"/>
      <c r="AA135" s="162"/>
      <c r="AB135" s="162"/>
      <c r="AC135" s="163"/>
      <c r="AD135" s="163"/>
      <c r="AE135" s="163"/>
      <c r="AF135" s="163"/>
      <c r="AG135" s="163"/>
      <c r="AH135" s="163"/>
      <c r="AI135" s="163"/>
      <c r="AJ135" s="163"/>
      <c r="AK135" s="164"/>
      <c r="AL135" s="165"/>
      <c r="AM135" s="164"/>
      <c r="AN135" s="166"/>
      <c r="AO135" s="164"/>
      <c r="AP135" s="164"/>
      <c r="AS135" s="167"/>
      <c r="AT135" s="1170"/>
      <c r="AU135" s="1171"/>
      <c r="AV135" s="1171"/>
      <c r="AW135" s="1172"/>
      <c r="AX135" s="1172"/>
      <c r="AY135" s="1172"/>
      <c r="AZ135" s="1172"/>
      <c r="BA135" s="1236" t="s">
        <v>61</v>
      </c>
      <c r="BB135" s="1237">
        <v>2013</v>
      </c>
      <c r="BC135" s="1236" t="s">
        <v>286</v>
      </c>
      <c r="BD135" s="1236">
        <v>5</v>
      </c>
      <c r="BE135" s="1238">
        <v>121090381</v>
      </c>
      <c r="BF135" s="1239">
        <v>3.9E-2</v>
      </c>
      <c r="BG135" s="1236"/>
      <c r="BH135" s="1236" t="s">
        <v>165</v>
      </c>
      <c r="BI135" s="1236" t="s">
        <v>316</v>
      </c>
      <c r="BJ135" s="1236" t="s">
        <v>282</v>
      </c>
      <c r="BK135" s="1236">
        <v>3</v>
      </c>
      <c r="BL135" s="1238">
        <v>567025440.63831234</v>
      </c>
      <c r="BM135" s="1239">
        <v>0.15133842253489563</v>
      </c>
      <c r="BN135" s="1236">
        <v>2005</v>
      </c>
      <c r="BO135" s="174"/>
      <c r="BP135" s="174"/>
      <c r="BQ135" s="174"/>
      <c r="BR135" s="174"/>
      <c r="BS135" s="174"/>
      <c r="BT135" s="174"/>
      <c r="BU135" s="174"/>
      <c r="BV135" s="174"/>
      <c r="BW135" s="174"/>
      <c r="BX135" s="174"/>
    </row>
    <row r="136" spans="1:76" s="152" customFormat="1" ht="15" customHeight="1" x14ac:dyDescent="0.25">
      <c r="A136" s="152">
        <f t="shared" si="2"/>
        <v>1981</v>
      </c>
      <c r="B136" s="152" t="str">
        <f t="shared" si="3"/>
        <v>1980-81</v>
      </c>
      <c r="C136" s="153">
        <v>29738</v>
      </c>
      <c r="D136" s="169"/>
      <c r="E136" s="170"/>
      <c r="F136" s="170"/>
      <c r="G136" s="170"/>
      <c r="H136" s="170"/>
      <c r="I136" s="169">
        <v>400.1276284090988</v>
      </c>
      <c r="J136" s="169">
        <v>459.34659090909997</v>
      </c>
      <c r="K136" s="169"/>
      <c r="L136" s="170"/>
      <c r="M136" s="170"/>
      <c r="N136" s="170"/>
      <c r="O136" s="169"/>
      <c r="P136" s="169"/>
      <c r="Q136" s="169"/>
      <c r="R136" s="169"/>
      <c r="S136" s="169"/>
      <c r="T136" s="169"/>
      <c r="U136" s="170"/>
      <c r="V136" s="170"/>
      <c r="W136" s="170"/>
      <c r="X136" s="170"/>
      <c r="Y136" s="170"/>
      <c r="Z136" s="170"/>
      <c r="AA136" s="170"/>
      <c r="AB136" s="170"/>
      <c r="AC136" s="170"/>
      <c r="AD136" s="170"/>
      <c r="AE136" s="170"/>
      <c r="AF136" s="170"/>
      <c r="AG136" s="170"/>
      <c r="AH136" s="170"/>
      <c r="AI136" s="170"/>
      <c r="AJ136" s="170"/>
      <c r="AK136" s="170"/>
      <c r="AL136" s="171"/>
      <c r="AM136" s="170"/>
      <c r="AN136" s="172"/>
      <c r="AO136" s="170"/>
      <c r="AP136" s="170"/>
      <c r="AS136" s="167"/>
      <c r="AT136" s="1170"/>
      <c r="AU136" s="1171"/>
      <c r="AV136" s="1171"/>
      <c r="AW136" s="1172"/>
      <c r="AX136" s="1172"/>
      <c r="AY136" s="1172"/>
      <c r="AZ136" s="1172"/>
      <c r="BA136" s="1236" t="s">
        <v>61</v>
      </c>
      <c r="BB136" s="1237">
        <v>2013</v>
      </c>
      <c r="BC136" s="1236" t="s">
        <v>305</v>
      </c>
      <c r="BD136" s="1236">
        <v>6</v>
      </c>
      <c r="BE136" s="1238">
        <v>86905542</v>
      </c>
      <c r="BF136" s="1239">
        <v>2.8000000000000001E-2</v>
      </c>
      <c r="BG136" s="1236"/>
      <c r="BH136" s="1236" t="s">
        <v>165</v>
      </c>
      <c r="BI136" s="1236" t="s">
        <v>316</v>
      </c>
      <c r="BJ136" s="1236" t="s">
        <v>279</v>
      </c>
      <c r="BK136" s="1236">
        <v>4</v>
      </c>
      <c r="BL136" s="1238">
        <v>481867104.09012938</v>
      </c>
      <c r="BM136" s="1239">
        <v>0.1286097627689603</v>
      </c>
      <c r="BN136" s="1236">
        <v>2005</v>
      </c>
      <c r="BO136" s="174"/>
      <c r="BP136" s="174"/>
      <c r="BQ136" s="174"/>
      <c r="BR136" s="174"/>
      <c r="BS136" s="174"/>
      <c r="BT136" s="174"/>
      <c r="BU136" s="174"/>
      <c r="BV136" s="174"/>
      <c r="BW136" s="174"/>
      <c r="BX136" s="174"/>
    </row>
    <row r="137" spans="1:76" s="152" customFormat="1" ht="15" customHeight="1" x14ac:dyDescent="0.25">
      <c r="A137" s="152">
        <f t="shared" si="2"/>
        <v>1981</v>
      </c>
      <c r="B137" s="152" t="str">
        <f t="shared" si="3"/>
        <v>1981-82</v>
      </c>
      <c r="C137" s="153">
        <v>29768</v>
      </c>
      <c r="D137" s="154"/>
      <c r="E137" s="155"/>
      <c r="F137" s="155"/>
      <c r="G137" s="155"/>
      <c r="H137" s="155"/>
      <c r="I137" s="156">
        <v>359.82189927269525</v>
      </c>
      <c r="J137" s="156">
        <v>408.61363636359999</v>
      </c>
      <c r="K137" s="157"/>
      <c r="L137" s="158"/>
      <c r="M137" s="159"/>
      <c r="N137" s="159"/>
      <c r="O137" s="160"/>
      <c r="P137" s="160"/>
      <c r="Q137" s="160"/>
      <c r="R137" s="160"/>
      <c r="S137" s="160"/>
      <c r="T137" s="160"/>
      <c r="U137" s="161"/>
      <c r="V137" s="161"/>
      <c r="W137" s="161"/>
      <c r="X137" s="161"/>
      <c r="Y137" s="162"/>
      <c r="Z137" s="162"/>
      <c r="AA137" s="162"/>
      <c r="AB137" s="162"/>
      <c r="AC137" s="163"/>
      <c r="AD137" s="163"/>
      <c r="AE137" s="163"/>
      <c r="AF137" s="163"/>
      <c r="AG137" s="163"/>
      <c r="AH137" s="163"/>
      <c r="AI137" s="163"/>
      <c r="AJ137" s="163"/>
      <c r="AK137" s="164"/>
      <c r="AL137" s="165"/>
      <c r="AM137" s="164"/>
      <c r="AN137" s="166"/>
      <c r="AO137" s="164"/>
      <c r="AP137" s="164"/>
      <c r="AS137" s="167"/>
      <c r="AT137" s="1170"/>
      <c r="AU137" s="1171"/>
      <c r="AV137" s="1171"/>
      <c r="AW137" s="1172"/>
      <c r="AX137" s="1172"/>
      <c r="AY137" s="1172"/>
      <c r="AZ137" s="1172"/>
      <c r="BA137" s="1236" t="s">
        <v>61</v>
      </c>
      <c r="BB137" s="1237">
        <v>2013</v>
      </c>
      <c r="BC137" s="1236" t="s">
        <v>314</v>
      </c>
      <c r="BD137" s="1236">
        <v>7</v>
      </c>
      <c r="BE137" s="1238">
        <v>54035605</v>
      </c>
      <c r="BF137" s="1239">
        <v>1.7000000000000001E-2</v>
      </c>
      <c r="BG137" s="1236"/>
      <c r="BH137" s="1236" t="s">
        <v>165</v>
      </c>
      <c r="BI137" s="1236" t="s">
        <v>316</v>
      </c>
      <c r="BJ137" s="1236" t="s">
        <v>284</v>
      </c>
      <c r="BK137" s="1236">
        <v>5</v>
      </c>
      <c r="BL137" s="1238">
        <v>400842293.80417907</v>
      </c>
      <c r="BM137" s="1239">
        <v>0.10698433629592388</v>
      </c>
      <c r="BN137" s="1236">
        <v>2005</v>
      </c>
      <c r="BO137" s="174"/>
      <c r="BP137" s="174"/>
      <c r="BQ137" s="174"/>
      <c r="BR137" s="174"/>
      <c r="BS137" s="174"/>
      <c r="BT137" s="174"/>
      <c r="BU137" s="174"/>
      <c r="BV137" s="174"/>
      <c r="BW137" s="174"/>
      <c r="BX137" s="174"/>
    </row>
    <row r="138" spans="1:76" s="152" customFormat="1" ht="15" customHeight="1" x14ac:dyDescent="0.25">
      <c r="A138" s="152">
        <f t="shared" si="2"/>
        <v>1981</v>
      </c>
      <c r="B138" s="152" t="str">
        <f t="shared" si="3"/>
        <v>1981-82</v>
      </c>
      <c r="C138" s="153">
        <v>29801</v>
      </c>
      <c r="D138" s="169"/>
      <c r="E138" s="170"/>
      <c r="F138" s="170"/>
      <c r="G138" s="170"/>
      <c r="H138" s="170"/>
      <c r="I138" s="169">
        <v>357.0625921075</v>
      </c>
      <c r="J138" s="169">
        <v>410.90750000000003</v>
      </c>
      <c r="K138" s="169"/>
      <c r="L138" s="170"/>
      <c r="M138" s="170"/>
      <c r="N138" s="170"/>
      <c r="O138" s="169"/>
      <c r="P138" s="169"/>
      <c r="Q138" s="169"/>
      <c r="R138" s="169"/>
      <c r="S138" s="169"/>
      <c r="T138" s="169"/>
      <c r="U138" s="170"/>
      <c r="V138" s="170"/>
      <c r="W138" s="170"/>
      <c r="X138" s="170"/>
      <c r="Y138" s="170"/>
      <c r="Z138" s="170"/>
      <c r="AA138" s="170"/>
      <c r="AB138" s="170"/>
      <c r="AC138" s="170"/>
      <c r="AD138" s="170"/>
      <c r="AE138" s="170"/>
      <c r="AF138" s="170"/>
      <c r="AG138" s="170"/>
      <c r="AH138" s="170"/>
      <c r="AI138" s="170"/>
      <c r="AJ138" s="170"/>
      <c r="AK138" s="170"/>
      <c r="AL138" s="171"/>
      <c r="AM138" s="170"/>
      <c r="AN138" s="172"/>
      <c r="AO138" s="170"/>
      <c r="AP138" s="170"/>
      <c r="AS138" s="167"/>
      <c r="AT138" s="1170"/>
      <c r="AU138" s="1171"/>
      <c r="AV138" s="1171"/>
      <c r="AW138" s="1172"/>
      <c r="AX138" s="1172"/>
      <c r="AY138" s="1172"/>
      <c r="AZ138" s="1172"/>
      <c r="BA138" s="1236" t="s">
        <v>61</v>
      </c>
      <c r="BB138" s="1237">
        <v>2013</v>
      </c>
      <c r="BC138" s="1236" t="s">
        <v>312</v>
      </c>
      <c r="BD138" s="1236">
        <v>8</v>
      </c>
      <c r="BE138" s="1238">
        <v>49159893</v>
      </c>
      <c r="BF138" s="1239">
        <v>1.6E-2</v>
      </c>
      <c r="BG138" s="1236"/>
      <c r="BH138" s="1236" t="s">
        <v>165</v>
      </c>
      <c r="BI138" s="1236" t="s">
        <v>316</v>
      </c>
      <c r="BJ138" s="1236" t="s">
        <v>305</v>
      </c>
      <c r="BK138" s="1236">
        <v>6</v>
      </c>
      <c r="BL138" s="1238">
        <v>367007730.57900095</v>
      </c>
      <c r="BM138" s="1239">
        <v>9.7953931205296149E-2</v>
      </c>
      <c r="BN138" s="1236">
        <v>2005</v>
      </c>
      <c r="BO138" s="174"/>
      <c r="BP138" s="174"/>
      <c r="BQ138" s="174"/>
      <c r="BR138" s="174"/>
      <c r="BS138" s="174"/>
      <c r="BT138" s="174"/>
      <c r="BU138" s="174"/>
      <c r="BV138" s="174"/>
      <c r="BW138" s="174"/>
      <c r="BX138" s="174"/>
    </row>
    <row r="139" spans="1:76" s="152" customFormat="1" ht="15" customHeight="1" x14ac:dyDescent="0.25">
      <c r="A139" s="152">
        <f t="shared" ref="A139:A202" si="4">YEAR(C139)</f>
        <v>1981</v>
      </c>
      <c r="B139" s="152" t="str">
        <f t="shared" si="3"/>
        <v>1981-82</v>
      </c>
      <c r="C139" s="153">
        <v>29830</v>
      </c>
      <c r="D139" s="154"/>
      <c r="E139" s="155"/>
      <c r="F139" s="155"/>
      <c r="G139" s="155"/>
      <c r="H139" s="155"/>
      <c r="I139" s="156">
        <v>389.08057293750795</v>
      </c>
      <c r="J139" s="156">
        <v>444.09659090909997</v>
      </c>
      <c r="K139" s="157"/>
      <c r="L139" s="158"/>
      <c r="M139" s="159"/>
      <c r="N139" s="159"/>
      <c r="O139" s="160"/>
      <c r="P139" s="160"/>
      <c r="Q139" s="160"/>
      <c r="R139" s="160"/>
      <c r="S139" s="160"/>
      <c r="T139" s="160"/>
      <c r="U139" s="161"/>
      <c r="V139" s="161"/>
      <c r="W139" s="161"/>
      <c r="X139" s="161"/>
      <c r="Y139" s="162"/>
      <c r="Z139" s="162"/>
      <c r="AA139" s="162"/>
      <c r="AB139" s="162"/>
      <c r="AC139" s="163"/>
      <c r="AD139" s="163"/>
      <c r="AE139" s="163"/>
      <c r="AF139" s="163"/>
      <c r="AG139" s="163"/>
      <c r="AH139" s="163"/>
      <c r="AI139" s="163"/>
      <c r="AJ139" s="163"/>
      <c r="AK139" s="164"/>
      <c r="AL139" s="165"/>
      <c r="AM139" s="164"/>
      <c r="AN139" s="166"/>
      <c r="AO139" s="164"/>
      <c r="AP139" s="164"/>
      <c r="AS139" s="167"/>
      <c r="AT139" s="1170"/>
      <c r="AU139" s="1171"/>
      <c r="AV139" s="1171"/>
      <c r="AW139" s="1172"/>
      <c r="AX139" s="1172"/>
      <c r="AY139" s="1172"/>
      <c r="AZ139" s="1172"/>
      <c r="BA139" s="1236" t="s">
        <v>61</v>
      </c>
      <c r="BB139" s="1237">
        <v>2013</v>
      </c>
      <c r="BC139" s="1236" t="s">
        <v>310</v>
      </c>
      <c r="BD139" s="1236">
        <v>9</v>
      </c>
      <c r="BE139" s="1238">
        <v>47634777</v>
      </c>
      <c r="BF139" s="1239">
        <v>1.4999999999999999E-2</v>
      </c>
      <c r="BG139" s="1236"/>
      <c r="BH139" s="1236" t="s">
        <v>165</v>
      </c>
      <c r="BI139" s="1236" t="s">
        <v>316</v>
      </c>
      <c r="BJ139" s="1236" t="s">
        <v>298</v>
      </c>
      <c r="BK139" s="1236">
        <v>7</v>
      </c>
      <c r="BL139" s="1238">
        <v>263713385.35119495</v>
      </c>
      <c r="BM139" s="1239">
        <v>7.0384792074689659E-2</v>
      </c>
      <c r="BN139" s="1236">
        <v>2005</v>
      </c>
      <c r="BO139" s="174"/>
      <c r="BP139" s="174"/>
      <c r="BQ139" s="174"/>
      <c r="BR139" s="174"/>
      <c r="BS139" s="174"/>
      <c r="BT139" s="174"/>
      <c r="BU139" s="174"/>
      <c r="BV139" s="174"/>
      <c r="BW139" s="174"/>
      <c r="BX139" s="174"/>
    </row>
    <row r="140" spans="1:76" s="152" customFormat="1" ht="15" customHeight="1" x14ac:dyDescent="0.25">
      <c r="A140" s="152">
        <f t="shared" si="4"/>
        <v>1981</v>
      </c>
      <c r="B140" s="152" t="str">
        <f t="shared" ref="B140:B203" si="5">IF(MONTH(C140) &gt;= 7, A140 &amp; "-" &amp; RIGHT(A140+1, 2), A140-1 &amp; "-" &amp; RIGHT(A140, 2))</f>
        <v>1981-82</v>
      </c>
      <c r="C140" s="153">
        <v>29860</v>
      </c>
      <c r="D140" s="169"/>
      <c r="E140" s="170"/>
      <c r="F140" s="170"/>
      <c r="G140" s="170"/>
      <c r="H140" s="170"/>
      <c r="I140" s="169">
        <v>385.55154440110431</v>
      </c>
      <c r="J140" s="169">
        <v>437.60113636360001</v>
      </c>
      <c r="K140" s="169"/>
      <c r="L140" s="170"/>
      <c r="M140" s="170"/>
      <c r="N140" s="170"/>
      <c r="O140" s="169"/>
      <c r="P140" s="169"/>
      <c r="Q140" s="169"/>
      <c r="R140" s="169"/>
      <c r="S140" s="169"/>
      <c r="T140" s="169"/>
      <c r="U140" s="170"/>
      <c r="V140" s="170"/>
      <c r="W140" s="170"/>
      <c r="X140" s="170"/>
      <c r="Y140" s="170"/>
      <c r="Z140" s="170"/>
      <c r="AA140" s="170"/>
      <c r="AB140" s="170"/>
      <c r="AC140" s="170"/>
      <c r="AD140" s="170"/>
      <c r="AE140" s="170"/>
      <c r="AF140" s="170"/>
      <c r="AG140" s="170"/>
      <c r="AH140" s="170"/>
      <c r="AI140" s="170"/>
      <c r="AJ140" s="170"/>
      <c r="AK140" s="170"/>
      <c r="AL140" s="171"/>
      <c r="AM140" s="170"/>
      <c r="AN140" s="172"/>
      <c r="AO140" s="170"/>
      <c r="AP140" s="170"/>
      <c r="AS140" s="167"/>
      <c r="AT140" s="1170"/>
      <c r="AU140" s="1171"/>
      <c r="AV140" s="1171"/>
      <c r="AW140" s="1172"/>
      <c r="AX140" s="1172"/>
      <c r="AY140" s="1172"/>
      <c r="AZ140" s="1172"/>
      <c r="BA140" s="1236" t="s">
        <v>61</v>
      </c>
      <c r="BB140" s="1237">
        <v>2013</v>
      </c>
      <c r="BC140" s="1236" t="s">
        <v>311</v>
      </c>
      <c r="BD140" s="1236">
        <v>10</v>
      </c>
      <c r="BE140" s="1238">
        <v>33285494</v>
      </c>
      <c r="BF140" s="1239">
        <v>1.0999999999999999E-2</v>
      </c>
      <c r="BG140" s="1236"/>
      <c r="BH140" s="1236" t="s">
        <v>165</v>
      </c>
      <c r="BI140" s="1236" t="s">
        <v>316</v>
      </c>
      <c r="BJ140" s="1236" t="s">
        <v>289</v>
      </c>
      <c r="BK140" s="1236">
        <v>8</v>
      </c>
      <c r="BL140" s="1238">
        <v>101866242.47439519</v>
      </c>
      <c r="BM140" s="1239">
        <v>2.7187980187057793E-2</v>
      </c>
      <c r="BN140" s="1236">
        <v>2005</v>
      </c>
      <c r="BO140" s="174"/>
      <c r="BP140" s="174"/>
      <c r="BQ140" s="174"/>
      <c r="BR140" s="174"/>
      <c r="BS140" s="174"/>
      <c r="BT140" s="174"/>
      <c r="BU140" s="174"/>
      <c r="BV140" s="174"/>
      <c r="BW140" s="174"/>
      <c r="BX140" s="174"/>
    </row>
    <row r="141" spans="1:76" s="152" customFormat="1" ht="15" customHeight="1" x14ac:dyDescent="0.25">
      <c r="A141" s="152">
        <f t="shared" si="4"/>
        <v>1981</v>
      </c>
      <c r="B141" s="152" t="str">
        <f t="shared" si="5"/>
        <v>1981-82</v>
      </c>
      <c r="C141" s="153">
        <v>29892</v>
      </c>
      <c r="D141" s="154"/>
      <c r="E141" s="155"/>
      <c r="F141" s="155"/>
      <c r="G141" s="155"/>
      <c r="H141" s="155"/>
      <c r="I141" s="156">
        <v>358.44565885715525</v>
      </c>
      <c r="J141" s="156">
        <v>412.71428571429999</v>
      </c>
      <c r="K141" s="157"/>
      <c r="L141" s="158"/>
      <c r="M141" s="159"/>
      <c r="N141" s="159"/>
      <c r="O141" s="160"/>
      <c r="P141" s="160"/>
      <c r="Q141" s="160"/>
      <c r="R141" s="160"/>
      <c r="S141" s="160"/>
      <c r="T141" s="160"/>
      <c r="U141" s="161"/>
      <c r="V141" s="161"/>
      <c r="W141" s="161"/>
      <c r="X141" s="161"/>
      <c r="Y141" s="162"/>
      <c r="Z141" s="162"/>
      <c r="AA141" s="162"/>
      <c r="AB141" s="162"/>
      <c r="AC141" s="163"/>
      <c r="AD141" s="163"/>
      <c r="AE141" s="163"/>
      <c r="AF141" s="163"/>
      <c r="AG141" s="163"/>
      <c r="AH141" s="163"/>
      <c r="AI141" s="163"/>
      <c r="AJ141" s="163"/>
      <c r="AK141" s="164"/>
      <c r="AL141" s="165"/>
      <c r="AM141" s="164"/>
      <c r="AN141" s="166"/>
      <c r="AO141" s="164"/>
      <c r="AP141" s="164"/>
      <c r="AS141" s="167"/>
      <c r="AT141" s="1170"/>
      <c r="AU141" s="1171"/>
      <c r="AV141" s="1171"/>
      <c r="AW141" s="1172"/>
      <c r="AX141" s="1172"/>
      <c r="AY141" s="1172"/>
      <c r="AZ141" s="1172"/>
      <c r="BA141" s="1236" t="s">
        <v>61</v>
      </c>
      <c r="BB141" s="1237">
        <v>2013</v>
      </c>
      <c r="BC141" s="1236" t="s">
        <v>291</v>
      </c>
      <c r="BD141" s="1236"/>
      <c r="BE141" s="1238">
        <v>96990278</v>
      </c>
      <c r="BF141" s="1239">
        <v>3.1E-2</v>
      </c>
      <c r="BG141" s="1236"/>
      <c r="BH141" s="1236" t="s">
        <v>165</v>
      </c>
      <c r="BI141" s="1236" t="s">
        <v>316</v>
      </c>
      <c r="BJ141" s="1236" t="s">
        <v>299</v>
      </c>
      <c r="BK141" s="1236">
        <v>9</v>
      </c>
      <c r="BL141" s="1238">
        <v>87588063.058182761</v>
      </c>
      <c r="BM141" s="1239">
        <v>2.3377150910884038E-2</v>
      </c>
      <c r="BN141" s="1236">
        <v>2005</v>
      </c>
      <c r="BO141" s="174"/>
      <c r="BP141" s="174"/>
      <c r="BQ141" s="174"/>
      <c r="BR141" s="174"/>
      <c r="BS141" s="174"/>
      <c r="BT141" s="174"/>
      <c r="BU141" s="174"/>
      <c r="BV141" s="174"/>
      <c r="BW141" s="174"/>
      <c r="BX141" s="174"/>
    </row>
    <row r="142" spans="1:76" s="152" customFormat="1" ht="15" customHeight="1" x14ac:dyDescent="0.25">
      <c r="A142" s="152">
        <f t="shared" si="4"/>
        <v>1981</v>
      </c>
      <c r="B142" s="152" t="str">
        <f t="shared" si="5"/>
        <v>1981-82</v>
      </c>
      <c r="C142" s="153">
        <v>29921</v>
      </c>
      <c r="D142" s="169"/>
      <c r="E142" s="170"/>
      <c r="F142" s="170"/>
      <c r="G142" s="170"/>
      <c r="H142" s="170"/>
      <c r="I142" s="169">
        <v>363.77081467567808</v>
      </c>
      <c r="J142" s="169">
        <v>410.29729729730002</v>
      </c>
      <c r="K142" s="169"/>
      <c r="L142" s="170"/>
      <c r="M142" s="170"/>
      <c r="N142" s="170"/>
      <c r="O142" s="169"/>
      <c r="P142" s="169"/>
      <c r="Q142" s="169"/>
      <c r="R142" s="169"/>
      <c r="S142" s="169"/>
      <c r="T142" s="169"/>
      <c r="U142" s="170"/>
      <c r="V142" s="170"/>
      <c r="W142" s="170"/>
      <c r="X142" s="170"/>
      <c r="Y142" s="170"/>
      <c r="Z142" s="170"/>
      <c r="AA142" s="170"/>
      <c r="AB142" s="170"/>
      <c r="AC142" s="170"/>
      <c r="AD142" s="170"/>
      <c r="AE142" s="170"/>
      <c r="AF142" s="170"/>
      <c r="AG142" s="170"/>
      <c r="AH142" s="170"/>
      <c r="AI142" s="170"/>
      <c r="AJ142" s="170"/>
      <c r="AK142" s="170"/>
      <c r="AL142" s="171"/>
      <c r="AM142" s="170"/>
      <c r="AN142" s="172"/>
      <c r="AO142" s="170"/>
      <c r="AP142" s="170"/>
      <c r="AS142" s="167"/>
      <c r="AT142" s="1170"/>
      <c r="AU142" s="1171"/>
      <c r="AV142" s="1171"/>
      <c r="AW142" s="1172"/>
      <c r="AX142" s="1172"/>
      <c r="AY142" s="1172"/>
      <c r="AZ142" s="1172"/>
      <c r="BA142" s="1236" t="s">
        <v>61</v>
      </c>
      <c r="BB142" s="1237">
        <v>2013</v>
      </c>
      <c r="BC142" s="1236" t="s">
        <v>292</v>
      </c>
      <c r="BD142" s="1236"/>
      <c r="BE142" s="1238">
        <v>3120708900</v>
      </c>
      <c r="BF142" s="1239"/>
      <c r="BG142" s="1236"/>
      <c r="BH142" s="1236" t="s">
        <v>165</v>
      </c>
      <c r="BI142" s="1236" t="s">
        <v>316</v>
      </c>
      <c r="BJ142" s="1236" t="s">
        <v>300</v>
      </c>
      <c r="BK142" s="1236">
        <v>10</v>
      </c>
      <c r="BL142" s="1238">
        <v>74173733.647743553</v>
      </c>
      <c r="BM142" s="1239">
        <v>1.9796882184221619E-2</v>
      </c>
      <c r="BN142" s="1236">
        <v>2005</v>
      </c>
      <c r="BO142" s="174"/>
      <c r="BP142" s="174"/>
      <c r="BQ142" s="174"/>
      <c r="BR142" s="174"/>
      <c r="BS142" s="174"/>
      <c r="BT142" s="174"/>
      <c r="BU142" s="174"/>
      <c r="BV142" s="174"/>
      <c r="BW142" s="174"/>
      <c r="BX142" s="174"/>
    </row>
    <row r="143" spans="1:76" s="152" customFormat="1" ht="15" customHeight="1" x14ac:dyDescent="0.25">
      <c r="A143" s="152">
        <f t="shared" si="4"/>
        <v>1982</v>
      </c>
      <c r="B143" s="152" t="str">
        <f t="shared" si="5"/>
        <v>1981-82</v>
      </c>
      <c r="C143" s="153">
        <v>29955</v>
      </c>
      <c r="D143" s="154"/>
      <c r="E143" s="155"/>
      <c r="F143" s="155"/>
      <c r="G143" s="155"/>
      <c r="H143" s="155"/>
      <c r="I143" s="156">
        <v>349.23592865000001</v>
      </c>
      <c r="J143" s="156">
        <v>383.95</v>
      </c>
      <c r="K143" s="157"/>
      <c r="L143" s="158"/>
      <c r="M143" s="159"/>
      <c r="N143" s="159"/>
      <c r="O143" s="160"/>
      <c r="P143" s="160"/>
      <c r="Q143" s="160"/>
      <c r="R143" s="160"/>
      <c r="S143" s="160"/>
      <c r="T143" s="160"/>
      <c r="U143" s="161"/>
      <c r="V143" s="161"/>
      <c r="W143" s="161"/>
      <c r="X143" s="161"/>
      <c r="Y143" s="162"/>
      <c r="Z143" s="162"/>
      <c r="AA143" s="162"/>
      <c r="AB143" s="162"/>
      <c r="AC143" s="163"/>
      <c r="AD143" s="163"/>
      <c r="AE143" s="163"/>
      <c r="AF143" s="163"/>
      <c r="AG143" s="163"/>
      <c r="AH143" s="163"/>
      <c r="AI143" s="163"/>
      <c r="AJ143" s="163"/>
      <c r="AK143" s="164"/>
      <c r="AL143" s="165"/>
      <c r="AM143" s="164"/>
      <c r="AN143" s="166"/>
      <c r="AO143" s="164"/>
      <c r="AP143" s="164"/>
      <c r="AS143" s="167"/>
      <c r="AT143" s="1170"/>
      <c r="AU143" s="1171"/>
      <c r="AV143" s="1171"/>
      <c r="AW143" s="1172"/>
      <c r="AX143" s="1172"/>
      <c r="AY143" s="1172"/>
      <c r="AZ143" s="1172"/>
      <c r="BA143" s="1236" t="s">
        <v>61</v>
      </c>
      <c r="BB143" s="1237">
        <v>2012</v>
      </c>
      <c r="BC143" s="1236" t="s">
        <v>281</v>
      </c>
      <c r="BD143" s="1236">
        <v>1</v>
      </c>
      <c r="BE143" s="1238">
        <v>1186211991</v>
      </c>
      <c r="BF143" s="1239">
        <v>0.35299999999999998</v>
      </c>
      <c r="BG143" s="1236"/>
      <c r="BH143" s="1236" t="s">
        <v>165</v>
      </c>
      <c r="BI143" s="1236" t="s">
        <v>316</v>
      </c>
      <c r="BJ143" s="1236" t="s">
        <v>291</v>
      </c>
      <c r="BK143" s="1236"/>
      <c r="BL143" s="1238">
        <v>104844431.23246384</v>
      </c>
      <c r="BM143" s="1239">
        <v>2.7982855260299467E-2</v>
      </c>
      <c r="BN143" s="1236">
        <v>2005</v>
      </c>
      <c r="BO143" s="174"/>
      <c r="BP143" s="174"/>
      <c r="BQ143" s="174"/>
      <c r="BR143" s="174"/>
      <c r="BS143" s="174"/>
      <c r="BT143" s="174"/>
      <c r="BU143" s="174"/>
      <c r="BV143" s="174"/>
      <c r="BW143" s="174"/>
      <c r="BX143" s="174"/>
    </row>
    <row r="144" spans="1:76" s="152" customFormat="1" ht="15" customHeight="1" x14ac:dyDescent="0.25">
      <c r="A144" s="152">
        <f t="shared" si="4"/>
        <v>1982</v>
      </c>
      <c r="B144" s="152" t="str">
        <f t="shared" si="5"/>
        <v>1981-82</v>
      </c>
      <c r="C144" s="153">
        <v>29983</v>
      </c>
      <c r="D144" s="169"/>
      <c r="E144" s="170"/>
      <c r="F144" s="170"/>
      <c r="G144" s="170"/>
      <c r="H144" s="170"/>
      <c r="I144" s="169">
        <v>347.92725495125001</v>
      </c>
      <c r="J144" s="169">
        <v>373.67374999999998</v>
      </c>
      <c r="K144" s="169"/>
      <c r="L144" s="170"/>
      <c r="M144" s="170"/>
      <c r="N144" s="170"/>
      <c r="O144" s="169"/>
      <c r="P144" s="169"/>
      <c r="Q144" s="169"/>
      <c r="R144" s="169"/>
      <c r="S144" s="169"/>
      <c r="T144" s="169"/>
      <c r="U144" s="170"/>
      <c r="V144" s="170"/>
      <c r="W144" s="170"/>
      <c r="X144" s="170"/>
      <c r="Y144" s="170"/>
      <c r="Z144" s="170"/>
      <c r="AA144" s="170"/>
      <c r="AB144" s="170"/>
      <c r="AC144" s="170"/>
      <c r="AD144" s="170"/>
      <c r="AE144" s="170"/>
      <c r="AF144" s="170"/>
      <c r="AG144" s="170"/>
      <c r="AH144" s="170"/>
      <c r="AI144" s="170"/>
      <c r="AJ144" s="170"/>
      <c r="AK144" s="170">
        <v>31.62</v>
      </c>
      <c r="AL144" s="171"/>
      <c r="AM144" s="170"/>
      <c r="AN144" s="172"/>
      <c r="AO144" s="170"/>
      <c r="AP144" s="170"/>
      <c r="AS144" s="167"/>
      <c r="AT144" s="1170"/>
      <c r="AU144" s="1171"/>
      <c r="AV144" s="1171"/>
      <c r="AW144" s="1172"/>
      <c r="AX144" s="1172"/>
      <c r="AY144" s="1172"/>
      <c r="AZ144" s="1172"/>
      <c r="BA144" s="1236" t="s">
        <v>61</v>
      </c>
      <c r="BB144" s="1237">
        <v>2012</v>
      </c>
      <c r="BC144" s="1236" t="s">
        <v>285</v>
      </c>
      <c r="BD144" s="1236">
        <v>2</v>
      </c>
      <c r="BE144" s="1238">
        <v>536326895</v>
      </c>
      <c r="BF144" s="1239">
        <v>0.16</v>
      </c>
      <c r="BG144" s="1236"/>
      <c r="BH144" s="1236" t="s">
        <v>165</v>
      </c>
      <c r="BI144" s="1236" t="s">
        <v>316</v>
      </c>
      <c r="BJ144" s="1236" t="s">
        <v>292</v>
      </c>
      <c r="BK144" s="1236"/>
      <c r="BL144" s="1238">
        <v>3746738145.810708</v>
      </c>
      <c r="BM144" s="1239"/>
      <c r="BN144" s="1236">
        <v>2005</v>
      </c>
      <c r="BO144" s="174"/>
      <c r="BP144" s="174"/>
      <c r="BQ144" s="174"/>
      <c r="BR144" s="174"/>
      <c r="BS144" s="174"/>
      <c r="BT144" s="174"/>
      <c r="BU144" s="174"/>
      <c r="BV144" s="174"/>
      <c r="BW144" s="174"/>
      <c r="BX144" s="174"/>
    </row>
    <row r="145" spans="1:76" s="152" customFormat="1" ht="15" customHeight="1" x14ac:dyDescent="0.25">
      <c r="A145" s="152">
        <f t="shared" si="4"/>
        <v>1982</v>
      </c>
      <c r="B145" s="152" t="str">
        <f t="shared" si="5"/>
        <v>1981-82</v>
      </c>
      <c r="C145" s="153">
        <v>30011</v>
      </c>
      <c r="D145" s="154"/>
      <c r="E145" s="155"/>
      <c r="F145" s="155"/>
      <c r="G145" s="155"/>
      <c r="H145" s="155"/>
      <c r="I145" s="156">
        <v>313.72715980765423</v>
      </c>
      <c r="J145" s="156">
        <v>329.50760869570001</v>
      </c>
      <c r="K145" s="157"/>
      <c r="L145" s="158"/>
      <c r="M145" s="159"/>
      <c r="N145" s="159"/>
      <c r="O145" s="160"/>
      <c r="P145" s="160"/>
      <c r="Q145" s="160"/>
      <c r="R145" s="160"/>
      <c r="S145" s="160"/>
      <c r="T145" s="160"/>
      <c r="U145" s="161"/>
      <c r="V145" s="161"/>
      <c r="W145" s="161"/>
      <c r="X145" s="161"/>
      <c r="Y145" s="162"/>
      <c r="Z145" s="162"/>
      <c r="AA145" s="162"/>
      <c r="AB145" s="162"/>
      <c r="AC145" s="163"/>
      <c r="AD145" s="163"/>
      <c r="AE145" s="163"/>
      <c r="AF145" s="163"/>
      <c r="AG145" s="163"/>
      <c r="AH145" s="163"/>
      <c r="AI145" s="163"/>
      <c r="AJ145" s="163"/>
      <c r="AK145" s="164">
        <v>31.62</v>
      </c>
      <c r="AL145" s="165"/>
      <c r="AM145" s="164"/>
      <c r="AN145" s="166"/>
      <c r="AO145" s="164"/>
      <c r="AP145" s="164"/>
      <c r="AS145" s="167"/>
      <c r="AT145" s="1170"/>
      <c r="AU145" s="1171"/>
      <c r="AV145" s="1171"/>
      <c r="AW145" s="1172"/>
      <c r="AX145" s="1172"/>
      <c r="AY145" s="1172"/>
      <c r="AZ145" s="1172"/>
      <c r="BA145" s="1236" t="s">
        <v>61</v>
      </c>
      <c r="BB145" s="1237">
        <v>2012</v>
      </c>
      <c r="BC145" s="1236" t="s">
        <v>308</v>
      </c>
      <c r="BD145" s="1236">
        <v>3</v>
      </c>
      <c r="BE145" s="1238">
        <v>260340203</v>
      </c>
      <c r="BF145" s="1239">
        <v>7.6999999999999999E-2</v>
      </c>
      <c r="BG145" s="1236"/>
      <c r="BH145" s="1236" t="s">
        <v>165</v>
      </c>
      <c r="BI145" s="1236" t="s">
        <v>317</v>
      </c>
      <c r="BJ145" s="1236" t="s">
        <v>283</v>
      </c>
      <c r="BK145" s="1236">
        <v>1</v>
      </c>
      <c r="BL145" s="1238">
        <v>478279994.31</v>
      </c>
      <c r="BM145" s="1239">
        <v>0.15659038074301374</v>
      </c>
      <c r="BN145" s="1236">
        <v>2004</v>
      </c>
      <c r="BO145" s="174"/>
      <c r="BP145" s="174"/>
      <c r="BQ145" s="174"/>
      <c r="BR145" s="174"/>
      <c r="BS145" s="174"/>
      <c r="BT145" s="174"/>
      <c r="BU145" s="174"/>
      <c r="BV145" s="174"/>
      <c r="BW145" s="174"/>
      <c r="BX145" s="174"/>
    </row>
    <row r="146" spans="1:76" s="152" customFormat="1" ht="15" customHeight="1" x14ac:dyDescent="0.25">
      <c r="A146" s="152">
        <f t="shared" si="4"/>
        <v>1982</v>
      </c>
      <c r="B146" s="152" t="str">
        <f t="shared" si="5"/>
        <v>1981-82</v>
      </c>
      <c r="C146" s="153">
        <v>30042</v>
      </c>
      <c r="D146" s="169"/>
      <c r="E146" s="170"/>
      <c r="F146" s="170"/>
      <c r="G146" s="170"/>
      <c r="H146" s="170"/>
      <c r="I146" s="169">
        <v>330.56613937499009</v>
      </c>
      <c r="J146" s="169">
        <v>350.6644736842</v>
      </c>
      <c r="K146" s="169"/>
      <c r="L146" s="170"/>
      <c r="M146" s="170"/>
      <c r="N146" s="170"/>
      <c r="O146" s="169"/>
      <c r="P146" s="169"/>
      <c r="Q146" s="169"/>
      <c r="R146" s="169"/>
      <c r="S146" s="169"/>
      <c r="T146" s="169"/>
      <c r="U146" s="170"/>
      <c r="V146" s="170"/>
      <c r="W146" s="170"/>
      <c r="X146" s="170"/>
      <c r="Y146" s="170"/>
      <c r="Z146" s="170"/>
      <c r="AA146" s="170"/>
      <c r="AB146" s="170"/>
      <c r="AC146" s="170"/>
      <c r="AD146" s="170"/>
      <c r="AE146" s="170"/>
      <c r="AF146" s="170"/>
      <c r="AG146" s="170"/>
      <c r="AH146" s="170"/>
      <c r="AI146" s="170"/>
      <c r="AJ146" s="170"/>
      <c r="AK146" s="170">
        <v>33.119999999999997</v>
      </c>
      <c r="AL146" s="171"/>
      <c r="AM146" s="170"/>
      <c r="AN146" s="172"/>
      <c r="AO146" s="170"/>
      <c r="AP146" s="170"/>
      <c r="AS146" s="167"/>
      <c r="AT146" s="1170"/>
      <c r="AU146" s="1171"/>
      <c r="AV146" s="1171"/>
      <c r="AW146" s="1172"/>
      <c r="AX146" s="1172"/>
      <c r="AY146" s="1172"/>
      <c r="AZ146" s="1172"/>
      <c r="BA146" s="1236" t="s">
        <v>61</v>
      </c>
      <c r="BB146" s="1237">
        <v>2012</v>
      </c>
      <c r="BC146" s="1236" t="s">
        <v>286</v>
      </c>
      <c r="BD146" s="1236">
        <v>4</v>
      </c>
      <c r="BE146" s="1238">
        <v>232655575</v>
      </c>
      <c r="BF146" s="1239">
        <v>6.9000000000000006E-2</v>
      </c>
      <c r="BG146" s="1236"/>
      <c r="BH146" s="1236" t="s">
        <v>165</v>
      </c>
      <c r="BI146" s="1236" t="s">
        <v>317</v>
      </c>
      <c r="BJ146" s="1236" t="s">
        <v>279</v>
      </c>
      <c r="BK146" s="1236">
        <v>2</v>
      </c>
      <c r="BL146" s="1238">
        <v>455149307.80000007</v>
      </c>
      <c r="BM146" s="1239">
        <v>0.14901732092337067</v>
      </c>
      <c r="BN146" s="1236">
        <v>2004</v>
      </c>
      <c r="BO146" s="174"/>
      <c r="BP146" s="174"/>
      <c r="BQ146" s="174"/>
      <c r="BR146" s="174"/>
      <c r="BS146" s="174"/>
      <c r="BT146" s="174"/>
      <c r="BU146" s="174"/>
      <c r="BV146" s="174"/>
      <c r="BW146" s="174"/>
      <c r="BX146" s="174"/>
    </row>
    <row r="147" spans="1:76" s="152" customFormat="1" ht="15" customHeight="1" x14ac:dyDescent="0.25">
      <c r="A147" s="152">
        <f t="shared" si="4"/>
        <v>1982</v>
      </c>
      <c r="B147" s="152" t="str">
        <f t="shared" si="5"/>
        <v>1981-82</v>
      </c>
      <c r="C147" s="153">
        <v>30074</v>
      </c>
      <c r="D147" s="154"/>
      <c r="E147" s="155"/>
      <c r="F147" s="155"/>
      <c r="G147" s="155"/>
      <c r="H147" s="155"/>
      <c r="I147" s="156">
        <v>317.10430098943857</v>
      </c>
      <c r="J147" s="156">
        <v>333.21315789469998</v>
      </c>
      <c r="K147" s="157"/>
      <c r="L147" s="158"/>
      <c r="M147" s="159"/>
      <c r="N147" s="159"/>
      <c r="O147" s="160"/>
      <c r="P147" s="160"/>
      <c r="Q147" s="160"/>
      <c r="R147" s="160"/>
      <c r="S147" s="160"/>
      <c r="T147" s="160"/>
      <c r="U147" s="161"/>
      <c r="V147" s="161"/>
      <c r="W147" s="161"/>
      <c r="X147" s="161"/>
      <c r="Y147" s="162"/>
      <c r="Z147" s="162"/>
      <c r="AA147" s="162"/>
      <c r="AB147" s="162"/>
      <c r="AC147" s="163"/>
      <c r="AD147" s="163"/>
      <c r="AE147" s="163"/>
      <c r="AF147" s="163"/>
      <c r="AG147" s="163"/>
      <c r="AH147" s="163"/>
      <c r="AI147" s="163"/>
      <c r="AJ147" s="163"/>
      <c r="AK147" s="164">
        <v>33.119999999999997</v>
      </c>
      <c r="AL147" s="165"/>
      <c r="AM147" s="164"/>
      <c r="AN147" s="166"/>
      <c r="AO147" s="164"/>
      <c r="AP147" s="164"/>
      <c r="AS147" s="167"/>
      <c r="AT147" s="1170"/>
      <c r="AU147" s="1171"/>
      <c r="AV147" s="1171"/>
      <c r="AW147" s="1172"/>
      <c r="AX147" s="1172"/>
      <c r="AY147" s="1172"/>
      <c r="AZ147" s="1172"/>
      <c r="BA147" s="1236" t="s">
        <v>61</v>
      </c>
      <c r="BB147" s="1237">
        <v>2012</v>
      </c>
      <c r="BC147" s="1236" t="s">
        <v>305</v>
      </c>
      <c r="BD147" s="1236">
        <v>5</v>
      </c>
      <c r="BE147" s="1238">
        <v>220086965</v>
      </c>
      <c r="BF147" s="1239">
        <v>6.6000000000000003E-2</v>
      </c>
      <c r="BG147" s="1236"/>
      <c r="BH147" s="1236" t="s">
        <v>165</v>
      </c>
      <c r="BI147" s="1236" t="s">
        <v>317</v>
      </c>
      <c r="BJ147" s="1236" t="s">
        <v>305</v>
      </c>
      <c r="BK147" s="1236">
        <v>3</v>
      </c>
      <c r="BL147" s="1238">
        <v>454276746.69000006</v>
      </c>
      <c r="BM147" s="1239">
        <v>0.14873164166004801</v>
      </c>
      <c r="BN147" s="1236">
        <v>2004</v>
      </c>
      <c r="BO147" s="174"/>
      <c r="BP147" s="174"/>
      <c r="BQ147" s="174"/>
      <c r="BR147" s="174"/>
      <c r="BS147" s="174"/>
      <c r="BT147" s="174"/>
      <c r="BU147" s="174"/>
      <c r="BV147" s="174"/>
      <c r="BW147" s="174"/>
      <c r="BX147" s="174"/>
    </row>
    <row r="148" spans="1:76" s="152" customFormat="1" ht="15" customHeight="1" x14ac:dyDescent="0.25">
      <c r="A148" s="152">
        <f t="shared" si="4"/>
        <v>1982</v>
      </c>
      <c r="B148" s="152" t="str">
        <f t="shared" si="5"/>
        <v>1981-82</v>
      </c>
      <c r="C148" s="153">
        <v>30103</v>
      </c>
      <c r="D148" s="169"/>
      <c r="E148" s="170"/>
      <c r="F148" s="170"/>
      <c r="G148" s="170"/>
      <c r="H148" s="170"/>
      <c r="I148" s="169">
        <v>307.92183704996444</v>
      </c>
      <c r="J148" s="169">
        <v>314.78863636360001</v>
      </c>
      <c r="K148" s="169"/>
      <c r="L148" s="170"/>
      <c r="M148" s="170"/>
      <c r="N148" s="170"/>
      <c r="O148" s="169"/>
      <c r="P148" s="169"/>
      <c r="Q148" s="169"/>
      <c r="R148" s="169"/>
      <c r="S148" s="169"/>
      <c r="T148" s="169"/>
      <c r="U148" s="170"/>
      <c r="V148" s="170"/>
      <c r="W148" s="170"/>
      <c r="X148" s="170"/>
      <c r="Y148" s="170"/>
      <c r="Z148" s="170"/>
      <c r="AA148" s="170"/>
      <c r="AB148" s="170"/>
      <c r="AC148" s="170"/>
      <c r="AD148" s="170"/>
      <c r="AE148" s="170"/>
      <c r="AF148" s="170"/>
      <c r="AG148" s="170"/>
      <c r="AH148" s="170"/>
      <c r="AI148" s="170"/>
      <c r="AJ148" s="170"/>
      <c r="AK148" s="170">
        <v>34.6</v>
      </c>
      <c r="AL148" s="171"/>
      <c r="AM148" s="170"/>
      <c r="AN148" s="172"/>
      <c r="AO148" s="170"/>
      <c r="AP148" s="170"/>
      <c r="AS148" s="167"/>
      <c r="AT148" s="1170"/>
      <c r="AU148" s="1171"/>
      <c r="AV148" s="1171"/>
      <c r="AW148" s="1172"/>
      <c r="AX148" s="1172"/>
      <c r="AY148" s="1172"/>
      <c r="AZ148" s="1172"/>
      <c r="BA148" s="1236" t="s">
        <v>61</v>
      </c>
      <c r="BB148" s="1237">
        <v>2012</v>
      </c>
      <c r="BC148" s="1236" t="s">
        <v>306</v>
      </c>
      <c r="BD148" s="1236">
        <v>6</v>
      </c>
      <c r="BE148" s="1238">
        <v>202881775</v>
      </c>
      <c r="BF148" s="1239">
        <v>0.06</v>
      </c>
      <c r="BG148" s="1236"/>
      <c r="BH148" s="1236" t="s">
        <v>165</v>
      </c>
      <c r="BI148" s="1236" t="s">
        <v>317</v>
      </c>
      <c r="BJ148" s="1236" t="s">
        <v>281</v>
      </c>
      <c r="BK148" s="1236">
        <v>4</v>
      </c>
      <c r="BL148" s="1238">
        <v>402902144.86000001</v>
      </c>
      <c r="BM148" s="1239">
        <v>0.13191143475867764</v>
      </c>
      <c r="BN148" s="1236">
        <v>2004</v>
      </c>
      <c r="BO148" s="174"/>
      <c r="BP148" s="174"/>
      <c r="BQ148" s="174"/>
      <c r="BR148" s="174"/>
      <c r="BS148" s="174"/>
      <c r="BT148" s="174"/>
      <c r="BU148" s="174"/>
      <c r="BV148" s="174"/>
      <c r="BW148" s="174"/>
      <c r="BX148" s="174"/>
    </row>
    <row r="149" spans="1:76" s="152" customFormat="1" ht="15" customHeight="1" x14ac:dyDescent="0.25">
      <c r="A149" s="152">
        <f t="shared" si="4"/>
        <v>1982</v>
      </c>
      <c r="B149" s="152" t="str">
        <f t="shared" si="5"/>
        <v>1982-83</v>
      </c>
      <c r="C149" s="153">
        <v>30133</v>
      </c>
      <c r="D149" s="154"/>
      <c r="E149" s="155"/>
      <c r="F149" s="155"/>
      <c r="G149" s="155"/>
      <c r="H149" s="155"/>
      <c r="I149" s="156">
        <v>341.33894263631794</v>
      </c>
      <c r="J149" s="156">
        <v>339.90454545450001</v>
      </c>
      <c r="K149" s="157"/>
      <c r="L149" s="158"/>
      <c r="M149" s="159"/>
      <c r="N149" s="159"/>
      <c r="O149" s="160"/>
      <c r="P149" s="160"/>
      <c r="Q149" s="160"/>
      <c r="R149" s="160"/>
      <c r="S149" s="160"/>
      <c r="T149" s="160"/>
      <c r="U149" s="161"/>
      <c r="V149" s="161"/>
      <c r="W149" s="161"/>
      <c r="X149" s="161"/>
      <c r="Y149" s="162"/>
      <c r="Z149" s="162"/>
      <c r="AA149" s="162"/>
      <c r="AB149" s="162"/>
      <c r="AC149" s="163"/>
      <c r="AD149" s="163"/>
      <c r="AE149" s="163"/>
      <c r="AF149" s="163"/>
      <c r="AG149" s="163"/>
      <c r="AH149" s="163"/>
      <c r="AI149" s="163"/>
      <c r="AJ149" s="163"/>
      <c r="AK149" s="164">
        <v>33.700000000000003</v>
      </c>
      <c r="AL149" s="165"/>
      <c r="AM149" s="164"/>
      <c r="AN149" s="166"/>
      <c r="AO149" s="164"/>
      <c r="AP149" s="164"/>
      <c r="AS149" s="167"/>
      <c r="AT149" s="1170"/>
      <c r="AU149" s="1171"/>
      <c r="AV149" s="1171"/>
      <c r="AW149" s="1172"/>
      <c r="AX149" s="1172"/>
      <c r="AY149" s="1172"/>
      <c r="AZ149" s="1172"/>
      <c r="BA149" s="1236" t="s">
        <v>61</v>
      </c>
      <c r="BB149" s="1237">
        <v>2012</v>
      </c>
      <c r="BC149" s="1236" t="s">
        <v>310</v>
      </c>
      <c r="BD149" s="1236">
        <v>7</v>
      </c>
      <c r="BE149" s="1238">
        <v>142342132</v>
      </c>
      <c r="BF149" s="1239">
        <v>4.2000000000000003E-2</v>
      </c>
      <c r="BG149" s="1236"/>
      <c r="BH149" s="1236" t="s">
        <v>165</v>
      </c>
      <c r="BI149" s="1236" t="s">
        <v>317</v>
      </c>
      <c r="BJ149" s="1236" t="s">
        <v>282</v>
      </c>
      <c r="BK149" s="1236">
        <v>5</v>
      </c>
      <c r="BL149" s="1238">
        <v>371991493.28000003</v>
      </c>
      <c r="BM149" s="1239">
        <v>0.121791189802771</v>
      </c>
      <c r="BN149" s="1236">
        <v>2004</v>
      </c>
      <c r="BO149" s="174"/>
      <c r="BP149" s="174"/>
      <c r="BQ149" s="174"/>
      <c r="BR149" s="174"/>
      <c r="BS149" s="174"/>
      <c r="BT149" s="174"/>
      <c r="BU149" s="174"/>
      <c r="BV149" s="174"/>
      <c r="BW149" s="174"/>
      <c r="BX149" s="174"/>
    </row>
    <row r="150" spans="1:76" s="152" customFormat="1" ht="15" customHeight="1" x14ac:dyDescent="0.25">
      <c r="A150" s="152">
        <f t="shared" si="4"/>
        <v>1982</v>
      </c>
      <c r="B150" s="152" t="str">
        <f t="shared" si="5"/>
        <v>1982-83</v>
      </c>
      <c r="C150" s="153">
        <v>30165</v>
      </c>
      <c r="D150" s="169"/>
      <c r="E150" s="170"/>
      <c r="F150" s="170"/>
      <c r="G150" s="170"/>
      <c r="H150" s="170"/>
      <c r="I150" s="169">
        <v>379.03821728566987</v>
      </c>
      <c r="J150" s="169">
        <v>365.50714285710001</v>
      </c>
      <c r="K150" s="169"/>
      <c r="L150" s="170"/>
      <c r="M150" s="170"/>
      <c r="N150" s="170"/>
      <c r="O150" s="169"/>
      <c r="P150" s="169"/>
      <c r="Q150" s="169"/>
      <c r="R150" s="169"/>
      <c r="S150" s="169"/>
      <c r="T150" s="169"/>
      <c r="U150" s="170"/>
      <c r="V150" s="170"/>
      <c r="W150" s="170"/>
      <c r="X150" s="170"/>
      <c r="Y150" s="170"/>
      <c r="Z150" s="170"/>
      <c r="AA150" s="170"/>
      <c r="AB150" s="170"/>
      <c r="AC150" s="170"/>
      <c r="AD150" s="170"/>
      <c r="AE150" s="170"/>
      <c r="AF150" s="170"/>
      <c r="AG150" s="170"/>
      <c r="AH150" s="170"/>
      <c r="AI150" s="170"/>
      <c r="AJ150" s="170"/>
      <c r="AK150" s="170">
        <v>33.700000000000003</v>
      </c>
      <c r="AL150" s="171"/>
      <c r="AM150" s="170"/>
      <c r="AN150" s="172"/>
      <c r="AO150" s="170"/>
      <c r="AP150" s="170"/>
      <c r="AS150" s="167"/>
      <c r="AT150" s="1170"/>
      <c r="AU150" s="1171"/>
      <c r="AV150" s="1171"/>
      <c r="AW150" s="1172"/>
      <c r="AX150" s="1172"/>
      <c r="AY150" s="1172"/>
      <c r="AZ150" s="1172"/>
      <c r="BA150" s="1236" t="s">
        <v>61</v>
      </c>
      <c r="BB150" s="1237">
        <v>2012</v>
      </c>
      <c r="BC150" s="1236" t="s">
        <v>309</v>
      </c>
      <c r="BD150" s="1236">
        <v>8</v>
      </c>
      <c r="BE150" s="1238">
        <v>135353736</v>
      </c>
      <c r="BF150" s="1239">
        <v>0.04</v>
      </c>
      <c r="BG150" s="1236"/>
      <c r="BH150" s="1236" t="s">
        <v>165</v>
      </c>
      <c r="BI150" s="1236" t="s">
        <v>317</v>
      </c>
      <c r="BJ150" s="1236" t="s">
        <v>284</v>
      </c>
      <c r="BK150" s="1236">
        <v>6</v>
      </c>
      <c r="BL150" s="1238">
        <v>317299989.79999995</v>
      </c>
      <c r="BM150" s="1239">
        <v>0.10388501882504417</v>
      </c>
      <c r="BN150" s="1236">
        <v>2004</v>
      </c>
      <c r="BO150" s="174"/>
      <c r="BP150" s="174"/>
      <c r="BQ150" s="174"/>
      <c r="BR150" s="174"/>
      <c r="BS150" s="174"/>
      <c r="BT150" s="174"/>
      <c r="BU150" s="174"/>
      <c r="BV150" s="174"/>
      <c r="BW150" s="174"/>
      <c r="BX150" s="174"/>
    </row>
    <row r="151" spans="1:76" s="152" customFormat="1" ht="15" customHeight="1" x14ac:dyDescent="0.25">
      <c r="A151" s="152">
        <f t="shared" si="4"/>
        <v>1982</v>
      </c>
      <c r="B151" s="152" t="str">
        <f t="shared" si="5"/>
        <v>1982-83</v>
      </c>
      <c r="C151" s="153">
        <v>30195</v>
      </c>
      <c r="D151" s="154"/>
      <c r="E151" s="155"/>
      <c r="F151" s="155"/>
      <c r="G151" s="155"/>
      <c r="H151" s="155"/>
      <c r="I151" s="156">
        <v>460.590354875</v>
      </c>
      <c r="J151" s="156">
        <v>437.23750000000001</v>
      </c>
      <c r="K151" s="157"/>
      <c r="L151" s="158"/>
      <c r="M151" s="159"/>
      <c r="N151" s="159"/>
      <c r="O151" s="160"/>
      <c r="P151" s="160"/>
      <c r="Q151" s="160"/>
      <c r="R151" s="160"/>
      <c r="S151" s="160"/>
      <c r="T151" s="160"/>
      <c r="U151" s="161"/>
      <c r="V151" s="161"/>
      <c r="W151" s="161"/>
      <c r="X151" s="161"/>
      <c r="Y151" s="162"/>
      <c r="Z151" s="162"/>
      <c r="AA151" s="162"/>
      <c r="AB151" s="162"/>
      <c r="AC151" s="163"/>
      <c r="AD151" s="163"/>
      <c r="AE151" s="163"/>
      <c r="AF151" s="163"/>
      <c r="AG151" s="163"/>
      <c r="AH151" s="163"/>
      <c r="AI151" s="163"/>
      <c r="AJ151" s="163"/>
      <c r="AK151" s="164">
        <v>34.25</v>
      </c>
      <c r="AL151" s="165"/>
      <c r="AM151" s="164"/>
      <c r="AN151" s="166"/>
      <c r="AO151" s="164"/>
      <c r="AP151" s="164"/>
      <c r="AS151" s="167"/>
      <c r="AT151" s="1170"/>
      <c r="AU151" s="1171"/>
      <c r="AV151" s="1171"/>
      <c r="AW151" s="1172"/>
      <c r="AX151" s="1172"/>
      <c r="AY151" s="1172"/>
      <c r="AZ151" s="1172"/>
      <c r="BA151" s="1236" t="s">
        <v>61</v>
      </c>
      <c r="BB151" s="1237">
        <v>2012</v>
      </c>
      <c r="BC151" s="1236" t="s">
        <v>312</v>
      </c>
      <c r="BD151" s="1236">
        <v>9</v>
      </c>
      <c r="BE151" s="1238">
        <v>108395416</v>
      </c>
      <c r="BF151" s="1239">
        <v>3.2000000000000001E-2</v>
      </c>
      <c r="BG151" s="1236"/>
      <c r="BH151" s="1236" t="s">
        <v>165</v>
      </c>
      <c r="BI151" s="1236" t="s">
        <v>317</v>
      </c>
      <c r="BJ151" s="1236" t="s">
        <v>298</v>
      </c>
      <c r="BK151" s="1236">
        <v>7</v>
      </c>
      <c r="BL151" s="1238">
        <v>183622090.74000001</v>
      </c>
      <c r="BM151" s="1239">
        <v>6.011845246273901E-2</v>
      </c>
      <c r="BN151" s="1236">
        <v>2004</v>
      </c>
      <c r="BO151" s="174"/>
      <c r="BP151" s="174"/>
      <c r="BQ151" s="174"/>
      <c r="BR151" s="174"/>
      <c r="BS151" s="174"/>
      <c r="BT151" s="174"/>
      <c r="BU151" s="174"/>
      <c r="BV151" s="174"/>
      <c r="BW151" s="174"/>
      <c r="BX151" s="174"/>
    </row>
    <row r="152" spans="1:76" s="152" customFormat="1" ht="15" customHeight="1" x14ac:dyDescent="0.25">
      <c r="A152" s="152">
        <f t="shared" si="4"/>
        <v>1982</v>
      </c>
      <c r="B152" s="152" t="str">
        <f t="shared" si="5"/>
        <v>1982-83</v>
      </c>
      <c r="C152" s="153">
        <v>30225</v>
      </c>
      <c r="D152" s="169"/>
      <c r="E152" s="170"/>
      <c r="F152" s="170"/>
      <c r="G152" s="170"/>
      <c r="H152" s="170"/>
      <c r="I152" s="169">
        <v>451.2927555</v>
      </c>
      <c r="J152" s="169">
        <v>422.72500000000002</v>
      </c>
      <c r="K152" s="169"/>
      <c r="L152" s="170"/>
      <c r="M152" s="170"/>
      <c r="N152" s="170"/>
      <c r="O152" s="169"/>
      <c r="P152" s="169"/>
      <c r="Q152" s="169"/>
      <c r="R152" s="169"/>
      <c r="S152" s="169"/>
      <c r="T152" s="169"/>
      <c r="U152" s="170"/>
      <c r="V152" s="170"/>
      <c r="W152" s="170"/>
      <c r="X152" s="170"/>
      <c r="Y152" s="170"/>
      <c r="Z152" s="170"/>
      <c r="AA152" s="170"/>
      <c r="AB152" s="170"/>
      <c r="AC152" s="170"/>
      <c r="AD152" s="170"/>
      <c r="AE152" s="170"/>
      <c r="AF152" s="170"/>
      <c r="AG152" s="170"/>
      <c r="AH152" s="170"/>
      <c r="AI152" s="170"/>
      <c r="AJ152" s="170"/>
      <c r="AK152" s="170">
        <v>35</v>
      </c>
      <c r="AL152" s="171"/>
      <c r="AM152" s="170"/>
      <c r="AN152" s="172"/>
      <c r="AO152" s="170"/>
      <c r="AP152" s="170"/>
      <c r="AS152" s="167"/>
      <c r="AT152" s="1170"/>
      <c r="AU152" s="1171"/>
      <c r="AV152" s="1171"/>
      <c r="AW152" s="1172"/>
      <c r="AX152" s="1172"/>
      <c r="AY152" s="1172"/>
      <c r="AZ152" s="1172"/>
      <c r="BA152" s="1236" t="s">
        <v>61</v>
      </c>
      <c r="BB152" s="1237">
        <v>2012</v>
      </c>
      <c r="BC152" s="1236" t="s">
        <v>314</v>
      </c>
      <c r="BD152" s="1236">
        <v>10</v>
      </c>
      <c r="BE152" s="1238">
        <v>68825847</v>
      </c>
      <c r="BF152" s="1239">
        <v>0.02</v>
      </c>
      <c r="BG152" s="1236"/>
      <c r="BH152" s="1236" t="s">
        <v>165</v>
      </c>
      <c r="BI152" s="1236" t="s">
        <v>317</v>
      </c>
      <c r="BJ152" s="1236" t="s">
        <v>289</v>
      </c>
      <c r="BK152" s="1236">
        <v>8</v>
      </c>
      <c r="BL152" s="1238">
        <v>144106677.22000003</v>
      </c>
      <c r="BM152" s="1239">
        <v>4.7180981270281371E-2</v>
      </c>
      <c r="BN152" s="1236">
        <v>2004</v>
      </c>
      <c r="BO152" s="174"/>
      <c r="BP152" s="174"/>
      <c r="BQ152" s="174"/>
      <c r="BR152" s="174"/>
      <c r="BS152" s="174"/>
      <c r="BT152" s="174"/>
      <c r="BU152" s="174"/>
      <c r="BV152" s="174"/>
      <c r="BW152" s="174"/>
      <c r="BX152" s="174"/>
    </row>
    <row r="153" spans="1:76" s="152" customFormat="1" ht="15" customHeight="1" x14ac:dyDescent="0.25">
      <c r="A153" s="152">
        <f t="shared" si="4"/>
        <v>1982</v>
      </c>
      <c r="B153" s="152" t="str">
        <f t="shared" si="5"/>
        <v>1982-83</v>
      </c>
      <c r="C153" s="153">
        <v>30256</v>
      </c>
      <c r="D153" s="154"/>
      <c r="E153" s="155"/>
      <c r="F153" s="155"/>
      <c r="G153" s="155"/>
      <c r="H153" s="155"/>
      <c r="I153" s="156">
        <v>434.86508927273672</v>
      </c>
      <c r="J153" s="156">
        <v>415.20909090909998</v>
      </c>
      <c r="K153" s="157"/>
      <c r="L153" s="158"/>
      <c r="M153" s="159"/>
      <c r="N153" s="159"/>
      <c r="O153" s="160"/>
      <c r="P153" s="160"/>
      <c r="Q153" s="160"/>
      <c r="R153" s="160"/>
      <c r="S153" s="160"/>
      <c r="T153" s="160"/>
      <c r="U153" s="161"/>
      <c r="V153" s="161"/>
      <c r="W153" s="161"/>
      <c r="X153" s="161"/>
      <c r="Y153" s="162"/>
      <c r="Z153" s="162"/>
      <c r="AA153" s="162"/>
      <c r="AB153" s="162"/>
      <c r="AC153" s="163"/>
      <c r="AD153" s="163"/>
      <c r="AE153" s="163"/>
      <c r="AF153" s="163"/>
      <c r="AG153" s="163"/>
      <c r="AH153" s="163"/>
      <c r="AI153" s="163"/>
      <c r="AJ153" s="163"/>
      <c r="AK153" s="164">
        <v>33.799999999999997</v>
      </c>
      <c r="AL153" s="165"/>
      <c r="AM153" s="164"/>
      <c r="AN153" s="166"/>
      <c r="AO153" s="164"/>
      <c r="AP153" s="164"/>
      <c r="AS153" s="167"/>
      <c r="AT153" s="1170"/>
      <c r="AU153" s="1171"/>
      <c r="AV153" s="1171"/>
      <c r="AW153" s="1172"/>
      <c r="AX153" s="1172"/>
      <c r="AY153" s="1172"/>
      <c r="AZ153" s="1172"/>
      <c r="BA153" s="1236" t="s">
        <v>61</v>
      </c>
      <c r="BB153" s="1237">
        <v>2012</v>
      </c>
      <c r="BC153" s="1236" t="s">
        <v>291</v>
      </c>
      <c r="BD153" s="1236"/>
      <c r="BE153" s="1238">
        <v>266306367</v>
      </c>
      <c r="BF153" s="1239">
        <v>7.9000000000000001E-2</v>
      </c>
      <c r="BG153" s="1236"/>
      <c r="BH153" s="1236" t="s">
        <v>165</v>
      </c>
      <c r="BI153" s="1236" t="s">
        <v>317</v>
      </c>
      <c r="BJ153" s="1236" t="s">
        <v>318</v>
      </c>
      <c r="BK153" s="1236">
        <v>9</v>
      </c>
      <c r="BL153" s="1238">
        <v>78530298</v>
      </c>
      <c r="BM153" s="1239">
        <v>2.5711067596341695E-2</v>
      </c>
      <c r="BN153" s="1236">
        <v>2004</v>
      </c>
      <c r="BO153" s="174"/>
      <c r="BP153" s="174"/>
      <c r="BQ153" s="174"/>
      <c r="BR153" s="174"/>
      <c r="BS153" s="174"/>
      <c r="BT153" s="174"/>
      <c r="BU153" s="174"/>
      <c r="BV153" s="174"/>
      <c r="BW153" s="174"/>
      <c r="BX153" s="174"/>
    </row>
    <row r="154" spans="1:76" s="152" customFormat="1" ht="15" customHeight="1" x14ac:dyDescent="0.25">
      <c r="A154" s="152">
        <f t="shared" si="4"/>
        <v>1982</v>
      </c>
      <c r="B154" s="152" t="str">
        <f t="shared" si="5"/>
        <v>1982-83</v>
      </c>
      <c r="C154" s="153">
        <v>30286</v>
      </c>
      <c r="D154" s="169"/>
      <c r="E154" s="170"/>
      <c r="F154" s="170"/>
      <c r="G154" s="170"/>
      <c r="H154" s="170"/>
      <c r="I154" s="169">
        <v>453.19161008113065</v>
      </c>
      <c r="J154" s="169">
        <v>444.40135135140002</v>
      </c>
      <c r="K154" s="169"/>
      <c r="L154" s="170"/>
      <c r="M154" s="170"/>
      <c r="N154" s="170"/>
      <c r="O154" s="169"/>
      <c r="P154" s="169"/>
      <c r="Q154" s="169"/>
      <c r="R154" s="169"/>
      <c r="S154" s="169"/>
      <c r="T154" s="169"/>
      <c r="U154" s="170"/>
      <c r="V154" s="170"/>
      <c r="W154" s="170"/>
      <c r="X154" s="170"/>
      <c r="Y154" s="170"/>
      <c r="Z154" s="170"/>
      <c r="AA154" s="170"/>
      <c r="AB154" s="170"/>
      <c r="AC154" s="170"/>
      <c r="AD154" s="170"/>
      <c r="AE154" s="170"/>
      <c r="AF154" s="170"/>
      <c r="AG154" s="170"/>
      <c r="AH154" s="170"/>
      <c r="AI154" s="170"/>
      <c r="AJ154" s="170"/>
      <c r="AK154" s="170">
        <v>33.799999999999997</v>
      </c>
      <c r="AL154" s="171"/>
      <c r="AM154" s="170"/>
      <c r="AN154" s="172"/>
      <c r="AO154" s="170"/>
      <c r="AP154" s="170"/>
      <c r="AS154" s="167"/>
      <c r="AT154" s="1170"/>
      <c r="AU154" s="1171"/>
      <c r="AV154" s="1171"/>
      <c r="AW154" s="1172"/>
      <c r="AX154" s="1172"/>
      <c r="AY154" s="1172"/>
      <c r="AZ154" s="1172"/>
      <c r="BA154" s="1236" t="s">
        <v>61</v>
      </c>
      <c r="BB154" s="1237">
        <v>2012</v>
      </c>
      <c r="BC154" s="1236" t="s">
        <v>292</v>
      </c>
      <c r="BD154" s="1236"/>
      <c r="BE154" s="1238">
        <v>3359726903</v>
      </c>
      <c r="BF154" s="1239"/>
      <c r="BG154" s="1236"/>
      <c r="BH154" s="1236" t="s">
        <v>165</v>
      </c>
      <c r="BI154" s="1236" t="s">
        <v>317</v>
      </c>
      <c r="BJ154" s="1236" t="s">
        <v>291</v>
      </c>
      <c r="BK154" s="1236"/>
      <c r="BL154" s="1238">
        <v>168179538.10999966</v>
      </c>
      <c r="BM154" s="1239">
        <v>5.5062511957712487E-2</v>
      </c>
      <c r="BN154" s="1236">
        <v>2004</v>
      </c>
      <c r="BO154" s="174"/>
      <c r="BP154" s="174"/>
      <c r="BQ154" s="174"/>
      <c r="BR154" s="174"/>
      <c r="BS154" s="174"/>
      <c r="BT154" s="174"/>
      <c r="BU154" s="174"/>
      <c r="BV154" s="174"/>
      <c r="BW154" s="174"/>
      <c r="BX154" s="174"/>
    </row>
    <row r="155" spans="1:76" s="152" customFormat="1" ht="15" customHeight="1" x14ac:dyDescent="0.25">
      <c r="A155" s="152">
        <f t="shared" si="4"/>
        <v>1983</v>
      </c>
      <c r="B155" s="152" t="str">
        <f t="shared" si="5"/>
        <v>1982-83</v>
      </c>
      <c r="C155" s="153">
        <v>30319</v>
      </c>
      <c r="D155" s="154"/>
      <c r="E155" s="155"/>
      <c r="F155" s="155"/>
      <c r="G155" s="155"/>
      <c r="H155" s="155"/>
      <c r="I155" s="156">
        <v>496.77226775000003</v>
      </c>
      <c r="J155" s="156">
        <v>482.76249999999999</v>
      </c>
      <c r="K155" s="157"/>
      <c r="L155" s="158"/>
      <c r="M155" s="159"/>
      <c r="N155" s="159"/>
      <c r="O155" s="160"/>
      <c r="P155" s="160"/>
      <c r="Q155" s="160"/>
      <c r="R155" s="160"/>
      <c r="S155" s="160"/>
      <c r="T155" s="160"/>
      <c r="U155" s="161"/>
      <c r="V155" s="161"/>
      <c r="W155" s="161"/>
      <c r="X155" s="161"/>
      <c r="Y155" s="162"/>
      <c r="Z155" s="162"/>
      <c r="AA155" s="162"/>
      <c r="AB155" s="162"/>
      <c r="AC155" s="163"/>
      <c r="AD155" s="163"/>
      <c r="AE155" s="163"/>
      <c r="AF155" s="163"/>
      <c r="AG155" s="163"/>
      <c r="AH155" s="163"/>
      <c r="AI155" s="163"/>
      <c r="AJ155" s="163"/>
      <c r="AK155" s="164">
        <v>31.75</v>
      </c>
      <c r="AL155" s="165"/>
      <c r="AM155" s="164"/>
      <c r="AN155" s="166"/>
      <c r="AO155" s="164"/>
      <c r="AP155" s="164"/>
      <c r="AS155" s="167"/>
      <c r="AT155" s="1170"/>
      <c r="AU155" s="1171"/>
      <c r="AV155" s="1171"/>
      <c r="AW155" s="1172"/>
      <c r="AX155" s="1172"/>
      <c r="AY155" s="1172"/>
      <c r="AZ155" s="1172"/>
      <c r="BA155" s="1236" t="s">
        <v>61</v>
      </c>
      <c r="BB155" s="1237">
        <v>2011</v>
      </c>
      <c r="BC155" s="1236" t="s">
        <v>281</v>
      </c>
      <c r="BD155" s="1236">
        <v>1</v>
      </c>
      <c r="BE155" s="1238">
        <v>1546788907</v>
      </c>
      <c r="BF155" s="1239">
        <v>0.443</v>
      </c>
      <c r="BG155" s="1236"/>
      <c r="BH155" s="1236" t="s">
        <v>165</v>
      </c>
      <c r="BI155" s="1236" t="s">
        <v>317</v>
      </c>
      <c r="BJ155" s="1236" t="s">
        <v>292</v>
      </c>
      <c r="BK155" s="1236"/>
      <c r="BL155" s="1238">
        <v>3054338280.8100004</v>
      </c>
      <c r="BM155" s="1239"/>
      <c r="BN155" s="1236">
        <v>2004</v>
      </c>
      <c r="BO155" s="174"/>
      <c r="BP155" s="174"/>
      <c r="BQ155" s="174"/>
      <c r="BR155" s="174"/>
      <c r="BS155" s="174"/>
      <c r="BT155" s="174"/>
      <c r="BU155" s="174"/>
      <c r="BV155" s="174"/>
      <c r="BW155" s="174"/>
      <c r="BX155" s="174"/>
    </row>
    <row r="156" spans="1:76" s="152" customFormat="1" ht="15" customHeight="1" x14ac:dyDescent="0.25">
      <c r="A156" s="152">
        <f t="shared" si="4"/>
        <v>1983</v>
      </c>
      <c r="B156" s="152" t="str">
        <f t="shared" si="5"/>
        <v>1982-83</v>
      </c>
      <c r="C156" s="153">
        <v>30348</v>
      </c>
      <c r="D156" s="169"/>
      <c r="E156" s="170"/>
      <c r="F156" s="170"/>
      <c r="G156" s="170"/>
      <c r="H156" s="170"/>
      <c r="I156" s="169">
        <v>508.79852500000004</v>
      </c>
      <c r="J156" s="169">
        <v>488.75</v>
      </c>
      <c r="K156" s="169"/>
      <c r="L156" s="170"/>
      <c r="M156" s="170"/>
      <c r="N156" s="170"/>
      <c r="O156" s="169"/>
      <c r="P156" s="169"/>
      <c r="Q156" s="169"/>
      <c r="R156" s="169"/>
      <c r="S156" s="169"/>
      <c r="T156" s="169"/>
      <c r="U156" s="170"/>
      <c r="V156" s="170"/>
      <c r="W156" s="170"/>
      <c r="X156" s="170"/>
      <c r="Y156" s="170"/>
      <c r="Z156" s="170"/>
      <c r="AA156" s="170"/>
      <c r="AB156" s="170"/>
      <c r="AC156" s="170"/>
      <c r="AD156" s="170"/>
      <c r="AE156" s="170"/>
      <c r="AF156" s="170"/>
      <c r="AG156" s="170"/>
      <c r="AH156" s="170"/>
      <c r="AI156" s="170"/>
      <c r="AJ156" s="170"/>
      <c r="AK156" s="170">
        <v>29.1</v>
      </c>
      <c r="AL156" s="171"/>
      <c r="AM156" s="170"/>
      <c r="AN156" s="172"/>
      <c r="AO156" s="170"/>
      <c r="AP156" s="170"/>
      <c r="AS156" s="167"/>
      <c r="AT156" s="1170"/>
      <c r="AU156" s="1171"/>
      <c r="AV156" s="1171"/>
      <c r="AW156" s="1172"/>
      <c r="AX156" s="1172"/>
      <c r="AY156" s="1172"/>
      <c r="AZ156" s="1172"/>
      <c r="BA156" s="1236" t="s">
        <v>61</v>
      </c>
      <c r="BB156" s="1237">
        <v>2011</v>
      </c>
      <c r="BC156" s="1236" t="s">
        <v>305</v>
      </c>
      <c r="BD156" s="1236">
        <v>2</v>
      </c>
      <c r="BE156" s="1238">
        <v>370151125</v>
      </c>
      <c r="BF156" s="1239">
        <v>0.106</v>
      </c>
      <c r="BG156" s="1236"/>
      <c r="BH156" s="1236" t="s">
        <v>61</v>
      </c>
      <c r="BI156" s="1236" t="s">
        <v>280</v>
      </c>
      <c r="BJ156" s="1236" t="s">
        <v>285</v>
      </c>
      <c r="BK156" s="1236">
        <v>1</v>
      </c>
      <c r="BL156" s="1238">
        <v>770258811</v>
      </c>
      <c r="BM156" s="1239">
        <v>0.40100000000000002</v>
      </c>
      <c r="BN156" s="1236">
        <v>2015</v>
      </c>
      <c r="BO156" s="174"/>
      <c r="BP156" s="174"/>
      <c r="BQ156" s="174"/>
      <c r="BR156" s="174"/>
      <c r="BS156" s="174"/>
      <c r="BT156" s="174"/>
      <c r="BU156" s="174"/>
      <c r="BV156" s="174"/>
      <c r="BW156" s="174"/>
      <c r="BX156" s="174"/>
    </row>
    <row r="157" spans="1:76" s="152" customFormat="1" ht="15" customHeight="1" x14ac:dyDescent="0.25">
      <c r="A157" s="152">
        <f t="shared" si="4"/>
        <v>1983</v>
      </c>
      <c r="B157" s="152" t="str">
        <f t="shared" si="5"/>
        <v>1982-83</v>
      </c>
      <c r="C157" s="153">
        <v>30376</v>
      </c>
      <c r="D157" s="154"/>
      <c r="E157" s="155"/>
      <c r="F157" s="155"/>
      <c r="G157" s="155"/>
      <c r="H157" s="155"/>
      <c r="I157" s="156">
        <v>486.65716999999995</v>
      </c>
      <c r="J157" s="156">
        <v>419.9375</v>
      </c>
      <c r="K157" s="157"/>
      <c r="L157" s="158"/>
      <c r="M157" s="159"/>
      <c r="N157" s="159"/>
      <c r="O157" s="160"/>
      <c r="P157" s="160"/>
      <c r="Q157" s="160"/>
      <c r="R157" s="160"/>
      <c r="S157" s="160"/>
      <c r="T157" s="160"/>
      <c r="U157" s="161"/>
      <c r="V157" s="161"/>
      <c r="W157" s="161"/>
      <c r="X157" s="161"/>
      <c r="Y157" s="162"/>
      <c r="Z157" s="162"/>
      <c r="AA157" s="162"/>
      <c r="AB157" s="162"/>
      <c r="AC157" s="163"/>
      <c r="AD157" s="163"/>
      <c r="AE157" s="163"/>
      <c r="AF157" s="163"/>
      <c r="AG157" s="163"/>
      <c r="AH157" s="163"/>
      <c r="AI157" s="163"/>
      <c r="AJ157" s="163"/>
      <c r="AK157" s="164">
        <v>29.1</v>
      </c>
      <c r="AL157" s="165"/>
      <c r="AM157" s="164"/>
      <c r="AN157" s="166"/>
      <c r="AO157" s="164"/>
      <c r="AP157" s="164"/>
      <c r="AS157" s="167"/>
      <c r="AT157" s="1170"/>
      <c r="AU157" s="1171"/>
      <c r="AV157" s="1171"/>
      <c r="AW157" s="1172"/>
      <c r="AX157" s="1172"/>
      <c r="AY157" s="1172"/>
      <c r="AZ157" s="1172"/>
      <c r="BA157" s="1236" t="s">
        <v>61</v>
      </c>
      <c r="BB157" s="1237">
        <v>2011</v>
      </c>
      <c r="BC157" s="1236" t="s">
        <v>286</v>
      </c>
      <c r="BD157" s="1236">
        <v>3</v>
      </c>
      <c r="BE157" s="1238">
        <v>355981481</v>
      </c>
      <c r="BF157" s="1239">
        <v>0.10199999999999999</v>
      </c>
      <c r="BG157" s="1236"/>
      <c r="BH157" s="1236" t="s">
        <v>61</v>
      </c>
      <c r="BI157" s="1236" t="s">
        <v>280</v>
      </c>
      <c r="BJ157" s="1236" t="s">
        <v>281</v>
      </c>
      <c r="BK157" s="1236">
        <v>2</v>
      </c>
      <c r="BL157" s="1238">
        <v>282551584</v>
      </c>
      <c r="BM157" s="1239">
        <v>0.14699999999999999</v>
      </c>
      <c r="BN157" s="1236">
        <v>2015</v>
      </c>
      <c r="BO157" s="174"/>
      <c r="BP157" s="174"/>
      <c r="BQ157" s="174"/>
      <c r="BR157" s="174"/>
      <c r="BS157" s="174"/>
      <c r="BT157" s="174"/>
      <c r="BU157" s="174"/>
      <c r="BV157" s="174"/>
      <c r="BW157" s="174"/>
      <c r="BX157" s="174"/>
    </row>
    <row r="158" spans="1:76" s="152" customFormat="1" ht="15" customHeight="1" x14ac:dyDescent="0.25">
      <c r="A158" s="152">
        <f t="shared" si="4"/>
        <v>1983</v>
      </c>
      <c r="B158" s="152" t="str">
        <f t="shared" si="5"/>
        <v>1982-83</v>
      </c>
      <c r="C158" s="153">
        <v>30407</v>
      </c>
      <c r="D158" s="169"/>
      <c r="E158" s="170"/>
      <c r="F158" s="170"/>
      <c r="G158" s="170"/>
      <c r="H158" s="170"/>
      <c r="I158" s="169">
        <v>498.82295722969548</v>
      </c>
      <c r="J158" s="169">
        <v>432.97972972970001</v>
      </c>
      <c r="K158" s="169"/>
      <c r="L158" s="170"/>
      <c r="M158" s="170"/>
      <c r="N158" s="170"/>
      <c r="O158" s="169"/>
      <c r="P158" s="169"/>
      <c r="Q158" s="169"/>
      <c r="R158" s="169"/>
      <c r="S158" s="169"/>
      <c r="T158" s="169"/>
      <c r="U158" s="170"/>
      <c r="V158" s="170"/>
      <c r="W158" s="170"/>
      <c r="X158" s="170"/>
      <c r="Y158" s="170"/>
      <c r="Z158" s="170"/>
      <c r="AA158" s="170"/>
      <c r="AB158" s="170"/>
      <c r="AC158" s="170"/>
      <c r="AD158" s="170"/>
      <c r="AE158" s="170"/>
      <c r="AF158" s="170"/>
      <c r="AG158" s="170"/>
      <c r="AH158" s="170"/>
      <c r="AI158" s="170"/>
      <c r="AJ158" s="170"/>
      <c r="AK158" s="170">
        <v>29.75</v>
      </c>
      <c r="AL158" s="171"/>
      <c r="AM158" s="170"/>
      <c r="AN158" s="172"/>
      <c r="AO158" s="170"/>
      <c r="AP158" s="170"/>
      <c r="AS158" s="167"/>
      <c r="AT158" s="1170"/>
      <c r="AU158" s="1171"/>
      <c r="AV158" s="1171"/>
      <c r="AW158" s="1172"/>
      <c r="AX158" s="1172"/>
      <c r="AY158" s="1172"/>
      <c r="AZ158" s="1172"/>
      <c r="BA158" s="1236" t="s">
        <v>61</v>
      </c>
      <c r="BB158" s="1237">
        <v>2011</v>
      </c>
      <c r="BC158" s="1236" t="s">
        <v>308</v>
      </c>
      <c r="BD158" s="1236">
        <v>4</v>
      </c>
      <c r="BE158" s="1238">
        <v>294395995</v>
      </c>
      <c r="BF158" s="1239">
        <v>8.4000000000000005E-2</v>
      </c>
      <c r="BG158" s="1236"/>
      <c r="BH158" s="1236" t="s">
        <v>61</v>
      </c>
      <c r="BI158" s="1236" t="s">
        <v>280</v>
      </c>
      <c r="BJ158" s="1236" t="s">
        <v>306</v>
      </c>
      <c r="BK158" s="1236">
        <v>3</v>
      </c>
      <c r="BL158" s="1238">
        <v>268762708</v>
      </c>
      <c r="BM158" s="1239">
        <v>0.14000000000000001</v>
      </c>
      <c r="BN158" s="1236">
        <v>2015</v>
      </c>
      <c r="BO158" s="174"/>
      <c r="BP158" s="174"/>
      <c r="BQ158" s="174"/>
      <c r="BR158" s="174"/>
      <c r="BS158" s="174"/>
      <c r="BT158" s="174"/>
      <c r="BU158" s="174"/>
      <c r="BV158" s="174"/>
      <c r="BW158" s="174"/>
      <c r="BX158" s="174"/>
    </row>
    <row r="159" spans="1:76" s="152" customFormat="1" ht="15" customHeight="1" x14ac:dyDescent="0.25">
      <c r="A159" s="152">
        <f t="shared" si="4"/>
        <v>1983</v>
      </c>
      <c r="B159" s="152" t="str">
        <f t="shared" si="5"/>
        <v>1982-83</v>
      </c>
      <c r="C159" s="153">
        <v>30438</v>
      </c>
      <c r="D159" s="154"/>
      <c r="E159" s="155"/>
      <c r="F159" s="155"/>
      <c r="G159" s="155"/>
      <c r="H159" s="155"/>
      <c r="I159" s="156">
        <v>495.94242180000003</v>
      </c>
      <c r="J159" s="156">
        <v>437.42</v>
      </c>
      <c r="K159" s="157"/>
      <c r="L159" s="158"/>
      <c r="M159" s="159"/>
      <c r="N159" s="159"/>
      <c r="O159" s="160"/>
      <c r="P159" s="160"/>
      <c r="Q159" s="160"/>
      <c r="R159" s="160"/>
      <c r="S159" s="160"/>
      <c r="T159" s="160"/>
      <c r="U159" s="161"/>
      <c r="V159" s="161"/>
      <c r="W159" s="161"/>
      <c r="X159" s="161"/>
      <c r="Y159" s="162"/>
      <c r="Z159" s="162"/>
      <c r="AA159" s="162"/>
      <c r="AB159" s="162"/>
      <c r="AC159" s="163"/>
      <c r="AD159" s="163"/>
      <c r="AE159" s="163"/>
      <c r="AF159" s="163"/>
      <c r="AG159" s="163"/>
      <c r="AH159" s="163"/>
      <c r="AI159" s="163"/>
      <c r="AJ159" s="163"/>
      <c r="AK159" s="164">
        <v>29.75</v>
      </c>
      <c r="AL159" s="165"/>
      <c r="AM159" s="164"/>
      <c r="AN159" s="166"/>
      <c r="AO159" s="164"/>
      <c r="AP159" s="164"/>
      <c r="AS159" s="167"/>
      <c r="AT159" s="1170"/>
      <c r="AU159" s="1171"/>
      <c r="AV159" s="1171"/>
      <c r="AW159" s="1172"/>
      <c r="AX159" s="1172"/>
      <c r="AY159" s="1172"/>
      <c r="AZ159" s="1172"/>
      <c r="BA159" s="1236" t="s">
        <v>61</v>
      </c>
      <c r="BB159" s="1237">
        <v>2011</v>
      </c>
      <c r="BC159" s="1236" t="s">
        <v>312</v>
      </c>
      <c r="BD159" s="1236">
        <v>5</v>
      </c>
      <c r="BE159" s="1238">
        <v>229338497</v>
      </c>
      <c r="BF159" s="1239">
        <v>6.6000000000000003E-2</v>
      </c>
      <c r="BG159" s="1236"/>
      <c r="BH159" s="1236" t="s">
        <v>61</v>
      </c>
      <c r="BI159" s="1236" t="s">
        <v>280</v>
      </c>
      <c r="BJ159" s="1236" t="s">
        <v>308</v>
      </c>
      <c r="BK159" s="1236">
        <v>4</v>
      </c>
      <c r="BL159" s="1238">
        <v>137936088</v>
      </c>
      <c r="BM159" s="1239">
        <v>7.1999999999999995E-2</v>
      </c>
      <c r="BN159" s="1236">
        <v>2015</v>
      </c>
      <c r="BO159" s="174"/>
      <c r="BP159" s="174"/>
      <c r="BQ159" s="174"/>
      <c r="BR159" s="174"/>
      <c r="BS159" s="174"/>
      <c r="BT159" s="174"/>
      <c r="BU159" s="174"/>
      <c r="BV159" s="174"/>
      <c r="BW159" s="174"/>
      <c r="BX159" s="174"/>
    </row>
    <row r="160" spans="1:76" s="152" customFormat="1" ht="15" customHeight="1" x14ac:dyDescent="0.25">
      <c r="A160" s="152">
        <f t="shared" si="4"/>
        <v>1983</v>
      </c>
      <c r="B160" s="152" t="str">
        <f t="shared" si="5"/>
        <v>1982-83</v>
      </c>
      <c r="C160" s="153">
        <v>30468</v>
      </c>
      <c r="D160" s="169"/>
      <c r="E160" s="170"/>
      <c r="F160" s="170"/>
      <c r="G160" s="170"/>
      <c r="H160" s="170"/>
      <c r="I160" s="169">
        <v>472.25013835232471</v>
      </c>
      <c r="J160" s="169">
        <v>412.98295454549998</v>
      </c>
      <c r="K160" s="169"/>
      <c r="L160" s="170"/>
      <c r="M160" s="170"/>
      <c r="N160" s="170"/>
      <c r="O160" s="169"/>
      <c r="P160" s="169"/>
      <c r="Q160" s="169"/>
      <c r="R160" s="169"/>
      <c r="S160" s="169"/>
      <c r="T160" s="169"/>
      <c r="U160" s="170"/>
      <c r="V160" s="170"/>
      <c r="W160" s="170"/>
      <c r="X160" s="170"/>
      <c r="Y160" s="170"/>
      <c r="Z160" s="170"/>
      <c r="AA160" s="170"/>
      <c r="AB160" s="170"/>
      <c r="AC160" s="170"/>
      <c r="AD160" s="170"/>
      <c r="AE160" s="170"/>
      <c r="AF160" s="170"/>
      <c r="AG160" s="170"/>
      <c r="AH160" s="170"/>
      <c r="AI160" s="170"/>
      <c r="AJ160" s="170"/>
      <c r="AK160" s="170">
        <v>30.2</v>
      </c>
      <c r="AL160" s="171"/>
      <c r="AM160" s="170"/>
      <c r="AN160" s="172"/>
      <c r="AO160" s="170"/>
      <c r="AP160" s="170"/>
      <c r="AS160" s="167"/>
      <c r="AT160" s="1170"/>
      <c r="AU160" s="1171"/>
      <c r="AV160" s="1171"/>
      <c r="AW160" s="1172"/>
      <c r="AX160" s="1172"/>
      <c r="AY160" s="1172"/>
      <c r="AZ160" s="1172"/>
      <c r="BA160" s="1236" t="s">
        <v>61</v>
      </c>
      <c r="BB160" s="1237">
        <v>2011</v>
      </c>
      <c r="BC160" s="1236" t="s">
        <v>309</v>
      </c>
      <c r="BD160" s="1236">
        <v>6</v>
      </c>
      <c r="BE160" s="1238">
        <v>166824008</v>
      </c>
      <c r="BF160" s="1239">
        <v>4.8000000000000001E-2</v>
      </c>
      <c r="BG160" s="1236"/>
      <c r="BH160" s="1236" t="s">
        <v>61</v>
      </c>
      <c r="BI160" s="1236" t="s">
        <v>280</v>
      </c>
      <c r="BJ160" s="1236" t="s">
        <v>315</v>
      </c>
      <c r="BK160" s="1236">
        <v>5</v>
      </c>
      <c r="BL160" s="1238">
        <v>129754630</v>
      </c>
      <c r="BM160" s="1239">
        <v>6.8000000000000005E-2</v>
      </c>
      <c r="BN160" s="1236">
        <v>2015</v>
      </c>
      <c r="BO160" s="174"/>
      <c r="BP160" s="174"/>
      <c r="BQ160" s="174"/>
      <c r="BR160" s="174"/>
      <c r="BS160" s="174"/>
      <c r="BT160" s="174"/>
      <c r="BU160" s="174"/>
      <c r="BV160" s="174"/>
      <c r="BW160" s="174"/>
      <c r="BX160" s="174"/>
    </row>
    <row r="161" spans="1:76" s="152" customFormat="1" ht="15" customHeight="1" x14ac:dyDescent="0.25">
      <c r="A161" s="152">
        <f t="shared" si="4"/>
        <v>1983</v>
      </c>
      <c r="B161" s="152" t="str">
        <f t="shared" si="5"/>
        <v>1983-84</v>
      </c>
      <c r="C161" s="173">
        <v>30498</v>
      </c>
      <c r="D161" s="154"/>
      <c r="E161" s="155"/>
      <c r="F161" s="155"/>
      <c r="G161" s="155"/>
      <c r="H161" s="155"/>
      <c r="I161" s="156">
        <v>422.8</v>
      </c>
      <c r="J161" s="156">
        <v>483.1</v>
      </c>
      <c r="K161" s="157"/>
      <c r="L161" s="158"/>
      <c r="M161" s="159">
        <v>4358.7621112372326</v>
      </c>
      <c r="N161" s="159">
        <v>4984.2905788876296</v>
      </c>
      <c r="O161" s="160"/>
      <c r="P161" s="160"/>
      <c r="Q161" s="160"/>
      <c r="R161" s="160"/>
      <c r="S161" s="160"/>
      <c r="T161" s="160"/>
      <c r="U161" s="161"/>
      <c r="V161" s="161"/>
      <c r="W161" s="161"/>
      <c r="X161" s="161"/>
      <c r="Y161" s="162"/>
      <c r="Z161" s="162"/>
      <c r="AA161" s="162"/>
      <c r="AB161" s="162"/>
      <c r="AC161" s="163"/>
      <c r="AD161" s="163"/>
      <c r="AE161" s="163"/>
      <c r="AF161" s="163"/>
      <c r="AG161" s="163"/>
      <c r="AH161" s="163"/>
      <c r="AI161" s="163"/>
      <c r="AJ161" s="163"/>
      <c r="AK161" s="164">
        <v>30.8</v>
      </c>
      <c r="AL161" s="165"/>
      <c r="AM161" s="164"/>
      <c r="AN161" s="166"/>
      <c r="AO161" s="164"/>
      <c r="AP161" s="164"/>
      <c r="AS161" s="167"/>
      <c r="AT161" s="1170"/>
      <c r="AU161" s="1171"/>
      <c r="AV161" s="1171"/>
      <c r="AW161" s="1172"/>
      <c r="AX161" s="1172"/>
      <c r="AY161" s="1172"/>
      <c r="AZ161" s="1172"/>
      <c r="BA161" s="1236" t="s">
        <v>61</v>
      </c>
      <c r="BB161" s="1237">
        <v>2011</v>
      </c>
      <c r="BC161" s="1236" t="s">
        <v>319</v>
      </c>
      <c r="BD161" s="1236">
        <v>7</v>
      </c>
      <c r="BE161" s="1238">
        <v>124864739</v>
      </c>
      <c r="BF161" s="1239">
        <v>3.5999999999999997E-2</v>
      </c>
      <c r="BG161" s="1236"/>
      <c r="BH161" s="1236" t="s">
        <v>61</v>
      </c>
      <c r="BI161" s="1236" t="s">
        <v>280</v>
      </c>
      <c r="BJ161" s="1236" t="s">
        <v>286</v>
      </c>
      <c r="BK161" s="1236">
        <v>6</v>
      </c>
      <c r="BL161" s="1238">
        <v>76167101</v>
      </c>
      <c r="BM161" s="1239">
        <v>0.04</v>
      </c>
      <c r="BN161" s="1236">
        <v>2015</v>
      </c>
      <c r="BO161" s="174"/>
      <c r="BP161" s="174"/>
      <c r="BQ161" s="174"/>
      <c r="BR161" s="174"/>
      <c r="BS161" s="174"/>
      <c r="BT161" s="174"/>
      <c r="BU161" s="174"/>
      <c r="BV161" s="174"/>
      <c r="BW161" s="174"/>
      <c r="BX161" s="174"/>
    </row>
    <row r="162" spans="1:76" s="152" customFormat="1" ht="15" customHeight="1" x14ac:dyDescent="0.25">
      <c r="A162" s="152">
        <f t="shared" si="4"/>
        <v>1983</v>
      </c>
      <c r="B162" s="152" t="str">
        <f t="shared" si="5"/>
        <v>1983-84</v>
      </c>
      <c r="C162" s="173">
        <v>30529</v>
      </c>
      <c r="D162" s="169"/>
      <c r="E162" s="170"/>
      <c r="F162" s="170"/>
      <c r="G162" s="170"/>
      <c r="H162" s="170"/>
      <c r="I162" s="169">
        <v>417</v>
      </c>
      <c r="J162" s="169">
        <v>473.6</v>
      </c>
      <c r="K162" s="169"/>
      <c r="L162" s="170"/>
      <c r="M162" s="170">
        <v>4391.1600000000017</v>
      </c>
      <c r="N162" s="170">
        <v>4777.2680705748398</v>
      </c>
      <c r="O162" s="169"/>
      <c r="P162" s="169"/>
      <c r="Q162" s="169"/>
      <c r="R162" s="169"/>
      <c r="S162" s="169"/>
      <c r="T162" s="169"/>
      <c r="U162" s="170"/>
      <c r="V162" s="170"/>
      <c r="W162" s="170"/>
      <c r="X162" s="170"/>
      <c r="Y162" s="170"/>
      <c r="Z162" s="170"/>
      <c r="AA162" s="170"/>
      <c r="AB162" s="170"/>
      <c r="AC162" s="170"/>
      <c r="AD162" s="170"/>
      <c r="AE162" s="170"/>
      <c r="AF162" s="170"/>
      <c r="AG162" s="170"/>
      <c r="AH162" s="170"/>
      <c r="AI162" s="170"/>
      <c r="AJ162" s="170"/>
      <c r="AK162" s="170">
        <v>30.8</v>
      </c>
      <c r="AL162" s="171"/>
      <c r="AM162" s="170"/>
      <c r="AN162" s="172"/>
      <c r="AO162" s="170"/>
      <c r="AP162" s="170"/>
      <c r="AS162" s="167"/>
      <c r="AT162" s="1170"/>
      <c r="AU162" s="1171"/>
      <c r="AV162" s="1171"/>
      <c r="AW162" s="1172"/>
      <c r="AX162" s="1172"/>
      <c r="AY162" s="1172"/>
      <c r="AZ162" s="1172"/>
      <c r="BA162" s="1236" t="s">
        <v>61</v>
      </c>
      <c r="BB162" s="1237">
        <v>2011</v>
      </c>
      <c r="BC162" s="1236" t="s">
        <v>310</v>
      </c>
      <c r="BD162" s="1236">
        <v>8</v>
      </c>
      <c r="BE162" s="1238">
        <v>79939604</v>
      </c>
      <c r="BF162" s="1239">
        <v>2.3E-2</v>
      </c>
      <c r="BG162" s="1236"/>
      <c r="BH162" s="1236" t="s">
        <v>61</v>
      </c>
      <c r="BI162" s="1236" t="s">
        <v>280</v>
      </c>
      <c r="BJ162" s="1236" t="s">
        <v>309</v>
      </c>
      <c r="BK162" s="1236">
        <v>7</v>
      </c>
      <c r="BL162" s="1238">
        <v>67422692</v>
      </c>
      <c r="BM162" s="1239">
        <v>3.5000000000000003E-2</v>
      </c>
      <c r="BN162" s="1236">
        <v>2015</v>
      </c>
      <c r="BO162" s="174"/>
      <c r="BP162" s="174"/>
      <c r="BQ162" s="174"/>
      <c r="BR162" s="174"/>
      <c r="BS162" s="174"/>
      <c r="BT162" s="174"/>
      <c r="BU162" s="174"/>
      <c r="BV162" s="174"/>
      <c r="BW162" s="174"/>
      <c r="BX162" s="174"/>
    </row>
    <row r="163" spans="1:76" s="152" customFormat="1" ht="15" customHeight="1" x14ac:dyDescent="0.25">
      <c r="A163" s="152">
        <f t="shared" si="4"/>
        <v>1983</v>
      </c>
      <c r="B163" s="152" t="str">
        <f t="shared" si="5"/>
        <v>1983-84</v>
      </c>
      <c r="C163" s="173">
        <v>30560</v>
      </c>
      <c r="D163" s="154"/>
      <c r="E163" s="155"/>
      <c r="F163" s="155"/>
      <c r="G163" s="155"/>
      <c r="H163" s="155"/>
      <c r="I163" s="156">
        <v>412.6</v>
      </c>
      <c r="J163" s="156">
        <v>465.3</v>
      </c>
      <c r="K163" s="157"/>
      <c r="L163" s="158"/>
      <c r="M163" s="159">
        <v>4196.8299999999963</v>
      </c>
      <c r="N163" s="159">
        <v>4470.8756274400403</v>
      </c>
      <c r="O163" s="160"/>
      <c r="P163" s="160"/>
      <c r="Q163" s="160"/>
      <c r="R163" s="160"/>
      <c r="S163" s="160"/>
      <c r="T163" s="160"/>
      <c r="U163" s="161"/>
      <c r="V163" s="161"/>
      <c r="W163" s="161"/>
      <c r="X163" s="161"/>
      <c r="Y163" s="162"/>
      <c r="Z163" s="162"/>
      <c r="AA163" s="162"/>
      <c r="AB163" s="162"/>
      <c r="AC163" s="163"/>
      <c r="AD163" s="163"/>
      <c r="AE163" s="163"/>
      <c r="AF163" s="163"/>
      <c r="AG163" s="163"/>
      <c r="AH163" s="163"/>
      <c r="AI163" s="163"/>
      <c r="AJ163" s="163"/>
      <c r="AK163" s="164">
        <v>30.35</v>
      </c>
      <c r="AL163" s="165"/>
      <c r="AM163" s="164"/>
      <c r="AN163" s="166"/>
      <c r="AO163" s="164"/>
      <c r="AP163" s="164"/>
      <c r="AS163" s="167"/>
      <c r="AT163" s="1170"/>
      <c r="AU163" s="1171"/>
      <c r="AV163" s="1171"/>
      <c r="AW163" s="1172"/>
      <c r="AX163" s="1172"/>
      <c r="AY163" s="1172"/>
      <c r="AZ163" s="1172"/>
      <c r="BA163" s="1236" t="s">
        <v>61</v>
      </c>
      <c r="BB163" s="1237">
        <v>2011</v>
      </c>
      <c r="BC163" s="1236" t="s">
        <v>287</v>
      </c>
      <c r="BD163" s="1236">
        <v>9</v>
      </c>
      <c r="BE163" s="1238">
        <v>75065810</v>
      </c>
      <c r="BF163" s="1239">
        <v>2.1000000000000001E-2</v>
      </c>
      <c r="BG163" s="1236"/>
      <c r="BH163" s="1236" t="s">
        <v>61</v>
      </c>
      <c r="BI163" s="1236" t="s">
        <v>280</v>
      </c>
      <c r="BJ163" s="1236" t="s">
        <v>312</v>
      </c>
      <c r="BK163" s="1236">
        <v>8</v>
      </c>
      <c r="BL163" s="1238">
        <v>49680699</v>
      </c>
      <c r="BM163" s="1239">
        <v>2.5999999999999999E-2</v>
      </c>
      <c r="BN163" s="1236">
        <v>2015</v>
      </c>
      <c r="BO163" s="174"/>
      <c r="BP163" s="174"/>
      <c r="BQ163" s="174"/>
      <c r="BR163" s="174"/>
      <c r="BS163" s="174"/>
      <c r="BT163" s="174"/>
      <c r="BU163" s="174"/>
      <c r="BV163" s="174"/>
      <c r="BW163" s="174"/>
      <c r="BX163" s="174"/>
    </row>
    <row r="164" spans="1:76" s="152" customFormat="1" ht="15" customHeight="1" x14ac:dyDescent="0.25">
      <c r="A164" s="152">
        <f t="shared" si="4"/>
        <v>1983</v>
      </c>
      <c r="B164" s="152" t="str">
        <f t="shared" si="5"/>
        <v>1983-84</v>
      </c>
      <c r="C164" s="173">
        <v>30590</v>
      </c>
      <c r="D164" s="169"/>
      <c r="E164" s="170"/>
      <c r="F164" s="170"/>
      <c r="G164" s="170"/>
      <c r="H164" s="170"/>
      <c r="I164" s="169">
        <v>394.2</v>
      </c>
      <c r="J164" s="169">
        <v>431.15</v>
      </c>
      <c r="K164" s="169"/>
      <c r="L164" s="170"/>
      <c r="M164" s="170">
        <v>4008.1399999999958</v>
      </c>
      <c r="N164" s="170">
        <v>4258.6681222707402</v>
      </c>
      <c r="O164" s="169"/>
      <c r="P164" s="169"/>
      <c r="Q164" s="169"/>
      <c r="R164" s="169"/>
      <c r="S164" s="169"/>
      <c r="T164" s="169"/>
      <c r="U164" s="170"/>
      <c r="V164" s="170"/>
      <c r="W164" s="170"/>
      <c r="X164" s="170"/>
      <c r="Y164" s="170"/>
      <c r="Z164" s="170"/>
      <c r="AA164" s="170"/>
      <c r="AB164" s="170"/>
      <c r="AC164" s="170"/>
      <c r="AD164" s="170"/>
      <c r="AE164" s="170"/>
      <c r="AF164" s="170"/>
      <c r="AG164" s="170"/>
      <c r="AH164" s="170"/>
      <c r="AI164" s="170"/>
      <c r="AJ164" s="170"/>
      <c r="AK164" s="170">
        <v>30.35</v>
      </c>
      <c r="AL164" s="171"/>
      <c r="AM164" s="170"/>
      <c r="AN164" s="172"/>
      <c r="AO164" s="170"/>
      <c r="AP164" s="170"/>
      <c r="AS164" s="167"/>
      <c r="AT164" s="1170"/>
      <c r="AU164" s="1171"/>
      <c r="AV164" s="1171"/>
      <c r="AW164" s="1172"/>
      <c r="AX164" s="1172"/>
      <c r="AY164" s="1172"/>
      <c r="AZ164" s="1172"/>
      <c r="BA164" s="1236" t="s">
        <v>61</v>
      </c>
      <c r="BB164" s="1237">
        <v>2011</v>
      </c>
      <c r="BC164" s="1236" t="s">
        <v>320</v>
      </c>
      <c r="BD164" s="1236">
        <v>10</v>
      </c>
      <c r="BE164" s="1238">
        <v>66690878</v>
      </c>
      <c r="BF164" s="1239">
        <v>1.9E-2</v>
      </c>
      <c r="BG164" s="1236"/>
      <c r="BH164" s="1236" t="s">
        <v>61</v>
      </c>
      <c r="BI164" s="1236" t="s">
        <v>280</v>
      </c>
      <c r="BJ164" s="1236" t="s">
        <v>314</v>
      </c>
      <c r="BK164" s="1236">
        <v>9</v>
      </c>
      <c r="BL164" s="1238">
        <v>27154998</v>
      </c>
      <c r="BM164" s="1239">
        <v>1.4E-2</v>
      </c>
      <c r="BN164" s="1236">
        <v>2015</v>
      </c>
      <c r="BO164" s="174"/>
      <c r="BP164" s="174"/>
      <c r="BQ164" s="174"/>
      <c r="BR164" s="174"/>
      <c r="BS164" s="174"/>
      <c r="BT164" s="174"/>
      <c r="BU164" s="174"/>
      <c r="BV164" s="174"/>
      <c r="BW164" s="174"/>
      <c r="BX164" s="174"/>
    </row>
    <row r="165" spans="1:76" s="152" customFormat="1" ht="15" customHeight="1" x14ac:dyDescent="0.25">
      <c r="A165" s="152">
        <f t="shared" si="4"/>
        <v>1983</v>
      </c>
      <c r="B165" s="152" t="str">
        <f t="shared" si="5"/>
        <v>1983-84</v>
      </c>
      <c r="C165" s="173">
        <v>30621</v>
      </c>
      <c r="D165" s="154"/>
      <c r="E165" s="155"/>
      <c r="F165" s="155"/>
      <c r="G165" s="155"/>
      <c r="H165" s="155"/>
      <c r="I165" s="156">
        <v>380</v>
      </c>
      <c r="J165" s="156">
        <v>415.6</v>
      </c>
      <c r="K165" s="157"/>
      <c r="L165" s="158"/>
      <c r="M165" s="159">
        <v>3900.9399999999982</v>
      </c>
      <c r="N165" s="159">
        <v>3797.0201577563498</v>
      </c>
      <c r="O165" s="160"/>
      <c r="P165" s="160"/>
      <c r="Q165" s="160"/>
      <c r="R165" s="160"/>
      <c r="S165" s="160"/>
      <c r="T165" s="160"/>
      <c r="U165" s="161"/>
      <c r="V165" s="161"/>
      <c r="W165" s="161"/>
      <c r="X165" s="161"/>
      <c r="Y165" s="162"/>
      <c r="Z165" s="162"/>
      <c r="AA165" s="162"/>
      <c r="AB165" s="162"/>
      <c r="AC165" s="163"/>
      <c r="AD165" s="163"/>
      <c r="AE165" s="163"/>
      <c r="AF165" s="163"/>
      <c r="AG165" s="163"/>
      <c r="AH165" s="163"/>
      <c r="AI165" s="163"/>
      <c r="AJ165" s="163"/>
      <c r="AK165" s="164">
        <v>29.2</v>
      </c>
      <c r="AL165" s="165"/>
      <c r="AM165" s="164"/>
      <c r="AN165" s="166"/>
      <c r="AO165" s="164"/>
      <c r="AP165" s="164"/>
      <c r="AS165" s="167"/>
      <c r="AT165" s="1170"/>
      <c r="AU165" s="1171"/>
      <c r="AV165" s="1171"/>
      <c r="AW165" s="1172"/>
      <c r="AX165" s="1172"/>
      <c r="AY165" s="1172"/>
      <c r="AZ165" s="1172"/>
      <c r="BA165" s="1236" t="s">
        <v>61</v>
      </c>
      <c r="BB165" s="1237">
        <v>2011</v>
      </c>
      <c r="BC165" s="1236" t="s">
        <v>291</v>
      </c>
      <c r="BD165" s="1236"/>
      <c r="BE165" s="1238">
        <v>182269418</v>
      </c>
      <c r="BF165" s="1239">
        <v>5.1999999999999998E-2</v>
      </c>
      <c r="BG165" s="1236"/>
      <c r="BH165" s="1236" t="s">
        <v>61</v>
      </c>
      <c r="BI165" s="1236" t="s">
        <v>280</v>
      </c>
      <c r="BJ165" s="1236" t="s">
        <v>320</v>
      </c>
      <c r="BK165" s="1236">
        <v>10</v>
      </c>
      <c r="BL165" s="1238">
        <v>23624732</v>
      </c>
      <c r="BM165" s="1239">
        <v>1.2E-2</v>
      </c>
      <c r="BN165" s="1236">
        <v>2015</v>
      </c>
      <c r="BO165" s="174"/>
      <c r="BP165" s="174"/>
      <c r="BQ165" s="174"/>
      <c r="BR165" s="174"/>
      <c r="BS165" s="174"/>
      <c r="BT165" s="174"/>
      <c r="BU165" s="174"/>
      <c r="BV165" s="174"/>
      <c r="BW165" s="174"/>
      <c r="BX165" s="174"/>
    </row>
    <row r="166" spans="1:76" s="152" customFormat="1" ht="15" customHeight="1" x14ac:dyDescent="0.25">
      <c r="A166" s="152">
        <f t="shared" si="4"/>
        <v>1983</v>
      </c>
      <c r="B166" s="152" t="str">
        <f t="shared" si="5"/>
        <v>1983-84</v>
      </c>
      <c r="C166" s="173">
        <v>30651</v>
      </c>
      <c r="D166" s="169"/>
      <c r="E166" s="170"/>
      <c r="F166" s="170"/>
      <c r="G166" s="170"/>
      <c r="H166" s="170"/>
      <c r="I166" s="169">
        <v>388.15</v>
      </c>
      <c r="J166" s="169">
        <v>431.65</v>
      </c>
      <c r="K166" s="169"/>
      <c r="L166" s="170"/>
      <c r="M166" s="170">
        <v>3465.919999999996</v>
      </c>
      <c r="N166" s="170">
        <v>3992.9157427937898</v>
      </c>
      <c r="O166" s="169"/>
      <c r="P166" s="169"/>
      <c r="Q166" s="169"/>
      <c r="R166" s="169"/>
      <c r="S166" s="169"/>
      <c r="T166" s="169"/>
      <c r="U166" s="170"/>
      <c r="V166" s="170"/>
      <c r="W166" s="170"/>
      <c r="X166" s="170"/>
      <c r="Y166" s="170"/>
      <c r="Z166" s="170"/>
      <c r="AA166" s="170"/>
      <c r="AB166" s="170"/>
      <c r="AC166" s="170"/>
      <c r="AD166" s="170"/>
      <c r="AE166" s="170"/>
      <c r="AF166" s="170"/>
      <c r="AG166" s="170"/>
      <c r="AH166" s="170"/>
      <c r="AI166" s="170"/>
      <c r="AJ166" s="170"/>
      <c r="AK166" s="170">
        <v>28.95</v>
      </c>
      <c r="AL166" s="171"/>
      <c r="AM166" s="170"/>
      <c r="AN166" s="172"/>
      <c r="AO166" s="170"/>
      <c r="AP166" s="170"/>
      <c r="AS166" s="167"/>
      <c r="AT166" s="1170"/>
      <c r="AU166" s="1171"/>
      <c r="AV166" s="1171"/>
      <c r="AW166" s="1172"/>
      <c r="AX166" s="1172"/>
      <c r="AY166" s="1172"/>
      <c r="AZ166" s="1172"/>
      <c r="BA166" s="1236" t="s">
        <v>61</v>
      </c>
      <c r="BB166" s="1237">
        <v>2011</v>
      </c>
      <c r="BC166" s="1236" t="s">
        <v>292</v>
      </c>
      <c r="BD166" s="1236"/>
      <c r="BE166" s="1238">
        <v>3492310462</v>
      </c>
      <c r="BF166" s="1239"/>
      <c r="BG166" s="1236"/>
      <c r="BH166" s="1236" t="s">
        <v>61</v>
      </c>
      <c r="BI166" s="1236" t="s">
        <v>280</v>
      </c>
      <c r="BJ166" s="1236" t="s">
        <v>291</v>
      </c>
      <c r="BK166" s="1236"/>
      <c r="BL166" s="1238">
        <v>87134612</v>
      </c>
      <c r="BM166" s="1239">
        <v>4.4999999999999998E-2</v>
      </c>
      <c r="BN166" s="1236">
        <v>2015</v>
      </c>
      <c r="BO166" s="174"/>
      <c r="BP166" s="174"/>
      <c r="BQ166" s="174"/>
      <c r="BR166" s="174"/>
      <c r="BS166" s="174"/>
      <c r="BT166" s="174"/>
      <c r="BU166" s="174"/>
      <c r="BV166" s="174"/>
      <c r="BW166" s="174"/>
      <c r="BX166" s="174"/>
    </row>
    <row r="167" spans="1:76" s="152" customFormat="1" ht="15" customHeight="1" x14ac:dyDescent="0.25">
      <c r="A167" s="152">
        <f t="shared" si="4"/>
        <v>1984</v>
      </c>
      <c r="B167" s="152" t="str">
        <f t="shared" si="5"/>
        <v>1983-84</v>
      </c>
      <c r="C167" s="173">
        <v>30682</v>
      </c>
      <c r="D167" s="154">
        <v>0.90508000000000011</v>
      </c>
      <c r="E167" s="155"/>
      <c r="F167" s="155"/>
      <c r="G167" s="155"/>
      <c r="H167" s="155"/>
      <c r="I167" s="156">
        <v>371.1</v>
      </c>
      <c r="J167" s="156">
        <v>410.9</v>
      </c>
      <c r="K167" s="157"/>
      <c r="L167" s="158"/>
      <c r="M167" s="159">
        <v>3710.1475628677304</v>
      </c>
      <c r="N167" s="159">
        <v>4099.2482022227096</v>
      </c>
      <c r="O167" s="160"/>
      <c r="P167" s="160"/>
      <c r="Q167" s="160"/>
      <c r="R167" s="160"/>
      <c r="S167" s="160"/>
      <c r="T167" s="160"/>
      <c r="U167" s="161"/>
      <c r="V167" s="161"/>
      <c r="W167" s="161"/>
      <c r="X167" s="161"/>
      <c r="Y167" s="162"/>
      <c r="Z167" s="162"/>
      <c r="AA167" s="162"/>
      <c r="AB167" s="162"/>
      <c r="AC167" s="163"/>
      <c r="AD167" s="163"/>
      <c r="AE167" s="163"/>
      <c r="AF167" s="163"/>
      <c r="AG167" s="163"/>
      <c r="AH167" s="163"/>
      <c r="AI167" s="163"/>
      <c r="AJ167" s="163"/>
      <c r="AK167" s="164">
        <v>28.95</v>
      </c>
      <c r="AL167" s="164">
        <v>31.986122773677462</v>
      </c>
      <c r="AM167" s="164"/>
      <c r="AN167" s="166"/>
      <c r="AO167" s="164"/>
      <c r="AP167" s="164"/>
      <c r="AS167" s="167"/>
      <c r="AT167" s="1170"/>
      <c r="AU167" s="1171"/>
      <c r="AV167" s="1171"/>
      <c r="AW167" s="1172"/>
      <c r="AX167" s="1172"/>
      <c r="AY167" s="1172"/>
      <c r="AZ167" s="1172"/>
      <c r="BA167" s="1236" t="s">
        <v>61</v>
      </c>
      <c r="BB167" s="1237">
        <v>2010</v>
      </c>
      <c r="BC167" s="1236" t="s">
        <v>281</v>
      </c>
      <c r="BD167" s="1236">
        <v>1</v>
      </c>
      <c r="BE167" s="1238">
        <v>1656674125</v>
      </c>
      <c r="BF167" s="1239">
        <v>0.44</v>
      </c>
      <c r="BG167" s="1236"/>
      <c r="BH167" s="1236" t="s">
        <v>61</v>
      </c>
      <c r="BI167" s="1236" t="s">
        <v>280</v>
      </c>
      <c r="BJ167" s="1236" t="s">
        <v>292</v>
      </c>
      <c r="BK167" s="1236"/>
      <c r="BL167" s="1238">
        <v>1920448656</v>
      </c>
      <c r="BM167" s="1239"/>
      <c r="BN167" s="1236">
        <v>2015</v>
      </c>
      <c r="BO167" s="174"/>
      <c r="BP167" s="174"/>
      <c r="BQ167" s="174"/>
      <c r="BR167" s="174"/>
      <c r="BS167" s="174"/>
      <c r="BT167" s="174"/>
      <c r="BU167" s="174"/>
      <c r="BV167" s="174"/>
      <c r="BW167" s="174"/>
      <c r="BX167" s="174"/>
    </row>
    <row r="168" spans="1:76" s="152" customFormat="1" ht="15" customHeight="1" x14ac:dyDescent="0.25">
      <c r="A168" s="152">
        <f t="shared" si="4"/>
        <v>1984</v>
      </c>
      <c r="B168" s="152" t="str">
        <f t="shared" si="5"/>
        <v>1983-84</v>
      </c>
      <c r="C168" s="173">
        <v>30713</v>
      </c>
      <c r="D168" s="169">
        <v>0.93463333333333343</v>
      </c>
      <c r="E168" s="170"/>
      <c r="F168" s="170"/>
      <c r="G168" s="170"/>
      <c r="H168" s="170"/>
      <c r="I168" s="169">
        <v>386.8</v>
      </c>
      <c r="J168" s="169">
        <v>413.4</v>
      </c>
      <c r="K168" s="169"/>
      <c r="L168" s="170"/>
      <c r="M168" s="170">
        <v>4235.497770707394</v>
      </c>
      <c r="N168" s="170">
        <v>4531.72128539612</v>
      </c>
      <c r="O168" s="169"/>
      <c r="P168" s="169"/>
      <c r="Q168" s="169"/>
      <c r="R168" s="169"/>
      <c r="S168" s="169"/>
      <c r="T168" s="169"/>
      <c r="U168" s="170"/>
      <c r="V168" s="170"/>
      <c r="W168" s="170"/>
      <c r="X168" s="170"/>
      <c r="Y168" s="170"/>
      <c r="Z168" s="170"/>
      <c r="AA168" s="170"/>
      <c r="AB168" s="170"/>
      <c r="AC168" s="170"/>
      <c r="AD168" s="170"/>
      <c r="AE168" s="170"/>
      <c r="AF168" s="170"/>
      <c r="AG168" s="170"/>
      <c r="AH168" s="170"/>
      <c r="AI168" s="170"/>
      <c r="AJ168" s="170"/>
      <c r="AK168" s="170">
        <v>29.88</v>
      </c>
      <c r="AL168" s="170">
        <v>31.969756410713643</v>
      </c>
      <c r="AM168" s="170"/>
      <c r="AN168" s="172"/>
      <c r="AO168" s="170"/>
      <c r="AP168" s="170"/>
      <c r="AS168" s="167"/>
      <c r="AT168" s="1170"/>
      <c r="AU168" s="1171"/>
      <c r="AV168" s="1171"/>
      <c r="AW168" s="1172"/>
      <c r="AX168" s="1172"/>
      <c r="AY168" s="1172"/>
      <c r="AZ168" s="1172"/>
      <c r="BA168" s="1236" t="s">
        <v>61</v>
      </c>
      <c r="BB168" s="1237">
        <v>2010</v>
      </c>
      <c r="BC168" s="1236" t="s">
        <v>308</v>
      </c>
      <c r="BD168" s="1236">
        <v>2</v>
      </c>
      <c r="BE168" s="1238">
        <v>393952409</v>
      </c>
      <c r="BF168" s="1239">
        <v>0.105</v>
      </c>
      <c r="BG168" s="1236"/>
      <c r="BH168" s="1236" t="s">
        <v>61</v>
      </c>
      <c r="BI168" s="1236" t="s">
        <v>293</v>
      </c>
      <c r="BJ168" s="1236" t="s">
        <v>285</v>
      </c>
      <c r="BK168" s="1236">
        <v>1</v>
      </c>
      <c r="BL168" s="1238">
        <v>1291490021.8</v>
      </c>
      <c r="BM168" s="1239">
        <v>0.42067218433241715</v>
      </c>
      <c r="BN168" s="1236">
        <v>2014</v>
      </c>
      <c r="BO168" s="174"/>
      <c r="BP168" s="174"/>
      <c r="BQ168" s="174"/>
      <c r="BR168" s="174"/>
      <c r="BS168" s="174"/>
      <c r="BT168" s="174"/>
      <c r="BU168" s="174"/>
      <c r="BV168" s="174"/>
      <c r="BW168" s="174"/>
      <c r="BX168" s="174"/>
    </row>
    <row r="169" spans="1:76" s="152" customFormat="1" ht="15" customHeight="1" x14ac:dyDescent="0.25">
      <c r="A169" s="152">
        <f t="shared" si="4"/>
        <v>1984</v>
      </c>
      <c r="B169" s="152" t="str">
        <f t="shared" si="5"/>
        <v>1983-84</v>
      </c>
      <c r="C169" s="173">
        <v>30742</v>
      </c>
      <c r="D169" s="154">
        <v>0.95094545454545454</v>
      </c>
      <c r="E169" s="155"/>
      <c r="F169" s="155"/>
      <c r="G169" s="155"/>
      <c r="H169" s="155"/>
      <c r="I169" s="156">
        <v>394.8</v>
      </c>
      <c r="J169" s="156">
        <v>415.45</v>
      </c>
      <c r="K169" s="157"/>
      <c r="L169" s="158"/>
      <c r="M169" s="159">
        <v>4231.0258465726756</v>
      </c>
      <c r="N169" s="159">
        <v>4449.2834224598901</v>
      </c>
      <c r="O169" s="160"/>
      <c r="P169" s="160"/>
      <c r="Q169" s="160"/>
      <c r="R169" s="160"/>
      <c r="S169" s="160"/>
      <c r="T169" s="160"/>
      <c r="U169" s="161"/>
      <c r="V169" s="161"/>
      <c r="W169" s="161"/>
      <c r="X169" s="161"/>
      <c r="Y169" s="162"/>
      <c r="Z169" s="162"/>
      <c r="AA169" s="162"/>
      <c r="AB169" s="162"/>
      <c r="AC169" s="163"/>
      <c r="AD169" s="163"/>
      <c r="AE169" s="163"/>
      <c r="AF169" s="163"/>
      <c r="AG169" s="163"/>
      <c r="AH169" s="163"/>
      <c r="AI169" s="163"/>
      <c r="AJ169" s="163"/>
      <c r="AK169" s="164">
        <v>30.08</v>
      </c>
      <c r="AL169" s="164">
        <v>31.631677564911474</v>
      </c>
      <c r="AM169" s="164"/>
      <c r="AN169" s="166"/>
      <c r="AO169" s="164"/>
      <c r="AP169" s="164"/>
      <c r="AS169" s="167"/>
      <c r="AT169" s="1170"/>
      <c r="AU169" s="1171"/>
      <c r="AV169" s="1171"/>
      <c r="AW169" s="1172"/>
      <c r="AX169" s="1172"/>
      <c r="AY169" s="1172"/>
      <c r="AZ169" s="1172"/>
      <c r="BA169" s="1236" t="s">
        <v>61</v>
      </c>
      <c r="BB169" s="1237">
        <v>2010</v>
      </c>
      <c r="BC169" s="1236" t="s">
        <v>286</v>
      </c>
      <c r="BD169" s="1236">
        <v>3</v>
      </c>
      <c r="BE169" s="1238">
        <v>359072790</v>
      </c>
      <c r="BF169" s="1239">
        <v>9.5000000000000001E-2</v>
      </c>
      <c r="BG169" s="1236"/>
      <c r="BH169" s="1236" t="s">
        <v>61</v>
      </c>
      <c r="BI169" s="1236" t="s">
        <v>293</v>
      </c>
      <c r="BJ169" s="1236" t="s">
        <v>281</v>
      </c>
      <c r="BK169" s="1236">
        <v>2</v>
      </c>
      <c r="BL169" s="1238">
        <v>937935434.1700002</v>
      </c>
      <c r="BM169" s="1239">
        <v>0.3055101790915502</v>
      </c>
      <c r="BN169" s="1236">
        <v>2014</v>
      </c>
      <c r="BO169" s="174"/>
      <c r="BP169" s="174"/>
      <c r="BQ169" s="174"/>
      <c r="BR169" s="174"/>
      <c r="BS169" s="174"/>
      <c r="BT169" s="174"/>
      <c r="BU169" s="174"/>
      <c r="BV169" s="174"/>
      <c r="BW169" s="174"/>
      <c r="BX169" s="174"/>
    </row>
    <row r="170" spans="1:76" s="152" customFormat="1" ht="15" customHeight="1" x14ac:dyDescent="0.25">
      <c r="A170" s="152">
        <f t="shared" si="4"/>
        <v>1984</v>
      </c>
      <c r="B170" s="152" t="str">
        <f t="shared" si="5"/>
        <v>1983-84</v>
      </c>
      <c r="C170" s="173">
        <v>30773</v>
      </c>
      <c r="D170" s="169">
        <v>0.92357777777777783</v>
      </c>
      <c r="E170" s="170"/>
      <c r="F170" s="170"/>
      <c r="G170" s="170"/>
      <c r="H170" s="170"/>
      <c r="I170" s="169">
        <v>381.55</v>
      </c>
      <c r="J170" s="169">
        <v>413.95</v>
      </c>
      <c r="K170" s="169"/>
      <c r="L170" s="170"/>
      <c r="M170" s="170">
        <v>4218.4447622842954</v>
      </c>
      <c r="N170" s="170">
        <v>4567.5035322247604</v>
      </c>
      <c r="O170" s="169"/>
      <c r="P170" s="169"/>
      <c r="Q170" s="169"/>
      <c r="R170" s="169"/>
      <c r="S170" s="169"/>
      <c r="T170" s="169"/>
      <c r="U170" s="170"/>
      <c r="V170" s="170"/>
      <c r="W170" s="170"/>
      <c r="X170" s="170"/>
      <c r="Y170" s="170"/>
      <c r="Z170" s="170"/>
      <c r="AA170" s="170"/>
      <c r="AB170" s="170"/>
      <c r="AC170" s="170"/>
      <c r="AD170" s="170"/>
      <c r="AE170" s="170"/>
      <c r="AF170" s="170"/>
      <c r="AG170" s="170"/>
      <c r="AH170" s="170"/>
      <c r="AI170" s="170"/>
      <c r="AJ170" s="170"/>
      <c r="AK170" s="170">
        <v>30.13</v>
      </c>
      <c r="AL170" s="170">
        <v>32.623132263420032</v>
      </c>
      <c r="AM170" s="170"/>
      <c r="AN170" s="172"/>
      <c r="AO170" s="170"/>
      <c r="AP170" s="170"/>
      <c r="AS170" s="167"/>
      <c r="AT170" s="1170"/>
      <c r="AU170" s="1171"/>
      <c r="AV170" s="1171"/>
      <c r="AW170" s="1172"/>
      <c r="AX170" s="1172"/>
      <c r="AY170" s="1172"/>
      <c r="AZ170" s="1172"/>
      <c r="BA170" s="1236" t="s">
        <v>61</v>
      </c>
      <c r="BB170" s="1237">
        <v>2010</v>
      </c>
      <c r="BC170" s="1236" t="s">
        <v>312</v>
      </c>
      <c r="BD170" s="1236">
        <v>4</v>
      </c>
      <c r="BE170" s="1238">
        <v>246173510</v>
      </c>
      <c r="BF170" s="1239">
        <v>6.5000000000000002E-2</v>
      </c>
      <c r="BG170" s="1236"/>
      <c r="BH170" s="1236" t="s">
        <v>61</v>
      </c>
      <c r="BI170" s="1236" t="s">
        <v>293</v>
      </c>
      <c r="BJ170" s="1236" t="s">
        <v>306</v>
      </c>
      <c r="BK170" s="1236">
        <v>3</v>
      </c>
      <c r="BL170" s="1238">
        <v>152833050.53999999</v>
      </c>
      <c r="BM170" s="1239">
        <v>4.9781734371622463E-2</v>
      </c>
      <c r="BN170" s="1236">
        <v>2014</v>
      </c>
      <c r="BO170" s="174"/>
      <c r="BP170" s="174"/>
      <c r="BQ170" s="174"/>
      <c r="BR170" s="174"/>
      <c r="BS170" s="174"/>
      <c r="BT170" s="174"/>
      <c r="BU170" s="174"/>
      <c r="BV170" s="174"/>
      <c r="BW170" s="174"/>
      <c r="BX170" s="174"/>
    </row>
    <row r="171" spans="1:76" s="152" customFormat="1" ht="15" customHeight="1" x14ac:dyDescent="0.25">
      <c r="A171" s="152">
        <f t="shared" si="4"/>
        <v>1984</v>
      </c>
      <c r="B171" s="152" t="str">
        <f t="shared" si="5"/>
        <v>1983-84</v>
      </c>
      <c r="C171" s="173">
        <v>30803</v>
      </c>
      <c r="D171" s="154">
        <v>0.90598695652173933</v>
      </c>
      <c r="E171" s="155"/>
      <c r="F171" s="155"/>
      <c r="G171" s="155"/>
      <c r="H171" s="155"/>
      <c r="I171" s="156">
        <v>377.45</v>
      </c>
      <c r="J171" s="156">
        <v>417</v>
      </c>
      <c r="K171" s="157"/>
      <c r="L171" s="158"/>
      <c r="M171" s="159">
        <v>4438.3486901400247</v>
      </c>
      <c r="N171" s="159">
        <v>4898.91014234875</v>
      </c>
      <c r="O171" s="160"/>
      <c r="P171" s="160"/>
      <c r="Q171" s="160"/>
      <c r="R171" s="160"/>
      <c r="S171" s="160"/>
      <c r="T171" s="160"/>
      <c r="U171" s="161"/>
      <c r="V171" s="161"/>
      <c r="W171" s="161"/>
      <c r="X171" s="161"/>
      <c r="Y171" s="162"/>
      <c r="Z171" s="162"/>
      <c r="AA171" s="162"/>
      <c r="AB171" s="162"/>
      <c r="AC171" s="163"/>
      <c r="AD171" s="163"/>
      <c r="AE171" s="163"/>
      <c r="AF171" s="163"/>
      <c r="AG171" s="163"/>
      <c r="AH171" s="163"/>
      <c r="AI171" s="163"/>
      <c r="AJ171" s="163"/>
      <c r="AK171" s="164">
        <v>30.13</v>
      </c>
      <c r="AL171" s="164">
        <v>33.256549427240039</v>
      </c>
      <c r="AM171" s="164"/>
      <c r="AN171" s="166"/>
      <c r="AO171" s="164"/>
      <c r="AP171" s="164"/>
      <c r="AS171" s="167"/>
      <c r="AT171" s="1170"/>
      <c r="AU171" s="1171"/>
      <c r="AV171" s="1171"/>
      <c r="AW171" s="1172"/>
      <c r="AX171" s="1172"/>
      <c r="AY171" s="1172"/>
      <c r="AZ171" s="1172"/>
      <c r="BA171" s="1236" t="s">
        <v>61</v>
      </c>
      <c r="BB171" s="1237">
        <v>2010</v>
      </c>
      <c r="BC171" s="1236" t="s">
        <v>305</v>
      </c>
      <c r="BD171" s="1236">
        <v>5</v>
      </c>
      <c r="BE171" s="1238">
        <v>243363404</v>
      </c>
      <c r="BF171" s="1239">
        <v>6.5000000000000002E-2</v>
      </c>
      <c r="BG171" s="1236"/>
      <c r="BH171" s="1236" t="s">
        <v>61</v>
      </c>
      <c r="BI171" s="1236" t="s">
        <v>293</v>
      </c>
      <c r="BJ171" s="1236" t="s">
        <v>286</v>
      </c>
      <c r="BK171" s="1236">
        <v>4</v>
      </c>
      <c r="BL171" s="1238">
        <v>138234697.10000002</v>
      </c>
      <c r="BM171" s="1239">
        <v>4.5026667645901797E-2</v>
      </c>
      <c r="BN171" s="1236">
        <v>2014</v>
      </c>
      <c r="BO171" s="174"/>
      <c r="BP171" s="174"/>
      <c r="BQ171" s="174"/>
      <c r="BR171" s="174"/>
      <c r="BS171" s="174"/>
      <c r="BT171" s="174"/>
      <c r="BU171" s="174"/>
      <c r="BV171" s="174"/>
      <c r="BW171" s="174"/>
      <c r="BX171" s="174"/>
    </row>
    <row r="172" spans="1:76" s="152" customFormat="1" ht="15" customHeight="1" x14ac:dyDescent="0.25">
      <c r="A172" s="152">
        <f t="shared" si="4"/>
        <v>1984</v>
      </c>
      <c r="B172" s="152" t="str">
        <f t="shared" si="5"/>
        <v>1983-84</v>
      </c>
      <c r="C172" s="173">
        <v>30834</v>
      </c>
      <c r="D172" s="169">
        <v>0.88285499999999983</v>
      </c>
      <c r="E172" s="170"/>
      <c r="F172" s="170"/>
      <c r="G172" s="170"/>
      <c r="H172" s="170"/>
      <c r="I172" s="169">
        <v>378.1</v>
      </c>
      <c r="J172" s="169">
        <v>428.8</v>
      </c>
      <c r="K172" s="169"/>
      <c r="L172" s="170"/>
      <c r="M172" s="170">
        <v>4719.0255167189098</v>
      </c>
      <c r="N172" s="170">
        <v>5345.1875072564699</v>
      </c>
      <c r="O172" s="169"/>
      <c r="P172" s="169"/>
      <c r="Q172" s="169"/>
      <c r="R172" s="169"/>
      <c r="S172" s="169"/>
      <c r="T172" s="169"/>
      <c r="U172" s="170"/>
      <c r="V172" s="170"/>
      <c r="W172" s="170"/>
      <c r="X172" s="170"/>
      <c r="Y172" s="170"/>
      <c r="Z172" s="170"/>
      <c r="AA172" s="170"/>
      <c r="AB172" s="170"/>
      <c r="AC172" s="170"/>
      <c r="AD172" s="170"/>
      <c r="AE172" s="170"/>
      <c r="AF172" s="170"/>
      <c r="AG172" s="170"/>
      <c r="AH172" s="170"/>
      <c r="AI172" s="170"/>
      <c r="AJ172" s="170"/>
      <c r="AK172" s="170">
        <v>29.2</v>
      </c>
      <c r="AL172" s="170">
        <v>33.074513934904381</v>
      </c>
      <c r="AM172" s="170"/>
      <c r="AN172" s="172"/>
      <c r="AO172" s="170"/>
      <c r="AP172" s="170"/>
      <c r="AS172" s="167"/>
      <c r="AT172" s="1170"/>
      <c r="AU172" s="1171"/>
      <c r="AV172" s="1171"/>
      <c r="AW172" s="1172"/>
      <c r="AX172" s="1172"/>
      <c r="AY172" s="1172"/>
      <c r="AZ172" s="1172"/>
      <c r="BA172" s="1236" t="s">
        <v>61</v>
      </c>
      <c r="BB172" s="1237">
        <v>2010</v>
      </c>
      <c r="BC172" s="1236" t="s">
        <v>309</v>
      </c>
      <c r="BD172" s="1236">
        <v>6</v>
      </c>
      <c r="BE172" s="1238">
        <v>228272869</v>
      </c>
      <c r="BF172" s="1239">
        <v>6.0999999999999999E-2</v>
      </c>
      <c r="BG172" s="1236"/>
      <c r="BH172" s="1236" t="s">
        <v>61</v>
      </c>
      <c r="BI172" s="1236" t="s">
        <v>293</v>
      </c>
      <c r="BJ172" s="1236" t="s">
        <v>308</v>
      </c>
      <c r="BK172" s="1236">
        <v>5</v>
      </c>
      <c r="BL172" s="1238">
        <v>135760164.75999999</v>
      </c>
      <c r="BM172" s="1239">
        <v>4.4220647539592199E-2</v>
      </c>
      <c r="BN172" s="1236">
        <v>2014</v>
      </c>
      <c r="BO172" s="174"/>
      <c r="BP172" s="174"/>
      <c r="BQ172" s="174"/>
      <c r="BR172" s="174"/>
      <c r="BS172" s="174"/>
      <c r="BT172" s="174"/>
      <c r="BU172" s="174"/>
      <c r="BV172" s="174"/>
      <c r="BW172" s="174"/>
      <c r="BX172" s="174"/>
    </row>
    <row r="173" spans="1:76" s="152" customFormat="1" ht="15" customHeight="1" x14ac:dyDescent="0.25">
      <c r="A173" s="152">
        <f t="shared" si="4"/>
        <v>1984</v>
      </c>
      <c r="B173" s="152" t="str">
        <f t="shared" si="5"/>
        <v>1984-85</v>
      </c>
      <c r="C173" s="173">
        <v>30864</v>
      </c>
      <c r="D173" s="154">
        <v>0.83583636363636349</v>
      </c>
      <c r="E173" s="155"/>
      <c r="F173" s="155"/>
      <c r="G173" s="155"/>
      <c r="H173" s="155"/>
      <c r="I173" s="156">
        <v>347.8</v>
      </c>
      <c r="J173" s="156">
        <v>417.1</v>
      </c>
      <c r="K173" s="157"/>
      <c r="L173" s="158"/>
      <c r="M173" s="159">
        <v>4629.032977217963</v>
      </c>
      <c r="N173" s="159">
        <v>5538.2048192771099</v>
      </c>
      <c r="O173" s="160"/>
      <c r="P173" s="160"/>
      <c r="Q173" s="160"/>
      <c r="R173" s="160"/>
      <c r="S173" s="160"/>
      <c r="T173" s="160"/>
      <c r="U173" s="161"/>
      <c r="V173" s="161"/>
      <c r="W173" s="161"/>
      <c r="X173" s="161"/>
      <c r="Y173" s="162"/>
      <c r="Z173" s="162"/>
      <c r="AA173" s="162"/>
      <c r="AB173" s="162"/>
      <c r="AC173" s="163"/>
      <c r="AD173" s="163"/>
      <c r="AE173" s="163"/>
      <c r="AF173" s="163"/>
      <c r="AG173" s="163"/>
      <c r="AH173" s="163"/>
      <c r="AI173" s="163"/>
      <c r="AJ173" s="163"/>
      <c r="AK173" s="164">
        <v>29.2</v>
      </c>
      <c r="AL173" s="164">
        <v>34.935067760109639</v>
      </c>
      <c r="AM173" s="164"/>
      <c r="AN173" s="166"/>
      <c r="AO173" s="164"/>
      <c r="AP173" s="164"/>
      <c r="AS173" s="167"/>
      <c r="AT173" s="1170"/>
      <c r="AU173" s="1171"/>
      <c r="AV173" s="1171"/>
      <c r="AW173" s="1172"/>
      <c r="AX173" s="1172"/>
      <c r="AY173" s="1172"/>
      <c r="AZ173" s="1172"/>
      <c r="BA173" s="1236" t="s">
        <v>61</v>
      </c>
      <c r="BB173" s="1237">
        <v>2010</v>
      </c>
      <c r="BC173" s="1236" t="s">
        <v>319</v>
      </c>
      <c r="BD173" s="1236">
        <v>7</v>
      </c>
      <c r="BE173" s="1238">
        <v>141229782</v>
      </c>
      <c r="BF173" s="1239">
        <v>3.7999999999999999E-2</v>
      </c>
      <c r="BG173" s="1236"/>
      <c r="BH173" s="1236" t="s">
        <v>61</v>
      </c>
      <c r="BI173" s="1236" t="s">
        <v>293</v>
      </c>
      <c r="BJ173" s="1236" t="s">
        <v>287</v>
      </c>
      <c r="BK173" s="1236">
        <v>6</v>
      </c>
      <c r="BL173" s="1238">
        <v>71562506.309999987</v>
      </c>
      <c r="BM173" s="1239">
        <v>2.3309785857867076E-2</v>
      </c>
      <c r="BN173" s="1236">
        <v>2014</v>
      </c>
      <c r="BO173" s="174"/>
      <c r="BP173" s="174"/>
      <c r="BQ173" s="174"/>
      <c r="BR173" s="174"/>
      <c r="BS173" s="174"/>
      <c r="BT173" s="174"/>
      <c r="BU173" s="174"/>
      <c r="BV173" s="174"/>
      <c r="BW173" s="174"/>
      <c r="BX173" s="174"/>
    </row>
    <row r="174" spans="1:76" s="152" customFormat="1" ht="15" customHeight="1" x14ac:dyDescent="0.25">
      <c r="A174" s="152">
        <f t="shared" si="4"/>
        <v>1984</v>
      </c>
      <c r="B174" s="152" t="str">
        <f t="shared" si="5"/>
        <v>1984-85</v>
      </c>
      <c r="C174" s="173">
        <v>30895</v>
      </c>
      <c r="D174" s="169">
        <v>0.84626086956521751</v>
      </c>
      <c r="E174" s="170"/>
      <c r="F174" s="170"/>
      <c r="G174" s="170"/>
      <c r="H174" s="170"/>
      <c r="I174" s="169">
        <v>347.85</v>
      </c>
      <c r="J174" s="169">
        <v>411.05</v>
      </c>
      <c r="K174" s="169"/>
      <c r="L174" s="170"/>
      <c r="M174" s="170">
        <v>4722.6102282506272</v>
      </c>
      <c r="N174" s="170">
        <v>5580.5607917059397</v>
      </c>
      <c r="O174" s="169"/>
      <c r="P174" s="169"/>
      <c r="Q174" s="169"/>
      <c r="R174" s="169"/>
      <c r="S174" s="169"/>
      <c r="T174" s="169"/>
      <c r="U174" s="170"/>
      <c r="V174" s="170"/>
      <c r="W174" s="170"/>
      <c r="X174" s="170"/>
      <c r="Y174" s="170"/>
      <c r="Z174" s="170"/>
      <c r="AA174" s="170"/>
      <c r="AB174" s="170"/>
      <c r="AC174" s="170"/>
      <c r="AD174" s="170"/>
      <c r="AE174" s="170"/>
      <c r="AF174" s="170"/>
      <c r="AG174" s="170"/>
      <c r="AH174" s="170"/>
      <c r="AI174" s="170"/>
      <c r="AJ174" s="170"/>
      <c r="AK174" s="170">
        <v>27.91</v>
      </c>
      <c r="AL174" s="170">
        <v>32.980374023838877</v>
      </c>
      <c r="AM174" s="170"/>
      <c r="AN174" s="172"/>
      <c r="AO174" s="170"/>
      <c r="AP174" s="170"/>
      <c r="AS174" s="167"/>
      <c r="AT174" s="1170"/>
      <c r="AU174" s="1171"/>
      <c r="AV174" s="1171"/>
      <c r="AW174" s="1172"/>
      <c r="AX174" s="1172"/>
      <c r="AY174" s="1172"/>
      <c r="AZ174" s="1172"/>
      <c r="BA174" s="1236" t="s">
        <v>61</v>
      </c>
      <c r="BB174" s="1237">
        <v>2010</v>
      </c>
      <c r="BC174" s="1236" t="s">
        <v>320</v>
      </c>
      <c r="BD174" s="1236">
        <v>8</v>
      </c>
      <c r="BE174" s="1238">
        <v>122486708</v>
      </c>
      <c r="BF174" s="1239">
        <v>3.3000000000000002E-2</v>
      </c>
      <c r="BG174" s="1236"/>
      <c r="BH174" s="1236" t="s">
        <v>61</v>
      </c>
      <c r="BI174" s="1236" t="s">
        <v>293</v>
      </c>
      <c r="BJ174" s="1236" t="s">
        <v>312</v>
      </c>
      <c r="BK174" s="1236">
        <v>7</v>
      </c>
      <c r="BL174" s="1238">
        <v>67993580.810000002</v>
      </c>
      <c r="BM174" s="1239">
        <v>2.2147293186253424E-2</v>
      </c>
      <c r="BN174" s="1236">
        <v>2014</v>
      </c>
      <c r="BO174" s="174"/>
      <c r="BP174" s="174"/>
      <c r="BQ174" s="174"/>
      <c r="BR174" s="174"/>
      <c r="BS174" s="174"/>
      <c r="BT174" s="174"/>
      <c r="BU174" s="174"/>
      <c r="BV174" s="174"/>
      <c r="BW174" s="174"/>
      <c r="BX174" s="174"/>
    </row>
    <row r="175" spans="1:76" s="152" customFormat="1" ht="15" customHeight="1" x14ac:dyDescent="0.25">
      <c r="A175" s="152">
        <f t="shared" si="4"/>
        <v>1984</v>
      </c>
      <c r="B175" s="152" t="str">
        <f t="shared" si="5"/>
        <v>1984-85</v>
      </c>
      <c r="C175" s="173">
        <v>30926</v>
      </c>
      <c r="D175" s="154">
        <v>0.83260000000000001</v>
      </c>
      <c r="E175" s="155"/>
      <c r="F175" s="155"/>
      <c r="G175" s="155"/>
      <c r="H175" s="155"/>
      <c r="I175" s="156">
        <v>341.7</v>
      </c>
      <c r="J175" s="156">
        <v>411.25</v>
      </c>
      <c r="K175" s="157"/>
      <c r="L175" s="158"/>
      <c r="M175" s="159">
        <v>4704.0900480192058</v>
      </c>
      <c r="N175" s="159">
        <v>5649.8799519807899</v>
      </c>
      <c r="O175" s="160"/>
      <c r="P175" s="160"/>
      <c r="Q175" s="160"/>
      <c r="R175" s="160"/>
      <c r="S175" s="160"/>
      <c r="T175" s="160"/>
      <c r="U175" s="161"/>
      <c r="V175" s="161"/>
      <c r="W175" s="161"/>
      <c r="X175" s="161"/>
      <c r="Y175" s="162"/>
      <c r="Z175" s="162"/>
      <c r="AA175" s="162"/>
      <c r="AB175" s="162"/>
      <c r="AC175" s="163"/>
      <c r="AD175" s="163"/>
      <c r="AE175" s="163"/>
      <c r="AF175" s="163"/>
      <c r="AG175" s="163"/>
      <c r="AH175" s="163"/>
      <c r="AI175" s="163"/>
      <c r="AJ175" s="163"/>
      <c r="AK175" s="164">
        <v>28.36</v>
      </c>
      <c r="AL175" s="164">
        <v>34.06197453759308</v>
      </c>
      <c r="AM175" s="164"/>
      <c r="AN175" s="166"/>
      <c r="AO175" s="164"/>
      <c r="AP175" s="164"/>
      <c r="AS175" s="167"/>
      <c r="AT175" s="1170"/>
      <c r="AU175" s="1171"/>
      <c r="AV175" s="1171"/>
      <c r="AW175" s="1172"/>
      <c r="AX175" s="1172"/>
      <c r="AY175" s="1172"/>
      <c r="AZ175" s="1172"/>
      <c r="BA175" s="1236" t="s">
        <v>61</v>
      </c>
      <c r="BB175" s="1237">
        <v>2010</v>
      </c>
      <c r="BC175" s="1236" t="s">
        <v>306</v>
      </c>
      <c r="BD175" s="1236">
        <v>9</v>
      </c>
      <c r="BE175" s="1238">
        <v>69857491</v>
      </c>
      <c r="BF175" s="1239">
        <v>1.9E-2</v>
      </c>
      <c r="BG175" s="1236"/>
      <c r="BH175" s="1236" t="s">
        <v>61</v>
      </c>
      <c r="BI175" s="1236" t="s">
        <v>293</v>
      </c>
      <c r="BJ175" s="1236" t="s">
        <v>310</v>
      </c>
      <c r="BK175" s="1236">
        <v>8</v>
      </c>
      <c r="BL175" s="1238">
        <v>61350512.039999999</v>
      </c>
      <c r="BM175" s="1239">
        <v>1.9983471396711847E-2</v>
      </c>
      <c r="BN175" s="1236">
        <v>2014</v>
      </c>
      <c r="BO175" s="174"/>
      <c r="BP175" s="174"/>
      <c r="BQ175" s="174"/>
      <c r="BR175" s="174"/>
      <c r="BS175" s="174"/>
      <c r="BT175" s="174"/>
      <c r="BU175" s="174"/>
      <c r="BV175" s="174"/>
      <c r="BW175" s="174"/>
      <c r="BX175" s="174"/>
    </row>
    <row r="176" spans="1:76" s="152" customFormat="1" ht="15" customHeight="1" x14ac:dyDescent="0.25">
      <c r="A176" s="152">
        <f t="shared" si="4"/>
        <v>1984</v>
      </c>
      <c r="B176" s="152" t="str">
        <f t="shared" si="5"/>
        <v>1984-85</v>
      </c>
      <c r="C176" s="173">
        <v>30956</v>
      </c>
      <c r="D176" s="169">
        <v>0.83570434782608694</v>
      </c>
      <c r="E176" s="170"/>
      <c r="F176" s="170"/>
      <c r="G176" s="170"/>
      <c r="H176" s="170"/>
      <c r="I176" s="169">
        <v>339.95</v>
      </c>
      <c r="J176" s="169">
        <v>406.75</v>
      </c>
      <c r="K176" s="169"/>
      <c r="L176" s="170"/>
      <c r="M176" s="170">
        <v>4678.3590008247902</v>
      </c>
      <c r="N176" s="170">
        <v>5598.1029810298096</v>
      </c>
      <c r="O176" s="169"/>
      <c r="P176" s="169"/>
      <c r="Q176" s="169"/>
      <c r="R176" s="169"/>
      <c r="S176" s="169"/>
      <c r="T176" s="169"/>
      <c r="U176" s="170"/>
      <c r="V176" s="170"/>
      <c r="W176" s="170"/>
      <c r="X176" s="170"/>
      <c r="Y176" s="170"/>
      <c r="Z176" s="170"/>
      <c r="AA176" s="170"/>
      <c r="AB176" s="170"/>
      <c r="AC176" s="170"/>
      <c r="AD176" s="170"/>
      <c r="AE176" s="170"/>
      <c r="AF176" s="170"/>
      <c r="AG176" s="170"/>
      <c r="AH176" s="170"/>
      <c r="AI176" s="170"/>
      <c r="AJ176" s="170"/>
      <c r="AK176" s="170">
        <v>28.36</v>
      </c>
      <c r="AL176" s="170">
        <v>33.935446278067964</v>
      </c>
      <c r="AM176" s="170"/>
      <c r="AN176" s="172"/>
      <c r="AO176" s="170"/>
      <c r="AP176" s="170"/>
      <c r="AS176" s="167"/>
      <c r="AT176" s="1170"/>
      <c r="AU176" s="1171"/>
      <c r="AV176" s="1171"/>
      <c r="AW176" s="1172"/>
      <c r="AX176" s="1172"/>
      <c r="AY176" s="1172"/>
      <c r="AZ176" s="1172"/>
      <c r="BA176" s="1236" t="s">
        <v>61</v>
      </c>
      <c r="BB176" s="1237">
        <v>2010</v>
      </c>
      <c r="BC176" s="1236" t="s">
        <v>287</v>
      </c>
      <c r="BD176" s="1236">
        <v>10</v>
      </c>
      <c r="BE176" s="1238">
        <v>69688636</v>
      </c>
      <c r="BF176" s="1239">
        <v>1.9E-2</v>
      </c>
      <c r="BG176" s="1236"/>
      <c r="BH176" s="1236" t="s">
        <v>61</v>
      </c>
      <c r="BI176" s="1236" t="s">
        <v>293</v>
      </c>
      <c r="BJ176" s="1236" t="s">
        <v>314</v>
      </c>
      <c r="BK176" s="1236">
        <v>9</v>
      </c>
      <c r="BL176" s="1238">
        <v>45119506.329999998</v>
      </c>
      <c r="BM176" s="1239">
        <v>1.4696606991502366E-2</v>
      </c>
      <c r="BN176" s="1236">
        <v>2014</v>
      </c>
      <c r="BO176" s="174"/>
      <c r="BP176" s="174"/>
      <c r="BQ176" s="174"/>
      <c r="BR176" s="174"/>
      <c r="BS176" s="174"/>
      <c r="BT176" s="174"/>
      <c r="BU176" s="174"/>
      <c r="BV176" s="174"/>
      <c r="BW176" s="174"/>
      <c r="BX176" s="174"/>
    </row>
    <row r="177" spans="1:76" s="152" customFormat="1" ht="15" customHeight="1" x14ac:dyDescent="0.25">
      <c r="A177" s="152">
        <f t="shared" si="4"/>
        <v>1984</v>
      </c>
      <c r="B177" s="152" t="str">
        <f t="shared" si="5"/>
        <v>1984-85</v>
      </c>
      <c r="C177" s="173">
        <v>30987</v>
      </c>
      <c r="D177" s="154">
        <v>0.85942272727272728</v>
      </c>
      <c r="E177" s="155"/>
      <c r="F177" s="155"/>
      <c r="G177" s="155"/>
      <c r="H177" s="155"/>
      <c r="I177" s="156">
        <v>341.3</v>
      </c>
      <c r="J177" s="156">
        <v>396</v>
      </c>
      <c r="K177" s="157"/>
      <c r="L177" s="158"/>
      <c r="M177" s="159">
        <v>4758.0685554063211</v>
      </c>
      <c r="N177" s="159">
        <v>5536.3541181945102</v>
      </c>
      <c r="O177" s="160"/>
      <c r="P177" s="160"/>
      <c r="Q177" s="160"/>
      <c r="R177" s="160"/>
      <c r="S177" s="160"/>
      <c r="T177" s="160"/>
      <c r="U177" s="161"/>
      <c r="V177" s="161"/>
      <c r="W177" s="161"/>
      <c r="X177" s="161"/>
      <c r="Y177" s="162"/>
      <c r="Z177" s="162"/>
      <c r="AA177" s="162"/>
      <c r="AB177" s="162"/>
      <c r="AC177" s="163"/>
      <c r="AD177" s="163"/>
      <c r="AE177" s="163"/>
      <c r="AF177" s="163"/>
      <c r="AG177" s="163"/>
      <c r="AH177" s="163"/>
      <c r="AI177" s="163"/>
      <c r="AJ177" s="163"/>
      <c r="AK177" s="164">
        <v>27.7</v>
      </c>
      <c r="AL177" s="164">
        <v>32.230937257038285</v>
      </c>
      <c r="AM177" s="164"/>
      <c r="AN177" s="166"/>
      <c r="AO177" s="164"/>
      <c r="AP177" s="164"/>
      <c r="AS177" s="167"/>
      <c r="AT177" s="1170"/>
      <c r="AU177" s="1171"/>
      <c r="AV177" s="1171"/>
      <c r="AW177" s="1172"/>
      <c r="AX177" s="1172"/>
      <c r="AY177" s="1172"/>
      <c r="AZ177" s="1172"/>
      <c r="BA177" s="1236" t="s">
        <v>61</v>
      </c>
      <c r="BB177" s="1237">
        <v>2010</v>
      </c>
      <c r="BC177" s="1236" t="s">
        <v>291</v>
      </c>
      <c r="BD177" s="1236"/>
      <c r="BE177" s="1238">
        <v>233892528</v>
      </c>
      <c r="BF177" s="1239">
        <v>6.2E-2</v>
      </c>
      <c r="BG177" s="1236"/>
      <c r="BH177" s="1236" t="s">
        <v>61</v>
      </c>
      <c r="BI177" s="1236" t="s">
        <v>293</v>
      </c>
      <c r="BJ177" s="1236" t="s">
        <v>311</v>
      </c>
      <c r="BK177" s="1236">
        <v>10</v>
      </c>
      <c r="BL177" s="1238">
        <v>41625626.519999996</v>
      </c>
      <c r="BM177" s="1239">
        <v>1.3558558670061102E-2</v>
      </c>
      <c r="BN177" s="1236">
        <v>2014</v>
      </c>
      <c r="BO177" s="174"/>
      <c r="BP177" s="174"/>
      <c r="BQ177" s="174"/>
      <c r="BR177" s="174"/>
      <c r="BS177" s="174"/>
      <c r="BT177" s="174"/>
      <c r="BU177" s="174"/>
      <c r="BV177" s="174"/>
      <c r="BW177" s="174"/>
      <c r="BX177" s="174"/>
    </row>
    <row r="178" spans="1:76" s="152" customFormat="1" ht="15" customHeight="1" x14ac:dyDescent="0.25">
      <c r="A178" s="152">
        <f t="shared" si="4"/>
        <v>1984</v>
      </c>
      <c r="B178" s="152" t="str">
        <f t="shared" si="5"/>
        <v>1984-85</v>
      </c>
      <c r="C178" s="173">
        <v>31017</v>
      </c>
      <c r="D178" s="169">
        <v>0.84187222222222236</v>
      </c>
      <c r="E178" s="170"/>
      <c r="F178" s="170"/>
      <c r="G178" s="170"/>
      <c r="H178" s="170"/>
      <c r="I178" s="169">
        <v>319.8</v>
      </c>
      <c r="J178" s="169">
        <v>380.2</v>
      </c>
      <c r="K178" s="169"/>
      <c r="L178" s="170"/>
      <c r="M178" s="170">
        <v>4942.434722155107</v>
      </c>
      <c r="N178" s="170">
        <v>5870.76588547958</v>
      </c>
      <c r="O178" s="169"/>
      <c r="P178" s="169"/>
      <c r="Q178" s="169"/>
      <c r="R178" s="169"/>
      <c r="S178" s="169"/>
      <c r="T178" s="169"/>
      <c r="U178" s="170"/>
      <c r="V178" s="170"/>
      <c r="W178" s="170"/>
      <c r="X178" s="170"/>
      <c r="Y178" s="170"/>
      <c r="Z178" s="170"/>
      <c r="AA178" s="170"/>
      <c r="AB178" s="170"/>
      <c r="AC178" s="170"/>
      <c r="AD178" s="170"/>
      <c r="AE178" s="170"/>
      <c r="AF178" s="170"/>
      <c r="AG178" s="170"/>
      <c r="AH178" s="170"/>
      <c r="AI178" s="170"/>
      <c r="AJ178" s="170"/>
      <c r="AK178" s="170">
        <v>27.7</v>
      </c>
      <c r="AL178" s="170">
        <v>32.902855408250126</v>
      </c>
      <c r="AM178" s="170"/>
      <c r="AN178" s="172"/>
      <c r="AO178" s="170"/>
      <c r="AP178" s="170"/>
      <c r="AS178" s="167"/>
      <c r="AT178" s="1170"/>
      <c r="AU178" s="1171"/>
      <c r="AV178" s="1171"/>
      <c r="AW178" s="1172"/>
      <c r="AX178" s="1172"/>
      <c r="AY178" s="1172"/>
      <c r="AZ178" s="1172"/>
      <c r="BA178" s="1236" t="s">
        <v>61</v>
      </c>
      <c r="BB178" s="1237">
        <v>2010</v>
      </c>
      <c r="BC178" s="1236" t="s">
        <v>292</v>
      </c>
      <c r="BD178" s="1236"/>
      <c r="BE178" s="1238">
        <v>3764664252</v>
      </c>
      <c r="BF178" s="1239"/>
      <c r="BG178" s="1236"/>
      <c r="BH178" s="1236" t="s">
        <v>61</v>
      </c>
      <c r="BI178" s="1236" t="s">
        <v>293</v>
      </c>
      <c r="BJ178" s="1236" t="s">
        <v>291</v>
      </c>
      <c r="BK178" s="1236"/>
      <c r="BL178" s="1238">
        <v>126157694.12000084</v>
      </c>
      <c r="BM178" s="1239">
        <v>4.1092870916520537E-2</v>
      </c>
      <c r="BN178" s="1236">
        <v>2014</v>
      </c>
      <c r="BO178" s="174"/>
      <c r="BP178" s="174"/>
      <c r="BQ178" s="174"/>
      <c r="BR178" s="174"/>
      <c r="BS178" s="174"/>
      <c r="BT178" s="174"/>
      <c r="BU178" s="174"/>
      <c r="BV178" s="174"/>
      <c r="BW178" s="174"/>
      <c r="BX178" s="174"/>
    </row>
    <row r="179" spans="1:76" s="152" customFormat="1" ht="15" customHeight="1" x14ac:dyDescent="0.25">
      <c r="A179" s="152">
        <f t="shared" si="4"/>
        <v>1985</v>
      </c>
      <c r="B179" s="152" t="str">
        <f t="shared" si="5"/>
        <v>1984-85</v>
      </c>
      <c r="C179" s="173">
        <v>31048</v>
      </c>
      <c r="D179" s="154">
        <v>0.81582380952380973</v>
      </c>
      <c r="E179" s="155"/>
      <c r="F179" s="155"/>
      <c r="G179" s="155"/>
      <c r="H179" s="155"/>
      <c r="I179" s="156">
        <v>302.2</v>
      </c>
      <c r="J179" s="156">
        <v>370.35</v>
      </c>
      <c r="K179" s="157"/>
      <c r="L179" s="158"/>
      <c r="M179" s="159">
        <v>4953.0215042944801</v>
      </c>
      <c r="N179" s="159">
        <v>6071.19018404908</v>
      </c>
      <c r="O179" s="160"/>
      <c r="P179" s="160"/>
      <c r="Q179" s="160"/>
      <c r="R179" s="160"/>
      <c r="S179" s="160"/>
      <c r="T179" s="160"/>
      <c r="U179" s="161"/>
      <c r="V179" s="161"/>
      <c r="W179" s="161"/>
      <c r="X179" s="161"/>
      <c r="Y179" s="162"/>
      <c r="Z179" s="162"/>
      <c r="AA179" s="162"/>
      <c r="AB179" s="162"/>
      <c r="AC179" s="163"/>
      <c r="AD179" s="163"/>
      <c r="AE179" s="163"/>
      <c r="AF179" s="163"/>
      <c r="AG179" s="163"/>
      <c r="AH179" s="163"/>
      <c r="AI179" s="163"/>
      <c r="AJ179" s="163"/>
      <c r="AK179" s="164">
        <v>26.98</v>
      </c>
      <c r="AL179" s="164">
        <v>33.070866141732274</v>
      </c>
      <c r="AM179" s="164"/>
      <c r="AN179" s="166"/>
      <c r="AO179" s="164"/>
      <c r="AP179" s="164"/>
      <c r="AS179" s="167"/>
      <c r="AT179" s="1170"/>
      <c r="AU179" s="1171"/>
      <c r="AV179" s="1171"/>
      <c r="AW179" s="1172"/>
      <c r="AX179" s="1172"/>
      <c r="AY179" s="1172"/>
      <c r="AZ179" s="1172"/>
      <c r="BA179" s="1236" t="s">
        <v>61</v>
      </c>
      <c r="BB179" s="1237">
        <v>2009</v>
      </c>
      <c r="BC179" s="1236" t="s">
        <v>281</v>
      </c>
      <c r="BD179" s="1236">
        <v>1</v>
      </c>
      <c r="BE179" s="1238">
        <v>1213482549.51</v>
      </c>
      <c r="BF179" s="1239">
        <v>0.4054860969400842</v>
      </c>
      <c r="BG179" s="1236"/>
      <c r="BH179" s="1236" t="s">
        <v>61</v>
      </c>
      <c r="BI179" s="1236" t="s">
        <v>293</v>
      </c>
      <c r="BJ179" s="1236" t="s">
        <v>292</v>
      </c>
      <c r="BK179" s="1236"/>
      <c r="BL179" s="1238">
        <v>3070062794.5000005</v>
      </c>
      <c r="BM179" s="1239"/>
      <c r="BN179" s="1236">
        <v>2014</v>
      </c>
      <c r="BO179" s="174"/>
      <c r="BP179" s="174"/>
      <c r="BQ179" s="174"/>
      <c r="BR179" s="174"/>
      <c r="BS179" s="174"/>
      <c r="BT179" s="174"/>
      <c r="BU179" s="174"/>
      <c r="BV179" s="174"/>
      <c r="BW179" s="174"/>
      <c r="BX179" s="174"/>
    </row>
    <row r="180" spans="1:76" s="152" customFormat="1" ht="15" customHeight="1" x14ac:dyDescent="0.25">
      <c r="A180" s="152">
        <f t="shared" si="4"/>
        <v>1985</v>
      </c>
      <c r="B180" s="152" t="str">
        <f t="shared" si="5"/>
        <v>1984-85</v>
      </c>
      <c r="C180" s="173">
        <v>31079</v>
      </c>
      <c r="D180" s="169">
        <v>0.74158499999999994</v>
      </c>
      <c r="E180" s="170"/>
      <c r="F180" s="170"/>
      <c r="G180" s="170"/>
      <c r="H180" s="170"/>
      <c r="I180" s="169">
        <v>298.5</v>
      </c>
      <c r="J180" s="169">
        <v>394.1</v>
      </c>
      <c r="K180" s="169"/>
      <c r="L180" s="170"/>
      <c r="M180" s="170">
        <v>5248.2982363407145</v>
      </c>
      <c r="N180" s="170">
        <v>7077.1364527879005</v>
      </c>
      <c r="O180" s="169"/>
      <c r="P180" s="169"/>
      <c r="Q180" s="169"/>
      <c r="R180" s="169"/>
      <c r="S180" s="169"/>
      <c r="T180" s="169"/>
      <c r="U180" s="170"/>
      <c r="V180" s="170"/>
      <c r="W180" s="170"/>
      <c r="X180" s="170"/>
      <c r="Y180" s="170"/>
      <c r="Z180" s="170"/>
      <c r="AA180" s="170"/>
      <c r="AB180" s="170"/>
      <c r="AC180" s="170"/>
      <c r="AD180" s="170"/>
      <c r="AE180" s="170"/>
      <c r="AF180" s="170"/>
      <c r="AG180" s="170"/>
      <c r="AH180" s="170"/>
      <c r="AI180" s="170"/>
      <c r="AJ180" s="170"/>
      <c r="AK180" s="170">
        <v>28.2</v>
      </c>
      <c r="AL180" s="170">
        <v>38.026659115273368</v>
      </c>
      <c r="AM180" s="170"/>
      <c r="AN180" s="172"/>
      <c r="AO180" s="170"/>
      <c r="AP180" s="170"/>
      <c r="AS180" s="167"/>
      <c r="AT180" s="1170"/>
      <c r="AU180" s="1171"/>
      <c r="AV180" s="1171"/>
      <c r="AW180" s="1172"/>
      <c r="AX180" s="1172"/>
      <c r="AY180" s="1172"/>
      <c r="AZ180" s="1172"/>
      <c r="BA180" s="1236" t="s">
        <v>61</v>
      </c>
      <c r="BB180" s="1237">
        <v>2009</v>
      </c>
      <c r="BC180" s="1236" t="s">
        <v>306</v>
      </c>
      <c r="BD180" s="1236">
        <v>2</v>
      </c>
      <c r="BE180" s="1238">
        <v>457380898.68000001</v>
      </c>
      <c r="BF180" s="1239">
        <v>0.15283416765703806</v>
      </c>
      <c r="BG180" s="1236"/>
      <c r="BH180" s="1236" t="s">
        <v>61</v>
      </c>
      <c r="BI180" s="1236" t="s">
        <v>294</v>
      </c>
      <c r="BJ180" s="1236" t="s">
        <v>281</v>
      </c>
      <c r="BK180" s="1236">
        <v>1</v>
      </c>
      <c r="BL180" s="1238">
        <v>1239872650.7600002</v>
      </c>
      <c r="BM180" s="1239">
        <v>0.3920191180482227</v>
      </c>
      <c r="BN180" s="1236">
        <v>2013</v>
      </c>
      <c r="BO180" s="174"/>
      <c r="BP180" s="174"/>
      <c r="BQ180" s="174"/>
      <c r="BR180" s="174"/>
      <c r="BS180" s="174"/>
      <c r="BT180" s="174"/>
      <c r="BU180" s="174"/>
      <c r="BV180" s="174"/>
      <c r="BW180" s="174"/>
      <c r="BX180" s="174"/>
    </row>
    <row r="181" spans="1:76" s="152" customFormat="1" ht="15" customHeight="1" x14ac:dyDescent="0.25">
      <c r="A181" s="152">
        <f t="shared" si="4"/>
        <v>1985</v>
      </c>
      <c r="B181" s="152" t="str">
        <f t="shared" si="5"/>
        <v>1984-85</v>
      </c>
      <c r="C181" s="173">
        <v>31107</v>
      </c>
      <c r="D181" s="154">
        <v>0.69642380952380945</v>
      </c>
      <c r="E181" s="155"/>
      <c r="F181" s="155"/>
      <c r="G181" s="155"/>
      <c r="H181" s="155"/>
      <c r="I181" s="156">
        <v>304.3</v>
      </c>
      <c r="J181" s="156">
        <v>438.15</v>
      </c>
      <c r="K181" s="157"/>
      <c r="L181" s="158"/>
      <c r="M181" s="159">
        <v>5148.4791916040313</v>
      </c>
      <c r="N181" s="159">
        <v>7392.7386186356598</v>
      </c>
      <c r="O181" s="160"/>
      <c r="P181" s="160"/>
      <c r="Q181" s="160"/>
      <c r="R181" s="160"/>
      <c r="S181" s="160"/>
      <c r="T181" s="160"/>
      <c r="U181" s="161"/>
      <c r="V181" s="161"/>
      <c r="W181" s="161"/>
      <c r="X181" s="161"/>
      <c r="Y181" s="162"/>
      <c r="Z181" s="162"/>
      <c r="AA181" s="162"/>
      <c r="AB181" s="162"/>
      <c r="AC181" s="163"/>
      <c r="AD181" s="163"/>
      <c r="AE181" s="163"/>
      <c r="AF181" s="163"/>
      <c r="AG181" s="163"/>
      <c r="AH181" s="163"/>
      <c r="AI181" s="163"/>
      <c r="AJ181" s="163"/>
      <c r="AK181" s="164">
        <v>28.1</v>
      </c>
      <c r="AL181" s="164">
        <v>40.348993839274122</v>
      </c>
      <c r="AM181" s="164"/>
      <c r="AN181" s="166"/>
      <c r="AO181" s="164"/>
      <c r="AP181" s="164"/>
      <c r="AS181" s="167"/>
      <c r="AT181" s="1170"/>
      <c r="AU181" s="1171"/>
      <c r="AV181" s="1171"/>
      <c r="AW181" s="1172"/>
      <c r="AX181" s="1172"/>
      <c r="AY181" s="1172"/>
      <c r="AZ181" s="1172"/>
      <c r="BA181" s="1236" t="s">
        <v>61</v>
      </c>
      <c r="BB181" s="1237">
        <v>2009</v>
      </c>
      <c r="BC181" s="1236" t="s">
        <v>309</v>
      </c>
      <c r="BD181" s="1236">
        <v>3</v>
      </c>
      <c r="BE181" s="1238">
        <v>214798012.16999999</v>
      </c>
      <c r="BF181" s="1239">
        <v>7.1774915610011619E-2</v>
      </c>
      <c r="BG181" s="1236"/>
      <c r="BH181" s="1236" t="s">
        <v>61</v>
      </c>
      <c r="BI181" s="1236" t="s">
        <v>294</v>
      </c>
      <c r="BJ181" s="1236" t="s">
        <v>285</v>
      </c>
      <c r="BK181" s="1236">
        <v>2</v>
      </c>
      <c r="BL181" s="1238">
        <v>909222193.91999996</v>
      </c>
      <c r="BM181" s="1239">
        <v>0.2874750744376105</v>
      </c>
      <c r="BN181" s="1236">
        <v>2013</v>
      </c>
      <c r="BO181" s="174"/>
      <c r="BP181" s="174"/>
      <c r="BQ181" s="174"/>
      <c r="BR181" s="174"/>
      <c r="BS181" s="174"/>
      <c r="BT181" s="174"/>
      <c r="BU181" s="174"/>
      <c r="BV181" s="174"/>
      <c r="BW181" s="174"/>
      <c r="BX181" s="174"/>
    </row>
    <row r="182" spans="1:76" s="152" customFormat="1" ht="15" customHeight="1" x14ac:dyDescent="0.25">
      <c r="A182" s="152">
        <f t="shared" si="4"/>
        <v>1985</v>
      </c>
      <c r="B182" s="152" t="str">
        <f t="shared" si="5"/>
        <v>1984-85</v>
      </c>
      <c r="C182" s="173">
        <v>31138</v>
      </c>
      <c r="D182" s="169">
        <v>0.65927368421052646</v>
      </c>
      <c r="E182" s="170"/>
      <c r="F182" s="170"/>
      <c r="G182" s="170"/>
      <c r="H182" s="170"/>
      <c r="I182" s="169">
        <v>325.55</v>
      </c>
      <c r="J182" s="169">
        <v>490.9</v>
      </c>
      <c r="K182" s="169"/>
      <c r="L182" s="170"/>
      <c r="M182" s="170">
        <v>5549.1479372584472</v>
      </c>
      <c r="N182" s="170">
        <v>8417.0627012110999</v>
      </c>
      <c r="O182" s="169"/>
      <c r="P182" s="169"/>
      <c r="Q182" s="169"/>
      <c r="R182" s="169"/>
      <c r="S182" s="169"/>
      <c r="T182" s="169"/>
      <c r="U182" s="170"/>
      <c r="V182" s="170"/>
      <c r="W182" s="170"/>
      <c r="X182" s="170"/>
      <c r="Y182" s="170"/>
      <c r="Z182" s="170"/>
      <c r="AA182" s="170"/>
      <c r="AB182" s="170"/>
      <c r="AC182" s="170"/>
      <c r="AD182" s="170"/>
      <c r="AE182" s="170"/>
      <c r="AF182" s="170"/>
      <c r="AG182" s="170"/>
      <c r="AH182" s="170"/>
      <c r="AI182" s="170"/>
      <c r="AJ182" s="170"/>
      <c r="AK182" s="170">
        <v>27.9</v>
      </c>
      <c r="AL182" s="170">
        <v>42.319298749820362</v>
      </c>
      <c r="AM182" s="170"/>
      <c r="AN182" s="172"/>
      <c r="AO182" s="170"/>
      <c r="AP182" s="170"/>
      <c r="AS182" s="167"/>
      <c r="AT182" s="1170"/>
      <c r="AU182" s="1171"/>
      <c r="AV182" s="1171"/>
      <c r="AW182" s="1172"/>
      <c r="AX182" s="1172"/>
      <c r="AY182" s="1172"/>
      <c r="AZ182" s="1172"/>
      <c r="BA182" s="1236" t="s">
        <v>61</v>
      </c>
      <c r="BB182" s="1237">
        <v>2009</v>
      </c>
      <c r="BC182" s="1236" t="s">
        <v>312</v>
      </c>
      <c r="BD182" s="1236">
        <v>4</v>
      </c>
      <c r="BE182" s="1238">
        <v>201130346.72000003</v>
      </c>
      <c r="BF182" s="1239">
        <v>6.7207855029007654E-2</v>
      </c>
      <c r="BG182" s="1236"/>
      <c r="BH182" s="1236" t="s">
        <v>61</v>
      </c>
      <c r="BI182" s="1236" t="s">
        <v>294</v>
      </c>
      <c r="BJ182" s="1236" t="s">
        <v>306</v>
      </c>
      <c r="BK182" s="1236">
        <v>3</v>
      </c>
      <c r="BL182" s="1238">
        <v>285916599.99000007</v>
      </c>
      <c r="BM182" s="1239">
        <v>9.0400230454895605E-2</v>
      </c>
      <c r="BN182" s="1236">
        <v>2013</v>
      </c>
      <c r="BO182" s="174"/>
      <c r="BP182" s="174"/>
      <c r="BQ182" s="174"/>
      <c r="BR182" s="174"/>
      <c r="BS182" s="174"/>
      <c r="BT182" s="174"/>
      <c r="BU182" s="174"/>
      <c r="BV182" s="174"/>
      <c r="BW182" s="174"/>
      <c r="BX182" s="174"/>
    </row>
    <row r="183" spans="1:76" s="152" customFormat="1" ht="15" customHeight="1" x14ac:dyDescent="0.25">
      <c r="A183" s="152">
        <f t="shared" si="4"/>
        <v>1985</v>
      </c>
      <c r="B183" s="152" t="str">
        <f t="shared" si="5"/>
        <v>1984-85</v>
      </c>
      <c r="C183" s="173">
        <v>31168</v>
      </c>
      <c r="D183" s="154">
        <v>0.67629565217391308</v>
      </c>
      <c r="E183" s="155"/>
      <c r="F183" s="155"/>
      <c r="G183" s="155"/>
      <c r="H183" s="155"/>
      <c r="I183" s="156">
        <v>316.2</v>
      </c>
      <c r="J183" s="156">
        <v>469.9</v>
      </c>
      <c r="K183" s="157"/>
      <c r="L183" s="158"/>
      <c r="M183" s="159">
        <v>5760.9597613321012</v>
      </c>
      <c r="N183" s="159">
        <v>8518.4042553191503</v>
      </c>
      <c r="O183" s="160"/>
      <c r="P183" s="160"/>
      <c r="Q183" s="160"/>
      <c r="R183" s="160"/>
      <c r="S183" s="160"/>
      <c r="T183" s="160"/>
      <c r="U183" s="161"/>
      <c r="V183" s="161"/>
      <c r="W183" s="161"/>
      <c r="X183" s="161"/>
      <c r="Y183" s="162"/>
      <c r="Z183" s="162"/>
      <c r="AA183" s="162"/>
      <c r="AB183" s="162"/>
      <c r="AC183" s="163"/>
      <c r="AD183" s="163"/>
      <c r="AE183" s="163"/>
      <c r="AF183" s="163"/>
      <c r="AG183" s="163"/>
      <c r="AH183" s="163"/>
      <c r="AI183" s="163"/>
      <c r="AJ183" s="163"/>
      <c r="AK183" s="164">
        <v>27.9</v>
      </c>
      <c r="AL183" s="164">
        <v>41.254146629979168</v>
      </c>
      <c r="AM183" s="164"/>
      <c r="AN183" s="166"/>
      <c r="AO183" s="164"/>
      <c r="AP183" s="164"/>
      <c r="AS183" s="167"/>
      <c r="AT183" s="1170"/>
      <c r="AU183" s="1171"/>
      <c r="AV183" s="1171"/>
      <c r="AW183" s="1172"/>
      <c r="AX183" s="1172"/>
      <c r="AY183" s="1172"/>
      <c r="AZ183" s="1172"/>
      <c r="BA183" s="1236" t="s">
        <v>61</v>
      </c>
      <c r="BB183" s="1237">
        <v>2009</v>
      </c>
      <c r="BC183" s="1236" t="s">
        <v>305</v>
      </c>
      <c r="BD183" s="1236">
        <v>5</v>
      </c>
      <c r="BE183" s="1238">
        <v>188120023.25000003</v>
      </c>
      <c r="BF183" s="1239">
        <v>6.2860445759786179E-2</v>
      </c>
      <c r="BG183" s="1236"/>
      <c r="BH183" s="1236" t="s">
        <v>61</v>
      </c>
      <c r="BI183" s="1236" t="s">
        <v>294</v>
      </c>
      <c r="BJ183" s="1236" t="s">
        <v>308</v>
      </c>
      <c r="BK183" s="1236">
        <v>4</v>
      </c>
      <c r="BL183" s="1238">
        <v>252945302.12</v>
      </c>
      <c r="BM183" s="1239">
        <v>7.9975466989083324E-2</v>
      </c>
      <c r="BN183" s="1236">
        <v>2013</v>
      </c>
      <c r="BO183" s="174"/>
      <c r="BP183" s="174"/>
      <c r="BQ183" s="174"/>
      <c r="BR183" s="174"/>
      <c r="BS183" s="174"/>
      <c r="BT183" s="174"/>
      <c r="BU183" s="174"/>
      <c r="BV183" s="174"/>
      <c r="BW183" s="174"/>
      <c r="BX183" s="174"/>
    </row>
    <row r="184" spans="1:76" s="152" customFormat="1" ht="15" customHeight="1" x14ac:dyDescent="0.25">
      <c r="A184" s="152">
        <f t="shared" si="4"/>
        <v>1985</v>
      </c>
      <c r="B184" s="152" t="str">
        <f t="shared" si="5"/>
        <v>1984-85</v>
      </c>
      <c r="C184" s="173">
        <v>31199</v>
      </c>
      <c r="D184" s="169">
        <v>0.66438421052631569</v>
      </c>
      <c r="E184" s="170"/>
      <c r="F184" s="170"/>
      <c r="G184" s="170"/>
      <c r="H184" s="170"/>
      <c r="I184" s="169">
        <v>317.55</v>
      </c>
      <c r="J184" s="169">
        <v>478</v>
      </c>
      <c r="K184" s="169"/>
      <c r="L184" s="170"/>
      <c r="M184" s="170">
        <v>5545.0873913559262</v>
      </c>
      <c r="N184" s="170">
        <v>8346.2058602554498</v>
      </c>
      <c r="O184" s="169"/>
      <c r="P184" s="169"/>
      <c r="Q184" s="169"/>
      <c r="R184" s="169"/>
      <c r="S184" s="169"/>
      <c r="T184" s="169"/>
      <c r="U184" s="170"/>
      <c r="V184" s="170"/>
      <c r="W184" s="170"/>
      <c r="X184" s="170"/>
      <c r="Y184" s="170"/>
      <c r="Z184" s="170"/>
      <c r="AA184" s="170"/>
      <c r="AB184" s="170"/>
      <c r="AC184" s="170"/>
      <c r="AD184" s="170"/>
      <c r="AE184" s="170"/>
      <c r="AF184" s="170"/>
      <c r="AG184" s="170"/>
      <c r="AH184" s="170"/>
      <c r="AI184" s="170"/>
      <c r="AJ184" s="170"/>
      <c r="AK184" s="170">
        <v>26.45</v>
      </c>
      <c r="AL184" s="170">
        <v>39.811301323742605</v>
      </c>
      <c r="AM184" s="170"/>
      <c r="AN184" s="172"/>
      <c r="AO184" s="170"/>
      <c r="AP184" s="170"/>
      <c r="AS184" s="167"/>
      <c r="AT184" s="1170"/>
      <c r="AU184" s="1171"/>
      <c r="AV184" s="1171"/>
      <c r="AW184" s="1172"/>
      <c r="AX184" s="1172"/>
      <c r="AY184" s="1172"/>
      <c r="AZ184" s="1172"/>
      <c r="BA184" s="1236" t="s">
        <v>61</v>
      </c>
      <c r="BB184" s="1237">
        <v>2009</v>
      </c>
      <c r="BC184" s="1236" t="s">
        <v>286</v>
      </c>
      <c r="BD184" s="1236">
        <v>6</v>
      </c>
      <c r="BE184" s="1238">
        <v>162349321.26999998</v>
      </c>
      <c r="BF184" s="1239">
        <v>5.4249146515725474E-2</v>
      </c>
      <c r="BG184" s="1236"/>
      <c r="BH184" s="1236" t="s">
        <v>61</v>
      </c>
      <c r="BI184" s="1236" t="s">
        <v>294</v>
      </c>
      <c r="BJ184" s="1236" t="s">
        <v>286</v>
      </c>
      <c r="BK184" s="1236">
        <v>5</v>
      </c>
      <c r="BL184" s="1238">
        <v>116781893.86</v>
      </c>
      <c r="BM184" s="1239">
        <v>3.6923739713861987E-2</v>
      </c>
      <c r="BN184" s="1236">
        <v>2013</v>
      </c>
      <c r="BO184" s="174"/>
      <c r="BP184" s="174"/>
      <c r="BQ184" s="174"/>
      <c r="BR184" s="174"/>
      <c r="BS184" s="174"/>
      <c r="BT184" s="174"/>
      <c r="BU184" s="174"/>
      <c r="BV184" s="174"/>
      <c r="BW184" s="174"/>
      <c r="BX184" s="174"/>
    </row>
    <row r="185" spans="1:76" s="152" customFormat="1" ht="15" customHeight="1" x14ac:dyDescent="0.25">
      <c r="A185" s="152">
        <f t="shared" si="4"/>
        <v>1985</v>
      </c>
      <c r="B185" s="152" t="str">
        <f t="shared" si="5"/>
        <v>1985-86</v>
      </c>
      <c r="C185" s="173">
        <v>31229</v>
      </c>
      <c r="D185" s="154">
        <v>0.69697826086956527</v>
      </c>
      <c r="E185" s="155"/>
      <c r="F185" s="155"/>
      <c r="G185" s="155"/>
      <c r="H185" s="155"/>
      <c r="I185" s="156">
        <v>316.75</v>
      </c>
      <c r="J185" s="156">
        <v>456.7</v>
      </c>
      <c r="K185" s="157"/>
      <c r="L185" s="158"/>
      <c r="M185" s="159">
        <v>4880.429471157011</v>
      </c>
      <c r="N185" s="159">
        <v>7002.2692889561304</v>
      </c>
      <c r="O185" s="160"/>
      <c r="P185" s="160"/>
      <c r="Q185" s="160"/>
      <c r="R185" s="160"/>
      <c r="S185" s="160"/>
      <c r="T185" s="160"/>
      <c r="U185" s="161"/>
      <c r="V185" s="161"/>
      <c r="W185" s="161"/>
      <c r="X185" s="161"/>
      <c r="Y185" s="162"/>
      <c r="Z185" s="162"/>
      <c r="AA185" s="162"/>
      <c r="AB185" s="162"/>
      <c r="AC185" s="163"/>
      <c r="AD185" s="163"/>
      <c r="AE185" s="163"/>
      <c r="AF185" s="163"/>
      <c r="AG185" s="163"/>
      <c r="AH185" s="163"/>
      <c r="AI185" s="163"/>
      <c r="AJ185" s="163"/>
      <c r="AK185" s="164">
        <v>26.45</v>
      </c>
      <c r="AL185" s="164">
        <v>37.949533701381739</v>
      </c>
      <c r="AM185" s="164"/>
      <c r="AN185" s="166"/>
      <c r="AO185" s="164"/>
      <c r="AP185" s="164"/>
      <c r="AS185" s="167"/>
      <c r="AT185" s="1170"/>
      <c r="AU185" s="1171"/>
      <c r="AV185" s="1171"/>
      <c r="AW185" s="1172"/>
      <c r="AX185" s="1172"/>
      <c r="AY185" s="1172"/>
      <c r="AZ185" s="1172"/>
      <c r="BA185" s="1236" t="s">
        <v>61</v>
      </c>
      <c r="BB185" s="1237">
        <v>2009</v>
      </c>
      <c r="BC185" s="1236" t="s">
        <v>308</v>
      </c>
      <c r="BD185" s="1236">
        <v>7</v>
      </c>
      <c r="BE185" s="1238">
        <v>159326068.90000001</v>
      </c>
      <c r="BF185" s="1239">
        <v>5.3238924486516112E-2</v>
      </c>
      <c r="BG185" s="1236"/>
      <c r="BH185" s="1236" t="s">
        <v>61</v>
      </c>
      <c r="BI185" s="1236" t="s">
        <v>294</v>
      </c>
      <c r="BJ185" s="1236" t="s">
        <v>312</v>
      </c>
      <c r="BK185" s="1236">
        <v>6</v>
      </c>
      <c r="BL185" s="1238">
        <v>77323263.299999982</v>
      </c>
      <c r="BM185" s="1239">
        <v>2.4447831367920038E-2</v>
      </c>
      <c r="BN185" s="1236">
        <v>2013</v>
      </c>
      <c r="BO185" s="174"/>
      <c r="BP185" s="174"/>
      <c r="BQ185" s="174"/>
      <c r="BR185" s="174"/>
      <c r="BS185" s="174"/>
      <c r="BT185" s="174"/>
      <c r="BU185" s="174"/>
      <c r="BV185" s="174"/>
      <c r="BW185" s="174"/>
      <c r="BX185" s="174"/>
    </row>
    <row r="186" spans="1:76" s="152" customFormat="1" ht="15" customHeight="1" x14ac:dyDescent="0.25">
      <c r="A186" s="152">
        <f t="shared" si="4"/>
        <v>1985</v>
      </c>
      <c r="B186" s="152" t="str">
        <f t="shared" si="5"/>
        <v>1985-86</v>
      </c>
      <c r="C186" s="173">
        <v>31260</v>
      </c>
      <c r="D186" s="169">
        <v>0.70724090909090931</v>
      </c>
      <c r="E186" s="170"/>
      <c r="F186" s="170"/>
      <c r="G186" s="170"/>
      <c r="H186" s="170"/>
      <c r="I186" s="169">
        <v>330.05</v>
      </c>
      <c r="J186" s="169">
        <v>455.85</v>
      </c>
      <c r="K186" s="169"/>
      <c r="L186" s="170"/>
      <c r="M186" s="170">
        <v>4935.1318898467234</v>
      </c>
      <c r="N186" s="170">
        <v>6978.00682399773</v>
      </c>
      <c r="O186" s="169"/>
      <c r="P186" s="169"/>
      <c r="Q186" s="169"/>
      <c r="R186" s="169"/>
      <c r="S186" s="169"/>
      <c r="T186" s="169"/>
      <c r="U186" s="170"/>
      <c r="V186" s="170"/>
      <c r="W186" s="170"/>
      <c r="X186" s="170"/>
      <c r="Y186" s="170"/>
      <c r="Z186" s="170"/>
      <c r="AA186" s="170"/>
      <c r="AB186" s="170"/>
      <c r="AC186" s="170"/>
      <c r="AD186" s="170"/>
      <c r="AE186" s="170"/>
      <c r="AF186" s="170"/>
      <c r="AG186" s="170"/>
      <c r="AH186" s="170"/>
      <c r="AI186" s="170"/>
      <c r="AJ186" s="170"/>
      <c r="AK186" s="170">
        <v>27.15</v>
      </c>
      <c r="AL186" s="170">
        <v>38.38861645446773</v>
      </c>
      <c r="AM186" s="170"/>
      <c r="AN186" s="172"/>
      <c r="AO186" s="170"/>
      <c r="AP186" s="170"/>
      <c r="AS186" s="167"/>
      <c r="AT186" s="1170"/>
      <c r="AU186" s="1171"/>
      <c r="AV186" s="1171"/>
      <c r="AW186" s="1172"/>
      <c r="AX186" s="1172"/>
      <c r="AY186" s="1172"/>
      <c r="AZ186" s="1172"/>
      <c r="BA186" s="1236" t="s">
        <v>61</v>
      </c>
      <c r="BB186" s="1237">
        <v>2009</v>
      </c>
      <c r="BC186" s="1236" t="s">
        <v>320</v>
      </c>
      <c r="BD186" s="1236">
        <v>8</v>
      </c>
      <c r="BE186" s="1238">
        <v>120662460.69</v>
      </c>
      <c r="BF186" s="1239">
        <v>4.0319451031356791E-2</v>
      </c>
      <c r="BG186" s="1236"/>
      <c r="BH186" s="1236" t="s">
        <v>61</v>
      </c>
      <c r="BI186" s="1236" t="s">
        <v>294</v>
      </c>
      <c r="BJ186" s="1236" t="s">
        <v>311</v>
      </c>
      <c r="BK186" s="1236">
        <v>7</v>
      </c>
      <c r="BL186" s="1238">
        <v>72243564.560000002</v>
      </c>
      <c r="BM186" s="1239">
        <v>2.2841747857016852E-2</v>
      </c>
      <c r="BN186" s="1236">
        <v>2013</v>
      </c>
      <c r="BO186" s="174"/>
      <c r="BP186" s="174"/>
      <c r="BQ186" s="174"/>
      <c r="BR186" s="174"/>
      <c r="BS186" s="174"/>
      <c r="BT186" s="174"/>
      <c r="BU186" s="174"/>
      <c r="BV186" s="174"/>
      <c r="BW186" s="174"/>
      <c r="BX186" s="174"/>
    </row>
    <row r="187" spans="1:76" s="152" customFormat="1" ht="15" customHeight="1" x14ac:dyDescent="0.25">
      <c r="A187" s="152">
        <f t="shared" si="4"/>
        <v>1985</v>
      </c>
      <c r="B187" s="152" t="str">
        <f t="shared" si="5"/>
        <v>1985-86</v>
      </c>
      <c r="C187" s="173">
        <v>31291</v>
      </c>
      <c r="D187" s="154">
        <v>0.68957619047619056</v>
      </c>
      <c r="E187" s="155"/>
      <c r="F187" s="155"/>
      <c r="G187" s="155"/>
      <c r="H187" s="155"/>
      <c r="I187" s="156">
        <v>323.95</v>
      </c>
      <c r="J187" s="156">
        <v>471.15</v>
      </c>
      <c r="K187" s="157"/>
      <c r="L187" s="158"/>
      <c r="M187" s="159">
        <v>4453.9099609735085</v>
      </c>
      <c r="N187" s="159">
        <v>6458.90914229193</v>
      </c>
      <c r="O187" s="160"/>
      <c r="P187" s="160"/>
      <c r="Q187" s="160"/>
      <c r="R187" s="160"/>
      <c r="S187" s="160"/>
      <c r="T187" s="160"/>
      <c r="U187" s="161"/>
      <c r="V187" s="161"/>
      <c r="W187" s="161"/>
      <c r="X187" s="161"/>
      <c r="Y187" s="162"/>
      <c r="Z187" s="162"/>
      <c r="AA187" s="162"/>
      <c r="AB187" s="162"/>
      <c r="AC187" s="163"/>
      <c r="AD187" s="163"/>
      <c r="AE187" s="163"/>
      <c r="AF187" s="163"/>
      <c r="AG187" s="163"/>
      <c r="AH187" s="163"/>
      <c r="AI187" s="163"/>
      <c r="AJ187" s="163"/>
      <c r="AK187" s="164">
        <v>27.15</v>
      </c>
      <c r="AL187" s="164">
        <v>39.372009032462998</v>
      </c>
      <c r="AM187" s="164"/>
      <c r="AN187" s="166"/>
      <c r="AO187" s="164"/>
      <c r="AP187" s="164"/>
      <c r="AS187" s="167"/>
      <c r="AT187" s="1170"/>
      <c r="AU187" s="1171"/>
      <c r="AV187" s="1171"/>
      <c r="AW187" s="1172"/>
      <c r="AX187" s="1172"/>
      <c r="AY187" s="1172"/>
      <c r="AZ187" s="1172"/>
      <c r="BA187" s="1236" t="s">
        <v>61</v>
      </c>
      <c r="BB187" s="1237">
        <v>2009</v>
      </c>
      <c r="BC187" s="1236" t="s">
        <v>287</v>
      </c>
      <c r="BD187" s="1236">
        <v>9</v>
      </c>
      <c r="BE187" s="1238">
        <v>73300326.280000001</v>
      </c>
      <c r="BF187" s="1239">
        <v>2.4493358573399862E-2</v>
      </c>
      <c r="BG187" s="1236"/>
      <c r="BH187" s="1236" t="s">
        <v>61</v>
      </c>
      <c r="BI187" s="1236" t="s">
        <v>294</v>
      </c>
      <c r="BJ187" s="1236" t="s">
        <v>314</v>
      </c>
      <c r="BK187" s="1236">
        <v>8</v>
      </c>
      <c r="BL187" s="1238">
        <v>42226945.059999995</v>
      </c>
      <c r="BM187" s="1239">
        <v>1.3351185502918424E-2</v>
      </c>
      <c r="BN187" s="1236">
        <v>2013</v>
      </c>
      <c r="BO187" s="174"/>
      <c r="BP187" s="174"/>
      <c r="BQ187" s="174"/>
      <c r="BR187" s="174"/>
      <c r="BS187" s="174"/>
      <c r="BT187" s="174"/>
      <c r="BU187" s="174"/>
      <c r="BV187" s="174"/>
      <c r="BW187" s="174"/>
      <c r="BX187" s="174"/>
    </row>
    <row r="188" spans="1:76" s="152" customFormat="1" ht="15" customHeight="1" x14ac:dyDescent="0.25">
      <c r="A188" s="152">
        <f t="shared" si="4"/>
        <v>1985</v>
      </c>
      <c r="B188" s="152" t="str">
        <f t="shared" si="5"/>
        <v>1985-86</v>
      </c>
      <c r="C188" s="173">
        <v>31321</v>
      </c>
      <c r="D188" s="169">
        <v>0.70307391304347844</v>
      </c>
      <c r="E188" s="170"/>
      <c r="F188" s="170"/>
      <c r="G188" s="170"/>
      <c r="H188" s="170"/>
      <c r="I188" s="169">
        <v>323.95</v>
      </c>
      <c r="J188" s="169">
        <v>464.95</v>
      </c>
      <c r="K188" s="169"/>
      <c r="L188" s="170"/>
      <c r="M188" s="170">
        <v>4257.6236326267026</v>
      </c>
      <c r="N188" s="170">
        <v>6055.7269351613804</v>
      </c>
      <c r="O188" s="169"/>
      <c r="P188" s="169"/>
      <c r="Q188" s="169"/>
      <c r="R188" s="169"/>
      <c r="S188" s="169"/>
      <c r="T188" s="169"/>
      <c r="U188" s="170"/>
      <c r="V188" s="170"/>
      <c r="W188" s="170"/>
      <c r="X188" s="170"/>
      <c r="Y188" s="170"/>
      <c r="Z188" s="170"/>
      <c r="AA188" s="170"/>
      <c r="AB188" s="170"/>
      <c r="AC188" s="170"/>
      <c r="AD188" s="170"/>
      <c r="AE188" s="170"/>
      <c r="AF188" s="170"/>
      <c r="AG188" s="170"/>
      <c r="AH188" s="170"/>
      <c r="AI188" s="170"/>
      <c r="AJ188" s="170"/>
      <c r="AK188" s="170">
        <v>27.15</v>
      </c>
      <c r="AL188" s="170">
        <v>38.616139066336018</v>
      </c>
      <c r="AM188" s="170"/>
      <c r="AN188" s="172"/>
      <c r="AO188" s="170"/>
      <c r="AP188" s="170"/>
      <c r="AS188" s="167"/>
      <c r="AT188" s="1170"/>
      <c r="AU188" s="1171"/>
      <c r="AV188" s="1171"/>
      <c r="AW188" s="1172"/>
      <c r="AX188" s="1172"/>
      <c r="AY188" s="1172"/>
      <c r="AZ188" s="1172"/>
      <c r="BA188" s="1236" t="s">
        <v>61</v>
      </c>
      <c r="BB188" s="1237">
        <v>2009</v>
      </c>
      <c r="BC188" s="1236" t="s">
        <v>319</v>
      </c>
      <c r="BD188" s="1236">
        <v>10</v>
      </c>
      <c r="BE188" s="1238">
        <v>52755004.419999994</v>
      </c>
      <c r="BF188" s="1239">
        <v>1.7628123984939435E-2</v>
      </c>
      <c r="BG188" s="1236"/>
      <c r="BH188" s="1236" t="s">
        <v>61</v>
      </c>
      <c r="BI188" s="1236" t="s">
        <v>294</v>
      </c>
      <c r="BJ188" s="1236" t="s">
        <v>310</v>
      </c>
      <c r="BK188" s="1236">
        <v>9</v>
      </c>
      <c r="BL188" s="1238">
        <v>41440494.329999998</v>
      </c>
      <c r="BM188" s="1239">
        <v>1.3102527932018703E-2</v>
      </c>
      <c r="BN188" s="1236">
        <v>2013</v>
      </c>
      <c r="BO188" s="174"/>
      <c r="BP188" s="174"/>
      <c r="BQ188" s="174"/>
      <c r="BR188" s="174"/>
      <c r="BS188" s="174"/>
      <c r="BT188" s="174"/>
      <c r="BU188" s="174"/>
      <c r="BV188" s="174"/>
      <c r="BW188" s="174"/>
      <c r="BX188" s="174"/>
    </row>
    <row r="189" spans="1:76" s="152" customFormat="1" ht="15" customHeight="1" x14ac:dyDescent="0.25">
      <c r="A189" s="152">
        <f t="shared" si="4"/>
        <v>1985</v>
      </c>
      <c r="B189" s="152" t="str">
        <f t="shared" si="5"/>
        <v>1985-86</v>
      </c>
      <c r="C189" s="173">
        <v>31352</v>
      </c>
      <c r="D189" s="154">
        <v>0.67785714285714282</v>
      </c>
      <c r="E189" s="155"/>
      <c r="F189" s="155"/>
      <c r="G189" s="155"/>
      <c r="H189" s="155"/>
      <c r="I189" s="156">
        <v>325.60000000000002</v>
      </c>
      <c r="J189" s="156">
        <v>480.8</v>
      </c>
      <c r="K189" s="157"/>
      <c r="L189" s="158"/>
      <c r="M189" s="159">
        <v>3993.0733576642338</v>
      </c>
      <c r="N189" s="159">
        <v>5890.7299270072999</v>
      </c>
      <c r="O189" s="160"/>
      <c r="P189" s="160"/>
      <c r="Q189" s="160"/>
      <c r="R189" s="160"/>
      <c r="S189" s="160"/>
      <c r="T189" s="160"/>
      <c r="U189" s="161"/>
      <c r="V189" s="161"/>
      <c r="W189" s="161"/>
      <c r="X189" s="161"/>
      <c r="Y189" s="162"/>
      <c r="Z189" s="162"/>
      <c r="AA189" s="162"/>
      <c r="AB189" s="162"/>
      <c r="AC189" s="163"/>
      <c r="AD189" s="163"/>
      <c r="AE189" s="163"/>
      <c r="AF189" s="163"/>
      <c r="AG189" s="163"/>
      <c r="AH189" s="163"/>
      <c r="AI189" s="163"/>
      <c r="AJ189" s="163"/>
      <c r="AK189" s="164">
        <v>29.35</v>
      </c>
      <c r="AL189" s="164">
        <v>43.298208640674396</v>
      </c>
      <c r="AM189" s="164"/>
      <c r="AN189" s="166"/>
      <c r="AO189" s="164"/>
      <c r="AP189" s="164"/>
      <c r="AS189" s="167"/>
      <c r="AT189" s="1170"/>
      <c r="AU189" s="1171"/>
      <c r="AV189" s="1171"/>
      <c r="AW189" s="1172"/>
      <c r="AX189" s="1172"/>
      <c r="AY189" s="1172"/>
      <c r="AZ189" s="1172"/>
      <c r="BA189" s="1236" t="s">
        <v>61</v>
      </c>
      <c r="BB189" s="1237">
        <v>2009</v>
      </c>
      <c r="BC189" s="1236" t="s">
        <v>291</v>
      </c>
      <c r="BD189" s="1236"/>
      <c r="BE189" s="1238">
        <v>149356286.89999866</v>
      </c>
      <c r="BF189" s="1239">
        <v>4.9907514412134368E-2</v>
      </c>
      <c r="BG189" s="1236"/>
      <c r="BH189" s="1236" t="s">
        <v>61</v>
      </c>
      <c r="BI189" s="1236" t="s">
        <v>294</v>
      </c>
      <c r="BJ189" s="1236" t="s">
        <v>287</v>
      </c>
      <c r="BK189" s="1236">
        <v>10</v>
      </c>
      <c r="BL189" s="1238">
        <v>27893807.25</v>
      </c>
      <c r="BM189" s="1239">
        <v>8.8193781114934595E-3</v>
      </c>
      <c r="BN189" s="1236">
        <v>2013</v>
      </c>
      <c r="BO189" s="174"/>
      <c r="BP189" s="174"/>
      <c r="BQ189" s="174"/>
      <c r="BR189" s="174"/>
      <c r="BS189" s="174"/>
      <c r="BT189" s="174"/>
      <c r="BU189" s="174"/>
      <c r="BV189" s="174"/>
      <c r="BW189" s="174"/>
      <c r="BX189" s="174"/>
    </row>
    <row r="190" spans="1:76" s="152" customFormat="1" ht="15" customHeight="1" x14ac:dyDescent="0.25">
      <c r="A190" s="152">
        <f t="shared" si="4"/>
        <v>1985</v>
      </c>
      <c r="B190" s="152" t="str">
        <f t="shared" si="5"/>
        <v>1985-86</v>
      </c>
      <c r="C190" s="173">
        <v>31382</v>
      </c>
      <c r="D190" s="169">
        <v>0.68111500000000003</v>
      </c>
      <c r="E190" s="170"/>
      <c r="F190" s="170"/>
      <c r="G190" s="170"/>
      <c r="H190" s="170"/>
      <c r="I190" s="169">
        <v>322.10000000000002</v>
      </c>
      <c r="J190" s="169">
        <v>474.1</v>
      </c>
      <c r="K190" s="169"/>
      <c r="L190" s="170"/>
      <c r="M190" s="170">
        <v>4091.5715409017462</v>
      </c>
      <c r="N190" s="170">
        <v>6007.1669848729598</v>
      </c>
      <c r="O190" s="169"/>
      <c r="P190" s="169"/>
      <c r="Q190" s="169"/>
      <c r="R190" s="169"/>
      <c r="S190" s="169"/>
      <c r="T190" s="169"/>
      <c r="U190" s="170"/>
      <c r="V190" s="170"/>
      <c r="W190" s="170"/>
      <c r="X190" s="170"/>
      <c r="Y190" s="170"/>
      <c r="Z190" s="170"/>
      <c r="AA190" s="170"/>
      <c r="AB190" s="170"/>
      <c r="AC190" s="170"/>
      <c r="AD190" s="170"/>
      <c r="AE190" s="170"/>
      <c r="AF190" s="170"/>
      <c r="AG190" s="170"/>
      <c r="AH190" s="170"/>
      <c r="AI190" s="170"/>
      <c r="AJ190" s="170"/>
      <c r="AK190" s="170">
        <v>29.35</v>
      </c>
      <c r="AL190" s="170">
        <v>43.091107962678841</v>
      </c>
      <c r="AM190" s="170"/>
      <c r="AN190" s="172"/>
      <c r="AO190" s="170"/>
      <c r="AP190" s="170"/>
      <c r="AS190" s="167"/>
      <c r="AT190" s="1170"/>
      <c r="AU190" s="1171"/>
      <c r="AV190" s="1171"/>
      <c r="AW190" s="1172"/>
      <c r="AX190" s="1172"/>
      <c r="AY190" s="1172"/>
      <c r="AZ190" s="1172"/>
      <c r="BA190" s="1236" t="s">
        <v>61</v>
      </c>
      <c r="BB190" s="1237">
        <v>2009</v>
      </c>
      <c r="BC190" s="1236" t="s">
        <v>292</v>
      </c>
      <c r="BD190" s="1236"/>
      <c r="BE190" s="1238">
        <v>2992661298.7899995</v>
      </c>
      <c r="BF190" s="1239"/>
      <c r="BG190" s="1236"/>
      <c r="BH190" s="1236" t="s">
        <v>61</v>
      </c>
      <c r="BI190" s="1236" t="s">
        <v>294</v>
      </c>
      <c r="BJ190" s="1236" t="s">
        <v>291</v>
      </c>
      <c r="BK190" s="1236"/>
      <c r="BL190" s="1238">
        <v>96919469.699999809</v>
      </c>
      <c r="BM190" s="1239">
        <v>3.0643699584958304E-2</v>
      </c>
      <c r="BN190" s="1236">
        <v>2013</v>
      </c>
      <c r="BO190" s="174"/>
      <c r="BP190" s="174"/>
      <c r="BQ190" s="174"/>
      <c r="BR190" s="174"/>
      <c r="BS190" s="174"/>
      <c r="BT190" s="174"/>
      <c r="BU190" s="174"/>
      <c r="BV190" s="174"/>
      <c r="BW190" s="174"/>
      <c r="BX190" s="174"/>
    </row>
    <row r="191" spans="1:76" s="152" customFormat="1" ht="15" customHeight="1" x14ac:dyDescent="0.25">
      <c r="A191" s="152">
        <f t="shared" si="4"/>
        <v>1986</v>
      </c>
      <c r="B191" s="152" t="str">
        <f t="shared" si="5"/>
        <v>1985-86</v>
      </c>
      <c r="C191" s="173">
        <v>31413</v>
      </c>
      <c r="D191" s="154">
        <v>0.69740476190476197</v>
      </c>
      <c r="E191" s="155">
        <v>127.4212899142328</v>
      </c>
      <c r="F191" s="155">
        <v>182.70780022524929</v>
      </c>
      <c r="G191" s="155"/>
      <c r="H191" s="155"/>
      <c r="I191" s="156">
        <v>343.7</v>
      </c>
      <c r="J191" s="156">
        <v>493.2</v>
      </c>
      <c r="K191" s="157"/>
      <c r="L191" s="158"/>
      <c r="M191" s="159">
        <v>3933.0996855345888</v>
      </c>
      <c r="N191" s="159">
        <v>5639.6226415094297</v>
      </c>
      <c r="O191" s="175">
        <v>1418.3325929711241</v>
      </c>
      <c r="P191" s="175">
        <v>2033.7294358262677</v>
      </c>
      <c r="Q191" s="175">
        <v>368.165662</v>
      </c>
      <c r="R191" s="175">
        <v>527.90815622546165</v>
      </c>
      <c r="S191" s="175">
        <v>643.47059100000001</v>
      </c>
      <c r="T191" s="175">
        <v>922.66446423816183</v>
      </c>
      <c r="U191" s="161">
        <v>118.55880952380953</v>
      </c>
      <c r="V191" s="161">
        <v>170</v>
      </c>
      <c r="W191" s="161"/>
      <c r="X191" s="161"/>
      <c r="Y191" s="162"/>
      <c r="Z191" s="162"/>
      <c r="AA191" s="162"/>
      <c r="AB191" s="162"/>
      <c r="AC191" s="163"/>
      <c r="AD191" s="163"/>
      <c r="AE191" s="163"/>
      <c r="AF191" s="163"/>
      <c r="AG191" s="163"/>
      <c r="AH191" s="163"/>
      <c r="AI191" s="163"/>
      <c r="AJ191" s="163"/>
      <c r="AK191" s="164">
        <v>26.3</v>
      </c>
      <c r="AL191" s="164">
        <v>37.711242361134815</v>
      </c>
      <c r="AM191" s="164"/>
      <c r="AN191" s="166"/>
      <c r="AO191" s="164"/>
      <c r="AP191" s="164"/>
      <c r="AS191" s="167"/>
      <c r="AT191" s="1170"/>
      <c r="AU191" s="1171"/>
      <c r="AV191" s="1171"/>
      <c r="AW191" s="1172"/>
      <c r="AX191" s="1172"/>
      <c r="AY191" s="1172"/>
      <c r="AZ191" s="1172"/>
      <c r="BA191" s="1236" t="s">
        <v>61</v>
      </c>
      <c r="BB191" s="1237">
        <v>2008</v>
      </c>
      <c r="BC191" s="1236" t="s">
        <v>281</v>
      </c>
      <c r="BD191" s="1236">
        <v>1</v>
      </c>
      <c r="BE191" s="1238">
        <v>1132994377.54</v>
      </c>
      <c r="BF191" s="1239">
        <v>0.28739276902443622</v>
      </c>
      <c r="BG191" s="1236"/>
      <c r="BH191" s="1236" t="s">
        <v>61</v>
      </c>
      <c r="BI191" s="1236" t="s">
        <v>294</v>
      </c>
      <c r="BJ191" s="1236" t="s">
        <v>292</v>
      </c>
      <c r="BK191" s="1236"/>
      <c r="BL191" s="1238">
        <v>3162786184.8500004</v>
      </c>
      <c r="BM191" s="1239"/>
      <c r="BN191" s="1236">
        <v>2013</v>
      </c>
      <c r="BO191" s="174"/>
      <c r="BP191" s="174"/>
      <c r="BQ191" s="174"/>
      <c r="BR191" s="174"/>
      <c r="BS191" s="174"/>
      <c r="BT191" s="174"/>
      <c r="BU191" s="174"/>
      <c r="BV191" s="174"/>
      <c r="BW191" s="174"/>
      <c r="BX191" s="174"/>
    </row>
    <row r="192" spans="1:76" s="152" customFormat="1" ht="15" customHeight="1" x14ac:dyDescent="0.25">
      <c r="A192" s="152">
        <f t="shared" si="4"/>
        <v>1986</v>
      </c>
      <c r="B192" s="152" t="str">
        <f t="shared" si="5"/>
        <v>1985-86</v>
      </c>
      <c r="C192" s="173">
        <v>31444</v>
      </c>
      <c r="D192" s="169">
        <v>0.69983499999999998</v>
      </c>
      <c r="E192" s="170">
        <v>122.85535415979888</v>
      </c>
      <c r="F192" s="170">
        <v>175.54902821350586</v>
      </c>
      <c r="G192" s="170"/>
      <c r="H192" s="170"/>
      <c r="I192" s="169">
        <v>339.85</v>
      </c>
      <c r="J192" s="169">
        <v>487.4</v>
      </c>
      <c r="K192" s="169"/>
      <c r="L192" s="170"/>
      <c r="M192" s="170">
        <v>3934.1965080576147</v>
      </c>
      <c r="N192" s="170">
        <v>5621.6058185966904</v>
      </c>
      <c r="O192" s="170">
        <v>1405.1375006762164</v>
      </c>
      <c r="P192" s="170">
        <v>2007.8125567829795</v>
      </c>
      <c r="Q192" s="170">
        <v>366.82948799999997</v>
      </c>
      <c r="R192" s="170">
        <v>524.16567905291959</v>
      </c>
      <c r="S192" s="170">
        <v>608.07964200000004</v>
      </c>
      <c r="T192" s="170">
        <v>868.89001264583806</v>
      </c>
      <c r="U192" s="170">
        <v>118.97194999999999</v>
      </c>
      <c r="V192" s="170">
        <v>170</v>
      </c>
      <c r="W192" s="170"/>
      <c r="X192" s="170"/>
      <c r="Y192" s="170"/>
      <c r="Z192" s="170"/>
      <c r="AA192" s="170"/>
      <c r="AB192" s="170"/>
      <c r="AC192" s="170"/>
      <c r="AD192" s="170"/>
      <c r="AE192" s="170"/>
      <c r="AF192" s="170"/>
      <c r="AG192" s="170"/>
      <c r="AH192" s="170"/>
      <c r="AI192" s="170"/>
      <c r="AJ192" s="170"/>
      <c r="AK192" s="170">
        <v>16.7</v>
      </c>
      <c r="AL192" s="170">
        <v>23.862767652375201</v>
      </c>
      <c r="AM192" s="170"/>
      <c r="AN192" s="172"/>
      <c r="AO192" s="170"/>
      <c r="AP192" s="170"/>
      <c r="AS192" s="167"/>
      <c r="AT192" s="1170"/>
      <c r="AU192" s="1171"/>
      <c r="AV192" s="1171"/>
      <c r="AW192" s="1172"/>
      <c r="AX192" s="1172"/>
      <c r="AY192" s="1172"/>
      <c r="AZ192" s="1172"/>
      <c r="BA192" s="1236" t="s">
        <v>61</v>
      </c>
      <c r="BB192" s="1237">
        <v>2008</v>
      </c>
      <c r="BC192" s="1236" t="s">
        <v>309</v>
      </c>
      <c r="BD192" s="1236">
        <v>2</v>
      </c>
      <c r="BE192" s="1238">
        <v>916226599.57000041</v>
      </c>
      <c r="BF192" s="1239">
        <v>0.23240794899264133</v>
      </c>
      <c r="BG192" s="1236"/>
      <c r="BH192" s="1236" t="s">
        <v>61</v>
      </c>
      <c r="BI192" s="1236" t="s">
        <v>295</v>
      </c>
      <c r="BJ192" s="1236" t="s">
        <v>281</v>
      </c>
      <c r="BK192" s="1236">
        <v>1</v>
      </c>
      <c r="BL192" s="1238">
        <v>1201341767</v>
      </c>
      <c r="BM192" s="1239">
        <v>0.34899999999999998</v>
      </c>
      <c r="BN192" s="1236">
        <v>2012</v>
      </c>
      <c r="BO192" s="174"/>
      <c r="BP192" s="174"/>
      <c r="BQ192" s="174"/>
      <c r="BR192" s="174"/>
      <c r="BS192" s="174"/>
      <c r="BT192" s="174"/>
      <c r="BU192" s="174"/>
      <c r="BV192" s="174"/>
      <c r="BW192" s="174"/>
      <c r="BX192" s="174"/>
    </row>
    <row r="193" spans="1:76" s="152" customFormat="1" ht="15" customHeight="1" x14ac:dyDescent="0.25">
      <c r="A193" s="152">
        <f t="shared" si="4"/>
        <v>1986</v>
      </c>
      <c r="B193" s="152" t="str">
        <f t="shared" si="5"/>
        <v>1985-86</v>
      </c>
      <c r="C193" s="173">
        <v>31472</v>
      </c>
      <c r="D193" s="154">
        <v>0.70736842105263154</v>
      </c>
      <c r="E193" s="155">
        <v>123.27309473684211</v>
      </c>
      <c r="F193" s="155">
        <v>174.27</v>
      </c>
      <c r="G193" s="155"/>
      <c r="H193" s="155"/>
      <c r="I193" s="156">
        <v>346.7</v>
      </c>
      <c r="J193" s="156">
        <v>490.55</v>
      </c>
      <c r="K193" s="157"/>
      <c r="L193" s="158"/>
      <c r="M193" s="159">
        <v>4058.1127154168616</v>
      </c>
      <c r="N193" s="159">
        <v>5736.9152970922896</v>
      </c>
      <c r="O193" s="175">
        <v>1443.5403922874689</v>
      </c>
      <c r="P193" s="175">
        <v>2040.7193045730587</v>
      </c>
      <c r="Q193" s="175">
        <v>366.51201599999996</v>
      </c>
      <c r="R193" s="175">
        <v>518.13454642857141</v>
      </c>
      <c r="S193" s="175">
        <v>624.64240800000005</v>
      </c>
      <c r="T193" s="175">
        <v>883.05102321428581</v>
      </c>
      <c r="U193" s="161">
        <v>120.25263157894736</v>
      </c>
      <c r="V193" s="161">
        <v>170</v>
      </c>
      <c r="W193" s="161"/>
      <c r="X193" s="161"/>
      <c r="Y193" s="162"/>
      <c r="Z193" s="162"/>
      <c r="AA193" s="162"/>
      <c r="AB193" s="162"/>
      <c r="AC193" s="163"/>
      <c r="AD193" s="163"/>
      <c r="AE193" s="163"/>
      <c r="AF193" s="163"/>
      <c r="AG193" s="163"/>
      <c r="AH193" s="163"/>
      <c r="AI193" s="163"/>
      <c r="AJ193" s="163"/>
      <c r="AK193" s="164">
        <v>16.7</v>
      </c>
      <c r="AL193" s="164">
        <v>23.608630952380953</v>
      </c>
      <c r="AM193" s="164"/>
      <c r="AN193" s="166"/>
      <c r="AO193" s="164"/>
      <c r="AP193" s="164"/>
      <c r="AS193" s="167"/>
      <c r="AT193" s="1170"/>
      <c r="AU193" s="1171"/>
      <c r="AV193" s="1171"/>
      <c r="AW193" s="1172"/>
      <c r="AX193" s="1172"/>
      <c r="AY193" s="1172"/>
      <c r="AZ193" s="1172"/>
      <c r="BA193" s="1236" t="s">
        <v>61</v>
      </c>
      <c r="BB193" s="1237">
        <v>2008</v>
      </c>
      <c r="BC193" s="1236" t="s">
        <v>312</v>
      </c>
      <c r="BD193" s="1236">
        <v>3</v>
      </c>
      <c r="BE193" s="1238">
        <v>433537841.49999988</v>
      </c>
      <c r="BF193" s="1239">
        <v>0.10997021981352532</v>
      </c>
      <c r="BG193" s="1236"/>
      <c r="BH193" s="1236" t="s">
        <v>61</v>
      </c>
      <c r="BI193" s="1236" t="s">
        <v>295</v>
      </c>
      <c r="BJ193" s="1236" t="s">
        <v>285</v>
      </c>
      <c r="BK193" s="1236">
        <v>2</v>
      </c>
      <c r="BL193" s="1238">
        <v>890845573</v>
      </c>
      <c r="BM193" s="1239">
        <v>0.25900000000000001</v>
      </c>
      <c r="BN193" s="1236">
        <v>2012</v>
      </c>
      <c r="BO193" s="174"/>
      <c r="BP193" s="174"/>
      <c r="BQ193" s="174"/>
      <c r="BR193" s="174"/>
      <c r="BS193" s="174"/>
      <c r="BT193" s="174"/>
      <c r="BU193" s="174"/>
      <c r="BV193" s="174"/>
      <c r="BW193" s="174"/>
      <c r="BX193" s="174"/>
    </row>
    <row r="194" spans="1:76" s="152" customFormat="1" ht="15" customHeight="1" x14ac:dyDescent="0.25">
      <c r="A194" s="152">
        <f t="shared" si="4"/>
        <v>1986</v>
      </c>
      <c r="B194" s="152" t="str">
        <f t="shared" si="5"/>
        <v>1985-86</v>
      </c>
      <c r="C194" s="173">
        <v>31503</v>
      </c>
      <c r="D194" s="169">
        <v>0.72187142857142861</v>
      </c>
      <c r="E194" s="170">
        <v>130.79588414285715</v>
      </c>
      <c r="F194" s="170">
        <v>181.19</v>
      </c>
      <c r="G194" s="170"/>
      <c r="H194" s="170"/>
      <c r="I194" s="169">
        <v>341</v>
      </c>
      <c r="J194" s="169">
        <v>473.2</v>
      </c>
      <c r="K194" s="169"/>
      <c r="L194" s="170"/>
      <c r="M194" s="170">
        <v>3903.3212377988662</v>
      </c>
      <c r="N194" s="170">
        <v>5407.2250033824903</v>
      </c>
      <c r="O194" s="170">
        <v>1432.8137695987516</v>
      </c>
      <c r="P194" s="170">
        <v>1984.8600635632108</v>
      </c>
      <c r="Q194" s="170">
        <v>368.70674400000001</v>
      </c>
      <c r="R194" s="170">
        <v>510.7651160673646</v>
      </c>
      <c r="S194" s="170">
        <v>658.81651999999997</v>
      </c>
      <c r="T194" s="170">
        <v>912.65077675090527</v>
      </c>
      <c r="U194" s="170">
        <v>122.71814285714287</v>
      </c>
      <c r="V194" s="170">
        <v>170</v>
      </c>
      <c r="W194" s="170"/>
      <c r="X194" s="170"/>
      <c r="Y194" s="170"/>
      <c r="Z194" s="170"/>
      <c r="AA194" s="170"/>
      <c r="AB194" s="170"/>
      <c r="AC194" s="170"/>
      <c r="AD194" s="170"/>
      <c r="AE194" s="170"/>
      <c r="AF194" s="170"/>
      <c r="AG194" s="170"/>
      <c r="AH194" s="170"/>
      <c r="AI194" s="170"/>
      <c r="AJ194" s="170"/>
      <c r="AK194" s="170">
        <v>12.35</v>
      </c>
      <c r="AL194" s="170">
        <v>17.108309750450218</v>
      </c>
      <c r="AM194" s="170"/>
      <c r="AN194" s="172"/>
      <c r="AO194" s="170"/>
      <c r="AP194" s="170"/>
      <c r="AS194" s="167"/>
      <c r="AT194" s="1170"/>
      <c r="AU194" s="1171"/>
      <c r="AV194" s="1171"/>
      <c r="AW194" s="1172"/>
      <c r="AX194" s="1172"/>
      <c r="AY194" s="1172"/>
      <c r="AZ194" s="1172"/>
      <c r="BA194" s="1236" t="s">
        <v>61</v>
      </c>
      <c r="BB194" s="1237">
        <v>2008</v>
      </c>
      <c r="BC194" s="1236" t="s">
        <v>286</v>
      </c>
      <c r="BD194" s="1236">
        <v>4</v>
      </c>
      <c r="BE194" s="1238">
        <v>339067595.53999996</v>
      </c>
      <c r="BF194" s="1239">
        <v>8.6007112745145012E-2</v>
      </c>
      <c r="BG194" s="1236"/>
      <c r="BH194" s="1236" t="s">
        <v>61</v>
      </c>
      <c r="BI194" s="1236" t="s">
        <v>295</v>
      </c>
      <c r="BJ194" s="1236" t="s">
        <v>306</v>
      </c>
      <c r="BK194" s="1236">
        <v>3</v>
      </c>
      <c r="BL194" s="1238">
        <v>319004019</v>
      </c>
      <c r="BM194" s="1239">
        <v>9.2999999999999999E-2</v>
      </c>
      <c r="BN194" s="1236">
        <v>2012</v>
      </c>
      <c r="BO194" s="174"/>
      <c r="BP194" s="174"/>
      <c r="BQ194" s="174"/>
      <c r="BR194" s="174"/>
      <c r="BS194" s="174"/>
      <c r="BT194" s="174"/>
      <c r="BU194" s="174"/>
      <c r="BV194" s="174"/>
      <c r="BW194" s="174"/>
      <c r="BX194" s="174"/>
    </row>
    <row r="195" spans="1:76" s="152" customFormat="1" ht="15" customHeight="1" x14ac:dyDescent="0.25">
      <c r="A195" s="152">
        <f t="shared" si="4"/>
        <v>1986</v>
      </c>
      <c r="B195" s="152" t="str">
        <f t="shared" si="5"/>
        <v>1985-86</v>
      </c>
      <c r="C195" s="173">
        <v>31533</v>
      </c>
      <c r="D195" s="154">
        <v>0.72724999999999995</v>
      </c>
      <c r="E195" s="155">
        <v>133.55218999999997</v>
      </c>
      <c r="F195" s="155">
        <v>183.64</v>
      </c>
      <c r="G195" s="155"/>
      <c r="H195" s="155"/>
      <c r="I195" s="156">
        <v>342.45</v>
      </c>
      <c r="J195" s="156">
        <v>471.55</v>
      </c>
      <c r="K195" s="157"/>
      <c r="L195" s="158"/>
      <c r="M195" s="159">
        <v>4133.0350230253971</v>
      </c>
      <c r="N195" s="159">
        <v>5683.1007535584704</v>
      </c>
      <c r="O195" s="175">
        <v>1419.4918764541733</v>
      </c>
      <c r="P195" s="175">
        <v>1951.8623258221703</v>
      </c>
      <c r="Q195" s="175">
        <v>376.38671999999997</v>
      </c>
      <c r="R195" s="175">
        <v>517.5479133722929</v>
      </c>
      <c r="S195" s="175">
        <v>707.53699399999994</v>
      </c>
      <c r="T195" s="175">
        <v>972.89376968030251</v>
      </c>
      <c r="U195" s="161">
        <v>127.26875</v>
      </c>
      <c r="V195" s="161">
        <v>175</v>
      </c>
      <c r="W195" s="161"/>
      <c r="X195" s="161"/>
      <c r="Y195" s="162"/>
      <c r="Z195" s="162"/>
      <c r="AA195" s="162"/>
      <c r="AB195" s="162"/>
      <c r="AC195" s="163"/>
      <c r="AD195" s="163"/>
      <c r="AE195" s="163"/>
      <c r="AF195" s="163"/>
      <c r="AG195" s="163"/>
      <c r="AH195" s="163"/>
      <c r="AI195" s="163"/>
      <c r="AJ195" s="163"/>
      <c r="AK195" s="164">
        <v>13.45</v>
      </c>
      <c r="AL195" s="164">
        <v>18.494327947748367</v>
      </c>
      <c r="AM195" s="164"/>
      <c r="AN195" s="166"/>
      <c r="AO195" s="164"/>
      <c r="AP195" s="164"/>
      <c r="AS195" s="167"/>
      <c r="AT195" s="1170"/>
      <c r="AU195" s="1171"/>
      <c r="AV195" s="1171"/>
      <c r="AW195" s="1172"/>
      <c r="AX195" s="1172"/>
      <c r="AY195" s="1172"/>
      <c r="AZ195" s="1172"/>
      <c r="BA195" s="1236" t="s">
        <v>61</v>
      </c>
      <c r="BB195" s="1237">
        <v>2008</v>
      </c>
      <c r="BC195" s="1236" t="s">
        <v>306</v>
      </c>
      <c r="BD195" s="1236">
        <v>5</v>
      </c>
      <c r="BE195" s="1238">
        <v>278600831.39000005</v>
      </c>
      <c r="BF195" s="1239">
        <v>7.0669251298076635E-2</v>
      </c>
      <c r="BG195" s="1236"/>
      <c r="BH195" s="1236" t="s">
        <v>61</v>
      </c>
      <c r="BI195" s="1236" t="s">
        <v>295</v>
      </c>
      <c r="BJ195" s="1236" t="s">
        <v>308</v>
      </c>
      <c r="BK195" s="1236">
        <v>4</v>
      </c>
      <c r="BL195" s="1238">
        <v>247388545</v>
      </c>
      <c r="BM195" s="1239">
        <v>7.1999999999999995E-2</v>
      </c>
      <c r="BN195" s="1236">
        <v>2012</v>
      </c>
      <c r="BO195" s="174"/>
      <c r="BP195" s="174"/>
      <c r="BQ195" s="174"/>
      <c r="BR195" s="174"/>
      <c r="BS195" s="174"/>
      <c r="BT195" s="174"/>
      <c r="BU195" s="174"/>
      <c r="BV195" s="174"/>
      <c r="BW195" s="174"/>
      <c r="BX195" s="174"/>
    </row>
    <row r="196" spans="1:76" s="152" customFormat="1" ht="15" customHeight="1" x14ac:dyDescent="0.25">
      <c r="A196" s="152">
        <f t="shared" si="4"/>
        <v>1986</v>
      </c>
      <c r="B196" s="152" t="str">
        <f t="shared" si="5"/>
        <v>1985-86</v>
      </c>
      <c r="C196" s="173">
        <v>31564</v>
      </c>
      <c r="D196" s="169">
        <v>0.68976500000000007</v>
      </c>
      <c r="E196" s="170">
        <v>117.26005000000001</v>
      </c>
      <c r="F196" s="170">
        <v>170</v>
      </c>
      <c r="G196" s="170"/>
      <c r="H196" s="170"/>
      <c r="I196" s="169">
        <v>341.5</v>
      </c>
      <c r="J196" s="169">
        <v>499</v>
      </c>
      <c r="K196" s="169"/>
      <c r="L196" s="170"/>
      <c r="M196" s="170">
        <v>4176.6228191080909</v>
      </c>
      <c r="N196" s="170">
        <v>6055.1388068517399</v>
      </c>
      <c r="O196" s="170">
        <v>1411.90399529098</v>
      </c>
      <c r="P196" s="170">
        <v>2046.9348188020265</v>
      </c>
      <c r="Q196" s="170">
        <v>417.42880399999996</v>
      </c>
      <c r="R196" s="170">
        <v>605.17539161888453</v>
      </c>
      <c r="S196" s="170">
        <v>802.76276799999994</v>
      </c>
      <c r="T196" s="170">
        <v>1163.820675157481</v>
      </c>
      <c r="U196" s="170">
        <v>120.70887500000001</v>
      </c>
      <c r="V196" s="170">
        <v>175</v>
      </c>
      <c r="W196" s="170"/>
      <c r="X196" s="170"/>
      <c r="Y196" s="170"/>
      <c r="Z196" s="170"/>
      <c r="AA196" s="170"/>
      <c r="AB196" s="170"/>
      <c r="AC196" s="170"/>
      <c r="AD196" s="170"/>
      <c r="AE196" s="170"/>
      <c r="AF196" s="170"/>
      <c r="AG196" s="170"/>
      <c r="AH196" s="170"/>
      <c r="AI196" s="170"/>
      <c r="AJ196" s="170"/>
      <c r="AK196" s="170">
        <v>11.5</v>
      </c>
      <c r="AL196" s="170">
        <v>16.672344929070043</v>
      </c>
      <c r="AM196" s="170"/>
      <c r="AN196" s="172"/>
      <c r="AO196" s="170"/>
      <c r="AP196" s="170"/>
      <c r="AS196" s="167"/>
      <c r="AT196" s="1170"/>
      <c r="AU196" s="1171"/>
      <c r="AV196" s="1171"/>
      <c r="AW196" s="1172"/>
      <c r="AX196" s="1172"/>
      <c r="AY196" s="1172"/>
      <c r="AZ196" s="1172"/>
      <c r="BA196" s="1236" t="s">
        <v>61</v>
      </c>
      <c r="BB196" s="1237">
        <v>2008</v>
      </c>
      <c r="BC196" s="1236" t="s">
        <v>308</v>
      </c>
      <c r="BD196" s="1236">
        <v>6</v>
      </c>
      <c r="BE196" s="1238">
        <v>235449737</v>
      </c>
      <c r="BF196" s="1239">
        <v>5.9723643138834825E-2</v>
      </c>
      <c r="BG196" s="1236"/>
      <c r="BH196" s="1236" t="s">
        <v>61</v>
      </c>
      <c r="BI196" s="1236" t="s">
        <v>295</v>
      </c>
      <c r="BJ196" s="1236" t="s">
        <v>305</v>
      </c>
      <c r="BK196" s="1236">
        <v>5</v>
      </c>
      <c r="BL196" s="1238">
        <v>167046806</v>
      </c>
      <c r="BM196" s="1239">
        <v>4.9000000000000002E-2</v>
      </c>
      <c r="BN196" s="1236">
        <v>2012</v>
      </c>
      <c r="BO196" s="174"/>
      <c r="BP196" s="174"/>
      <c r="BQ196" s="174"/>
      <c r="BR196" s="174"/>
      <c r="BS196" s="174"/>
      <c r="BT196" s="174"/>
      <c r="BU196" s="174"/>
      <c r="BV196" s="174"/>
      <c r="BW196" s="174"/>
      <c r="BX196" s="174"/>
    </row>
    <row r="197" spans="1:76" s="152" customFormat="1" ht="15" customHeight="1" x14ac:dyDescent="0.25">
      <c r="A197" s="152">
        <f t="shared" si="4"/>
        <v>1986</v>
      </c>
      <c r="B197" s="152" t="str">
        <f t="shared" si="5"/>
        <v>1986-87</v>
      </c>
      <c r="C197" s="173">
        <v>31594</v>
      </c>
      <c r="D197" s="154">
        <v>0.63187391304347829</v>
      </c>
      <c r="E197" s="155">
        <v>114.67247773913043</v>
      </c>
      <c r="F197" s="155">
        <v>181.48</v>
      </c>
      <c r="G197" s="155"/>
      <c r="H197" s="155"/>
      <c r="I197" s="156">
        <v>348.5</v>
      </c>
      <c r="J197" s="156">
        <v>552.6</v>
      </c>
      <c r="K197" s="157"/>
      <c r="L197" s="158"/>
      <c r="M197" s="159">
        <v>4188.6900562745359</v>
      </c>
      <c r="N197" s="159">
        <v>6628.9966555183901</v>
      </c>
      <c r="O197" s="175">
        <v>1345.8004149787266</v>
      </c>
      <c r="P197" s="175">
        <v>2129.8559525848382</v>
      </c>
      <c r="Q197" s="175">
        <v>379.99646100000001</v>
      </c>
      <c r="R197" s="175">
        <v>601.38020126469917</v>
      </c>
      <c r="S197" s="175">
        <v>807.55096500000002</v>
      </c>
      <c r="T197" s="175">
        <v>1278.0254863036791</v>
      </c>
      <c r="U197" s="161">
        <v>110.57793478260869</v>
      </c>
      <c r="V197" s="161">
        <v>175</v>
      </c>
      <c r="W197" s="161"/>
      <c r="X197" s="161"/>
      <c r="Y197" s="162"/>
      <c r="Z197" s="162"/>
      <c r="AA197" s="162"/>
      <c r="AB197" s="162"/>
      <c r="AC197" s="163"/>
      <c r="AD197" s="163"/>
      <c r="AE197" s="163"/>
      <c r="AF197" s="163"/>
      <c r="AG197" s="163"/>
      <c r="AH197" s="163"/>
      <c r="AI197" s="163"/>
      <c r="AJ197" s="163"/>
      <c r="AK197" s="164">
        <v>11.5</v>
      </c>
      <c r="AL197" s="164">
        <v>18.199833483565101</v>
      </c>
      <c r="AM197" s="164"/>
      <c r="AN197" s="166"/>
      <c r="AO197" s="164"/>
      <c r="AP197" s="164"/>
      <c r="AS197" s="167"/>
      <c r="AT197" s="1170"/>
      <c r="AU197" s="1171"/>
      <c r="AV197" s="1171"/>
      <c r="AW197" s="1172"/>
      <c r="AX197" s="1172"/>
      <c r="AY197" s="1172"/>
      <c r="AZ197" s="1172"/>
      <c r="BA197" s="1236" t="s">
        <v>61</v>
      </c>
      <c r="BB197" s="1237">
        <v>2008</v>
      </c>
      <c r="BC197" s="1236" t="s">
        <v>319</v>
      </c>
      <c r="BD197" s="1236">
        <v>7</v>
      </c>
      <c r="BE197" s="1238">
        <v>211900040.71000004</v>
      </c>
      <c r="BF197" s="1239">
        <v>5.3750080903545938E-2</v>
      </c>
      <c r="BG197" s="1236"/>
      <c r="BH197" s="1236" t="s">
        <v>61</v>
      </c>
      <c r="BI197" s="1236" t="s">
        <v>295</v>
      </c>
      <c r="BJ197" s="1236" t="s">
        <v>286</v>
      </c>
      <c r="BK197" s="1236">
        <v>6</v>
      </c>
      <c r="BL197" s="1238">
        <v>161955945</v>
      </c>
      <c r="BM197" s="1239">
        <v>4.7E-2</v>
      </c>
      <c r="BN197" s="1236">
        <v>2012</v>
      </c>
      <c r="BO197" s="174"/>
      <c r="BP197" s="174"/>
      <c r="BQ197" s="174"/>
      <c r="BR197" s="174"/>
      <c r="BS197" s="174"/>
      <c r="BT197" s="174"/>
      <c r="BU197" s="174"/>
      <c r="BV197" s="174"/>
      <c r="BW197" s="174"/>
      <c r="BX197" s="174"/>
    </row>
    <row r="198" spans="1:76" s="152" customFormat="1" ht="15" customHeight="1" x14ac:dyDescent="0.25">
      <c r="A198" s="152">
        <f t="shared" si="4"/>
        <v>1986</v>
      </c>
      <c r="B198" s="152" t="str">
        <f t="shared" si="5"/>
        <v>1986-87</v>
      </c>
      <c r="C198" s="173">
        <v>31625</v>
      </c>
      <c r="D198" s="169">
        <v>0.61216190476190468</v>
      </c>
      <c r="E198" s="170">
        <v>121.75900285714285</v>
      </c>
      <c r="F198" s="170">
        <v>198.9</v>
      </c>
      <c r="G198" s="170"/>
      <c r="H198" s="170"/>
      <c r="I198" s="169">
        <v>375.8</v>
      </c>
      <c r="J198" s="169">
        <v>616.15</v>
      </c>
      <c r="K198" s="169"/>
      <c r="L198" s="170"/>
      <c r="M198" s="170">
        <v>3819.8802255350774</v>
      </c>
      <c r="N198" s="170">
        <v>6239.9835661462603</v>
      </c>
      <c r="O198" s="170">
        <v>1302.7731893191572</v>
      </c>
      <c r="P198" s="170">
        <v>2128.1513586276819</v>
      </c>
      <c r="Q198" s="170">
        <v>391.84476799999999</v>
      </c>
      <c r="R198" s="170">
        <v>640.09989016288876</v>
      </c>
      <c r="S198" s="170">
        <v>816.09305599999993</v>
      </c>
      <c r="T198" s="170">
        <v>1333.1327050111238</v>
      </c>
      <c r="U198" s="170">
        <v>107.12833333333332</v>
      </c>
      <c r="V198" s="170">
        <v>175</v>
      </c>
      <c r="W198" s="170"/>
      <c r="X198" s="170"/>
      <c r="Y198" s="170"/>
      <c r="Z198" s="170"/>
      <c r="AA198" s="170"/>
      <c r="AB198" s="170"/>
      <c r="AC198" s="170"/>
      <c r="AD198" s="170"/>
      <c r="AE198" s="170"/>
      <c r="AF198" s="170"/>
      <c r="AG198" s="170"/>
      <c r="AH198" s="170"/>
      <c r="AI198" s="170"/>
      <c r="AJ198" s="170"/>
      <c r="AK198" s="170">
        <v>14.9</v>
      </c>
      <c r="AL198" s="170">
        <v>24.339966084291429</v>
      </c>
      <c r="AM198" s="170"/>
      <c r="AN198" s="172"/>
      <c r="AO198" s="170"/>
      <c r="AP198" s="170"/>
      <c r="AS198" s="167"/>
      <c r="AT198" s="1170"/>
      <c r="AU198" s="1171"/>
      <c r="AV198" s="1171"/>
      <c r="AW198" s="1172"/>
      <c r="AX198" s="1172"/>
      <c r="AY198" s="1172"/>
      <c r="AZ198" s="1172"/>
      <c r="BA198" s="1236" t="s">
        <v>61</v>
      </c>
      <c r="BB198" s="1237">
        <v>2008</v>
      </c>
      <c r="BC198" s="1236" t="s">
        <v>320</v>
      </c>
      <c r="BD198" s="1236">
        <v>8</v>
      </c>
      <c r="BE198" s="1238">
        <v>106707286.03999999</v>
      </c>
      <c r="BF198" s="1239">
        <v>2.7067126737824857E-2</v>
      </c>
      <c r="BG198" s="1236"/>
      <c r="BH198" s="1236" t="s">
        <v>61</v>
      </c>
      <c r="BI198" s="1236" t="s">
        <v>295</v>
      </c>
      <c r="BJ198" s="1236" t="s">
        <v>310</v>
      </c>
      <c r="BK198" s="1236">
        <v>7</v>
      </c>
      <c r="BL198" s="1238">
        <v>90611835</v>
      </c>
      <c r="BM198" s="1239">
        <v>2.5999999999999999E-2</v>
      </c>
      <c r="BN198" s="1236">
        <v>2012</v>
      </c>
      <c r="BO198" s="174"/>
      <c r="BP198" s="174"/>
      <c r="BQ198" s="174"/>
      <c r="BR198" s="174"/>
      <c r="BS198" s="174"/>
      <c r="BT198" s="174"/>
      <c r="BU198" s="174"/>
      <c r="BV198" s="174"/>
      <c r="BW198" s="174"/>
      <c r="BX198" s="174"/>
    </row>
    <row r="199" spans="1:76" s="152" customFormat="1" ht="15" customHeight="1" x14ac:dyDescent="0.25">
      <c r="A199" s="152">
        <f t="shared" si="4"/>
        <v>1986</v>
      </c>
      <c r="B199" s="152" t="str">
        <f t="shared" si="5"/>
        <v>1986-87</v>
      </c>
      <c r="C199" s="173">
        <v>31656</v>
      </c>
      <c r="D199" s="154">
        <v>0.62096818181818181</v>
      </c>
      <c r="E199" s="155">
        <v>121.66629586363636</v>
      </c>
      <c r="F199" s="155">
        <v>195.93</v>
      </c>
      <c r="G199" s="155"/>
      <c r="H199" s="155"/>
      <c r="I199" s="156">
        <v>415.9</v>
      </c>
      <c r="J199" s="156">
        <v>673.85</v>
      </c>
      <c r="K199" s="157"/>
      <c r="L199" s="158"/>
      <c r="M199" s="159">
        <v>3700.6298901672135</v>
      </c>
      <c r="N199" s="159">
        <v>5959.4517054510698</v>
      </c>
      <c r="O199" s="175">
        <v>1349.2640235570757</v>
      </c>
      <c r="P199" s="175">
        <v>2172.8392260074565</v>
      </c>
      <c r="Q199" s="175">
        <v>407.59740000000005</v>
      </c>
      <c r="R199" s="175">
        <v>656.3901532065031</v>
      </c>
      <c r="S199" s="175">
        <v>872.103792</v>
      </c>
      <c r="T199" s="175">
        <v>1404.4258909474208</v>
      </c>
      <c r="U199" s="161">
        <v>108.66943181818182</v>
      </c>
      <c r="V199" s="161">
        <v>175</v>
      </c>
      <c r="W199" s="161"/>
      <c r="X199" s="161"/>
      <c r="Y199" s="162"/>
      <c r="Z199" s="162"/>
      <c r="AA199" s="162"/>
      <c r="AB199" s="162"/>
      <c r="AC199" s="163"/>
      <c r="AD199" s="163"/>
      <c r="AE199" s="163"/>
      <c r="AF199" s="163"/>
      <c r="AG199" s="163"/>
      <c r="AH199" s="163"/>
      <c r="AI199" s="163"/>
      <c r="AJ199" s="163"/>
      <c r="AK199" s="164">
        <v>14.05</v>
      </c>
      <c r="AL199" s="164">
        <v>22.625957998140734</v>
      </c>
      <c r="AM199" s="164"/>
      <c r="AN199" s="166"/>
      <c r="AO199" s="164"/>
      <c r="AP199" s="164"/>
      <c r="AS199" s="167"/>
      <c r="AT199" s="1170"/>
      <c r="AU199" s="1171"/>
      <c r="AV199" s="1171"/>
      <c r="AW199" s="1172"/>
      <c r="AX199" s="1172"/>
      <c r="AY199" s="1172"/>
      <c r="AZ199" s="1172"/>
      <c r="BA199" s="1236" t="s">
        <v>61</v>
      </c>
      <c r="BB199" s="1237">
        <v>2008</v>
      </c>
      <c r="BC199" s="1236" t="s">
        <v>314</v>
      </c>
      <c r="BD199" s="1236">
        <v>9</v>
      </c>
      <c r="BE199" s="1238">
        <v>103209904.44</v>
      </c>
      <c r="BF199" s="1239">
        <v>2.617998889999951E-2</v>
      </c>
      <c r="BG199" s="1236"/>
      <c r="BH199" s="1236" t="s">
        <v>61</v>
      </c>
      <c r="BI199" s="1236" t="s">
        <v>295</v>
      </c>
      <c r="BJ199" s="1236" t="s">
        <v>309</v>
      </c>
      <c r="BK199" s="1236">
        <v>8</v>
      </c>
      <c r="BL199" s="1238">
        <v>75525872</v>
      </c>
      <c r="BM199" s="1239">
        <v>2.1999999999999999E-2</v>
      </c>
      <c r="BN199" s="1236">
        <v>2012</v>
      </c>
      <c r="BO199" s="174"/>
      <c r="BP199" s="174"/>
      <c r="BQ199" s="174"/>
      <c r="BR199" s="174"/>
      <c r="BS199" s="174"/>
      <c r="BT199" s="174"/>
      <c r="BU199" s="174"/>
      <c r="BV199" s="174"/>
      <c r="BW199" s="174"/>
      <c r="BX199" s="174"/>
    </row>
    <row r="200" spans="1:76" s="152" customFormat="1" ht="15" customHeight="1" x14ac:dyDescent="0.25">
      <c r="A200" s="152">
        <f t="shared" si="4"/>
        <v>1986</v>
      </c>
      <c r="B200" s="152" t="str">
        <f t="shared" si="5"/>
        <v>1986-87</v>
      </c>
      <c r="C200" s="173">
        <v>31686</v>
      </c>
      <c r="D200" s="169">
        <v>0.63819130434782612</v>
      </c>
      <c r="E200" s="170">
        <v>127.84886400000002</v>
      </c>
      <c r="F200" s="170">
        <v>200.33</v>
      </c>
      <c r="G200" s="170"/>
      <c r="H200" s="170"/>
      <c r="I200" s="169">
        <v>424.6</v>
      </c>
      <c r="J200" s="169">
        <v>668.1</v>
      </c>
      <c r="K200" s="169"/>
      <c r="L200" s="170"/>
      <c r="M200" s="170">
        <v>3644.629025599349</v>
      </c>
      <c r="N200" s="170">
        <v>5710.8722741433003</v>
      </c>
      <c r="O200" s="170">
        <v>1317.6332765093305</v>
      </c>
      <c r="P200" s="170">
        <v>2064.6368377830418</v>
      </c>
      <c r="Q200" s="170">
        <v>434.55092999999999</v>
      </c>
      <c r="R200" s="170">
        <v>680.91013938848914</v>
      </c>
      <c r="S200" s="170">
        <v>886.3639619999999</v>
      </c>
      <c r="T200" s="170">
        <v>1388.8687544964027</v>
      </c>
      <c r="U200" s="170">
        <v>111.68347826086956</v>
      </c>
      <c r="V200" s="170">
        <v>175</v>
      </c>
      <c r="W200" s="170"/>
      <c r="X200" s="170"/>
      <c r="Y200" s="170"/>
      <c r="Z200" s="170"/>
      <c r="AA200" s="170"/>
      <c r="AB200" s="170"/>
      <c r="AC200" s="170"/>
      <c r="AD200" s="170"/>
      <c r="AE200" s="170"/>
      <c r="AF200" s="170"/>
      <c r="AG200" s="170"/>
      <c r="AH200" s="170"/>
      <c r="AI200" s="170"/>
      <c r="AJ200" s="170"/>
      <c r="AK200" s="170">
        <v>14.05</v>
      </c>
      <c r="AL200" s="170">
        <v>22.015342271637234</v>
      </c>
      <c r="AM200" s="170"/>
      <c r="AN200" s="172"/>
      <c r="AO200" s="170"/>
      <c r="AP200" s="170"/>
      <c r="AS200" s="167"/>
      <c r="AT200" s="1170"/>
      <c r="AU200" s="1171"/>
      <c r="AV200" s="1171"/>
      <c r="AW200" s="1172"/>
      <c r="AX200" s="1172"/>
      <c r="AY200" s="1172"/>
      <c r="AZ200" s="1172"/>
      <c r="BA200" s="1236" t="s">
        <v>61</v>
      </c>
      <c r="BB200" s="1237">
        <v>2008</v>
      </c>
      <c r="BC200" s="1236" t="s">
        <v>321</v>
      </c>
      <c r="BD200" s="1236">
        <v>10</v>
      </c>
      <c r="BE200" s="1238">
        <v>70966647.609999999</v>
      </c>
      <c r="BF200" s="1239">
        <v>1.8001237931385267E-2</v>
      </c>
      <c r="BG200" s="1236"/>
      <c r="BH200" s="1236" t="s">
        <v>61</v>
      </c>
      <c r="BI200" s="1236" t="s">
        <v>295</v>
      </c>
      <c r="BJ200" s="1236" t="s">
        <v>312</v>
      </c>
      <c r="BK200" s="1236">
        <v>9</v>
      </c>
      <c r="BL200" s="1238">
        <v>64850186</v>
      </c>
      <c r="BM200" s="1239">
        <v>1.9E-2</v>
      </c>
      <c r="BN200" s="1236">
        <v>2012</v>
      </c>
      <c r="BO200" s="174"/>
      <c r="BP200" s="174"/>
      <c r="BQ200" s="174"/>
      <c r="BR200" s="174"/>
      <c r="BS200" s="174"/>
      <c r="BT200" s="174"/>
      <c r="BU200" s="174"/>
      <c r="BV200" s="174"/>
      <c r="BW200" s="174"/>
      <c r="BX200" s="174"/>
    </row>
    <row r="201" spans="1:76" s="152" customFormat="1" ht="15" customHeight="1" x14ac:dyDescent="0.25">
      <c r="A201" s="152">
        <f t="shared" si="4"/>
        <v>1986</v>
      </c>
      <c r="B201" s="152" t="str">
        <f t="shared" si="5"/>
        <v>1986-87</v>
      </c>
      <c r="C201" s="173">
        <v>31717</v>
      </c>
      <c r="D201" s="154">
        <v>0.64464500000000013</v>
      </c>
      <c r="E201" s="155">
        <v>127.65443098033799</v>
      </c>
      <c r="F201" s="155">
        <v>198.0228357938679</v>
      </c>
      <c r="G201" s="155"/>
      <c r="H201" s="155"/>
      <c r="I201" s="156">
        <v>397.1</v>
      </c>
      <c r="J201" s="156">
        <v>619.75</v>
      </c>
      <c r="K201" s="157"/>
      <c r="L201" s="158"/>
      <c r="M201" s="159">
        <v>3639.7602603267578</v>
      </c>
      <c r="N201" s="159">
        <v>5646.1467324290998</v>
      </c>
      <c r="O201" s="175">
        <v>1302.7794192626395</v>
      </c>
      <c r="P201" s="175">
        <v>2020.9253453647189</v>
      </c>
      <c r="Q201" s="175">
        <v>472.90093199999995</v>
      </c>
      <c r="R201" s="175">
        <v>733.58349479170681</v>
      </c>
      <c r="S201" s="175">
        <v>819.45385199999987</v>
      </c>
      <c r="T201" s="175">
        <v>1271.1707249726589</v>
      </c>
      <c r="U201" s="161">
        <v>112.81287500000002</v>
      </c>
      <c r="V201" s="161">
        <v>175</v>
      </c>
      <c r="W201" s="161"/>
      <c r="X201" s="161"/>
      <c r="Y201" s="162"/>
      <c r="Z201" s="162"/>
      <c r="AA201" s="162"/>
      <c r="AB201" s="162"/>
      <c r="AC201" s="163"/>
      <c r="AD201" s="163"/>
      <c r="AE201" s="163"/>
      <c r="AF201" s="163"/>
      <c r="AG201" s="163"/>
      <c r="AH201" s="163"/>
      <c r="AI201" s="163"/>
      <c r="AJ201" s="163"/>
      <c r="AK201" s="164">
        <v>14.55</v>
      </c>
      <c r="AL201" s="164">
        <v>22.570562092314372</v>
      </c>
      <c r="AM201" s="164"/>
      <c r="AN201" s="166"/>
      <c r="AO201" s="164"/>
      <c r="AP201" s="164"/>
      <c r="AS201" s="167"/>
      <c r="AT201" s="1170"/>
      <c r="AU201" s="1171"/>
      <c r="AV201" s="1171"/>
      <c r="AW201" s="1172"/>
      <c r="AX201" s="1172"/>
      <c r="AY201" s="1172"/>
      <c r="AZ201" s="1172"/>
      <c r="BA201" s="1236" t="s">
        <v>61</v>
      </c>
      <c r="BB201" s="1237">
        <v>2008</v>
      </c>
      <c r="BC201" s="1236" t="s">
        <v>291</v>
      </c>
      <c r="BD201" s="1236"/>
      <c r="BE201" s="1238">
        <v>113659543.54000092</v>
      </c>
      <c r="BF201" s="1239">
        <v>2.8830620514585129E-2</v>
      </c>
      <c r="BG201" s="1236"/>
      <c r="BH201" s="1236" t="s">
        <v>61</v>
      </c>
      <c r="BI201" s="1236" t="s">
        <v>295</v>
      </c>
      <c r="BJ201" s="1236" t="s">
        <v>314</v>
      </c>
      <c r="BK201" s="1236">
        <v>10</v>
      </c>
      <c r="BL201" s="1238">
        <v>62252837</v>
      </c>
      <c r="BM201" s="1239">
        <v>1.7999999999999999E-2</v>
      </c>
      <c r="BN201" s="1236">
        <v>2012</v>
      </c>
      <c r="BO201" s="174"/>
      <c r="BP201" s="174"/>
      <c r="BQ201" s="174"/>
      <c r="BR201" s="174"/>
      <c r="BS201" s="174"/>
      <c r="BT201" s="174"/>
      <c r="BU201" s="174"/>
      <c r="BV201" s="174"/>
      <c r="BW201" s="174"/>
      <c r="BX201" s="174"/>
    </row>
    <row r="202" spans="1:76" s="152" customFormat="1" ht="15" customHeight="1" x14ac:dyDescent="0.25">
      <c r="A202" s="152">
        <f t="shared" si="4"/>
        <v>1986</v>
      </c>
      <c r="B202" s="152" t="str">
        <f t="shared" si="5"/>
        <v>1986-87</v>
      </c>
      <c r="C202" s="173">
        <v>31747</v>
      </c>
      <c r="D202" s="169">
        <v>0.65964285714285709</v>
      </c>
      <c r="E202" s="170">
        <v>131.23594642857142</v>
      </c>
      <c r="F202" s="170">
        <v>198.95</v>
      </c>
      <c r="G202" s="170"/>
      <c r="H202" s="170"/>
      <c r="I202" s="169">
        <v>391.55</v>
      </c>
      <c r="J202" s="169">
        <v>596.20000000000005</v>
      </c>
      <c r="K202" s="169"/>
      <c r="L202" s="170"/>
      <c r="M202" s="170">
        <v>3534.0504985387638</v>
      </c>
      <c r="N202" s="170">
        <v>5357.5210589650997</v>
      </c>
      <c r="O202" s="170">
        <v>1332.7139306985334</v>
      </c>
      <c r="P202" s="170">
        <v>2020.3567980270134</v>
      </c>
      <c r="Q202" s="170">
        <v>516.78098999999997</v>
      </c>
      <c r="R202" s="170">
        <v>783.4254315105577</v>
      </c>
      <c r="S202" s="170">
        <v>796.20477300000016</v>
      </c>
      <c r="T202" s="170">
        <v>1207.0240197076344</v>
      </c>
      <c r="U202" s="170">
        <v>155.01607142857142</v>
      </c>
      <c r="V202" s="170">
        <v>235</v>
      </c>
      <c r="W202" s="170"/>
      <c r="X202" s="170"/>
      <c r="Y202" s="170"/>
      <c r="Z202" s="170"/>
      <c r="AA202" s="170"/>
      <c r="AB202" s="170"/>
      <c r="AC202" s="170"/>
      <c r="AD202" s="170"/>
      <c r="AE202" s="170"/>
      <c r="AF202" s="170"/>
      <c r="AG202" s="170"/>
      <c r="AH202" s="170"/>
      <c r="AI202" s="170"/>
      <c r="AJ202" s="170"/>
      <c r="AK202" s="170">
        <v>14.55</v>
      </c>
      <c r="AL202" s="170">
        <v>22.057390362750407</v>
      </c>
      <c r="AM202" s="170">
        <v>14.85</v>
      </c>
      <c r="AN202" s="170">
        <v>22.51218191662155</v>
      </c>
      <c r="AO202" s="170"/>
      <c r="AP202" s="170"/>
      <c r="AS202" s="167"/>
      <c r="AT202" s="1170"/>
      <c r="AU202" s="1171"/>
      <c r="AV202" s="1171"/>
      <c r="AW202" s="1172"/>
      <c r="AX202" s="1172"/>
      <c r="AY202" s="1172"/>
      <c r="AZ202" s="1172"/>
      <c r="BA202" s="1236" t="s">
        <v>61</v>
      </c>
      <c r="BB202" s="1237">
        <v>2008</v>
      </c>
      <c r="BC202" s="1236" t="s">
        <v>292</v>
      </c>
      <c r="BD202" s="1236"/>
      <c r="BE202" s="1238">
        <v>3942320404.8800011</v>
      </c>
      <c r="BF202" s="1239"/>
      <c r="BG202" s="1236"/>
      <c r="BH202" s="1236" t="s">
        <v>61</v>
      </c>
      <c r="BI202" s="1236" t="s">
        <v>295</v>
      </c>
      <c r="BJ202" s="1236" t="s">
        <v>291</v>
      </c>
      <c r="BK202" s="1236"/>
      <c r="BL202" s="1238">
        <v>157086442</v>
      </c>
      <c r="BM202" s="1239">
        <v>4.5999999999999999E-2</v>
      </c>
      <c r="BN202" s="1236">
        <v>2012</v>
      </c>
      <c r="BO202" s="174"/>
      <c r="BP202" s="174"/>
      <c r="BQ202" s="174"/>
      <c r="BR202" s="174"/>
      <c r="BS202" s="174"/>
      <c r="BT202" s="174"/>
      <c r="BU202" s="174"/>
      <c r="BV202" s="174"/>
      <c r="BW202" s="174"/>
      <c r="BX202" s="174"/>
    </row>
    <row r="203" spans="1:76" s="152" customFormat="1" ht="15" customHeight="1" x14ac:dyDescent="0.25">
      <c r="A203" s="152">
        <f t="shared" ref="A203:A266" si="6">YEAR(C203)</f>
        <v>1987</v>
      </c>
      <c r="B203" s="152" t="str">
        <f t="shared" si="5"/>
        <v>1986-87</v>
      </c>
      <c r="C203" s="173">
        <v>31778</v>
      </c>
      <c r="D203" s="154">
        <v>0.66017999999999999</v>
      </c>
      <c r="E203" s="155">
        <v>126.64510803461201</v>
      </c>
      <c r="F203" s="155">
        <v>191.83420890455938</v>
      </c>
      <c r="G203" s="155"/>
      <c r="H203" s="155"/>
      <c r="I203" s="156">
        <v>408.7</v>
      </c>
      <c r="J203" s="156">
        <v>620.20000000000005</v>
      </c>
      <c r="K203" s="157"/>
      <c r="L203" s="158"/>
      <c r="M203" s="159">
        <v>3525.4191455811106</v>
      </c>
      <c r="N203" s="159">
        <v>5340.0877723970898</v>
      </c>
      <c r="O203" s="175">
        <v>1346.3337891399876</v>
      </c>
      <c r="P203" s="175">
        <v>2039.343495925335</v>
      </c>
      <c r="Q203" s="175">
        <v>463.75964399999998</v>
      </c>
      <c r="R203" s="175">
        <v>702.47454330637095</v>
      </c>
      <c r="S203" s="175">
        <v>759.41620799999998</v>
      </c>
      <c r="T203" s="175">
        <v>1150.3168953921659</v>
      </c>
      <c r="U203" s="161">
        <v>155.14230000000001</v>
      </c>
      <c r="V203" s="161">
        <v>235</v>
      </c>
      <c r="W203" s="161"/>
      <c r="X203" s="161"/>
      <c r="Y203" s="162"/>
      <c r="Z203" s="162"/>
      <c r="AA203" s="162"/>
      <c r="AB203" s="162"/>
      <c r="AC203" s="163"/>
      <c r="AD203" s="163"/>
      <c r="AE203" s="163"/>
      <c r="AF203" s="163"/>
      <c r="AG203" s="163"/>
      <c r="AH203" s="163"/>
      <c r="AI203" s="163"/>
      <c r="AJ203" s="163"/>
      <c r="AK203" s="164">
        <v>18.350000000000001</v>
      </c>
      <c r="AL203" s="164">
        <v>27.795449725832352</v>
      </c>
      <c r="AM203" s="164">
        <v>16</v>
      </c>
      <c r="AN203" s="164">
        <v>24.235814474840197</v>
      </c>
      <c r="AO203" s="164"/>
      <c r="AP203" s="164"/>
      <c r="AS203" s="167"/>
      <c r="AT203" s="1170"/>
      <c r="AU203" s="1171"/>
      <c r="AV203" s="1171"/>
      <c r="AW203" s="1172"/>
      <c r="AX203" s="1172"/>
      <c r="AY203" s="1172"/>
      <c r="AZ203" s="1172"/>
      <c r="BA203" s="1236" t="s">
        <v>54</v>
      </c>
      <c r="BB203" s="1237">
        <v>2015</v>
      </c>
      <c r="BC203" s="1236" t="s">
        <v>286</v>
      </c>
      <c r="BD203" s="1236">
        <v>1</v>
      </c>
      <c r="BE203" s="1238">
        <v>211880679</v>
      </c>
      <c r="BF203" s="1239">
        <v>0.25700000000000001</v>
      </c>
      <c r="BG203" s="1236"/>
      <c r="BH203" s="1236" t="s">
        <v>61</v>
      </c>
      <c r="BI203" s="1236" t="s">
        <v>295</v>
      </c>
      <c r="BJ203" s="1236" t="s">
        <v>292</v>
      </c>
      <c r="BK203" s="1236"/>
      <c r="BL203" s="1238">
        <v>3437909828</v>
      </c>
      <c r="BM203" s="1239"/>
      <c r="BN203" s="1236">
        <v>2012</v>
      </c>
      <c r="BO203" s="174"/>
      <c r="BP203" s="174"/>
      <c r="BQ203" s="174"/>
      <c r="BR203" s="174"/>
      <c r="BS203" s="174"/>
      <c r="BT203" s="174"/>
      <c r="BU203" s="174"/>
      <c r="BV203" s="174"/>
      <c r="BW203" s="174"/>
      <c r="BX203" s="174"/>
    </row>
    <row r="204" spans="1:76" s="152" customFormat="1" ht="15" customHeight="1" x14ac:dyDescent="0.25">
      <c r="A204" s="152">
        <f t="shared" si="6"/>
        <v>1987</v>
      </c>
      <c r="B204" s="152" t="str">
        <f t="shared" ref="B204:B267" si="7">IF(MONTH(C204) &gt;= 7, A204 &amp; "-" &amp; RIGHT(A204+1, 2), A204-1 &amp; "-" &amp; RIGHT(A204, 2))</f>
        <v>1986-87</v>
      </c>
      <c r="C204" s="173">
        <v>31809</v>
      </c>
      <c r="D204" s="169">
        <v>0.66630999999999996</v>
      </c>
      <c r="E204" s="170">
        <v>123.56524244162911</v>
      </c>
      <c r="F204" s="170">
        <v>185.44707784909295</v>
      </c>
      <c r="G204" s="170"/>
      <c r="H204" s="170"/>
      <c r="I204" s="169">
        <v>401.1</v>
      </c>
      <c r="J204" s="169">
        <v>603.4</v>
      </c>
      <c r="K204" s="169"/>
      <c r="L204" s="170"/>
      <c r="M204" s="170">
        <v>3686.675061499704</v>
      </c>
      <c r="N204" s="170">
        <v>5532.9727326615302</v>
      </c>
      <c r="O204" s="170">
        <v>1378.0048438220647</v>
      </c>
      <c r="P204" s="170">
        <v>2068.1137065661101</v>
      </c>
      <c r="Q204" s="170">
        <v>459.52229499999993</v>
      </c>
      <c r="R204" s="170">
        <v>689.65240653749754</v>
      </c>
      <c r="S204" s="170">
        <v>739.03971000000001</v>
      </c>
      <c r="T204" s="170">
        <v>1109.1529618345817</v>
      </c>
      <c r="U204" s="170">
        <v>156.58284999999998</v>
      </c>
      <c r="V204" s="170">
        <v>235</v>
      </c>
      <c r="W204" s="170"/>
      <c r="X204" s="170"/>
      <c r="Y204" s="170"/>
      <c r="Z204" s="170"/>
      <c r="AA204" s="170"/>
      <c r="AB204" s="170"/>
      <c r="AC204" s="170"/>
      <c r="AD204" s="170"/>
      <c r="AE204" s="170"/>
      <c r="AF204" s="170"/>
      <c r="AG204" s="170"/>
      <c r="AH204" s="170"/>
      <c r="AI204" s="170"/>
      <c r="AJ204" s="170"/>
      <c r="AK204" s="170">
        <v>16.2</v>
      </c>
      <c r="AL204" s="170">
        <v>24.313007458990562</v>
      </c>
      <c r="AM204" s="170">
        <v>19</v>
      </c>
      <c r="AN204" s="170">
        <v>28.515255661779054</v>
      </c>
      <c r="AO204" s="170"/>
      <c r="AP204" s="170"/>
      <c r="AS204" s="167"/>
      <c r="AT204" s="1170"/>
      <c r="AU204" s="1171"/>
      <c r="AV204" s="1171"/>
      <c r="AW204" s="1172"/>
      <c r="AX204" s="1172"/>
      <c r="AY204" s="1172"/>
      <c r="AZ204" s="1172"/>
      <c r="BA204" s="1236" t="s">
        <v>54</v>
      </c>
      <c r="BB204" s="1237">
        <v>2015</v>
      </c>
      <c r="BC204" s="1236" t="s">
        <v>281</v>
      </c>
      <c r="BD204" s="1236">
        <v>2</v>
      </c>
      <c r="BE204" s="1238">
        <v>209903005</v>
      </c>
      <c r="BF204" s="1239">
        <v>0.254</v>
      </c>
      <c r="BG204" s="1236"/>
      <c r="BH204" s="1236" t="s">
        <v>61</v>
      </c>
      <c r="BI204" s="1236" t="s">
        <v>297</v>
      </c>
      <c r="BJ204" s="1236" t="s">
        <v>281</v>
      </c>
      <c r="BK204" s="1236">
        <v>1</v>
      </c>
      <c r="BL204" s="1238">
        <v>1306656559</v>
      </c>
      <c r="BM204" s="1239">
        <v>0.38484148935604851</v>
      </c>
      <c r="BN204" s="1236">
        <v>2011</v>
      </c>
      <c r="BO204" s="174"/>
      <c r="BP204" s="174"/>
      <c r="BQ204" s="174"/>
      <c r="BR204" s="174"/>
      <c r="BS204" s="174"/>
      <c r="BT204" s="174"/>
      <c r="BU204" s="174"/>
      <c r="BV204" s="174"/>
      <c r="BW204" s="174"/>
      <c r="BX204" s="174"/>
    </row>
    <row r="205" spans="1:76" s="152" customFormat="1" ht="15" customHeight="1" x14ac:dyDescent="0.25">
      <c r="A205" s="152">
        <f t="shared" si="6"/>
        <v>1987</v>
      </c>
      <c r="B205" s="152" t="str">
        <f t="shared" si="7"/>
        <v>1986-87</v>
      </c>
      <c r="C205" s="173">
        <v>31837</v>
      </c>
      <c r="D205" s="154">
        <v>0.68700909090909079</v>
      </c>
      <c r="E205" s="155">
        <v>122.54575931551993</v>
      </c>
      <c r="F205" s="155">
        <v>178.37574631415748</v>
      </c>
      <c r="G205" s="155"/>
      <c r="H205" s="155"/>
      <c r="I205" s="156">
        <v>409.05</v>
      </c>
      <c r="J205" s="156">
        <v>600.20000000000005</v>
      </c>
      <c r="K205" s="157"/>
      <c r="L205" s="158"/>
      <c r="M205" s="159">
        <v>3641.4111797687601</v>
      </c>
      <c r="N205" s="159">
        <v>5300.3828158230499</v>
      </c>
      <c r="O205" s="175">
        <v>1465.0460161897288</v>
      </c>
      <c r="P205" s="175">
        <v>2132.4987333880749</v>
      </c>
      <c r="Q205" s="175">
        <v>486.55911100000003</v>
      </c>
      <c r="R205" s="175">
        <v>708.22805322147406</v>
      </c>
      <c r="S205" s="175">
        <v>731.02493000000004</v>
      </c>
      <c r="T205" s="175">
        <v>1064.0687869685464</v>
      </c>
      <c r="U205" s="161">
        <v>161.44713636363633</v>
      </c>
      <c r="V205" s="161">
        <v>235</v>
      </c>
      <c r="W205" s="161"/>
      <c r="X205" s="161"/>
      <c r="Y205" s="162"/>
      <c r="Z205" s="162"/>
      <c r="AA205" s="162"/>
      <c r="AB205" s="162"/>
      <c r="AC205" s="163"/>
      <c r="AD205" s="163"/>
      <c r="AE205" s="163"/>
      <c r="AF205" s="163"/>
      <c r="AG205" s="163"/>
      <c r="AH205" s="163"/>
      <c r="AI205" s="163"/>
      <c r="AJ205" s="163"/>
      <c r="AK205" s="164">
        <v>16.2</v>
      </c>
      <c r="AL205" s="164">
        <v>23.58047399134589</v>
      </c>
      <c r="AM205" s="164">
        <v>18.2</v>
      </c>
      <c r="AN205" s="164">
        <v>26.491643619907112</v>
      </c>
      <c r="AO205" s="164"/>
      <c r="AP205" s="164"/>
      <c r="AS205" s="167"/>
      <c r="AT205" s="1170"/>
      <c r="AU205" s="1171"/>
      <c r="AV205" s="1171"/>
      <c r="AW205" s="1172"/>
      <c r="AX205" s="1172"/>
      <c r="AY205" s="1172"/>
      <c r="AZ205" s="1172"/>
      <c r="BA205" s="1236" t="s">
        <v>54</v>
      </c>
      <c r="BB205" s="1237">
        <v>2015</v>
      </c>
      <c r="BC205" s="1236" t="s">
        <v>312</v>
      </c>
      <c r="BD205" s="1236">
        <v>3</v>
      </c>
      <c r="BE205" s="1238">
        <v>75853581</v>
      </c>
      <c r="BF205" s="1239">
        <v>9.1999999999999998E-2</v>
      </c>
      <c r="BG205" s="1236"/>
      <c r="BH205" s="1236" t="s">
        <v>61</v>
      </c>
      <c r="BI205" s="1236" t="s">
        <v>297</v>
      </c>
      <c r="BJ205" s="1236" t="s">
        <v>305</v>
      </c>
      <c r="BK205" s="1236">
        <v>2</v>
      </c>
      <c r="BL205" s="1238">
        <v>350719023.30000001</v>
      </c>
      <c r="BM205" s="1239">
        <v>0.10329510868224302</v>
      </c>
      <c r="BN205" s="1236">
        <v>2011</v>
      </c>
      <c r="BO205" s="174"/>
      <c r="BP205" s="174"/>
      <c r="BQ205" s="174"/>
      <c r="BR205" s="174"/>
      <c r="BS205" s="174"/>
      <c r="BT205" s="174"/>
      <c r="BU205" s="174"/>
      <c r="BV205" s="174"/>
      <c r="BW205" s="174"/>
      <c r="BX205" s="174"/>
    </row>
    <row r="206" spans="1:76" s="152" customFormat="1" ht="15" customHeight="1" x14ac:dyDescent="0.25">
      <c r="A206" s="152">
        <f t="shared" si="6"/>
        <v>1987</v>
      </c>
      <c r="B206" s="152" t="str">
        <f t="shared" si="7"/>
        <v>1986-87</v>
      </c>
      <c r="C206" s="173">
        <v>31868</v>
      </c>
      <c r="D206" s="169">
        <v>0.71102999999999994</v>
      </c>
      <c r="E206" s="170">
        <v>131.45619830054062</v>
      </c>
      <c r="F206" s="170">
        <v>184.88136689104627</v>
      </c>
      <c r="G206" s="170"/>
      <c r="H206" s="170"/>
      <c r="I206" s="169">
        <v>436.8</v>
      </c>
      <c r="J206" s="169">
        <v>616.79999999999995</v>
      </c>
      <c r="K206" s="169"/>
      <c r="L206" s="170"/>
      <c r="M206" s="170">
        <v>3943.5834291997753</v>
      </c>
      <c r="N206" s="170">
        <v>5546.2968217934203</v>
      </c>
      <c r="O206" s="170">
        <v>1482.525574616215</v>
      </c>
      <c r="P206" s="170">
        <v>2085.0394141122247</v>
      </c>
      <c r="Q206" s="170">
        <v>554.5968640000001</v>
      </c>
      <c r="R206" s="170">
        <v>779.99080770150363</v>
      </c>
      <c r="S206" s="170">
        <v>760.85876800000005</v>
      </c>
      <c r="T206" s="170">
        <v>1070.0796984656065</v>
      </c>
      <c r="U206" s="170">
        <v>167.09204999999997</v>
      </c>
      <c r="V206" s="170">
        <v>235</v>
      </c>
      <c r="W206" s="170"/>
      <c r="X206" s="170"/>
      <c r="Y206" s="170"/>
      <c r="Z206" s="170"/>
      <c r="AA206" s="170"/>
      <c r="AB206" s="170"/>
      <c r="AC206" s="170"/>
      <c r="AD206" s="170"/>
      <c r="AE206" s="170"/>
      <c r="AF206" s="170"/>
      <c r="AG206" s="170"/>
      <c r="AH206" s="170"/>
      <c r="AI206" s="170"/>
      <c r="AJ206" s="170"/>
      <c r="AK206" s="170">
        <v>18.25</v>
      </c>
      <c r="AL206" s="170">
        <v>25.666990141062968</v>
      </c>
      <c r="AM206" s="170">
        <v>18.600000000000001</v>
      </c>
      <c r="AN206" s="170">
        <v>26.159233787603902</v>
      </c>
      <c r="AO206" s="170"/>
      <c r="AP206" s="170"/>
      <c r="AS206" s="167"/>
      <c r="AT206" s="1170"/>
      <c r="AU206" s="1171"/>
      <c r="AV206" s="1171"/>
      <c r="AW206" s="1172"/>
      <c r="AX206" s="1172"/>
      <c r="AY206" s="1172"/>
      <c r="AZ206" s="1172"/>
      <c r="BA206" s="1236" t="s">
        <v>54</v>
      </c>
      <c r="BB206" s="1237">
        <v>2015</v>
      </c>
      <c r="BC206" s="1236" t="s">
        <v>314</v>
      </c>
      <c r="BD206" s="1236">
        <v>4</v>
      </c>
      <c r="BE206" s="1238">
        <v>71698669</v>
      </c>
      <c r="BF206" s="1239">
        <v>8.6999999999999994E-2</v>
      </c>
      <c r="BG206" s="1236"/>
      <c r="BH206" s="1236" t="s">
        <v>61</v>
      </c>
      <c r="BI206" s="1236" t="s">
        <v>297</v>
      </c>
      <c r="BJ206" s="1236" t="s">
        <v>308</v>
      </c>
      <c r="BK206" s="1236">
        <v>3</v>
      </c>
      <c r="BL206" s="1238">
        <v>306821318.5</v>
      </c>
      <c r="BM206" s="1239">
        <v>9.0366188700795796E-2</v>
      </c>
      <c r="BN206" s="1236">
        <v>2011</v>
      </c>
      <c r="BO206" s="174"/>
      <c r="BP206" s="174"/>
      <c r="BQ206" s="174"/>
      <c r="BR206" s="174"/>
      <c r="BS206" s="174"/>
      <c r="BT206" s="174"/>
      <c r="BU206" s="174"/>
      <c r="BV206" s="174"/>
      <c r="BW206" s="174"/>
      <c r="BX206" s="174"/>
    </row>
    <row r="207" spans="1:76" s="152" customFormat="1" ht="15" customHeight="1" x14ac:dyDescent="0.25">
      <c r="A207" s="152">
        <f t="shared" si="6"/>
        <v>1987</v>
      </c>
      <c r="B207" s="152" t="str">
        <f t="shared" si="7"/>
        <v>1986-87</v>
      </c>
      <c r="C207" s="173">
        <v>31898</v>
      </c>
      <c r="D207" s="154">
        <v>0.71409999999999996</v>
      </c>
      <c r="E207" s="155">
        <v>124.29924475214622</v>
      </c>
      <c r="F207" s="155">
        <v>174.06419934483438</v>
      </c>
      <c r="G207" s="155"/>
      <c r="H207" s="155"/>
      <c r="I207" s="156">
        <v>461.8</v>
      </c>
      <c r="J207" s="156">
        <v>648.95000000000005</v>
      </c>
      <c r="K207" s="157"/>
      <c r="L207" s="158"/>
      <c r="M207" s="159">
        <v>4419.9258021577707</v>
      </c>
      <c r="N207" s="159">
        <v>6189.5053944234296</v>
      </c>
      <c r="O207" s="175">
        <v>1520.5127559987664</v>
      </c>
      <c r="P207" s="175">
        <v>2129.2714689802078</v>
      </c>
      <c r="Q207" s="175">
        <v>692.64615000000003</v>
      </c>
      <c r="R207" s="175">
        <v>969.95679876767974</v>
      </c>
      <c r="S207" s="175">
        <v>838.35230000000001</v>
      </c>
      <c r="T207" s="175">
        <v>1173.9984595994958</v>
      </c>
      <c r="U207" s="161">
        <v>167.81349999999998</v>
      </c>
      <c r="V207" s="161">
        <v>235</v>
      </c>
      <c r="W207" s="161"/>
      <c r="X207" s="161"/>
      <c r="Y207" s="162"/>
      <c r="Z207" s="162"/>
      <c r="AA207" s="162"/>
      <c r="AB207" s="162"/>
      <c r="AC207" s="163"/>
      <c r="AD207" s="163"/>
      <c r="AE207" s="163"/>
      <c r="AF207" s="163"/>
      <c r="AG207" s="163"/>
      <c r="AH207" s="163"/>
      <c r="AI207" s="163"/>
      <c r="AJ207" s="163"/>
      <c r="AK207" s="164">
        <v>18.579999999999998</v>
      </c>
      <c r="AL207" s="164">
        <v>26.018764878868506</v>
      </c>
      <c r="AM207" s="164">
        <v>18.600000000000001</v>
      </c>
      <c r="AN207" s="164">
        <v>26.046772160761801</v>
      </c>
      <c r="AO207" s="164"/>
      <c r="AP207" s="164"/>
      <c r="AS207" s="167"/>
      <c r="AT207" s="1170"/>
      <c r="AU207" s="1171"/>
      <c r="AV207" s="1171"/>
      <c r="AW207" s="1172"/>
      <c r="AX207" s="1172"/>
      <c r="AY207" s="1172"/>
      <c r="AZ207" s="1172"/>
      <c r="BA207" s="1236" t="s">
        <v>54</v>
      </c>
      <c r="BB207" s="1237">
        <v>2015</v>
      </c>
      <c r="BC207" s="1236" t="s">
        <v>290</v>
      </c>
      <c r="BD207" s="1236">
        <v>5</v>
      </c>
      <c r="BE207" s="1238">
        <v>47454536</v>
      </c>
      <c r="BF207" s="1239">
        <v>5.7000000000000002E-2</v>
      </c>
      <c r="BG207" s="1236"/>
      <c r="BH207" s="1236" t="s">
        <v>61</v>
      </c>
      <c r="BI207" s="1236" t="s">
        <v>297</v>
      </c>
      <c r="BJ207" s="1236" t="s">
        <v>286</v>
      </c>
      <c r="BK207" s="1236">
        <v>4</v>
      </c>
      <c r="BL207" s="1238">
        <v>278704769.19999999</v>
      </c>
      <c r="BM207" s="1239">
        <v>8.2085195019911697E-2</v>
      </c>
      <c r="BN207" s="1236">
        <v>2011</v>
      </c>
      <c r="BO207" s="174"/>
      <c r="BP207" s="174"/>
      <c r="BQ207" s="174"/>
      <c r="BR207" s="174"/>
      <c r="BS207" s="174"/>
      <c r="BT207" s="174"/>
      <c r="BU207" s="174"/>
      <c r="BV207" s="174"/>
      <c r="BW207" s="174"/>
      <c r="BX207" s="174"/>
    </row>
    <row r="208" spans="1:76" s="152" customFormat="1" ht="15" customHeight="1" x14ac:dyDescent="0.25">
      <c r="A208" s="152">
        <f t="shared" si="6"/>
        <v>1987</v>
      </c>
      <c r="B208" s="152" t="str">
        <f t="shared" si="7"/>
        <v>1986-87</v>
      </c>
      <c r="C208" s="173">
        <v>31929</v>
      </c>
      <c r="D208" s="169">
        <v>0.71756190476190473</v>
      </c>
      <c r="E208" s="170">
        <v>141.05401980024371</v>
      </c>
      <c r="F208" s="170">
        <v>196.57400826908034</v>
      </c>
      <c r="G208" s="170"/>
      <c r="H208" s="170"/>
      <c r="I208" s="169">
        <v>449.43</v>
      </c>
      <c r="J208" s="169">
        <v>628.23</v>
      </c>
      <c r="K208" s="169"/>
      <c r="L208" s="170"/>
      <c r="M208" s="170">
        <v>4411.6658270694115</v>
      </c>
      <c r="N208" s="170">
        <v>6148.1327224767501</v>
      </c>
      <c r="O208" s="170">
        <v>1572.5568108581979</v>
      </c>
      <c r="P208" s="170">
        <v>2191.5277280222817</v>
      </c>
      <c r="Q208" s="170">
        <v>629.08386100000007</v>
      </c>
      <c r="R208" s="170">
        <v>876.69629174187742</v>
      </c>
      <c r="S208" s="170">
        <v>878.19370100000003</v>
      </c>
      <c r="T208" s="170">
        <v>1223.8577538357401</v>
      </c>
      <c r="U208" s="170">
        <v>211.68076190476191</v>
      </c>
      <c r="V208" s="170">
        <v>295</v>
      </c>
      <c r="W208" s="170"/>
      <c r="X208" s="170"/>
      <c r="Y208" s="170"/>
      <c r="Z208" s="170"/>
      <c r="AA208" s="170"/>
      <c r="AB208" s="170"/>
      <c r="AC208" s="170"/>
      <c r="AD208" s="170"/>
      <c r="AE208" s="170"/>
      <c r="AF208" s="170"/>
      <c r="AG208" s="170"/>
      <c r="AH208" s="170"/>
      <c r="AI208" s="170"/>
      <c r="AJ208" s="170"/>
      <c r="AK208" s="170">
        <v>19.079999999999998</v>
      </c>
      <c r="AL208" s="170">
        <v>26.59004034826927</v>
      </c>
      <c r="AM208" s="170">
        <v>18.899999999999999</v>
      </c>
      <c r="AN208" s="170">
        <v>26.339190911021447</v>
      </c>
      <c r="AO208" s="170"/>
      <c r="AP208" s="170"/>
      <c r="AS208" s="167"/>
      <c r="AT208" s="1170"/>
      <c r="AU208" s="1171"/>
      <c r="AV208" s="1171"/>
      <c r="AW208" s="1172"/>
      <c r="AX208" s="1172"/>
      <c r="AY208" s="1172"/>
      <c r="AZ208" s="1172"/>
      <c r="BA208" s="1236" t="s">
        <v>54</v>
      </c>
      <c r="BB208" s="1237">
        <v>2015</v>
      </c>
      <c r="BC208" s="1236" t="s">
        <v>287</v>
      </c>
      <c r="BD208" s="1236">
        <v>6</v>
      </c>
      <c r="BE208" s="1238">
        <v>43094645</v>
      </c>
      <c r="BF208" s="1239">
        <v>5.1999999999999998E-2</v>
      </c>
      <c r="BG208" s="1236"/>
      <c r="BH208" s="1236" t="s">
        <v>61</v>
      </c>
      <c r="BI208" s="1236" t="s">
        <v>297</v>
      </c>
      <c r="BJ208" s="1236" t="s">
        <v>285</v>
      </c>
      <c r="BK208" s="1236">
        <v>5</v>
      </c>
      <c r="BL208" s="1238">
        <v>194245387.30000001</v>
      </c>
      <c r="BM208" s="1239">
        <v>5.7209894699709288E-2</v>
      </c>
      <c r="BN208" s="1236">
        <v>2011</v>
      </c>
      <c r="BO208" s="174"/>
      <c r="BP208" s="174"/>
      <c r="BQ208" s="174"/>
      <c r="BR208" s="174"/>
      <c r="BS208" s="174"/>
      <c r="BT208" s="174"/>
      <c r="BU208" s="174"/>
      <c r="BV208" s="174"/>
      <c r="BW208" s="174"/>
      <c r="BX208" s="174"/>
    </row>
    <row r="209" spans="1:76" s="152" customFormat="1" ht="15" customHeight="1" x14ac:dyDescent="0.25">
      <c r="A209" s="152">
        <f t="shared" si="6"/>
        <v>1987</v>
      </c>
      <c r="B209" s="152" t="str">
        <f t="shared" si="7"/>
        <v>1987-88</v>
      </c>
      <c r="C209" s="173">
        <v>31959</v>
      </c>
      <c r="D209" s="154">
        <v>0.70850434782608696</v>
      </c>
      <c r="E209" s="155">
        <v>129.91693291556331</v>
      </c>
      <c r="F209" s="155">
        <v>183.36786967389699</v>
      </c>
      <c r="G209" s="155"/>
      <c r="H209" s="155"/>
      <c r="I209" s="156">
        <v>450.4</v>
      </c>
      <c r="J209" s="156">
        <v>637.9</v>
      </c>
      <c r="K209" s="157"/>
      <c r="L209" s="158"/>
      <c r="M209" s="159">
        <v>4808.4884359539901</v>
      </c>
      <c r="N209" s="159">
        <v>6786.8157065061596</v>
      </c>
      <c r="O209" s="175">
        <v>1694.839047521024</v>
      </c>
      <c r="P209" s="175">
        <v>2392.1364106251717</v>
      </c>
      <c r="Q209" s="175">
        <v>663.198305</v>
      </c>
      <c r="R209" s="175">
        <v>936.05396640811023</v>
      </c>
      <c r="S209" s="175">
        <v>829.27558900000008</v>
      </c>
      <c r="T209" s="175">
        <v>1170.4594213775499</v>
      </c>
      <c r="U209" s="161">
        <v>209.00878260869564</v>
      </c>
      <c r="V209" s="161">
        <v>295</v>
      </c>
      <c r="W209" s="161"/>
      <c r="X209" s="161"/>
      <c r="Y209" s="162"/>
      <c r="Z209" s="162"/>
      <c r="AA209" s="162"/>
      <c r="AB209" s="162"/>
      <c r="AC209" s="163"/>
      <c r="AD209" s="163"/>
      <c r="AE209" s="163"/>
      <c r="AF209" s="163"/>
      <c r="AG209" s="163"/>
      <c r="AH209" s="163"/>
      <c r="AI209" s="163"/>
      <c r="AJ209" s="163"/>
      <c r="AK209" s="164">
        <v>19.079999999999998</v>
      </c>
      <c r="AL209" s="164">
        <v>26.929968825940744</v>
      </c>
      <c r="AM209" s="164">
        <v>18.899999999999999</v>
      </c>
      <c r="AN209" s="164">
        <v>26.675912516262056</v>
      </c>
      <c r="AO209" s="164"/>
      <c r="AP209" s="164"/>
      <c r="AS209" s="167"/>
      <c r="AT209" s="1170"/>
      <c r="AU209" s="1171"/>
      <c r="AV209" s="1171"/>
      <c r="AW209" s="1172"/>
      <c r="AX209" s="1172"/>
      <c r="AY209" s="1172"/>
      <c r="AZ209" s="1172"/>
      <c r="BA209" s="1236" t="s">
        <v>54</v>
      </c>
      <c r="BB209" s="1237">
        <v>2015</v>
      </c>
      <c r="BC209" s="1236" t="s">
        <v>315</v>
      </c>
      <c r="BD209" s="1236">
        <v>7</v>
      </c>
      <c r="BE209" s="1238">
        <v>20761451</v>
      </c>
      <c r="BF209" s="1239">
        <v>2.5000000000000001E-2</v>
      </c>
      <c r="BG209" s="1236"/>
      <c r="BH209" s="1236" t="s">
        <v>61</v>
      </c>
      <c r="BI209" s="1236" t="s">
        <v>297</v>
      </c>
      <c r="BJ209" s="1236" t="s">
        <v>312</v>
      </c>
      <c r="BK209" s="1236">
        <v>6</v>
      </c>
      <c r="BL209" s="1238">
        <v>176459091</v>
      </c>
      <c r="BM209" s="1239">
        <v>5.197140665855296E-2</v>
      </c>
      <c r="BN209" s="1236">
        <v>2011</v>
      </c>
      <c r="BO209" s="174"/>
      <c r="BP209" s="174"/>
      <c r="BQ209" s="174"/>
      <c r="BR209" s="174"/>
      <c r="BS209" s="174"/>
      <c r="BT209" s="174"/>
      <c r="BU209" s="174"/>
      <c r="BV209" s="174"/>
      <c r="BW209" s="174"/>
      <c r="BX209" s="174"/>
    </row>
    <row r="210" spans="1:76" s="152" customFormat="1" ht="15" customHeight="1" x14ac:dyDescent="0.25">
      <c r="A210" s="152">
        <f t="shared" si="6"/>
        <v>1987</v>
      </c>
      <c r="B210" s="152" t="str">
        <f t="shared" si="7"/>
        <v>1987-88</v>
      </c>
      <c r="C210" s="173">
        <v>31990</v>
      </c>
      <c r="D210" s="169">
        <v>0.70737142857142865</v>
      </c>
      <c r="E210" s="170">
        <v>127.73751566971416</v>
      </c>
      <c r="F210" s="170">
        <v>180.58054158009512</v>
      </c>
      <c r="G210" s="170"/>
      <c r="H210" s="170"/>
      <c r="I210" s="169">
        <v>461.9</v>
      </c>
      <c r="J210" s="169">
        <v>656.25</v>
      </c>
      <c r="K210" s="169"/>
      <c r="L210" s="170"/>
      <c r="M210" s="170">
        <v>5252.8881984438949</v>
      </c>
      <c r="N210" s="170">
        <v>7425.92644581696</v>
      </c>
      <c r="O210" s="170">
        <v>1750.8418194672097</v>
      </c>
      <c r="P210" s="170">
        <v>2475.1378819513825</v>
      </c>
      <c r="Q210" s="170">
        <v>656.84882200000004</v>
      </c>
      <c r="R210" s="170">
        <v>928.57697592697309</v>
      </c>
      <c r="S210" s="170">
        <v>801.25537799999995</v>
      </c>
      <c r="T210" s="170">
        <v>1132.7222808789077</v>
      </c>
      <c r="U210" s="170">
        <v>208.67457142857145</v>
      </c>
      <c r="V210" s="170">
        <v>295</v>
      </c>
      <c r="W210" s="170"/>
      <c r="X210" s="170"/>
      <c r="Y210" s="170"/>
      <c r="Z210" s="170"/>
      <c r="AA210" s="170"/>
      <c r="AB210" s="170"/>
      <c r="AC210" s="170"/>
      <c r="AD210" s="170"/>
      <c r="AE210" s="170"/>
      <c r="AF210" s="170"/>
      <c r="AG210" s="170"/>
      <c r="AH210" s="170"/>
      <c r="AI210" s="170"/>
      <c r="AJ210" s="170"/>
      <c r="AK210" s="170">
        <v>20.03</v>
      </c>
      <c r="AL210" s="170">
        <v>28.316099846514255</v>
      </c>
      <c r="AM210" s="170">
        <v>19.7</v>
      </c>
      <c r="AN210" s="170">
        <v>27.849583972857253</v>
      </c>
      <c r="AO210" s="170"/>
      <c r="AP210" s="170"/>
      <c r="AS210" s="167"/>
      <c r="AT210" s="1170"/>
      <c r="AU210" s="1171"/>
      <c r="AV210" s="1171"/>
      <c r="AW210" s="1172"/>
      <c r="AX210" s="1172"/>
      <c r="AY210" s="1172"/>
      <c r="AZ210" s="1172"/>
      <c r="BA210" s="1236" t="s">
        <v>54</v>
      </c>
      <c r="BB210" s="1237">
        <v>2015</v>
      </c>
      <c r="BC210" s="1236" t="s">
        <v>322</v>
      </c>
      <c r="BD210" s="1236">
        <v>8</v>
      </c>
      <c r="BE210" s="1238">
        <v>19236583</v>
      </c>
      <c r="BF210" s="1239">
        <v>2.3E-2</v>
      </c>
      <c r="BG210" s="1236"/>
      <c r="BH210" s="1236" t="s">
        <v>61</v>
      </c>
      <c r="BI210" s="1236" t="s">
        <v>297</v>
      </c>
      <c r="BJ210" s="1236" t="s">
        <v>310</v>
      </c>
      <c r="BK210" s="1236">
        <v>7</v>
      </c>
      <c r="BL210" s="1238">
        <v>154439391</v>
      </c>
      <c r="BM210" s="1239">
        <v>4.5486080361596466E-2</v>
      </c>
      <c r="BN210" s="1236">
        <v>2011</v>
      </c>
      <c r="BO210" s="174"/>
      <c r="BP210" s="174"/>
      <c r="BQ210" s="174"/>
      <c r="BR210" s="174"/>
      <c r="BS210" s="174"/>
      <c r="BT210" s="174"/>
      <c r="BU210" s="174"/>
      <c r="BV210" s="174"/>
      <c r="BW210" s="174"/>
      <c r="BX210" s="174"/>
    </row>
    <row r="211" spans="1:76" s="152" customFormat="1" ht="15" customHeight="1" x14ac:dyDescent="0.25">
      <c r="A211" s="152">
        <f t="shared" si="6"/>
        <v>1987</v>
      </c>
      <c r="B211" s="152" t="str">
        <f t="shared" si="7"/>
        <v>1987-88</v>
      </c>
      <c r="C211" s="173">
        <v>32021</v>
      </c>
      <c r="D211" s="154">
        <v>0.72691363636363626</v>
      </c>
      <c r="E211" s="155">
        <v>140.26103919361634</v>
      </c>
      <c r="F211" s="155">
        <v>192.95420002748608</v>
      </c>
      <c r="G211" s="155"/>
      <c r="H211" s="155"/>
      <c r="I211" s="156">
        <v>459.9</v>
      </c>
      <c r="J211" s="156">
        <v>634.4</v>
      </c>
      <c r="K211" s="157"/>
      <c r="L211" s="158"/>
      <c r="M211" s="159">
        <v>5367.6620528470658</v>
      </c>
      <c r="N211" s="159">
        <v>7384.1812621629097</v>
      </c>
      <c r="O211" s="175">
        <v>1810.1505084223131</v>
      </c>
      <c r="P211" s="175">
        <v>2490.1864786545166</v>
      </c>
      <c r="Q211" s="175">
        <v>646.10760500000004</v>
      </c>
      <c r="R211" s="175">
        <v>888.83682005490232</v>
      </c>
      <c r="S211" s="175">
        <v>755.77931000000001</v>
      </c>
      <c r="T211" s="175">
        <v>1039.7099080170835</v>
      </c>
      <c r="U211" s="161">
        <v>214.4395227272727</v>
      </c>
      <c r="V211" s="161">
        <v>295</v>
      </c>
      <c r="W211" s="161"/>
      <c r="X211" s="161"/>
      <c r="Y211" s="162"/>
      <c r="Z211" s="162"/>
      <c r="AA211" s="162"/>
      <c r="AB211" s="162"/>
      <c r="AC211" s="163"/>
      <c r="AD211" s="163"/>
      <c r="AE211" s="163"/>
      <c r="AF211" s="163"/>
      <c r="AG211" s="163"/>
      <c r="AH211" s="163"/>
      <c r="AI211" s="163"/>
      <c r="AJ211" s="163"/>
      <c r="AK211" s="164">
        <v>18.48</v>
      </c>
      <c r="AL211" s="164">
        <v>25.422552385240216</v>
      </c>
      <c r="AM211" s="164">
        <v>18.899999999999999</v>
      </c>
      <c r="AN211" s="164">
        <v>26.000337666722945</v>
      </c>
      <c r="AO211" s="164"/>
      <c r="AP211" s="164"/>
      <c r="AS211" s="167"/>
      <c r="AT211" s="1170"/>
      <c r="AU211" s="1171"/>
      <c r="AV211" s="1171"/>
      <c r="AW211" s="1172"/>
      <c r="AX211" s="1172"/>
      <c r="AY211" s="1172"/>
      <c r="AZ211" s="1172"/>
      <c r="BA211" s="1236" t="s">
        <v>54</v>
      </c>
      <c r="BB211" s="1237">
        <v>2015</v>
      </c>
      <c r="BC211" s="1236" t="s">
        <v>308</v>
      </c>
      <c r="BD211" s="1236">
        <v>9</v>
      </c>
      <c r="BE211" s="1238">
        <v>18266306</v>
      </c>
      <c r="BF211" s="1239">
        <v>2.1999999999999999E-2</v>
      </c>
      <c r="BG211" s="1236"/>
      <c r="BH211" s="1236" t="s">
        <v>61</v>
      </c>
      <c r="BI211" s="1236" t="s">
        <v>297</v>
      </c>
      <c r="BJ211" s="1236" t="s">
        <v>309</v>
      </c>
      <c r="BK211" s="1236">
        <v>8</v>
      </c>
      <c r="BL211" s="1238">
        <v>148469866.09999999</v>
      </c>
      <c r="BM211" s="1239">
        <v>4.3727913047132298E-2</v>
      </c>
      <c r="BN211" s="1236">
        <v>2011</v>
      </c>
      <c r="BO211" s="174"/>
      <c r="BP211" s="174"/>
      <c r="BQ211" s="174"/>
      <c r="BR211" s="174"/>
      <c r="BS211" s="174"/>
      <c r="BT211" s="174"/>
      <c r="BU211" s="174"/>
      <c r="BV211" s="174"/>
      <c r="BW211" s="174"/>
      <c r="BX211" s="174"/>
    </row>
    <row r="212" spans="1:76" s="152" customFormat="1" ht="15" customHeight="1" x14ac:dyDescent="0.25">
      <c r="A212" s="152">
        <f t="shared" si="6"/>
        <v>1987</v>
      </c>
      <c r="B212" s="152" t="str">
        <f t="shared" si="7"/>
        <v>1987-88</v>
      </c>
      <c r="C212" s="173">
        <v>32051</v>
      </c>
      <c r="D212" s="169">
        <v>0.71397272727272731</v>
      </c>
      <c r="E212" s="170">
        <v>134.39755015677025</v>
      </c>
      <c r="F212" s="170">
        <v>188.23905315004043</v>
      </c>
      <c r="G212" s="170"/>
      <c r="H212" s="170"/>
      <c r="I212" s="169">
        <v>465.1</v>
      </c>
      <c r="J212" s="169">
        <v>653</v>
      </c>
      <c r="K212" s="169"/>
      <c r="L212" s="170"/>
      <c r="M212" s="170">
        <v>5990.3653753010331</v>
      </c>
      <c r="N212" s="170">
        <v>8390.1879532336807</v>
      </c>
      <c r="O212" s="170">
        <v>1964.6149801298182</v>
      </c>
      <c r="P212" s="170">
        <v>2751.6667025004772</v>
      </c>
      <c r="Q212" s="170">
        <v>600.43781700000011</v>
      </c>
      <c r="R212" s="170">
        <v>840.98144657931937</v>
      </c>
      <c r="S212" s="170">
        <v>768.75707999999997</v>
      </c>
      <c r="T212" s="170">
        <v>1076.7317162611253</v>
      </c>
      <c r="U212" s="170">
        <v>210.62195454545457</v>
      </c>
      <c r="V212" s="170">
        <v>295</v>
      </c>
      <c r="W212" s="170"/>
      <c r="X212" s="170"/>
      <c r="Y212" s="170"/>
      <c r="Z212" s="170"/>
      <c r="AA212" s="170"/>
      <c r="AB212" s="170"/>
      <c r="AC212" s="170"/>
      <c r="AD212" s="170"/>
      <c r="AE212" s="170"/>
      <c r="AF212" s="170"/>
      <c r="AG212" s="170"/>
      <c r="AH212" s="170"/>
      <c r="AI212" s="170"/>
      <c r="AJ212" s="170"/>
      <c r="AK212" s="170">
        <v>18.8</v>
      </c>
      <c r="AL212" s="170">
        <v>26.331538001196886</v>
      </c>
      <c r="AM212" s="170">
        <v>18.75</v>
      </c>
      <c r="AN212" s="170">
        <v>26.26150731502349</v>
      </c>
      <c r="AO212" s="170"/>
      <c r="AP212" s="170"/>
      <c r="AS212" s="167"/>
      <c r="AT212" s="1170"/>
      <c r="AU212" s="1171"/>
      <c r="AV212" s="1171"/>
      <c r="AW212" s="1172"/>
      <c r="AX212" s="1172"/>
      <c r="AY212" s="1172"/>
      <c r="AZ212" s="1172"/>
      <c r="BA212" s="1236" t="s">
        <v>54</v>
      </c>
      <c r="BB212" s="1237">
        <v>2015</v>
      </c>
      <c r="BC212" s="1236" t="s">
        <v>323</v>
      </c>
      <c r="BD212" s="1236">
        <v>10</v>
      </c>
      <c r="BE212" s="1238">
        <v>18025222</v>
      </c>
      <c r="BF212" s="1239">
        <v>2.1999999999999999E-2</v>
      </c>
      <c r="BG212" s="1236"/>
      <c r="BH212" s="1236" t="s">
        <v>61</v>
      </c>
      <c r="BI212" s="1236" t="s">
        <v>297</v>
      </c>
      <c r="BJ212" s="1236" t="s">
        <v>319</v>
      </c>
      <c r="BK212" s="1236">
        <v>9</v>
      </c>
      <c r="BL212" s="1238">
        <v>84380468.950000003</v>
      </c>
      <c r="BM212" s="1239">
        <v>2.4852058576227458E-2</v>
      </c>
      <c r="BN212" s="1236">
        <v>2011</v>
      </c>
      <c r="BO212" s="174"/>
      <c r="BP212" s="174"/>
      <c r="BQ212" s="174"/>
      <c r="BR212" s="174"/>
      <c r="BS212" s="174"/>
      <c r="BT212" s="174"/>
      <c r="BU212" s="174"/>
      <c r="BV212" s="174"/>
      <c r="BW212" s="174"/>
      <c r="BX212" s="174"/>
    </row>
    <row r="213" spans="1:76" s="152" customFormat="1" ht="15" customHeight="1" x14ac:dyDescent="0.25">
      <c r="A213" s="152">
        <f t="shared" si="6"/>
        <v>1987</v>
      </c>
      <c r="B213" s="152" t="str">
        <f t="shared" si="7"/>
        <v>1987-88</v>
      </c>
      <c r="C213" s="173">
        <v>32082</v>
      </c>
      <c r="D213" s="154">
        <v>0.68669999999999998</v>
      </c>
      <c r="E213" s="155">
        <v>130.19558399717278</v>
      </c>
      <c r="F213" s="155">
        <v>189.59601572327477</v>
      </c>
      <c r="G213" s="155"/>
      <c r="H213" s="155"/>
      <c r="I213" s="156">
        <v>467.95</v>
      </c>
      <c r="J213" s="156">
        <v>685.45</v>
      </c>
      <c r="K213" s="157"/>
      <c r="L213" s="158"/>
      <c r="M213" s="159">
        <v>5803.549815655133</v>
      </c>
      <c r="N213" s="159">
        <v>8451.3613159387405</v>
      </c>
      <c r="O213" s="175">
        <v>2520.5836134154638</v>
      </c>
      <c r="P213" s="175">
        <v>3670.5746518355377</v>
      </c>
      <c r="Q213" s="175">
        <v>641.46852000000001</v>
      </c>
      <c r="R213" s="175">
        <v>934.13211009174313</v>
      </c>
      <c r="S213" s="175">
        <v>846.96567199999993</v>
      </c>
      <c r="T213" s="175">
        <v>1233.3852803261977</v>
      </c>
      <c r="U213" s="161">
        <v>202.57649999999998</v>
      </c>
      <c r="V213" s="161">
        <v>295</v>
      </c>
      <c r="W213" s="161"/>
      <c r="X213" s="161"/>
      <c r="Y213" s="162"/>
      <c r="Z213" s="162"/>
      <c r="AA213" s="162"/>
      <c r="AB213" s="162"/>
      <c r="AC213" s="163"/>
      <c r="AD213" s="163"/>
      <c r="AE213" s="163"/>
      <c r="AF213" s="163"/>
      <c r="AG213" s="163"/>
      <c r="AH213" s="163"/>
      <c r="AI213" s="163"/>
      <c r="AJ213" s="163"/>
      <c r="AK213" s="164">
        <v>17.7</v>
      </c>
      <c r="AL213" s="164">
        <v>25.775447793796417</v>
      </c>
      <c r="AM213" s="164">
        <v>18.8</v>
      </c>
      <c r="AN213" s="164">
        <v>27.377311780981508</v>
      </c>
      <c r="AO213" s="164"/>
      <c r="AP213" s="164"/>
      <c r="AS213" s="167"/>
      <c r="AT213" s="1170"/>
      <c r="AU213" s="1171"/>
      <c r="AV213" s="1171"/>
      <c r="AW213" s="1172"/>
      <c r="AX213" s="1172"/>
      <c r="AY213" s="1172"/>
      <c r="AZ213" s="1172"/>
      <c r="BA213" s="1236" t="s">
        <v>54</v>
      </c>
      <c r="BB213" s="1237">
        <v>2015</v>
      </c>
      <c r="BC213" s="1236" t="s">
        <v>291</v>
      </c>
      <c r="BD213" s="1236"/>
      <c r="BE213" s="1238">
        <v>89740829</v>
      </c>
      <c r="BF213" s="1239">
        <v>0.109</v>
      </c>
      <c r="BG213" s="1236"/>
      <c r="BH213" s="1236" t="s">
        <v>61</v>
      </c>
      <c r="BI213" s="1236" t="s">
        <v>297</v>
      </c>
      <c r="BJ213" s="1236" t="s">
        <v>306</v>
      </c>
      <c r="BK213" s="1236">
        <v>10</v>
      </c>
      <c r="BL213" s="1238">
        <v>71716279.379999995</v>
      </c>
      <c r="BM213" s="1239">
        <v>2.1122153007670067E-2</v>
      </c>
      <c r="BN213" s="1236">
        <v>2011</v>
      </c>
      <c r="BO213" s="174"/>
      <c r="BP213" s="174"/>
      <c r="BQ213" s="174"/>
      <c r="BR213" s="174"/>
      <c r="BS213" s="174"/>
      <c r="BT213" s="174"/>
      <c r="BU213" s="174"/>
      <c r="BV213" s="174"/>
      <c r="BW213" s="174"/>
      <c r="BX213" s="174"/>
    </row>
    <row r="214" spans="1:76" s="152" customFormat="1" ht="15" customHeight="1" x14ac:dyDescent="0.25">
      <c r="A214" s="152">
        <f t="shared" si="6"/>
        <v>1987</v>
      </c>
      <c r="B214" s="152" t="str">
        <f t="shared" si="7"/>
        <v>1987-88</v>
      </c>
      <c r="C214" s="173">
        <v>32112</v>
      </c>
      <c r="D214" s="169">
        <v>0.71088181818181817</v>
      </c>
      <c r="E214" s="170">
        <v>135.21431754937066</v>
      </c>
      <c r="F214" s="170">
        <v>190.20646483152515</v>
      </c>
      <c r="G214" s="170"/>
      <c r="H214" s="170"/>
      <c r="I214" s="169">
        <v>489.49</v>
      </c>
      <c r="J214" s="169">
        <v>686.37</v>
      </c>
      <c r="K214" s="169"/>
      <c r="L214" s="170"/>
      <c r="M214" s="170">
        <v>7458.2516389244211</v>
      </c>
      <c r="N214" s="170">
        <v>10491.549295774599</v>
      </c>
      <c r="O214" s="170">
        <v>2863.4420590240493</v>
      </c>
      <c r="P214" s="170">
        <v>4028.014201218019</v>
      </c>
      <c r="Q214" s="170">
        <v>657.934888</v>
      </c>
      <c r="R214" s="170">
        <v>925.51936365845233</v>
      </c>
      <c r="S214" s="170">
        <v>864.91496000000006</v>
      </c>
      <c r="T214" s="170">
        <v>1216.6789723390923</v>
      </c>
      <c r="U214" s="170">
        <v>209.71013636363637</v>
      </c>
      <c r="V214" s="170">
        <v>295</v>
      </c>
      <c r="W214" s="170"/>
      <c r="X214" s="170"/>
      <c r="Y214" s="170"/>
      <c r="Z214" s="170"/>
      <c r="AA214" s="170"/>
      <c r="AB214" s="170"/>
      <c r="AC214" s="170"/>
      <c r="AD214" s="170"/>
      <c r="AE214" s="170"/>
      <c r="AF214" s="170"/>
      <c r="AG214" s="170"/>
      <c r="AH214" s="170"/>
      <c r="AI214" s="170"/>
      <c r="AJ214" s="170"/>
      <c r="AK214" s="170">
        <v>17.7</v>
      </c>
      <c r="AL214" s="170">
        <v>24.898653401025616</v>
      </c>
      <c r="AM214" s="170">
        <v>18.399999999999999</v>
      </c>
      <c r="AN214" s="170">
        <v>25.883345908410806</v>
      </c>
      <c r="AO214" s="170"/>
      <c r="AP214" s="170"/>
      <c r="AS214" s="167"/>
      <c r="AT214" s="1170"/>
      <c r="AU214" s="1171"/>
      <c r="AV214" s="1171"/>
      <c r="AW214" s="1172"/>
      <c r="AX214" s="1172"/>
      <c r="AY214" s="1172"/>
      <c r="AZ214" s="1172"/>
      <c r="BA214" s="1236" t="s">
        <v>54</v>
      </c>
      <c r="BB214" s="1237">
        <v>2015</v>
      </c>
      <c r="BC214" s="1236" t="s">
        <v>292</v>
      </c>
      <c r="BD214" s="1236"/>
      <c r="BE214" s="1238">
        <v>825915506</v>
      </c>
      <c r="BF214" s="1239"/>
      <c r="BG214" s="1236"/>
      <c r="BH214" s="1236" t="s">
        <v>61</v>
      </c>
      <c r="BI214" s="1236" t="s">
        <v>297</v>
      </c>
      <c r="BJ214" s="1236" t="s">
        <v>291</v>
      </c>
      <c r="BK214" s="1236"/>
      <c r="BL214" s="1238">
        <v>322698890.26999998</v>
      </c>
      <c r="BM214" s="1239">
        <v>9.5042511890112411E-2</v>
      </c>
      <c r="BN214" s="1236">
        <v>2011</v>
      </c>
      <c r="BO214" s="174"/>
      <c r="BP214" s="174"/>
      <c r="BQ214" s="174"/>
      <c r="BR214" s="174"/>
      <c r="BS214" s="174"/>
      <c r="BT214" s="174"/>
      <c r="BU214" s="174"/>
      <c r="BV214" s="174"/>
      <c r="BW214" s="174"/>
      <c r="BX214" s="174"/>
    </row>
    <row r="215" spans="1:76" s="152" customFormat="1" ht="15" customHeight="1" x14ac:dyDescent="0.25">
      <c r="A215" s="152">
        <f t="shared" si="6"/>
        <v>1988</v>
      </c>
      <c r="B215" s="152" t="str">
        <f t="shared" si="7"/>
        <v>1987-88</v>
      </c>
      <c r="C215" s="173">
        <v>32143</v>
      </c>
      <c r="D215" s="154">
        <v>0.71235263157894746</v>
      </c>
      <c r="E215" s="155">
        <v>147.44987121052634</v>
      </c>
      <c r="F215" s="155">
        <v>206.99</v>
      </c>
      <c r="G215" s="155"/>
      <c r="H215" s="155"/>
      <c r="I215" s="156">
        <v>477.15</v>
      </c>
      <c r="J215" s="156">
        <v>675.95</v>
      </c>
      <c r="K215" s="157"/>
      <c r="L215" s="158"/>
      <c r="M215" s="159">
        <v>7964.2325768391775</v>
      </c>
      <c r="N215" s="159">
        <v>11180.182712579101</v>
      </c>
      <c r="O215" s="175">
        <v>2689.7</v>
      </c>
      <c r="P215" s="175">
        <v>3775.7985031068283</v>
      </c>
      <c r="Q215" s="175">
        <v>667.31</v>
      </c>
      <c r="R215" s="175">
        <v>936.76919325880863</v>
      </c>
      <c r="S215" s="175">
        <v>877.29</v>
      </c>
      <c r="T215" s="175">
        <v>1231.5389332604341</v>
      </c>
      <c r="U215" s="161">
        <v>156.71757894736845</v>
      </c>
      <c r="V215" s="161">
        <v>220</v>
      </c>
      <c r="W215" s="161">
        <v>1795.1154652969592</v>
      </c>
      <c r="X215" s="161">
        <v>2519.9815171848818</v>
      </c>
      <c r="Y215" s="162"/>
      <c r="Z215" s="162"/>
      <c r="AA215" s="162"/>
      <c r="AB215" s="162"/>
      <c r="AC215" s="163"/>
      <c r="AD215" s="163">
        <v>9.6697118763176384</v>
      </c>
      <c r="AE215" s="163"/>
      <c r="AF215" s="163"/>
      <c r="AG215" s="163"/>
      <c r="AH215" s="163"/>
      <c r="AI215" s="163"/>
      <c r="AJ215" s="163"/>
      <c r="AK215" s="164">
        <v>16.28</v>
      </c>
      <c r="AL215" s="164">
        <v>22.853849734386429</v>
      </c>
      <c r="AM215" s="164">
        <v>17.3</v>
      </c>
      <c r="AN215" s="164">
        <v>24.285724840594913</v>
      </c>
      <c r="AO215" s="164"/>
      <c r="AP215" s="164"/>
      <c r="AS215" s="167"/>
      <c r="AT215" s="1170"/>
      <c r="AU215" s="1171"/>
      <c r="AV215" s="1171"/>
      <c r="AW215" s="1172"/>
      <c r="AX215" s="1172"/>
      <c r="AY215" s="1172"/>
      <c r="AZ215" s="1172"/>
      <c r="BA215" s="1236" t="s">
        <v>54</v>
      </c>
      <c r="BB215" s="1237">
        <v>2014</v>
      </c>
      <c r="BC215" s="1236" t="s">
        <v>281</v>
      </c>
      <c r="BD215" s="1236">
        <v>1</v>
      </c>
      <c r="BE215" s="1238">
        <v>202748311</v>
      </c>
      <c r="BF215" s="1239">
        <v>0.35</v>
      </c>
      <c r="BG215" s="1236"/>
      <c r="BH215" s="1236" t="s">
        <v>61</v>
      </c>
      <c r="BI215" s="1236" t="s">
        <v>297</v>
      </c>
      <c r="BJ215" s="1236" t="s">
        <v>292</v>
      </c>
      <c r="BK215" s="1236"/>
      <c r="BL215" s="1238">
        <v>3395311044</v>
      </c>
      <c r="BM215" s="1239"/>
      <c r="BN215" s="1236">
        <v>2011</v>
      </c>
      <c r="BO215" s="174"/>
      <c r="BP215" s="174"/>
      <c r="BQ215" s="174"/>
      <c r="BR215" s="174"/>
      <c r="BS215" s="174"/>
      <c r="BT215" s="174"/>
      <c r="BU215" s="174"/>
      <c r="BV215" s="174"/>
      <c r="BW215" s="174"/>
      <c r="BX215" s="174"/>
    </row>
    <row r="216" spans="1:76" s="152" customFormat="1" ht="15" customHeight="1" x14ac:dyDescent="0.25">
      <c r="A216" s="152">
        <f t="shared" si="6"/>
        <v>1988</v>
      </c>
      <c r="B216" s="152" t="str">
        <f t="shared" si="7"/>
        <v>1987-88</v>
      </c>
      <c r="C216" s="173">
        <v>32174</v>
      </c>
      <c r="D216" s="169">
        <v>0.71414285714285719</v>
      </c>
      <c r="E216" s="170">
        <v>149.94143428571431</v>
      </c>
      <c r="F216" s="170">
        <v>209.96</v>
      </c>
      <c r="G216" s="170"/>
      <c r="H216" s="170"/>
      <c r="I216" s="169">
        <v>443.37</v>
      </c>
      <c r="J216" s="169">
        <v>623.07000000000005</v>
      </c>
      <c r="K216" s="169"/>
      <c r="L216" s="170"/>
      <c r="M216" s="170">
        <v>8926.7857142857156</v>
      </c>
      <c r="N216" s="170">
        <v>12500</v>
      </c>
      <c r="O216" s="170">
        <v>2327.6</v>
      </c>
      <c r="P216" s="170">
        <v>3259.2918583716742</v>
      </c>
      <c r="Q216" s="170">
        <v>655.19000000000005</v>
      </c>
      <c r="R216" s="170">
        <v>917.44948989797956</v>
      </c>
      <c r="S216" s="170">
        <v>875</v>
      </c>
      <c r="T216" s="170">
        <v>1225.245049009802</v>
      </c>
      <c r="U216" s="170">
        <v>157.11142857142858</v>
      </c>
      <c r="V216" s="170">
        <v>220</v>
      </c>
      <c r="W216" s="170">
        <v>1827.8656235555177</v>
      </c>
      <c r="X216" s="170">
        <v>2559.5237777332713</v>
      </c>
      <c r="Y216" s="170"/>
      <c r="Z216" s="170"/>
      <c r="AA216" s="170"/>
      <c r="AB216" s="170"/>
      <c r="AC216" s="170"/>
      <c r="AD216" s="170">
        <v>9.080685971324149</v>
      </c>
      <c r="AE216" s="170"/>
      <c r="AF216" s="170"/>
      <c r="AG216" s="170"/>
      <c r="AH216" s="170"/>
      <c r="AI216" s="170"/>
      <c r="AJ216" s="170"/>
      <c r="AK216" s="170">
        <v>14.73</v>
      </c>
      <c r="AL216" s="170">
        <v>20.626125225045008</v>
      </c>
      <c r="AM216" s="170">
        <v>17.7</v>
      </c>
      <c r="AN216" s="170">
        <v>24.784956991398278</v>
      </c>
      <c r="AO216" s="170"/>
      <c r="AP216" s="170"/>
      <c r="AS216" s="167"/>
      <c r="AT216" s="1170"/>
      <c r="AU216" s="1171"/>
      <c r="AV216" s="1171"/>
      <c r="AW216" s="1172"/>
      <c r="AX216" s="1172"/>
      <c r="AY216" s="1172"/>
      <c r="AZ216" s="1172"/>
      <c r="BA216" s="1236" t="s">
        <v>54</v>
      </c>
      <c r="BB216" s="1237">
        <v>2014</v>
      </c>
      <c r="BC216" s="1236" t="s">
        <v>286</v>
      </c>
      <c r="BD216" s="1236">
        <v>2</v>
      </c>
      <c r="BE216" s="1238">
        <v>121817703</v>
      </c>
      <c r="BF216" s="1239">
        <v>0.21</v>
      </c>
      <c r="BG216" s="1236"/>
      <c r="BH216" s="1236" t="s">
        <v>61</v>
      </c>
      <c r="BI216" s="1236" t="s">
        <v>301</v>
      </c>
      <c r="BJ216" s="1236" t="s">
        <v>281</v>
      </c>
      <c r="BK216" s="1236">
        <v>1</v>
      </c>
      <c r="BL216" s="1238">
        <v>1822792946</v>
      </c>
      <c r="BM216" s="1239">
        <v>0.47899999999999998</v>
      </c>
      <c r="BN216" s="1236">
        <v>2010</v>
      </c>
      <c r="BO216" s="174"/>
      <c r="BP216" s="174"/>
      <c r="BQ216" s="174"/>
      <c r="BR216" s="174"/>
      <c r="BS216" s="174"/>
      <c r="BT216" s="174"/>
      <c r="BU216" s="174"/>
      <c r="BV216" s="174"/>
      <c r="BW216" s="174"/>
      <c r="BX216" s="174"/>
    </row>
    <row r="217" spans="1:76" s="152" customFormat="1" ht="15" customHeight="1" x14ac:dyDescent="0.25">
      <c r="A217" s="152">
        <f t="shared" si="6"/>
        <v>1988</v>
      </c>
      <c r="B217" s="152" t="str">
        <f t="shared" si="7"/>
        <v>1987-88</v>
      </c>
      <c r="C217" s="173">
        <v>32203</v>
      </c>
      <c r="D217" s="154">
        <v>0.73236086956521762</v>
      </c>
      <c r="E217" s="155">
        <v>158.4975393913044</v>
      </c>
      <c r="F217" s="155">
        <v>216.42</v>
      </c>
      <c r="G217" s="155"/>
      <c r="H217" s="155"/>
      <c r="I217" s="156">
        <v>443.87</v>
      </c>
      <c r="J217" s="156">
        <v>607.74</v>
      </c>
      <c r="K217" s="157"/>
      <c r="L217" s="158"/>
      <c r="M217" s="159">
        <v>14826.668392585771</v>
      </c>
      <c r="N217" s="159">
        <v>20245.030843043201</v>
      </c>
      <c r="O217" s="175">
        <v>2468</v>
      </c>
      <c r="P217" s="175">
        <v>3369.9233568625577</v>
      </c>
      <c r="Q217" s="175">
        <v>678.2</v>
      </c>
      <c r="R217" s="175">
        <v>926.04619960461378</v>
      </c>
      <c r="S217" s="175">
        <v>1027.3</v>
      </c>
      <c r="T217" s="175">
        <v>1402.7237700587136</v>
      </c>
      <c r="U217" s="161">
        <v>161.11939130434789</v>
      </c>
      <c r="V217" s="161">
        <v>220</v>
      </c>
      <c r="W217" s="161">
        <v>1820.2674762411195</v>
      </c>
      <c r="X217" s="161">
        <v>2485.4788832748013</v>
      </c>
      <c r="Y217" s="162"/>
      <c r="Z217" s="162"/>
      <c r="AA217" s="162"/>
      <c r="AB217" s="162"/>
      <c r="AC217" s="163"/>
      <c r="AD217" s="163">
        <v>8.951336531871144</v>
      </c>
      <c r="AE217" s="163"/>
      <c r="AF217" s="163"/>
      <c r="AG217" s="163"/>
      <c r="AH217" s="163"/>
      <c r="AI217" s="163"/>
      <c r="AJ217" s="163"/>
      <c r="AK217" s="164">
        <v>14.73</v>
      </c>
      <c r="AL217" s="164">
        <v>20.113035270091359</v>
      </c>
      <c r="AM217" s="164">
        <v>17.5</v>
      </c>
      <c r="AN217" s="164">
        <v>23.895323640638072</v>
      </c>
      <c r="AO217" s="164"/>
      <c r="AP217" s="164"/>
      <c r="AS217" s="167"/>
      <c r="AT217" s="1170"/>
      <c r="AU217" s="1171"/>
      <c r="AV217" s="1171"/>
      <c r="AW217" s="1172"/>
      <c r="AX217" s="1172"/>
      <c r="AY217" s="1172"/>
      <c r="AZ217" s="1172"/>
      <c r="BA217" s="1236" t="s">
        <v>54</v>
      </c>
      <c r="BB217" s="1237">
        <v>2014</v>
      </c>
      <c r="BC217" s="1236" t="s">
        <v>312</v>
      </c>
      <c r="BD217" s="1236">
        <v>3</v>
      </c>
      <c r="BE217" s="1238">
        <v>63088829</v>
      </c>
      <c r="BF217" s="1239">
        <v>0.109</v>
      </c>
      <c r="BG217" s="1236"/>
      <c r="BH217" s="1236" t="s">
        <v>61</v>
      </c>
      <c r="BI217" s="1236" t="s">
        <v>301</v>
      </c>
      <c r="BJ217" s="1236" t="s">
        <v>308</v>
      </c>
      <c r="BK217" s="1236">
        <v>2</v>
      </c>
      <c r="BL217" s="1238">
        <v>374661771</v>
      </c>
      <c r="BM217" s="1239">
        <v>9.8000000000000004E-2</v>
      </c>
      <c r="BN217" s="1236">
        <v>2010</v>
      </c>
      <c r="BO217" s="174"/>
      <c r="BP217" s="174"/>
      <c r="BQ217" s="174"/>
      <c r="BR217" s="174"/>
      <c r="BS217" s="174"/>
      <c r="BT217" s="174"/>
      <c r="BU217" s="174"/>
      <c r="BV217" s="174"/>
      <c r="BW217" s="174"/>
      <c r="BX217" s="174"/>
    </row>
    <row r="218" spans="1:76" s="152" customFormat="1" ht="15" customHeight="1" x14ac:dyDescent="0.25">
      <c r="A218" s="152">
        <f t="shared" si="6"/>
        <v>1988</v>
      </c>
      <c r="B218" s="152" t="str">
        <f t="shared" si="7"/>
        <v>1987-88</v>
      </c>
      <c r="C218" s="173">
        <v>32234</v>
      </c>
      <c r="D218" s="169">
        <v>0.74780555555555561</v>
      </c>
      <c r="E218" s="170">
        <v>167.53835666666669</v>
      </c>
      <c r="F218" s="170">
        <v>224.04</v>
      </c>
      <c r="G218" s="170"/>
      <c r="H218" s="170"/>
      <c r="I218" s="169">
        <v>451.85</v>
      </c>
      <c r="J218" s="169">
        <v>606.4</v>
      </c>
      <c r="K218" s="169"/>
      <c r="L218" s="170"/>
      <c r="M218" s="170">
        <v>18702.1633640484</v>
      </c>
      <c r="N218" s="170">
        <v>25009.393451422398</v>
      </c>
      <c r="O218" s="170">
        <v>1956</v>
      </c>
      <c r="P218" s="170">
        <v>2615.6532075331525</v>
      </c>
      <c r="Q218" s="170">
        <v>557.07000000000005</v>
      </c>
      <c r="R218" s="170">
        <v>744.93963820066119</v>
      </c>
      <c r="S218" s="170">
        <v>1070.7</v>
      </c>
      <c r="T218" s="170">
        <v>1431.7893094610156</v>
      </c>
      <c r="U218" s="170">
        <v>254.25388888888889</v>
      </c>
      <c r="V218" s="170">
        <v>340</v>
      </c>
      <c r="W218" s="170">
        <v>1904.9095941530838</v>
      </c>
      <c r="X218" s="170">
        <v>2547.3327658523463</v>
      </c>
      <c r="Y218" s="170"/>
      <c r="Z218" s="170"/>
      <c r="AA218" s="170"/>
      <c r="AB218" s="170"/>
      <c r="AC218" s="170"/>
      <c r="AD218" s="170">
        <v>8.829844337090714</v>
      </c>
      <c r="AE218" s="170"/>
      <c r="AF218" s="170"/>
      <c r="AG218" s="170"/>
      <c r="AH218" s="170"/>
      <c r="AI218" s="170"/>
      <c r="AJ218" s="170"/>
      <c r="AK218" s="170">
        <v>16.600000000000001</v>
      </c>
      <c r="AL218" s="170">
        <v>22.198283867612645</v>
      </c>
      <c r="AM218" s="170">
        <v>16.3</v>
      </c>
      <c r="AN218" s="170">
        <v>21.79711006277627</v>
      </c>
      <c r="AO218" s="170"/>
      <c r="AP218" s="170"/>
      <c r="AS218" s="167"/>
      <c r="AT218" s="1170"/>
      <c r="AU218" s="1171"/>
      <c r="AV218" s="1171"/>
      <c r="AW218" s="1172"/>
      <c r="AX218" s="1172"/>
      <c r="AY218" s="1172"/>
      <c r="AZ218" s="1172"/>
      <c r="BA218" s="1236" t="s">
        <v>54</v>
      </c>
      <c r="BB218" s="1237">
        <v>2014</v>
      </c>
      <c r="BC218" s="1236" t="s">
        <v>314</v>
      </c>
      <c r="BD218" s="1236">
        <v>4</v>
      </c>
      <c r="BE218" s="1238">
        <v>38611341</v>
      </c>
      <c r="BF218" s="1239">
        <v>6.7000000000000004E-2</v>
      </c>
      <c r="BG218" s="1236"/>
      <c r="BH218" s="1236" t="s">
        <v>61</v>
      </c>
      <c r="BI218" s="1236" t="s">
        <v>301</v>
      </c>
      <c r="BJ218" s="1236" t="s">
        <v>286</v>
      </c>
      <c r="BK218" s="1236">
        <v>3</v>
      </c>
      <c r="BL218" s="1238">
        <v>362551199</v>
      </c>
      <c r="BM218" s="1239">
        <v>9.5000000000000001E-2</v>
      </c>
      <c r="BN218" s="1236">
        <v>2010</v>
      </c>
      <c r="BO218" s="174"/>
      <c r="BP218" s="174"/>
      <c r="BQ218" s="174"/>
      <c r="BR218" s="174"/>
      <c r="BS218" s="174"/>
      <c r="BT218" s="174"/>
      <c r="BU218" s="174"/>
      <c r="BV218" s="174"/>
      <c r="BW218" s="174"/>
      <c r="BX218" s="174"/>
    </row>
    <row r="219" spans="1:76" s="152" customFormat="1" ht="15" customHeight="1" x14ac:dyDescent="0.25">
      <c r="A219" s="152">
        <f t="shared" si="6"/>
        <v>1988</v>
      </c>
      <c r="B219" s="152" t="str">
        <f t="shared" si="7"/>
        <v>1987-88</v>
      </c>
      <c r="C219" s="173">
        <v>32264</v>
      </c>
      <c r="D219" s="154">
        <v>0.77879090909090898</v>
      </c>
      <c r="E219" s="155">
        <v>170.29820809090904</v>
      </c>
      <c r="F219" s="155">
        <v>218.67</v>
      </c>
      <c r="G219" s="155"/>
      <c r="H219" s="155"/>
      <c r="I219" s="156">
        <v>451.44</v>
      </c>
      <c r="J219" s="156">
        <v>582.62</v>
      </c>
      <c r="K219" s="157"/>
      <c r="L219" s="158"/>
      <c r="M219" s="159">
        <v>17167.434564150532</v>
      </c>
      <c r="N219" s="159">
        <v>22043.701799485902</v>
      </c>
      <c r="O219" s="175">
        <v>2324.3000000000002</v>
      </c>
      <c r="P219" s="175">
        <v>2984.4981147933281</v>
      </c>
      <c r="Q219" s="175">
        <v>637.23</v>
      </c>
      <c r="R219" s="175">
        <v>818.22989015606959</v>
      </c>
      <c r="S219" s="175">
        <v>1177.5999999999999</v>
      </c>
      <c r="T219" s="175">
        <v>1512.0875016050522</v>
      </c>
      <c r="U219" s="161">
        <v>264.78890909090904</v>
      </c>
      <c r="V219" s="161">
        <v>340</v>
      </c>
      <c r="W219" s="161">
        <v>1920.7600949356329</v>
      </c>
      <c r="X219" s="161">
        <v>2466.3360505552855</v>
      </c>
      <c r="Y219" s="162"/>
      <c r="Z219" s="162"/>
      <c r="AA219" s="162"/>
      <c r="AB219" s="162"/>
      <c r="AC219" s="163"/>
      <c r="AD219" s="163">
        <v>8.5861182519280206</v>
      </c>
      <c r="AE219" s="163"/>
      <c r="AF219" s="163"/>
      <c r="AG219" s="163"/>
      <c r="AH219" s="163"/>
      <c r="AI219" s="163"/>
      <c r="AJ219" s="163"/>
      <c r="AK219" s="164">
        <v>16.600000000000001</v>
      </c>
      <c r="AL219" s="164">
        <v>21.315092159174483</v>
      </c>
      <c r="AM219" s="164">
        <v>17.75</v>
      </c>
      <c r="AN219" s="164">
        <v>22.791740109960664</v>
      </c>
      <c r="AO219" s="164"/>
      <c r="AP219" s="164"/>
      <c r="AS219" s="167"/>
      <c r="AT219" s="1170"/>
      <c r="AU219" s="1171"/>
      <c r="AV219" s="1171"/>
      <c r="AW219" s="1172"/>
      <c r="AX219" s="1172"/>
      <c r="AY219" s="1172"/>
      <c r="AZ219" s="1172"/>
      <c r="BA219" s="1236" t="s">
        <v>54</v>
      </c>
      <c r="BB219" s="1237">
        <v>2014</v>
      </c>
      <c r="BC219" s="1236" t="s">
        <v>287</v>
      </c>
      <c r="BD219" s="1236">
        <v>5</v>
      </c>
      <c r="BE219" s="1238">
        <v>36727188</v>
      </c>
      <c r="BF219" s="1239">
        <v>6.3E-2</v>
      </c>
      <c r="BG219" s="1236"/>
      <c r="BH219" s="1236" t="s">
        <v>61</v>
      </c>
      <c r="BI219" s="1236" t="s">
        <v>301</v>
      </c>
      <c r="BJ219" s="1236" t="s">
        <v>305</v>
      </c>
      <c r="BK219" s="1236">
        <v>4</v>
      </c>
      <c r="BL219" s="1238">
        <v>279950512</v>
      </c>
      <c r="BM219" s="1239">
        <v>7.3999999999999996E-2</v>
      </c>
      <c r="BN219" s="1236">
        <v>2010</v>
      </c>
      <c r="BO219" s="174"/>
      <c r="BP219" s="174"/>
      <c r="BQ219" s="174"/>
      <c r="BR219" s="174"/>
      <c r="BS219" s="174"/>
      <c r="BT219" s="174"/>
      <c r="BU219" s="174"/>
      <c r="BV219" s="174"/>
      <c r="BW219" s="174"/>
      <c r="BX219" s="174"/>
    </row>
    <row r="220" spans="1:76" s="152" customFormat="1" ht="15" customHeight="1" x14ac:dyDescent="0.25">
      <c r="A220" s="152">
        <f t="shared" si="6"/>
        <v>1988</v>
      </c>
      <c r="B220" s="152" t="str">
        <f t="shared" si="7"/>
        <v>1987-88</v>
      </c>
      <c r="C220" s="173">
        <v>32295</v>
      </c>
      <c r="D220" s="169">
        <v>0.80833333333333335</v>
      </c>
      <c r="E220" s="170">
        <v>155.25658333333334</v>
      </c>
      <c r="F220" s="170">
        <v>192.07</v>
      </c>
      <c r="G220" s="170"/>
      <c r="H220" s="170"/>
      <c r="I220" s="169">
        <v>451.75</v>
      </c>
      <c r="J220" s="169">
        <v>560.03</v>
      </c>
      <c r="K220" s="169"/>
      <c r="L220" s="170"/>
      <c r="M220" s="170">
        <v>15799.105852228118</v>
      </c>
      <c r="N220" s="170">
        <v>19545.285590385301</v>
      </c>
      <c r="O220" s="170">
        <v>2544</v>
      </c>
      <c r="P220" s="170">
        <v>3147.2164948453606</v>
      </c>
      <c r="Q220" s="170">
        <v>678.08</v>
      </c>
      <c r="R220" s="170">
        <v>838.86185567010318</v>
      </c>
      <c r="S220" s="170">
        <v>1368.1</v>
      </c>
      <c r="T220" s="170">
        <v>1692.4948453608247</v>
      </c>
      <c r="U220" s="170">
        <v>274.83333333333331</v>
      </c>
      <c r="V220" s="170">
        <v>340</v>
      </c>
      <c r="W220" s="170">
        <v>1919.6513003557748</v>
      </c>
      <c r="X220" s="170">
        <v>2374.8263509555977</v>
      </c>
      <c r="Y220" s="170"/>
      <c r="Z220" s="170"/>
      <c r="AA220" s="170"/>
      <c r="AB220" s="170"/>
      <c r="AC220" s="170"/>
      <c r="AD220" s="170">
        <v>8.8588774625201339</v>
      </c>
      <c r="AE220" s="170"/>
      <c r="AF220" s="170"/>
      <c r="AG220" s="170"/>
      <c r="AH220" s="170"/>
      <c r="AI220" s="170"/>
      <c r="AJ220" s="170"/>
      <c r="AK220" s="170">
        <v>14.18</v>
      </c>
      <c r="AL220" s="170">
        <v>17.542268041237111</v>
      </c>
      <c r="AM220" s="170">
        <v>18.100000000000001</v>
      </c>
      <c r="AN220" s="170">
        <v>22.39175257731959</v>
      </c>
      <c r="AO220" s="170"/>
      <c r="AP220" s="170"/>
      <c r="AS220" s="167"/>
      <c r="AT220" s="1170"/>
      <c r="AU220" s="1171"/>
      <c r="AV220" s="1171"/>
      <c r="AW220" s="1172"/>
      <c r="AX220" s="1172"/>
      <c r="AY220" s="1172"/>
      <c r="AZ220" s="1172"/>
      <c r="BA220" s="1236" t="s">
        <v>54</v>
      </c>
      <c r="BB220" s="1237">
        <v>2014</v>
      </c>
      <c r="BC220" s="1236" t="s">
        <v>285</v>
      </c>
      <c r="BD220" s="1236">
        <v>6</v>
      </c>
      <c r="BE220" s="1238">
        <v>17053371</v>
      </c>
      <c r="BF220" s="1239">
        <v>2.9000000000000001E-2</v>
      </c>
      <c r="BG220" s="1236"/>
      <c r="BH220" s="1236" t="s">
        <v>61</v>
      </c>
      <c r="BI220" s="1236" t="s">
        <v>301</v>
      </c>
      <c r="BJ220" s="1236" t="s">
        <v>312</v>
      </c>
      <c r="BK220" s="1236">
        <v>5</v>
      </c>
      <c r="BL220" s="1238">
        <v>232021189</v>
      </c>
      <c r="BM220" s="1239">
        <v>6.0999999999999999E-2</v>
      </c>
      <c r="BN220" s="1236">
        <v>2010</v>
      </c>
      <c r="BO220" s="174"/>
      <c r="BP220" s="174"/>
      <c r="BQ220" s="174"/>
      <c r="BR220" s="174"/>
      <c r="BS220" s="174"/>
      <c r="BT220" s="174"/>
      <c r="BU220" s="174"/>
      <c r="BV220" s="174"/>
      <c r="BW220" s="174"/>
      <c r="BX220" s="174"/>
    </row>
    <row r="221" spans="1:76" s="152" customFormat="1" ht="15" customHeight="1" x14ac:dyDescent="0.25">
      <c r="A221" s="152">
        <f t="shared" si="6"/>
        <v>1988</v>
      </c>
      <c r="B221" s="152" t="str">
        <f t="shared" si="7"/>
        <v>1988-89</v>
      </c>
      <c r="C221" s="173">
        <v>32325</v>
      </c>
      <c r="D221" s="154">
        <v>0.7993285714285715</v>
      </c>
      <c r="E221" s="155">
        <v>177.84261385714288</v>
      </c>
      <c r="F221" s="155">
        <v>222.49</v>
      </c>
      <c r="G221" s="155"/>
      <c r="H221" s="155"/>
      <c r="I221" s="156">
        <v>437.94</v>
      </c>
      <c r="J221" s="156">
        <v>549.46</v>
      </c>
      <c r="K221" s="157"/>
      <c r="L221" s="158"/>
      <c r="M221" s="159">
        <v>14562.5</v>
      </c>
      <c r="N221" s="159">
        <v>18218.415455828999</v>
      </c>
      <c r="O221" s="175">
        <v>2213.1999999999998</v>
      </c>
      <c r="P221" s="175">
        <v>2768.8238342894924</v>
      </c>
      <c r="Q221" s="175">
        <v>619.16999999999996</v>
      </c>
      <c r="R221" s="175">
        <v>774.61262130716841</v>
      </c>
      <c r="S221" s="175">
        <v>1237.2</v>
      </c>
      <c r="T221" s="175">
        <v>1547.7990456275802</v>
      </c>
      <c r="U221" s="161">
        <v>271.77171428571432</v>
      </c>
      <c r="V221" s="161">
        <v>340</v>
      </c>
      <c r="W221" s="161">
        <v>1935.4213428848966</v>
      </c>
      <c r="X221" s="161">
        <v>2421.3088485325675</v>
      </c>
      <c r="Y221" s="162"/>
      <c r="Z221" s="162"/>
      <c r="AA221" s="162"/>
      <c r="AB221" s="162"/>
      <c r="AC221" s="163"/>
      <c r="AD221" s="163">
        <v>9.0490988191423245</v>
      </c>
      <c r="AE221" s="163"/>
      <c r="AF221" s="163"/>
      <c r="AG221" s="163"/>
      <c r="AH221" s="163"/>
      <c r="AI221" s="163"/>
      <c r="AJ221" s="163"/>
      <c r="AK221" s="164">
        <v>15.75</v>
      </c>
      <c r="AL221" s="164">
        <v>19.704037317033936</v>
      </c>
      <c r="AM221" s="164">
        <v>15.65</v>
      </c>
      <c r="AN221" s="164">
        <v>19.578932318195626</v>
      </c>
      <c r="AO221" s="164"/>
      <c r="AP221" s="164"/>
      <c r="AS221" s="167"/>
      <c r="AT221" s="1170"/>
      <c r="AU221" s="1171"/>
      <c r="AV221" s="1171"/>
      <c r="AW221" s="1172"/>
      <c r="AX221" s="1172"/>
      <c r="AY221" s="1172"/>
      <c r="AZ221" s="1172"/>
      <c r="BA221" s="1236" t="s">
        <v>54</v>
      </c>
      <c r="BB221" s="1237">
        <v>2014</v>
      </c>
      <c r="BC221" s="1236" t="s">
        <v>308</v>
      </c>
      <c r="BD221" s="1236">
        <v>7</v>
      </c>
      <c r="BE221" s="1238">
        <v>13456446</v>
      </c>
      <c r="BF221" s="1239">
        <v>2.3E-2</v>
      </c>
      <c r="BG221" s="1236"/>
      <c r="BH221" s="1236" t="s">
        <v>61</v>
      </c>
      <c r="BI221" s="1236" t="s">
        <v>301</v>
      </c>
      <c r="BJ221" s="1236" t="s">
        <v>309</v>
      </c>
      <c r="BK221" s="1236">
        <v>6</v>
      </c>
      <c r="BL221" s="1238">
        <v>166813133</v>
      </c>
      <c r="BM221" s="1239">
        <v>4.3999999999999997E-2</v>
      </c>
      <c r="BN221" s="1236">
        <v>2010</v>
      </c>
      <c r="BO221" s="174"/>
      <c r="BP221" s="174"/>
      <c r="BQ221" s="174"/>
      <c r="BR221" s="174"/>
      <c r="BS221" s="174"/>
      <c r="BT221" s="174"/>
      <c r="BU221" s="174"/>
      <c r="BV221" s="174"/>
      <c r="BW221" s="174"/>
      <c r="BX221" s="174"/>
    </row>
    <row r="222" spans="1:76" s="152" customFormat="1" ht="15" customHeight="1" x14ac:dyDescent="0.25">
      <c r="A222" s="152">
        <f t="shared" si="6"/>
        <v>1988</v>
      </c>
      <c r="B222" s="152" t="str">
        <f t="shared" si="7"/>
        <v>1988-89</v>
      </c>
      <c r="C222" s="173">
        <v>32356</v>
      </c>
      <c r="D222" s="169">
        <v>0.80611739130434767</v>
      </c>
      <c r="E222" s="170">
        <v>186.7854607391304</v>
      </c>
      <c r="F222" s="170">
        <v>231.71</v>
      </c>
      <c r="G222" s="170"/>
      <c r="H222" s="170"/>
      <c r="I222" s="169">
        <v>431.69</v>
      </c>
      <c r="J222" s="169">
        <v>537.20000000000005</v>
      </c>
      <c r="K222" s="169"/>
      <c r="L222" s="170"/>
      <c r="M222" s="170">
        <v>14247.5</v>
      </c>
      <c r="N222" s="170">
        <v>17674.224813518373</v>
      </c>
      <c r="O222" s="170">
        <v>2209</v>
      </c>
      <c r="P222" s="170">
        <v>2740.2956738418729</v>
      </c>
      <c r="Q222" s="170">
        <v>602.82000000000005</v>
      </c>
      <c r="R222" s="170">
        <v>747.80671711424077</v>
      </c>
      <c r="S222" s="170">
        <v>1313.1</v>
      </c>
      <c r="T222" s="170">
        <v>1628.9190807251077</v>
      </c>
      <c r="U222" s="170">
        <v>274.0799130434782</v>
      </c>
      <c r="V222" s="170">
        <v>340</v>
      </c>
      <c r="W222" s="170">
        <v>1944.4555261421076</v>
      </c>
      <c r="X222" s="170">
        <v>2412.1245207175825</v>
      </c>
      <c r="Y222" s="170"/>
      <c r="Z222" s="170"/>
      <c r="AA222" s="170"/>
      <c r="AB222" s="170"/>
      <c r="AC222" s="170"/>
      <c r="AD222" s="170">
        <v>8.551245507497832</v>
      </c>
      <c r="AE222" s="170"/>
      <c r="AF222" s="170"/>
      <c r="AG222" s="170"/>
      <c r="AH222" s="170"/>
      <c r="AI222" s="170"/>
      <c r="AJ222" s="170"/>
      <c r="AK222" s="170">
        <v>15.75</v>
      </c>
      <c r="AL222" s="170">
        <v>19.53809726709348</v>
      </c>
      <c r="AM222" s="170">
        <v>15.1</v>
      </c>
      <c r="AN222" s="170">
        <v>18.73176309416581</v>
      </c>
      <c r="AO222" s="170"/>
      <c r="AP222" s="170"/>
      <c r="AS222" s="167"/>
      <c r="AT222" s="1170"/>
      <c r="AU222" s="1171"/>
      <c r="AV222" s="1171"/>
      <c r="AW222" s="1172"/>
      <c r="AX222" s="1172"/>
      <c r="AY222" s="1172"/>
      <c r="AZ222" s="1172"/>
      <c r="BA222" s="1236" t="s">
        <v>54</v>
      </c>
      <c r="BB222" s="1237">
        <v>2014</v>
      </c>
      <c r="BC222" s="1236" t="s">
        <v>322</v>
      </c>
      <c r="BD222" s="1236">
        <v>8</v>
      </c>
      <c r="BE222" s="1238">
        <v>12405372</v>
      </c>
      <c r="BF222" s="1239">
        <v>2.1000000000000001E-2</v>
      </c>
      <c r="BG222" s="1236"/>
      <c r="BH222" s="1236" t="s">
        <v>61</v>
      </c>
      <c r="BI222" s="1236" t="s">
        <v>301</v>
      </c>
      <c r="BJ222" s="1236" t="s">
        <v>319</v>
      </c>
      <c r="BK222" s="1236">
        <v>7</v>
      </c>
      <c r="BL222" s="1238">
        <v>146245697</v>
      </c>
      <c r="BM222" s="1239">
        <v>3.7999999999999999E-2</v>
      </c>
      <c r="BN222" s="1236">
        <v>2010</v>
      </c>
      <c r="BO222" s="174"/>
      <c r="BP222" s="174"/>
      <c r="BQ222" s="174"/>
      <c r="BR222" s="174"/>
      <c r="BS222" s="174"/>
      <c r="BT222" s="174"/>
      <c r="BU222" s="174"/>
      <c r="BV222" s="174"/>
      <c r="BW222" s="174"/>
      <c r="BX222" s="174"/>
    </row>
    <row r="223" spans="1:76" s="152" customFormat="1" ht="15" customHeight="1" x14ac:dyDescent="0.25">
      <c r="A223" s="152">
        <f t="shared" si="6"/>
        <v>1988</v>
      </c>
      <c r="B223" s="152" t="str">
        <f t="shared" si="7"/>
        <v>1988-89</v>
      </c>
      <c r="C223" s="173">
        <v>32387</v>
      </c>
      <c r="D223" s="154">
        <v>0.79291818181818197</v>
      </c>
      <c r="E223" s="155">
        <v>166.98856909090912</v>
      </c>
      <c r="F223" s="155">
        <v>210.6</v>
      </c>
      <c r="G223" s="155"/>
      <c r="H223" s="155"/>
      <c r="I223" s="156">
        <v>415.08</v>
      </c>
      <c r="J223" s="156">
        <v>524.69000000000005</v>
      </c>
      <c r="K223" s="157"/>
      <c r="L223" s="158"/>
      <c r="M223" s="159">
        <v>11907</v>
      </c>
      <c r="N223" s="159">
        <v>15016.681762419597</v>
      </c>
      <c r="O223" s="175">
        <v>2434</v>
      </c>
      <c r="P223" s="175">
        <v>3069.6735877827582</v>
      </c>
      <c r="Q223" s="175">
        <v>609.48</v>
      </c>
      <c r="R223" s="175">
        <v>768.65433783148546</v>
      </c>
      <c r="S223" s="175">
        <v>1330.3</v>
      </c>
      <c r="T223" s="175">
        <v>1677.7266942594097</v>
      </c>
      <c r="U223" s="161">
        <v>269.59218181818187</v>
      </c>
      <c r="V223" s="161">
        <v>340</v>
      </c>
      <c r="W223" s="161">
        <v>2074.2457765344934</v>
      </c>
      <c r="X223" s="161">
        <v>2615.9644514370875</v>
      </c>
      <c r="Y223" s="162"/>
      <c r="Z223" s="162"/>
      <c r="AA223" s="162"/>
      <c r="AB223" s="162"/>
      <c r="AC223" s="163"/>
      <c r="AD223" s="163">
        <v>8.2386000766381393</v>
      </c>
      <c r="AE223" s="163"/>
      <c r="AF223" s="163"/>
      <c r="AG223" s="163"/>
      <c r="AH223" s="163"/>
      <c r="AI223" s="163"/>
      <c r="AJ223" s="163"/>
      <c r="AK223" s="164">
        <v>11.93</v>
      </c>
      <c r="AL223" s="164">
        <v>15.045688538310724</v>
      </c>
      <c r="AM223" s="164">
        <v>14.55</v>
      </c>
      <c r="AN223" s="164">
        <v>18.349938661560859</v>
      </c>
      <c r="AO223" s="164"/>
      <c r="AP223" s="164"/>
      <c r="AS223" s="167"/>
      <c r="AT223" s="1170"/>
      <c r="AU223" s="1171"/>
      <c r="AV223" s="1171"/>
      <c r="AW223" s="1172"/>
      <c r="AX223" s="1172"/>
      <c r="AY223" s="1172"/>
      <c r="AZ223" s="1172"/>
      <c r="BA223" s="1236" t="s">
        <v>54</v>
      </c>
      <c r="BB223" s="1237">
        <v>2014</v>
      </c>
      <c r="BC223" s="1236" t="s">
        <v>324</v>
      </c>
      <c r="BD223" s="1236">
        <v>9</v>
      </c>
      <c r="BE223" s="1238">
        <v>11455485</v>
      </c>
      <c r="BF223" s="1239">
        <v>0.02</v>
      </c>
      <c r="BG223" s="1236"/>
      <c r="BH223" s="1236" t="s">
        <v>61</v>
      </c>
      <c r="BI223" s="1236" t="s">
        <v>301</v>
      </c>
      <c r="BJ223" s="1236" t="s">
        <v>287</v>
      </c>
      <c r="BK223" s="1236">
        <v>8</v>
      </c>
      <c r="BL223" s="1238">
        <v>95138490</v>
      </c>
      <c r="BM223" s="1239">
        <v>2.5000000000000001E-2</v>
      </c>
      <c r="BN223" s="1236">
        <v>2010</v>
      </c>
      <c r="BO223" s="174"/>
      <c r="BP223" s="174"/>
      <c r="BQ223" s="174"/>
      <c r="BR223" s="174"/>
      <c r="BS223" s="174"/>
      <c r="BT223" s="174"/>
      <c r="BU223" s="174"/>
      <c r="BV223" s="174"/>
      <c r="BW223" s="174"/>
      <c r="BX223" s="174"/>
    </row>
    <row r="224" spans="1:76" s="152" customFormat="1" ht="15" customHeight="1" x14ac:dyDescent="0.25">
      <c r="A224" s="152">
        <f t="shared" si="6"/>
        <v>1988</v>
      </c>
      <c r="B224" s="152" t="str">
        <f t="shared" si="7"/>
        <v>1988-89</v>
      </c>
      <c r="C224" s="173">
        <v>32417</v>
      </c>
      <c r="D224" s="169">
        <v>0.80899047619047626</v>
      </c>
      <c r="E224" s="170">
        <v>169.56440380952381</v>
      </c>
      <c r="F224" s="170">
        <v>209.6</v>
      </c>
      <c r="G224" s="170"/>
      <c r="H224" s="170"/>
      <c r="I224" s="169">
        <v>406.46</v>
      </c>
      <c r="J224" s="169">
        <v>504.44</v>
      </c>
      <c r="K224" s="169"/>
      <c r="L224" s="170"/>
      <c r="M224" s="170">
        <v>11623.8</v>
      </c>
      <c r="N224" s="170">
        <v>14368.277924279524</v>
      </c>
      <c r="O224" s="170">
        <v>2942.2</v>
      </c>
      <c r="P224" s="170">
        <v>3636.8784140139383</v>
      </c>
      <c r="Q224" s="170">
        <v>655.22</v>
      </c>
      <c r="R224" s="170">
        <v>809.92300809945368</v>
      </c>
      <c r="S224" s="170">
        <v>1519.9</v>
      </c>
      <c r="T224" s="170">
        <v>1878.7613015633829</v>
      </c>
      <c r="U224" s="170">
        <v>275.05676190476191</v>
      </c>
      <c r="V224" s="170">
        <v>340</v>
      </c>
      <c r="W224" s="170">
        <v>2025.9637805860327</v>
      </c>
      <c r="X224" s="170">
        <v>2504.3110397618834</v>
      </c>
      <c r="Y224" s="170"/>
      <c r="Z224" s="170"/>
      <c r="AA224" s="170"/>
      <c r="AB224" s="170"/>
      <c r="AC224" s="170"/>
      <c r="AD224" s="170">
        <v>7.9941860465116275</v>
      </c>
      <c r="AE224" s="170"/>
      <c r="AF224" s="170"/>
      <c r="AG224" s="170"/>
      <c r="AH224" s="170"/>
      <c r="AI224" s="170"/>
      <c r="AJ224" s="170"/>
      <c r="AK224" s="170">
        <v>11.93</v>
      </c>
      <c r="AL224" s="170">
        <v>14.746774345451119</v>
      </c>
      <c r="AM224" s="170">
        <v>13.5</v>
      </c>
      <c r="AN224" s="170">
        <v>16.687464682614426</v>
      </c>
      <c r="AO224" s="170"/>
      <c r="AP224" s="170"/>
      <c r="AS224" s="167"/>
      <c r="AT224" s="1170"/>
      <c r="AU224" s="1171"/>
      <c r="AV224" s="1171"/>
      <c r="AW224" s="1172"/>
      <c r="AX224" s="1172"/>
      <c r="AY224" s="1172"/>
      <c r="AZ224" s="1172"/>
      <c r="BA224" s="1236" t="s">
        <v>54</v>
      </c>
      <c r="BB224" s="1237">
        <v>2014</v>
      </c>
      <c r="BC224" s="1236" t="s">
        <v>289</v>
      </c>
      <c r="BD224" s="1236">
        <v>10</v>
      </c>
      <c r="BE224" s="1238">
        <v>8229269</v>
      </c>
      <c r="BF224" s="1239">
        <v>1.4E-2</v>
      </c>
      <c r="BG224" s="1236"/>
      <c r="BH224" s="1236" t="s">
        <v>61</v>
      </c>
      <c r="BI224" s="1236" t="s">
        <v>301</v>
      </c>
      <c r="BJ224" s="1236" t="s">
        <v>320</v>
      </c>
      <c r="BK224" s="1236">
        <v>9</v>
      </c>
      <c r="BL224" s="1238">
        <v>81844720</v>
      </c>
      <c r="BM224" s="1239">
        <v>2.1999999999999999E-2</v>
      </c>
      <c r="BN224" s="1236">
        <v>2010</v>
      </c>
      <c r="BO224" s="174"/>
      <c r="BP224" s="174"/>
      <c r="BQ224" s="174"/>
      <c r="BR224" s="174"/>
      <c r="BS224" s="174"/>
      <c r="BT224" s="174"/>
      <c r="BU224" s="174"/>
      <c r="BV224" s="174"/>
      <c r="BW224" s="174"/>
      <c r="BX224" s="174"/>
    </row>
    <row r="225" spans="1:76" s="152" customFormat="1" ht="15" customHeight="1" x14ac:dyDescent="0.25">
      <c r="A225" s="152">
        <f t="shared" si="6"/>
        <v>1988</v>
      </c>
      <c r="B225" s="152" t="str">
        <f t="shared" si="7"/>
        <v>1988-89</v>
      </c>
      <c r="C225" s="173">
        <v>32448</v>
      </c>
      <c r="D225" s="154">
        <v>0.84956818181818183</v>
      </c>
      <c r="E225" s="155">
        <v>185.97047500000002</v>
      </c>
      <c r="F225" s="155">
        <v>218.9</v>
      </c>
      <c r="G225" s="155"/>
      <c r="H225" s="155"/>
      <c r="I225" s="156">
        <v>420.18</v>
      </c>
      <c r="J225" s="156">
        <v>495.98</v>
      </c>
      <c r="K225" s="157"/>
      <c r="L225" s="158"/>
      <c r="M225" s="159">
        <v>13100</v>
      </c>
      <c r="N225" s="159">
        <v>15419.59819159466</v>
      </c>
      <c r="O225" s="175">
        <v>3298.3</v>
      </c>
      <c r="P225" s="175">
        <v>3882.3252454455474</v>
      </c>
      <c r="Q225" s="175">
        <v>691.07</v>
      </c>
      <c r="R225" s="175">
        <v>813.4367726920093</v>
      </c>
      <c r="S225" s="175">
        <v>1560.5</v>
      </c>
      <c r="T225" s="175">
        <v>1836.8154945025547</v>
      </c>
      <c r="U225" s="161">
        <v>288.85318181818184</v>
      </c>
      <c r="V225" s="161">
        <v>340</v>
      </c>
      <c r="W225" s="161">
        <v>2150.4994780599336</v>
      </c>
      <c r="X225" s="161">
        <v>2531.2853330471917</v>
      </c>
      <c r="Y225" s="162"/>
      <c r="Z225" s="162"/>
      <c r="AA225" s="162"/>
      <c r="AB225" s="162"/>
      <c r="AC225" s="163"/>
      <c r="AD225" s="163">
        <v>7.6187222412025974</v>
      </c>
      <c r="AE225" s="163"/>
      <c r="AF225" s="163"/>
      <c r="AG225" s="163"/>
      <c r="AH225" s="163"/>
      <c r="AI225" s="163"/>
      <c r="AJ225" s="163"/>
      <c r="AK225" s="164">
        <v>14.35</v>
      </c>
      <c r="AL225" s="164">
        <v>16.890933896899494</v>
      </c>
      <c r="AM225" s="164">
        <v>12.6</v>
      </c>
      <c r="AN225" s="164">
        <v>14.831063909472727</v>
      </c>
      <c r="AO225" s="164"/>
      <c r="AP225" s="164"/>
      <c r="AS225" s="167"/>
      <c r="AT225" s="1170"/>
      <c r="AU225" s="1171"/>
      <c r="AV225" s="1171"/>
      <c r="AW225" s="1172"/>
      <c r="AX225" s="1172"/>
      <c r="AY225" s="1172"/>
      <c r="AZ225" s="1172"/>
      <c r="BA225" s="1236" t="s">
        <v>54</v>
      </c>
      <c r="BB225" s="1237">
        <v>2014</v>
      </c>
      <c r="BC225" s="1236" t="s">
        <v>291</v>
      </c>
      <c r="BD225" s="1236"/>
      <c r="BE225" s="1238">
        <v>54338895</v>
      </c>
      <c r="BF225" s="1239">
        <v>9.4E-2</v>
      </c>
      <c r="BG225" s="1236"/>
      <c r="BH225" s="1236" t="s">
        <v>61</v>
      </c>
      <c r="BI225" s="1236" t="s">
        <v>301</v>
      </c>
      <c r="BJ225" s="1236" t="s">
        <v>314</v>
      </c>
      <c r="BK225" s="1236">
        <v>10</v>
      </c>
      <c r="BL225" s="1238">
        <v>44762343</v>
      </c>
      <c r="BM225" s="1239">
        <v>1.2E-2</v>
      </c>
      <c r="BN225" s="1236">
        <v>2010</v>
      </c>
      <c r="BO225" s="174"/>
      <c r="BP225" s="174"/>
      <c r="BQ225" s="174"/>
      <c r="BR225" s="174"/>
      <c r="BS225" s="174"/>
      <c r="BT225" s="174"/>
      <c r="BU225" s="174"/>
      <c r="BV225" s="174"/>
      <c r="BW225" s="174"/>
      <c r="BX225" s="174"/>
    </row>
    <row r="226" spans="1:76" s="152" customFormat="1" ht="15" customHeight="1" x14ac:dyDescent="0.25">
      <c r="A226" s="152">
        <f t="shared" si="6"/>
        <v>1988</v>
      </c>
      <c r="B226" s="152" t="str">
        <f t="shared" si="7"/>
        <v>1988-89</v>
      </c>
      <c r="C226" s="173">
        <v>32478</v>
      </c>
      <c r="D226" s="169">
        <v>0.85897500000000004</v>
      </c>
      <c r="E226" s="170">
        <v>194.94437625</v>
      </c>
      <c r="F226" s="170">
        <v>226.95</v>
      </c>
      <c r="G226" s="170"/>
      <c r="H226" s="170"/>
      <c r="I226" s="169">
        <v>419.4</v>
      </c>
      <c r="J226" s="169">
        <v>488.33</v>
      </c>
      <c r="K226" s="169"/>
      <c r="L226" s="170"/>
      <c r="M226" s="170">
        <v>16712.5</v>
      </c>
      <c r="N226" s="170">
        <v>19456.328763933758</v>
      </c>
      <c r="O226" s="170">
        <v>3505.2</v>
      </c>
      <c r="P226" s="170">
        <v>4080.6775517331698</v>
      </c>
      <c r="Q226" s="170">
        <v>730.16</v>
      </c>
      <c r="R226" s="170">
        <v>850.03638056986517</v>
      </c>
      <c r="S226" s="170">
        <v>1597.8</v>
      </c>
      <c r="T226" s="170">
        <v>1860.1239849821006</v>
      </c>
      <c r="U226" s="170">
        <v>292.05150000000003</v>
      </c>
      <c r="V226" s="170">
        <v>340</v>
      </c>
      <c r="W226" s="170">
        <v>2122.9027959722885</v>
      </c>
      <c r="X226" s="170">
        <v>2471.437231551894</v>
      </c>
      <c r="Y226" s="170"/>
      <c r="Z226" s="170"/>
      <c r="AA226" s="170"/>
      <c r="AB226" s="170"/>
      <c r="AC226" s="170"/>
      <c r="AD226" s="170">
        <v>7.3056691992986558</v>
      </c>
      <c r="AE226" s="170"/>
      <c r="AF226" s="170"/>
      <c r="AG226" s="170"/>
      <c r="AH226" s="170"/>
      <c r="AI226" s="170"/>
      <c r="AJ226" s="170"/>
      <c r="AK226" s="170">
        <v>16.23</v>
      </c>
      <c r="AL226" s="170">
        <v>18.894612765214355</v>
      </c>
      <c r="AM226" s="170">
        <v>14</v>
      </c>
      <c r="AN226" s="170">
        <v>16.298495299630371</v>
      </c>
      <c r="AO226" s="170"/>
      <c r="AP226" s="170"/>
      <c r="AS226" s="167"/>
      <c r="AT226" s="1170"/>
      <c r="AU226" s="1171"/>
      <c r="AV226" s="1171"/>
      <c r="AW226" s="1172"/>
      <c r="AX226" s="1172"/>
      <c r="AY226" s="1172"/>
      <c r="AZ226" s="1172"/>
      <c r="BA226" s="1236" t="s">
        <v>54</v>
      </c>
      <c r="BB226" s="1237">
        <v>2014</v>
      </c>
      <c r="BC226" s="1236" t="s">
        <v>292</v>
      </c>
      <c r="BD226" s="1236"/>
      <c r="BE226" s="1238">
        <v>579932210</v>
      </c>
      <c r="BF226" s="1239"/>
      <c r="BG226" s="1236"/>
      <c r="BH226" s="1236" t="s">
        <v>61</v>
      </c>
      <c r="BI226" s="1236" t="s">
        <v>301</v>
      </c>
      <c r="BJ226" s="1236" t="s">
        <v>291</v>
      </c>
      <c r="BK226" s="1236"/>
      <c r="BL226" s="1238">
        <v>196970585</v>
      </c>
      <c r="BM226" s="1239">
        <v>5.1999999999999998E-2</v>
      </c>
      <c r="BN226" s="1236">
        <v>2010</v>
      </c>
      <c r="BO226" s="174"/>
      <c r="BP226" s="174"/>
      <c r="BQ226" s="174"/>
      <c r="BR226" s="174"/>
      <c r="BS226" s="174"/>
      <c r="BT226" s="174"/>
      <c r="BU226" s="174"/>
      <c r="BV226" s="174"/>
      <c r="BW226" s="174"/>
      <c r="BX226" s="174"/>
    </row>
    <row r="227" spans="1:76" s="152" customFormat="1" ht="15" customHeight="1" x14ac:dyDescent="0.25">
      <c r="A227" s="152">
        <f t="shared" si="6"/>
        <v>1989</v>
      </c>
      <c r="B227" s="152" t="str">
        <f t="shared" si="7"/>
        <v>1988-89</v>
      </c>
      <c r="C227" s="173">
        <v>32509</v>
      </c>
      <c r="D227" s="154">
        <v>0.87009047619047608</v>
      </c>
      <c r="E227" s="155">
        <v>273.15620409523808</v>
      </c>
      <c r="F227" s="155">
        <v>313.94</v>
      </c>
      <c r="G227" s="155"/>
      <c r="H227" s="155"/>
      <c r="I227" s="156">
        <v>405</v>
      </c>
      <c r="J227" s="156">
        <v>466.99</v>
      </c>
      <c r="K227" s="157"/>
      <c r="L227" s="158"/>
      <c r="M227" s="159">
        <v>17900</v>
      </c>
      <c r="N227" s="159">
        <v>20572.573186149228</v>
      </c>
      <c r="O227" s="175">
        <v>3398</v>
      </c>
      <c r="P227" s="175">
        <v>3905.3409880745849</v>
      </c>
      <c r="Q227" s="175">
        <v>678.06</v>
      </c>
      <c r="R227" s="175">
        <v>779.29826673744935</v>
      </c>
      <c r="S227" s="175">
        <v>1766.5</v>
      </c>
      <c r="T227" s="175">
        <v>2030.2486331470732</v>
      </c>
      <c r="U227" s="161">
        <v>295.83076190476186</v>
      </c>
      <c r="V227" s="161">
        <v>340</v>
      </c>
      <c r="W227" s="161">
        <v>2116.7607609866154</v>
      </c>
      <c r="X227" s="161">
        <v>2432.8053448584401</v>
      </c>
      <c r="Y227" s="162"/>
      <c r="Z227" s="162"/>
      <c r="AA227" s="162"/>
      <c r="AB227" s="162"/>
      <c r="AC227" s="163"/>
      <c r="AD227" s="163">
        <v>7.0866141732283463</v>
      </c>
      <c r="AE227" s="163"/>
      <c r="AF227" s="163"/>
      <c r="AG227" s="163"/>
      <c r="AH227" s="163"/>
      <c r="AI227" s="163"/>
      <c r="AJ227" s="163"/>
      <c r="AK227" s="164">
        <v>16.23</v>
      </c>
      <c r="AL227" s="164">
        <v>18.653232559285026</v>
      </c>
      <c r="AM227" s="164">
        <v>16.2</v>
      </c>
      <c r="AN227" s="164">
        <v>18.618753386347343</v>
      </c>
      <c r="AO227" s="164"/>
      <c r="AP227" s="164"/>
      <c r="AS227" s="167"/>
      <c r="AT227" s="1170"/>
      <c r="AU227" s="1171"/>
      <c r="AV227" s="1171"/>
      <c r="AW227" s="1172"/>
      <c r="AX227" s="1172"/>
      <c r="AY227" s="1172"/>
      <c r="AZ227" s="1172"/>
      <c r="BA227" s="1236" t="s">
        <v>54</v>
      </c>
      <c r="BB227" s="1237">
        <v>2013</v>
      </c>
      <c r="BC227" s="1236" t="s">
        <v>286</v>
      </c>
      <c r="BD227" s="1236">
        <v>1</v>
      </c>
      <c r="BE227" s="1238">
        <v>225964567</v>
      </c>
      <c r="BF227" s="1239">
        <v>0.26600000000000001</v>
      </c>
      <c r="BG227" s="1236"/>
      <c r="BH227" s="1236" t="s">
        <v>61</v>
      </c>
      <c r="BI227" s="1236" t="s">
        <v>301</v>
      </c>
      <c r="BJ227" s="1236" t="s">
        <v>292</v>
      </c>
      <c r="BK227" s="1236"/>
      <c r="BL227" s="1238">
        <v>3803752585</v>
      </c>
      <c r="BM227" s="1239"/>
      <c r="BN227" s="1236">
        <v>2010</v>
      </c>
      <c r="BO227" s="174"/>
      <c r="BP227" s="174"/>
      <c r="BQ227" s="174"/>
      <c r="BR227" s="174"/>
      <c r="BS227" s="174"/>
      <c r="BT227" s="174"/>
      <c r="BU227" s="174"/>
      <c r="BV227" s="174"/>
      <c r="BW227" s="174"/>
      <c r="BX227" s="174"/>
    </row>
    <row r="228" spans="1:76" s="152" customFormat="1" ht="15" customHeight="1" x14ac:dyDescent="0.25">
      <c r="A228" s="152">
        <f t="shared" si="6"/>
        <v>1989</v>
      </c>
      <c r="B228" s="152" t="str">
        <f t="shared" si="7"/>
        <v>1988-89</v>
      </c>
      <c r="C228" s="173">
        <v>32540</v>
      </c>
      <c r="D228" s="169">
        <v>0.85656000000000021</v>
      </c>
      <c r="E228" s="170">
        <v>241.29295200000004</v>
      </c>
      <c r="F228" s="170">
        <v>281.7</v>
      </c>
      <c r="G228" s="170"/>
      <c r="H228" s="170"/>
      <c r="I228" s="169">
        <v>387.78</v>
      </c>
      <c r="J228" s="169">
        <v>454.97</v>
      </c>
      <c r="K228" s="169"/>
      <c r="L228" s="170"/>
      <c r="M228" s="170">
        <v>18306.3</v>
      </c>
      <c r="N228" s="170">
        <v>21371.882880358637</v>
      </c>
      <c r="O228" s="170">
        <v>3097.9</v>
      </c>
      <c r="P228" s="170">
        <v>3616.6760063509846</v>
      </c>
      <c r="Q228" s="170">
        <v>621.89</v>
      </c>
      <c r="R228" s="170">
        <v>726.0320351172129</v>
      </c>
      <c r="S228" s="170">
        <v>2006.3</v>
      </c>
      <c r="T228" s="170">
        <v>2342.2760810684595</v>
      </c>
      <c r="U228" s="170">
        <v>291.23040000000009</v>
      </c>
      <c r="V228" s="170">
        <v>340</v>
      </c>
      <c r="W228" s="170">
        <v>2147.4599013872767</v>
      </c>
      <c r="X228" s="170">
        <v>2507.0746957449287</v>
      </c>
      <c r="Y228" s="170"/>
      <c r="Z228" s="170"/>
      <c r="AA228" s="170"/>
      <c r="AB228" s="170"/>
      <c r="AC228" s="170"/>
      <c r="AD228" s="170">
        <v>7.0337922403003752</v>
      </c>
      <c r="AE228" s="170"/>
      <c r="AF228" s="170"/>
      <c r="AG228" s="170"/>
      <c r="AH228" s="170"/>
      <c r="AI228" s="170"/>
      <c r="AJ228" s="170"/>
      <c r="AK228" s="170">
        <v>17.23</v>
      </c>
      <c r="AL228" s="170">
        <v>20.115345101335571</v>
      </c>
      <c r="AM228" s="170">
        <v>18.600000000000001</v>
      </c>
      <c r="AN228" s="170">
        <v>21.714766040907815</v>
      </c>
      <c r="AO228" s="170"/>
      <c r="AP228" s="170"/>
      <c r="AS228" s="167"/>
      <c r="AT228" s="1170"/>
      <c r="AU228" s="1171"/>
      <c r="AV228" s="1171"/>
      <c r="AW228" s="1172"/>
      <c r="AX228" s="1172"/>
      <c r="AY228" s="1172"/>
      <c r="AZ228" s="1172"/>
      <c r="BA228" s="1236" t="s">
        <v>54</v>
      </c>
      <c r="BB228" s="1237">
        <v>2013</v>
      </c>
      <c r="BC228" s="1236" t="s">
        <v>281</v>
      </c>
      <c r="BD228" s="1236">
        <v>2</v>
      </c>
      <c r="BE228" s="1238">
        <v>189897651</v>
      </c>
      <c r="BF228" s="1239">
        <v>0.223</v>
      </c>
      <c r="BG228" s="1236"/>
      <c r="BH228" s="1236" t="s">
        <v>61</v>
      </c>
      <c r="BI228" s="1236" t="s">
        <v>303</v>
      </c>
      <c r="BJ228" s="1236" t="s">
        <v>281</v>
      </c>
      <c r="BK228" s="1236">
        <v>1</v>
      </c>
      <c r="BL228" s="1238">
        <v>992572586.31999969</v>
      </c>
      <c r="BM228" s="1239">
        <v>0.38739111959364708</v>
      </c>
      <c r="BN228" s="1236">
        <v>2008</v>
      </c>
      <c r="BO228" s="174"/>
      <c r="BP228" s="174"/>
      <c r="BQ228" s="174"/>
      <c r="BR228" s="174"/>
      <c r="BS228" s="174"/>
      <c r="BT228" s="174"/>
      <c r="BU228" s="174"/>
      <c r="BV228" s="174"/>
      <c r="BW228" s="174"/>
      <c r="BX228" s="174"/>
    </row>
    <row r="229" spans="1:76" s="152" customFormat="1" ht="15" customHeight="1" x14ac:dyDescent="0.25">
      <c r="A229" s="152">
        <f t="shared" si="6"/>
        <v>1989</v>
      </c>
      <c r="B229" s="152" t="str">
        <f t="shared" si="7"/>
        <v>1988-89</v>
      </c>
      <c r="C229" s="173">
        <v>32568</v>
      </c>
      <c r="D229" s="154">
        <v>0.8157619047619048</v>
      </c>
      <c r="E229" s="155">
        <v>290.5336023809524</v>
      </c>
      <c r="F229" s="155">
        <v>356.15</v>
      </c>
      <c r="G229" s="155"/>
      <c r="H229" s="155"/>
      <c r="I229" s="156">
        <v>390.03</v>
      </c>
      <c r="J229" s="156">
        <v>479.89</v>
      </c>
      <c r="K229" s="157"/>
      <c r="L229" s="158"/>
      <c r="M229" s="159">
        <v>16800</v>
      </c>
      <c r="N229" s="159">
        <v>20594.244352343703</v>
      </c>
      <c r="O229" s="175">
        <v>3269.7</v>
      </c>
      <c r="P229" s="175">
        <v>4008.1548070748931</v>
      </c>
      <c r="Q229" s="175">
        <v>590.88</v>
      </c>
      <c r="R229" s="175">
        <v>724.32899422100286</v>
      </c>
      <c r="S229" s="175">
        <v>1964.7</v>
      </c>
      <c r="T229" s="175">
        <v>2408.4233261339091</v>
      </c>
      <c r="U229" s="161">
        <v>448.66904761904766</v>
      </c>
      <c r="V229" s="161">
        <v>550</v>
      </c>
      <c r="W229" s="161">
        <v>2257.2761625795188</v>
      </c>
      <c r="X229" s="161">
        <v>2767.0771942192455</v>
      </c>
      <c r="Y229" s="162"/>
      <c r="Z229" s="162"/>
      <c r="AA229" s="162"/>
      <c r="AB229" s="162"/>
      <c r="AC229" s="163"/>
      <c r="AD229" s="163">
        <v>7.4932877715401505</v>
      </c>
      <c r="AE229" s="163"/>
      <c r="AF229" s="163"/>
      <c r="AG229" s="163"/>
      <c r="AH229" s="163"/>
      <c r="AI229" s="163"/>
      <c r="AJ229" s="163"/>
      <c r="AK229" s="164">
        <v>17.23</v>
      </c>
      <c r="AL229" s="164">
        <v>21.121358939933454</v>
      </c>
      <c r="AM229" s="164">
        <v>18.2</v>
      </c>
      <c r="AN229" s="164">
        <v>22.310431381705676</v>
      </c>
      <c r="AO229" s="164"/>
      <c r="AP229" s="164"/>
      <c r="AS229" s="167"/>
      <c r="AT229" s="1170"/>
      <c r="AU229" s="1171"/>
      <c r="AV229" s="1171"/>
      <c r="AW229" s="1172"/>
      <c r="AX229" s="1172"/>
      <c r="AY229" s="1172"/>
      <c r="AZ229" s="1172"/>
      <c r="BA229" s="1236" t="s">
        <v>54</v>
      </c>
      <c r="BB229" s="1237">
        <v>2013</v>
      </c>
      <c r="BC229" s="1236" t="s">
        <v>312</v>
      </c>
      <c r="BD229" s="1236">
        <v>3</v>
      </c>
      <c r="BE229" s="1238">
        <v>87930926</v>
      </c>
      <c r="BF229" s="1239">
        <v>0.10299999999999999</v>
      </c>
      <c r="BG229" s="1236"/>
      <c r="BH229" s="1236" t="s">
        <v>61</v>
      </c>
      <c r="BI229" s="1236" t="s">
        <v>303</v>
      </c>
      <c r="BJ229" s="1236" t="s">
        <v>309</v>
      </c>
      <c r="BK229" s="1236">
        <v>2</v>
      </c>
      <c r="BL229" s="1238">
        <v>436361434.19999999</v>
      </c>
      <c r="BM229" s="1239">
        <v>0.17030748871370624</v>
      </c>
      <c r="BN229" s="1236">
        <v>2008</v>
      </c>
      <c r="BO229" s="174"/>
      <c r="BP229" s="174"/>
      <c r="BQ229" s="174"/>
      <c r="BR229" s="174"/>
      <c r="BS229" s="174"/>
      <c r="BT229" s="174"/>
      <c r="BU229" s="174"/>
      <c r="BV229" s="174"/>
      <c r="BW229" s="174"/>
      <c r="BX229" s="174"/>
    </row>
    <row r="230" spans="1:76" s="152" customFormat="1" ht="15" customHeight="1" x14ac:dyDescent="0.25">
      <c r="A230" s="152">
        <f t="shared" si="6"/>
        <v>1989</v>
      </c>
      <c r="B230" s="152" t="str">
        <f t="shared" si="7"/>
        <v>1988-89</v>
      </c>
      <c r="C230" s="173">
        <v>32599</v>
      </c>
      <c r="D230" s="169">
        <v>0.8044</v>
      </c>
      <c r="E230" s="170">
        <v>251.04519599999998</v>
      </c>
      <c r="F230" s="170">
        <v>312.08999999999997</v>
      </c>
      <c r="G230" s="170"/>
      <c r="H230" s="170"/>
      <c r="I230" s="169">
        <v>384.85</v>
      </c>
      <c r="J230" s="169">
        <v>479.87</v>
      </c>
      <c r="K230" s="169"/>
      <c r="L230" s="170"/>
      <c r="M230" s="170">
        <v>15206.3</v>
      </c>
      <c r="N230" s="170">
        <v>18903.9035305818</v>
      </c>
      <c r="O230" s="170">
        <v>3118.4</v>
      </c>
      <c r="P230" s="170">
        <v>3876.678269517653</v>
      </c>
      <c r="Q230" s="170">
        <v>608.21</v>
      </c>
      <c r="R230" s="170">
        <v>756.10392839383394</v>
      </c>
      <c r="S230" s="170">
        <v>1679.7</v>
      </c>
      <c r="T230" s="170">
        <v>2088.1402287419196</v>
      </c>
      <c r="U230" s="170">
        <v>442.42</v>
      </c>
      <c r="V230" s="170">
        <v>550</v>
      </c>
      <c r="W230" s="170">
        <v>2169.591571072147</v>
      </c>
      <c r="X230" s="170">
        <v>2697.1551107311625</v>
      </c>
      <c r="Y230" s="170"/>
      <c r="Z230" s="170"/>
      <c r="AA230" s="170"/>
      <c r="AB230" s="170"/>
      <c r="AC230" s="170"/>
      <c r="AD230" s="170">
        <v>7.4022698612862543</v>
      </c>
      <c r="AE230" s="170"/>
      <c r="AF230" s="170"/>
      <c r="AG230" s="170"/>
      <c r="AH230" s="170"/>
      <c r="AI230" s="170"/>
      <c r="AJ230" s="170"/>
      <c r="AK230" s="170">
        <v>20.149999999999999</v>
      </c>
      <c r="AL230" s="170">
        <v>25.049726504226751</v>
      </c>
      <c r="AM230" s="170">
        <v>19.45</v>
      </c>
      <c r="AN230" s="170">
        <v>24.179512680258576</v>
      </c>
      <c r="AO230" s="170"/>
      <c r="AP230" s="170"/>
      <c r="AS230" s="167"/>
      <c r="AT230" s="1170"/>
      <c r="AU230" s="1171"/>
      <c r="AV230" s="1171"/>
      <c r="AW230" s="1172"/>
      <c r="AX230" s="1172"/>
      <c r="AY230" s="1172"/>
      <c r="AZ230" s="1172"/>
      <c r="BA230" s="1236" t="s">
        <v>54</v>
      </c>
      <c r="BB230" s="1237">
        <v>2013</v>
      </c>
      <c r="BC230" s="1236" t="s">
        <v>315</v>
      </c>
      <c r="BD230" s="1236">
        <v>4</v>
      </c>
      <c r="BE230" s="1238">
        <v>50545932</v>
      </c>
      <c r="BF230" s="1239">
        <v>5.8999999999999997E-2</v>
      </c>
      <c r="BG230" s="1236"/>
      <c r="BH230" s="1236" t="s">
        <v>61</v>
      </c>
      <c r="BI230" s="1236" t="s">
        <v>303</v>
      </c>
      <c r="BJ230" s="1236" t="s">
        <v>306</v>
      </c>
      <c r="BK230" s="1236">
        <v>3</v>
      </c>
      <c r="BL230" s="1238">
        <v>392232149.0800001</v>
      </c>
      <c r="BM230" s="1239">
        <v>0.15308427158569199</v>
      </c>
      <c r="BN230" s="1236">
        <v>2008</v>
      </c>
      <c r="BO230" s="174"/>
      <c r="BP230" s="174"/>
      <c r="BQ230" s="174"/>
      <c r="BR230" s="174"/>
      <c r="BS230" s="174"/>
      <c r="BT230" s="174"/>
      <c r="BU230" s="174"/>
      <c r="BV230" s="174"/>
      <c r="BW230" s="174"/>
      <c r="BX230" s="174"/>
    </row>
    <row r="231" spans="1:76" s="152" customFormat="1" ht="15" customHeight="1" x14ac:dyDescent="0.25">
      <c r="A231" s="152">
        <f t="shared" si="6"/>
        <v>1989</v>
      </c>
      <c r="B231" s="152" t="str">
        <f t="shared" si="7"/>
        <v>1988-89</v>
      </c>
      <c r="C231" s="173">
        <v>32629</v>
      </c>
      <c r="D231" s="154">
        <v>0.77321739130434775</v>
      </c>
      <c r="E231" s="155">
        <v>249.2852869565217</v>
      </c>
      <c r="F231" s="155">
        <v>322.39999999999998</v>
      </c>
      <c r="G231" s="155"/>
      <c r="H231" s="155"/>
      <c r="I231" s="156">
        <v>371.44</v>
      </c>
      <c r="J231" s="156">
        <v>482.03</v>
      </c>
      <c r="K231" s="157"/>
      <c r="L231" s="158"/>
      <c r="M231" s="159">
        <v>13487.5</v>
      </c>
      <c r="N231" s="159">
        <v>17443.347953216376</v>
      </c>
      <c r="O231" s="175">
        <v>2753.3</v>
      </c>
      <c r="P231" s="175">
        <v>3560.8355825461094</v>
      </c>
      <c r="Q231" s="175">
        <v>643.77</v>
      </c>
      <c r="R231" s="175">
        <v>832.58603238866408</v>
      </c>
      <c r="S231" s="175">
        <v>1727.7</v>
      </c>
      <c r="T231" s="175">
        <v>2234.4298245614036</v>
      </c>
      <c r="U231" s="161">
        <v>425.26956521739123</v>
      </c>
      <c r="V231" s="161">
        <v>550</v>
      </c>
      <c r="W231" s="161">
        <v>2178.6743526076216</v>
      </c>
      <c r="X231" s="161">
        <v>2817.6737578708562</v>
      </c>
      <c r="Y231" s="162"/>
      <c r="Z231" s="162"/>
      <c r="AA231" s="162"/>
      <c r="AB231" s="162"/>
      <c r="AC231" s="163"/>
      <c r="AD231" s="163">
        <v>7.2459893048128343</v>
      </c>
      <c r="AE231" s="163"/>
      <c r="AF231" s="163"/>
      <c r="AG231" s="163"/>
      <c r="AH231" s="163"/>
      <c r="AI231" s="163"/>
      <c r="AJ231" s="163"/>
      <c r="AK231" s="164">
        <v>20.149999999999999</v>
      </c>
      <c r="AL231" s="164">
        <v>26.059941520467838</v>
      </c>
      <c r="AM231" s="164">
        <v>20.3</v>
      </c>
      <c r="AN231" s="164">
        <v>26.253936122357178</v>
      </c>
      <c r="AO231" s="164"/>
      <c r="AP231" s="164"/>
      <c r="AS231" s="167"/>
      <c r="AT231" s="1170"/>
      <c r="AU231" s="1171"/>
      <c r="AV231" s="1171"/>
      <c r="AW231" s="1172"/>
      <c r="AX231" s="1172"/>
      <c r="AY231" s="1172"/>
      <c r="AZ231" s="1172"/>
      <c r="BA231" s="1236" t="s">
        <v>54</v>
      </c>
      <c r="BB231" s="1237">
        <v>2013</v>
      </c>
      <c r="BC231" s="1236" t="s">
        <v>287</v>
      </c>
      <c r="BD231" s="1236">
        <v>5</v>
      </c>
      <c r="BE231" s="1238">
        <v>41081580</v>
      </c>
      <c r="BF231" s="1239">
        <v>4.8000000000000001E-2</v>
      </c>
      <c r="BG231" s="1236"/>
      <c r="BH231" s="1236" t="s">
        <v>61</v>
      </c>
      <c r="BI231" s="1236" t="s">
        <v>303</v>
      </c>
      <c r="BJ231" s="1236" t="s">
        <v>308</v>
      </c>
      <c r="BK231" s="1236">
        <v>4</v>
      </c>
      <c r="BL231" s="1238">
        <v>127821627.56999999</v>
      </c>
      <c r="BM231" s="1239">
        <v>4.9887498501455185E-2</v>
      </c>
      <c r="BN231" s="1236">
        <v>2008</v>
      </c>
      <c r="BO231" s="174"/>
      <c r="BP231" s="174"/>
      <c r="BQ231" s="174"/>
      <c r="BR231" s="174"/>
      <c r="BS231" s="174"/>
      <c r="BT231" s="174"/>
      <c r="BU231" s="174"/>
      <c r="BV231" s="174"/>
      <c r="BW231" s="174"/>
      <c r="BX231" s="174"/>
    </row>
    <row r="232" spans="1:76" s="152" customFormat="1" ht="15" customHeight="1" x14ac:dyDescent="0.25">
      <c r="A232" s="152">
        <f t="shared" si="6"/>
        <v>1989</v>
      </c>
      <c r="B232" s="152" t="str">
        <f t="shared" si="7"/>
        <v>1988-89</v>
      </c>
      <c r="C232" s="173">
        <v>32660</v>
      </c>
      <c r="D232" s="169">
        <v>0.75559523809523821</v>
      </c>
      <c r="E232" s="170">
        <v>239.44057500000002</v>
      </c>
      <c r="F232" s="170">
        <v>316.89</v>
      </c>
      <c r="G232" s="170"/>
      <c r="H232" s="170"/>
      <c r="I232" s="169">
        <v>368.1</v>
      </c>
      <c r="J232" s="169">
        <v>488.82</v>
      </c>
      <c r="K232" s="169"/>
      <c r="L232" s="170"/>
      <c r="M232" s="170">
        <v>12052.5</v>
      </c>
      <c r="N232" s="170">
        <v>15951.000472664249</v>
      </c>
      <c r="O232" s="170">
        <v>2547.8000000000002</v>
      </c>
      <c r="P232" s="170">
        <v>3371.9111391208444</v>
      </c>
      <c r="Q232" s="170">
        <v>666.72</v>
      </c>
      <c r="R232" s="170">
        <v>882.37718607215993</v>
      </c>
      <c r="S232" s="170">
        <v>1669.7</v>
      </c>
      <c r="T232" s="170">
        <v>2209.7809988971167</v>
      </c>
      <c r="U232" s="170">
        <v>415.57738095238102</v>
      </c>
      <c r="V232" s="170">
        <v>550</v>
      </c>
      <c r="W232" s="170">
        <v>2195.2859695460343</v>
      </c>
      <c r="X232" s="170">
        <v>2905.3729548111996</v>
      </c>
      <c r="Y232" s="170"/>
      <c r="Z232" s="170"/>
      <c r="AA232" s="170"/>
      <c r="AB232" s="170"/>
      <c r="AC232" s="170"/>
      <c r="AD232" s="170">
        <v>7.1883289124668437</v>
      </c>
      <c r="AE232" s="170"/>
      <c r="AF232" s="170"/>
      <c r="AG232" s="170"/>
      <c r="AH232" s="170"/>
      <c r="AI232" s="170"/>
      <c r="AJ232" s="170"/>
      <c r="AK232" s="170">
        <v>18.28</v>
      </c>
      <c r="AL232" s="170">
        <v>24.192847014337481</v>
      </c>
      <c r="AM232" s="170">
        <v>19.100000000000001</v>
      </c>
      <c r="AN232" s="170">
        <v>25.278084134236646</v>
      </c>
      <c r="AO232" s="170"/>
      <c r="AP232" s="170"/>
      <c r="AS232" s="167"/>
      <c r="AT232" s="1170"/>
      <c r="AU232" s="1171"/>
      <c r="AV232" s="1171"/>
      <c r="AW232" s="1172"/>
      <c r="AX232" s="1172"/>
      <c r="AY232" s="1172"/>
      <c r="AZ232" s="1172"/>
      <c r="BA232" s="1236" t="s">
        <v>54</v>
      </c>
      <c r="BB232" s="1237">
        <v>2013</v>
      </c>
      <c r="BC232" s="1236" t="s">
        <v>322</v>
      </c>
      <c r="BD232" s="1236">
        <v>6</v>
      </c>
      <c r="BE232" s="1238">
        <v>36300436</v>
      </c>
      <c r="BF232" s="1239">
        <v>4.2999999999999997E-2</v>
      </c>
      <c r="BG232" s="1236"/>
      <c r="BH232" s="1236" t="s">
        <v>61</v>
      </c>
      <c r="BI232" s="1236" t="s">
        <v>303</v>
      </c>
      <c r="BJ232" s="1236" t="s">
        <v>312</v>
      </c>
      <c r="BK232" s="1236">
        <v>5</v>
      </c>
      <c r="BL232" s="1238">
        <v>124076253.78</v>
      </c>
      <c r="BM232" s="1239">
        <v>4.8425716697482385E-2</v>
      </c>
      <c r="BN232" s="1236">
        <v>2008</v>
      </c>
      <c r="BO232" s="174"/>
      <c r="BP232" s="174"/>
      <c r="BQ232" s="174"/>
      <c r="BR232" s="174"/>
      <c r="BS232" s="174"/>
      <c r="BT232" s="174"/>
      <c r="BU232" s="174"/>
      <c r="BV232" s="174"/>
      <c r="BW232" s="174"/>
      <c r="BX232" s="174"/>
    </row>
    <row r="233" spans="1:76" s="152" customFormat="1" ht="15" customHeight="1" x14ac:dyDescent="0.25">
      <c r="A233" s="152">
        <f t="shared" si="6"/>
        <v>1989</v>
      </c>
      <c r="B233" s="152" t="str">
        <f t="shared" si="7"/>
        <v>1989-90</v>
      </c>
      <c r="C233" s="173">
        <v>32690</v>
      </c>
      <c r="D233" s="154">
        <v>0.75712857142857148</v>
      </c>
      <c r="E233" s="155">
        <v>248.68645057142857</v>
      </c>
      <c r="F233" s="155">
        <v>328.46</v>
      </c>
      <c r="G233" s="155"/>
      <c r="H233" s="155"/>
      <c r="I233" s="156">
        <v>375.44</v>
      </c>
      <c r="J233" s="156">
        <v>497.02</v>
      </c>
      <c r="K233" s="157"/>
      <c r="L233" s="158"/>
      <c r="M233" s="159">
        <v>12168.8</v>
      </c>
      <c r="N233" s="159">
        <v>16072.303251004734</v>
      </c>
      <c r="O233" s="175">
        <v>2500.3000000000002</v>
      </c>
      <c r="P233" s="175">
        <v>3302.3453272703259</v>
      </c>
      <c r="Q233" s="175">
        <v>690.15</v>
      </c>
      <c r="R233" s="175">
        <v>911.53606671823991</v>
      </c>
      <c r="S233" s="175">
        <v>1669.1</v>
      </c>
      <c r="T233" s="175">
        <v>2204.5132927036357</v>
      </c>
      <c r="U233" s="161">
        <v>416.42071428571433</v>
      </c>
      <c r="V233" s="161">
        <v>550</v>
      </c>
      <c r="W233" s="161">
        <v>2182.6764470999315</v>
      </c>
      <c r="X233" s="161">
        <v>2882.8346062566311</v>
      </c>
      <c r="Y233" s="162"/>
      <c r="Z233" s="162"/>
      <c r="AA233" s="162"/>
      <c r="AB233" s="162"/>
      <c r="AC233" s="163"/>
      <c r="AD233" s="163">
        <v>7.0972886762360448</v>
      </c>
      <c r="AE233" s="163"/>
      <c r="AF233" s="163"/>
      <c r="AG233" s="163"/>
      <c r="AH233" s="163"/>
      <c r="AI233" s="163"/>
      <c r="AJ233" s="163"/>
      <c r="AK233" s="164">
        <v>18.28</v>
      </c>
      <c r="AL233" s="164">
        <v>24.143851770788128</v>
      </c>
      <c r="AM233" s="164">
        <v>19.100000000000001</v>
      </c>
      <c r="AN233" s="164">
        <v>25.226891073416478</v>
      </c>
      <c r="AO233" s="164"/>
      <c r="AP233" s="164"/>
      <c r="AS233" s="167"/>
      <c r="AT233" s="1170"/>
      <c r="AU233" s="1171"/>
      <c r="AV233" s="1171"/>
      <c r="AW233" s="1172"/>
      <c r="AX233" s="1172"/>
      <c r="AY233" s="1172"/>
      <c r="AZ233" s="1172"/>
      <c r="BA233" s="1236" t="s">
        <v>54</v>
      </c>
      <c r="BB233" s="1237">
        <v>2013</v>
      </c>
      <c r="BC233" s="1236" t="s">
        <v>319</v>
      </c>
      <c r="BD233" s="1236">
        <v>7</v>
      </c>
      <c r="BE233" s="1238">
        <v>34536190</v>
      </c>
      <c r="BF233" s="1239">
        <v>4.1000000000000002E-2</v>
      </c>
      <c r="BG233" s="1236"/>
      <c r="BH233" s="1236" t="s">
        <v>61</v>
      </c>
      <c r="BI233" s="1236" t="s">
        <v>303</v>
      </c>
      <c r="BJ233" s="1236" t="s">
        <v>298</v>
      </c>
      <c r="BK233" s="1236">
        <v>6</v>
      </c>
      <c r="BL233" s="1238">
        <v>119545095.16</v>
      </c>
      <c r="BM233" s="1239">
        <v>4.6657250960013087E-2</v>
      </c>
      <c r="BN233" s="1236">
        <v>2008</v>
      </c>
      <c r="BO233" s="174"/>
      <c r="BP233" s="174"/>
      <c r="BQ233" s="174"/>
      <c r="BR233" s="174"/>
      <c r="BS233" s="174"/>
      <c r="BT233" s="174"/>
      <c r="BU233" s="174"/>
      <c r="BV233" s="174"/>
      <c r="BW233" s="174"/>
      <c r="BX233" s="174"/>
    </row>
    <row r="234" spans="1:76" s="152" customFormat="1" ht="15" customHeight="1" x14ac:dyDescent="0.25">
      <c r="A234" s="152">
        <f t="shared" si="6"/>
        <v>1989</v>
      </c>
      <c r="B234" s="152" t="str">
        <f t="shared" si="7"/>
        <v>1989-90</v>
      </c>
      <c r="C234" s="173">
        <v>32721</v>
      </c>
      <c r="D234" s="169">
        <v>0.76210869565217398</v>
      </c>
      <c r="E234" s="170">
        <v>218.77092217391308</v>
      </c>
      <c r="F234" s="170">
        <v>287.06</v>
      </c>
      <c r="G234" s="170"/>
      <c r="H234" s="170"/>
      <c r="I234" s="169">
        <v>366.05</v>
      </c>
      <c r="J234" s="169">
        <v>481.72</v>
      </c>
      <c r="K234" s="169"/>
      <c r="L234" s="170"/>
      <c r="M234" s="170">
        <v>12747.5</v>
      </c>
      <c r="N234" s="170">
        <v>16726.616652879595</v>
      </c>
      <c r="O234" s="170">
        <v>2772.3</v>
      </c>
      <c r="P234" s="170">
        <v>3637.6700801551756</v>
      </c>
      <c r="Q234" s="170">
        <v>701.58</v>
      </c>
      <c r="R234" s="170">
        <v>920.57734546595543</v>
      </c>
      <c r="S234" s="170">
        <v>1812.3</v>
      </c>
      <c r="T234" s="170">
        <v>2378.0072453432977</v>
      </c>
      <c r="U234" s="170">
        <v>419.15978260869571</v>
      </c>
      <c r="V234" s="170">
        <v>550</v>
      </c>
      <c r="W234" s="170">
        <v>2341.1956643313229</v>
      </c>
      <c r="X234" s="170">
        <v>3071.9970493550745</v>
      </c>
      <c r="Y234" s="170"/>
      <c r="Z234" s="170"/>
      <c r="AA234" s="170"/>
      <c r="AB234" s="170"/>
      <c r="AC234" s="170"/>
      <c r="AD234" s="170">
        <v>7.0010449320794157</v>
      </c>
      <c r="AE234" s="170"/>
      <c r="AF234" s="170"/>
      <c r="AG234" s="170"/>
      <c r="AH234" s="170"/>
      <c r="AI234" s="170"/>
      <c r="AJ234" s="170"/>
      <c r="AK234" s="170">
        <v>16.3</v>
      </c>
      <c r="AL234" s="170">
        <v>21.388025216076674</v>
      </c>
      <c r="AM234" s="170">
        <v>18.399999999999999</v>
      </c>
      <c r="AN234" s="170">
        <v>24.143537667227655</v>
      </c>
      <c r="AO234" s="170"/>
      <c r="AP234" s="170"/>
      <c r="AS234" s="167"/>
      <c r="AT234" s="1170"/>
      <c r="AU234" s="1171"/>
      <c r="AV234" s="1171"/>
      <c r="AW234" s="1172"/>
      <c r="AX234" s="1172"/>
      <c r="AY234" s="1172"/>
      <c r="AZ234" s="1172"/>
      <c r="BA234" s="1236" t="s">
        <v>54</v>
      </c>
      <c r="BB234" s="1237">
        <v>2013</v>
      </c>
      <c r="BC234" s="1236" t="s">
        <v>285</v>
      </c>
      <c r="BD234" s="1236">
        <v>8</v>
      </c>
      <c r="BE234" s="1238">
        <v>31212475</v>
      </c>
      <c r="BF234" s="1239">
        <v>3.6999999999999998E-2</v>
      </c>
      <c r="BG234" s="1236"/>
      <c r="BH234" s="1236" t="s">
        <v>61</v>
      </c>
      <c r="BI234" s="1236" t="s">
        <v>303</v>
      </c>
      <c r="BJ234" s="1236" t="s">
        <v>319</v>
      </c>
      <c r="BK234" s="1236">
        <v>7</v>
      </c>
      <c r="BL234" s="1238">
        <v>100771927.95999998</v>
      </c>
      <c r="BM234" s="1239">
        <v>3.9330272197794773E-2</v>
      </c>
      <c r="BN234" s="1236">
        <v>2008</v>
      </c>
      <c r="BO234" s="174"/>
      <c r="BP234" s="174"/>
      <c r="BQ234" s="174"/>
      <c r="BR234" s="174"/>
      <c r="BS234" s="174"/>
      <c r="BT234" s="174"/>
      <c r="BU234" s="174"/>
      <c r="BV234" s="174"/>
      <c r="BW234" s="174"/>
      <c r="BX234" s="174"/>
    </row>
    <row r="235" spans="1:76" s="152" customFormat="1" ht="15" customHeight="1" x14ac:dyDescent="0.25">
      <c r="A235" s="152">
        <f t="shared" si="6"/>
        <v>1989</v>
      </c>
      <c r="B235" s="152" t="str">
        <f t="shared" si="7"/>
        <v>1989-90</v>
      </c>
      <c r="C235" s="173">
        <v>32752</v>
      </c>
      <c r="D235" s="154">
        <v>0.77211904761904748</v>
      </c>
      <c r="E235" s="155">
        <v>251.67992476190472</v>
      </c>
      <c r="F235" s="155">
        <v>325.95999999999998</v>
      </c>
      <c r="G235" s="155"/>
      <c r="H235" s="155"/>
      <c r="I235" s="156">
        <v>361.86</v>
      </c>
      <c r="J235" s="156">
        <v>470.25</v>
      </c>
      <c r="K235" s="157"/>
      <c r="L235" s="158"/>
      <c r="M235" s="159">
        <v>11075</v>
      </c>
      <c r="N235" s="159">
        <v>14343.643035554598</v>
      </c>
      <c r="O235" s="175">
        <v>2885.9</v>
      </c>
      <c r="P235" s="175">
        <v>3737.6360664837034</v>
      </c>
      <c r="Q235" s="175">
        <v>728.85</v>
      </c>
      <c r="R235" s="175">
        <v>943.96065250239008</v>
      </c>
      <c r="S235" s="175">
        <v>1667.1</v>
      </c>
      <c r="T235" s="175">
        <v>2159.1230071849272</v>
      </c>
      <c r="U235" s="161">
        <v>424.66547619047611</v>
      </c>
      <c r="V235" s="161">
        <v>550</v>
      </c>
      <c r="W235" s="161">
        <v>2263.728773072341</v>
      </c>
      <c r="X235" s="161">
        <v>2931.8390474278681</v>
      </c>
      <c r="Y235" s="162"/>
      <c r="Z235" s="162"/>
      <c r="AA235" s="162"/>
      <c r="AB235" s="162"/>
      <c r="AC235" s="163"/>
      <c r="AD235" s="163">
        <v>6.8134981968057708</v>
      </c>
      <c r="AE235" s="163"/>
      <c r="AF235" s="163"/>
      <c r="AG235" s="163"/>
      <c r="AH235" s="163"/>
      <c r="AI235" s="163"/>
      <c r="AJ235" s="163"/>
      <c r="AK235" s="164">
        <v>18.23</v>
      </c>
      <c r="AL235" s="164">
        <v>23.61034876191064</v>
      </c>
      <c r="AM235" s="164">
        <v>17.600000000000001</v>
      </c>
      <c r="AN235" s="164">
        <v>22.794412408646586</v>
      </c>
      <c r="AO235" s="164"/>
      <c r="AP235" s="164"/>
      <c r="AS235" s="167"/>
      <c r="AT235" s="1170"/>
      <c r="AU235" s="1171"/>
      <c r="AV235" s="1171"/>
      <c r="AW235" s="1172"/>
      <c r="AX235" s="1172"/>
      <c r="AY235" s="1172"/>
      <c r="AZ235" s="1172"/>
      <c r="BA235" s="1236" t="s">
        <v>54</v>
      </c>
      <c r="BB235" s="1237">
        <v>2013</v>
      </c>
      <c r="BC235" s="1236" t="s">
        <v>308</v>
      </c>
      <c r="BD235" s="1236">
        <v>9</v>
      </c>
      <c r="BE235" s="1238">
        <v>24921572</v>
      </c>
      <c r="BF235" s="1239">
        <v>2.9000000000000001E-2</v>
      </c>
      <c r="BG235" s="1236"/>
      <c r="BH235" s="1236" t="s">
        <v>61</v>
      </c>
      <c r="BI235" s="1236" t="s">
        <v>303</v>
      </c>
      <c r="BJ235" s="1236" t="s">
        <v>320</v>
      </c>
      <c r="BK235" s="1236">
        <v>8</v>
      </c>
      <c r="BL235" s="1238">
        <v>89570929.170000017</v>
      </c>
      <c r="BM235" s="1239">
        <v>3.4958634776381801E-2</v>
      </c>
      <c r="BN235" s="1236">
        <v>2008</v>
      </c>
      <c r="BO235" s="174"/>
      <c r="BP235" s="174"/>
      <c r="BQ235" s="174"/>
      <c r="BR235" s="174"/>
      <c r="BS235" s="174"/>
      <c r="BT235" s="174"/>
      <c r="BU235" s="174"/>
      <c r="BV235" s="174"/>
      <c r="BW235" s="174"/>
      <c r="BX235" s="174"/>
    </row>
    <row r="236" spans="1:76" s="152" customFormat="1" ht="15" customHeight="1" x14ac:dyDescent="0.25">
      <c r="A236" s="152">
        <f t="shared" si="6"/>
        <v>1989</v>
      </c>
      <c r="B236" s="152" t="str">
        <f t="shared" si="7"/>
        <v>1989-90</v>
      </c>
      <c r="C236" s="173">
        <v>32782</v>
      </c>
      <c r="D236" s="169">
        <v>0.77485000000000004</v>
      </c>
      <c r="E236" s="170">
        <v>230.3241625</v>
      </c>
      <c r="F236" s="170">
        <v>297.25</v>
      </c>
      <c r="G236" s="170"/>
      <c r="H236" s="170"/>
      <c r="I236" s="169">
        <v>367.18</v>
      </c>
      <c r="J236" s="169">
        <v>476.01</v>
      </c>
      <c r="K236" s="169"/>
      <c r="L236" s="170"/>
      <c r="M236" s="170">
        <v>10357.5</v>
      </c>
      <c r="N236" s="170">
        <v>13367.103310318125</v>
      </c>
      <c r="O236" s="170">
        <v>2858.5</v>
      </c>
      <c r="P236" s="170">
        <v>3689.1011163450989</v>
      </c>
      <c r="Q236" s="170">
        <v>751.14</v>
      </c>
      <c r="R236" s="170">
        <v>969.40052913467116</v>
      </c>
      <c r="S236" s="170">
        <v>1630.6</v>
      </c>
      <c r="T236" s="170">
        <v>2104.4073046396074</v>
      </c>
      <c r="U236" s="170">
        <v>426.16750000000002</v>
      </c>
      <c r="V236" s="170">
        <v>550</v>
      </c>
      <c r="W236" s="170">
        <v>2242.905686461781</v>
      </c>
      <c r="X236" s="170">
        <v>2894.6321048742088</v>
      </c>
      <c r="Y236" s="170"/>
      <c r="Z236" s="170"/>
      <c r="AA236" s="170"/>
      <c r="AB236" s="170"/>
      <c r="AC236" s="170"/>
      <c r="AD236" s="170">
        <v>6.8445920061294858</v>
      </c>
      <c r="AE236" s="170"/>
      <c r="AF236" s="170"/>
      <c r="AG236" s="170"/>
      <c r="AH236" s="170"/>
      <c r="AI236" s="170"/>
      <c r="AJ236" s="170"/>
      <c r="AK236" s="170">
        <v>18.23</v>
      </c>
      <c r="AL236" s="170">
        <v>23.527134284054977</v>
      </c>
      <c r="AM236" s="170">
        <v>18.5</v>
      </c>
      <c r="AN236" s="170">
        <v>23.875588823643284</v>
      </c>
      <c r="AO236" s="170"/>
      <c r="AP236" s="170"/>
      <c r="AS236" s="167"/>
      <c r="AT236" s="1170"/>
      <c r="AU236" s="1171"/>
      <c r="AV236" s="1171"/>
      <c r="AW236" s="1172"/>
      <c r="AX236" s="1172"/>
      <c r="AY236" s="1172"/>
      <c r="AZ236" s="1172"/>
      <c r="BA236" s="1236" t="s">
        <v>54</v>
      </c>
      <c r="BB236" s="1237">
        <v>2013</v>
      </c>
      <c r="BC236" s="1236" t="s">
        <v>283</v>
      </c>
      <c r="BD236" s="1236">
        <v>10</v>
      </c>
      <c r="BE236" s="1238">
        <v>23450586</v>
      </c>
      <c r="BF236" s="1239">
        <v>2.8000000000000001E-2</v>
      </c>
      <c r="BG236" s="1236"/>
      <c r="BH236" s="1236" t="s">
        <v>61</v>
      </c>
      <c r="BI236" s="1236" t="s">
        <v>303</v>
      </c>
      <c r="BJ236" s="1236" t="s">
        <v>305</v>
      </c>
      <c r="BK236" s="1236">
        <v>9</v>
      </c>
      <c r="BL236" s="1238">
        <v>85419740.810000002</v>
      </c>
      <c r="BM236" s="1239">
        <v>3.333846761824303E-2</v>
      </c>
      <c r="BN236" s="1236">
        <v>2008</v>
      </c>
      <c r="BO236" s="174"/>
      <c r="BP236" s="174"/>
      <c r="BQ236" s="174"/>
      <c r="BR236" s="174"/>
      <c r="BS236" s="174"/>
      <c r="BT236" s="174"/>
      <c r="BU236" s="174"/>
      <c r="BV236" s="174"/>
      <c r="BW236" s="174"/>
      <c r="BX236" s="174"/>
    </row>
    <row r="237" spans="1:76" s="152" customFormat="1" ht="15" customHeight="1" x14ac:dyDescent="0.25">
      <c r="A237" s="152">
        <f t="shared" si="6"/>
        <v>1989</v>
      </c>
      <c r="B237" s="152" t="str">
        <f t="shared" si="7"/>
        <v>1989-90</v>
      </c>
      <c r="C237" s="173">
        <v>32813</v>
      </c>
      <c r="D237" s="154">
        <v>0.78262727272727273</v>
      </c>
      <c r="E237" s="155">
        <v>252.24859627272727</v>
      </c>
      <c r="F237" s="155">
        <v>322.31</v>
      </c>
      <c r="G237" s="155"/>
      <c r="H237" s="155"/>
      <c r="I237" s="156">
        <v>394.51</v>
      </c>
      <c r="J237" s="156">
        <v>505.15</v>
      </c>
      <c r="K237" s="157"/>
      <c r="L237" s="158"/>
      <c r="M237" s="159">
        <v>9896.9</v>
      </c>
      <c r="N237" s="159">
        <v>12645.73871226289</v>
      </c>
      <c r="O237" s="175">
        <v>2589.9</v>
      </c>
      <c r="P237" s="175">
        <v>3309.2381140447678</v>
      </c>
      <c r="Q237" s="175">
        <v>692.85</v>
      </c>
      <c r="R237" s="175">
        <v>885.28731893737881</v>
      </c>
      <c r="S237" s="175">
        <v>1450.1</v>
      </c>
      <c r="T237" s="175">
        <v>1852.861573487902</v>
      </c>
      <c r="U237" s="161">
        <v>430.44499999999999</v>
      </c>
      <c r="V237" s="161">
        <v>550</v>
      </c>
      <c r="W237" s="161">
        <v>2259.2615779672374</v>
      </c>
      <c r="X237" s="161">
        <v>2886.7657142770404</v>
      </c>
      <c r="Y237" s="162"/>
      <c r="Z237" s="162"/>
      <c r="AA237" s="162"/>
      <c r="AB237" s="162"/>
      <c r="AC237" s="163"/>
      <c r="AD237" s="163">
        <v>7.1529110684580939</v>
      </c>
      <c r="AE237" s="163"/>
      <c r="AF237" s="163"/>
      <c r="AG237" s="163"/>
      <c r="AH237" s="163"/>
      <c r="AI237" s="163"/>
      <c r="AJ237" s="163"/>
      <c r="AK237" s="164">
        <v>18.48</v>
      </c>
      <c r="AL237" s="164">
        <v>23.612772828119738</v>
      </c>
      <c r="AM237" s="164">
        <v>19.3</v>
      </c>
      <c r="AN237" s="164">
        <v>24.660525734995179</v>
      </c>
      <c r="AO237" s="164"/>
      <c r="AP237" s="164"/>
      <c r="AS237" s="167"/>
      <c r="AT237" s="1170"/>
      <c r="AU237" s="1171"/>
      <c r="AV237" s="1171"/>
      <c r="AW237" s="1172"/>
      <c r="AX237" s="1172"/>
      <c r="AY237" s="1172"/>
      <c r="AZ237" s="1172"/>
      <c r="BA237" s="1236" t="s">
        <v>54</v>
      </c>
      <c r="BB237" s="1237">
        <v>2013</v>
      </c>
      <c r="BC237" s="1236" t="s">
        <v>291</v>
      </c>
      <c r="BD237" s="1236"/>
      <c r="BE237" s="1238">
        <v>105014211</v>
      </c>
      <c r="BF237" s="1239">
        <v>0.123</v>
      </c>
      <c r="BG237" s="1236"/>
      <c r="BH237" s="1236" t="s">
        <v>61</v>
      </c>
      <c r="BI237" s="1236" t="s">
        <v>303</v>
      </c>
      <c r="BJ237" s="1236" t="s">
        <v>291</v>
      </c>
      <c r="BK237" s="1236"/>
      <c r="BL237" s="1238">
        <v>93825828.680000305</v>
      </c>
      <c r="BM237" s="1239">
        <v>3.6619279355584462E-2</v>
      </c>
      <c r="BN237" s="1236">
        <v>2008</v>
      </c>
      <c r="BO237" s="174"/>
      <c r="BP237" s="174"/>
      <c r="BQ237" s="174"/>
      <c r="BR237" s="174"/>
      <c r="BS237" s="174"/>
      <c r="BT237" s="174"/>
      <c r="BU237" s="174"/>
      <c r="BV237" s="174"/>
      <c r="BW237" s="174"/>
      <c r="BX237" s="174"/>
    </row>
    <row r="238" spans="1:76" s="152" customFormat="1" ht="15" customHeight="1" x14ac:dyDescent="0.25">
      <c r="A238" s="152">
        <f t="shared" si="6"/>
        <v>1989</v>
      </c>
      <c r="B238" s="152" t="str">
        <f t="shared" si="7"/>
        <v>1989-90</v>
      </c>
      <c r="C238" s="173">
        <v>32843</v>
      </c>
      <c r="D238" s="169">
        <v>0.78585789473684209</v>
      </c>
      <c r="E238" s="170">
        <v>261.18772989473683</v>
      </c>
      <c r="F238" s="170">
        <v>332.36</v>
      </c>
      <c r="G238" s="170"/>
      <c r="H238" s="170"/>
      <c r="I238" s="169">
        <v>409.74</v>
      </c>
      <c r="J238" s="169">
        <v>523.1</v>
      </c>
      <c r="K238" s="169"/>
      <c r="L238" s="170"/>
      <c r="M238" s="170">
        <v>8838.1</v>
      </c>
      <c r="N238" s="170">
        <v>11246.435340526277</v>
      </c>
      <c r="O238" s="170">
        <v>2185.6999999999998</v>
      </c>
      <c r="P238" s="170">
        <v>2781.2916490861476</v>
      </c>
      <c r="Q238" s="170">
        <v>713.46</v>
      </c>
      <c r="R238" s="170">
        <v>907.87406320949958</v>
      </c>
      <c r="S238" s="170">
        <v>1487.5</v>
      </c>
      <c r="T238" s="170">
        <v>1892.8358548820263</v>
      </c>
      <c r="U238" s="170">
        <v>432.22184210526314</v>
      </c>
      <c r="V238" s="170">
        <v>550</v>
      </c>
      <c r="W238" s="170">
        <v>2681.3997148559124</v>
      </c>
      <c r="X238" s="170">
        <v>3412.0669052435042</v>
      </c>
      <c r="Y238" s="170"/>
      <c r="Z238" s="170"/>
      <c r="AA238" s="170"/>
      <c r="AB238" s="170"/>
      <c r="AC238" s="170"/>
      <c r="AD238" s="170">
        <v>7.3041503721458314</v>
      </c>
      <c r="AE238" s="170"/>
      <c r="AF238" s="170"/>
      <c r="AG238" s="170"/>
      <c r="AH238" s="170"/>
      <c r="AI238" s="170"/>
      <c r="AJ238" s="170"/>
      <c r="AK238" s="170">
        <v>21.05</v>
      </c>
      <c r="AL238" s="170">
        <v>26.786013274128845</v>
      </c>
      <c r="AM238" s="170">
        <v>19.45</v>
      </c>
      <c r="AN238" s="170">
        <v>24.750021766356578</v>
      </c>
      <c r="AO238" s="170"/>
      <c r="AP238" s="170"/>
      <c r="AS238" s="167"/>
      <c r="AT238" s="1170"/>
      <c r="AU238" s="1171"/>
      <c r="AV238" s="1171"/>
      <c r="AW238" s="1172"/>
      <c r="AX238" s="1172"/>
      <c r="AY238" s="1172"/>
      <c r="AZ238" s="1172"/>
      <c r="BA238" s="1236" t="s">
        <v>54</v>
      </c>
      <c r="BB238" s="1237">
        <v>2013</v>
      </c>
      <c r="BC238" s="1236" t="s">
        <v>292</v>
      </c>
      <c r="BD238" s="1236"/>
      <c r="BE238" s="1238">
        <v>850856127</v>
      </c>
      <c r="BF238" s="1239"/>
      <c r="BG238" s="1236"/>
      <c r="BH238" s="1236" t="s">
        <v>61</v>
      </c>
      <c r="BI238" s="1236" t="s">
        <v>303</v>
      </c>
      <c r="BJ238" s="1236" t="s">
        <v>292</v>
      </c>
      <c r="BK238" s="1236"/>
      <c r="BL238" s="1238">
        <v>2562197572.73</v>
      </c>
      <c r="BM238" s="1239"/>
      <c r="BN238" s="1236">
        <v>2008</v>
      </c>
      <c r="BO238" s="174"/>
      <c r="BP238" s="174"/>
      <c r="BQ238" s="174"/>
      <c r="BR238" s="174"/>
      <c r="BS238" s="174"/>
      <c r="BT238" s="174"/>
      <c r="BU238" s="174"/>
      <c r="BV238" s="174"/>
      <c r="BW238" s="174"/>
      <c r="BX238" s="174"/>
    </row>
    <row r="239" spans="1:76" s="152" customFormat="1" ht="15" customHeight="1" x14ac:dyDescent="0.25">
      <c r="A239" s="152">
        <f t="shared" si="6"/>
        <v>1990</v>
      </c>
      <c r="B239" s="152" t="str">
        <f t="shared" si="7"/>
        <v>1989-90</v>
      </c>
      <c r="C239" s="173">
        <v>32874</v>
      </c>
      <c r="D239" s="154">
        <v>0.78219545454545458</v>
      </c>
      <c r="E239" s="155">
        <v>259.42294445454547</v>
      </c>
      <c r="F239" s="155">
        <v>331.66</v>
      </c>
      <c r="G239" s="155"/>
      <c r="H239" s="155"/>
      <c r="I239" s="156">
        <v>409.37</v>
      </c>
      <c r="J239" s="156">
        <v>523.67999999999995</v>
      </c>
      <c r="K239" s="157"/>
      <c r="L239" s="158"/>
      <c r="M239" s="159">
        <v>7208.8</v>
      </c>
      <c r="N239" s="159">
        <v>9216.1108302388966</v>
      </c>
      <c r="O239" s="175">
        <v>2369.1999999999998</v>
      </c>
      <c r="P239" s="175">
        <v>3028.9104676231814</v>
      </c>
      <c r="Q239" s="175">
        <v>708.19</v>
      </c>
      <c r="R239" s="175">
        <v>905.38751648913603</v>
      </c>
      <c r="S239" s="175">
        <v>1296.4000000000001</v>
      </c>
      <c r="T239" s="175">
        <v>1657.3862612808935</v>
      </c>
      <c r="U239" s="161">
        <v>430.20750000000004</v>
      </c>
      <c r="V239" s="161">
        <v>550</v>
      </c>
      <c r="W239" s="161">
        <v>2367.4206321519951</v>
      </c>
      <c r="X239" s="161">
        <v>3026.6356297451744</v>
      </c>
      <c r="Y239" s="162"/>
      <c r="Z239" s="162"/>
      <c r="AA239" s="162"/>
      <c r="AB239" s="162"/>
      <c r="AC239" s="163"/>
      <c r="AD239" s="163">
        <v>6.8759730150492988</v>
      </c>
      <c r="AE239" s="163"/>
      <c r="AF239" s="163"/>
      <c r="AG239" s="163"/>
      <c r="AH239" s="163"/>
      <c r="AI239" s="163"/>
      <c r="AJ239" s="163"/>
      <c r="AK239" s="164">
        <v>21.05</v>
      </c>
      <c r="AL239" s="164">
        <v>26.91143227396082</v>
      </c>
      <c r="AM239" s="164">
        <v>20</v>
      </c>
      <c r="AN239" s="164">
        <v>25.569056792361824</v>
      </c>
      <c r="AO239" s="164"/>
      <c r="AP239" s="164"/>
      <c r="AS239" s="167"/>
      <c r="AT239" s="1170"/>
      <c r="AU239" s="1171"/>
      <c r="AV239" s="1171"/>
      <c r="AW239" s="1172"/>
      <c r="AX239" s="1172"/>
      <c r="AY239" s="1172"/>
      <c r="AZ239" s="1172"/>
      <c r="BA239" s="1236" t="s">
        <v>54</v>
      </c>
      <c r="BB239" s="1237">
        <v>2012</v>
      </c>
      <c r="BC239" s="1236" t="s">
        <v>281</v>
      </c>
      <c r="BD239" s="1236">
        <v>1</v>
      </c>
      <c r="BE239" s="1238">
        <v>309596224</v>
      </c>
      <c r="BF239" s="1239">
        <v>0.26900000000000002</v>
      </c>
      <c r="BG239" s="1236"/>
      <c r="BH239" s="1236" t="s">
        <v>61</v>
      </c>
      <c r="BI239" s="1236" t="s">
        <v>307</v>
      </c>
      <c r="BJ239" s="1236" t="s">
        <v>281</v>
      </c>
      <c r="BK239" s="1236">
        <v>1</v>
      </c>
      <c r="BL239" s="1238">
        <v>1687573968.4100001</v>
      </c>
      <c r="BM239" s="1239">
        <v>0.33308314254469773</v>
      </c>
      <c r="BN239" s="1236">
        <v>2007</v>
      </c>
      <c r="BO239" s="174"/>
      <c r="BP239" s="174"/>
      <c r="BQ239" s="174"/>
      <c r="BR239" s="174"/>
      <c r="BS239" s="174"/>
      <c r="BT239" s="174"/>
      <c r="BU239" s="174"/>
      <c r="BV239" s="174"/>
      <c r="BW239" s="174"/>
      <c r="BX239" s="174"/>
    </row>
    <row r="240" spans="1:76" s="152" customFormat="1" ht="15" customHeight="1" x14ac:dyDescent="0.25">
      <c r="A240" s="152">
        <f t="shared" si="6"/>
        <v>1990</v>
      </c>
      <c r="B240" s="152" t="str">
        <f t="shared" si="7"/>
        <v>1989-90</v>
      </c>
      <c r="C240" s="173">
        <v>32905</v>
      </c>
      <c r="D240" s="169">
        <v>0.75976500000000013</v>
      </c>
      <c r="E240" s="170">
        <v>256.30672275000006</v>
      </c>
      <c r="F240" s="170">
        <v>337.35</v>
      </c>
      <c r="G240" s="170"/>
      <c r="H240" s="170"/>
      <c r="I240" s="169">
        <v>417.14</v>
      </c>
      <c r="J240" s="169">
        <v>550.19000000000005</v>
      </c>
      <c r="K240" s="169"/>
      <c r="L240" s="170"/>
      <c r="M240" s="170">
        <v>6770</v>
      </c>
      <c r="N240" s="170">
        <v>8910.6500036195393</v>
      </c>
      <c r="O240" s="170">
        <v>2359.9</v>
      </c>
      <c r="P240" s="170">
        <v>3106.0920152942022</v>
      </c>
      <c r="Q240" s="170">
        <v>779.8</v>
      </c>
      <c r="R240" s="170">
        <v>1026.3699959856006</v>
      </c>
      <c r="S240" s="170">
        <v>1393.6</v>
      </c>
      <c r="T240" s="170">
        <v>1834.2513803610323</v>
      </c>
      <c r="U240" s="170">
        <v>417.8707500000001</v>
      </c>
      <c r="V240" s="170">
        <v>550</v>
      </c>
      <c r="W240" s="170">
        <v>2281.6652682020904</v>
      </c>
      <c r="X240" s="170">
        <v>3003.1197386061349</v>
      </c>
      <c r="Y240" s="170"/>
      <c r="Z240" s="170"/>
      <c r="AA240" s="170"/>
      <c r="AB240" s="170"/>
      <c r="AC240" s="170"/>
      <c r="AD240" s="170">
        <v>7.1503818804319197</v>
      </c>
      <c r="AE240" s="170"/>
      <c r="AF240" s="170"/>
      <c r="AG240" s="170"/>
      <c r="AH240" s="170"/>
      <c r="AI240" s="170"/>
      <c r="AJ240" s="170"/>
      <c r="AK240" s="170">
        <v>19.489999999999998</v>
      </c>
      <c r="AL240" s="170">
        <v>25.6526689173626</v>
      </c>
      <c r="AM240" s="170">
        <v>21</v>
      </c>
      <c r="AN240" s="170">
        <v>27.640125565141847</v>
      </c>
      <c r="AO240" s="170"/>
      <c r="AP240" s="170"/>
      <c r="AS240" s="167"/>
      <c r="AT240" s="1170"/>
      <c r="AU240" s="1171"/>
      <c r="AV240" s="1171"/>
      <c r="AW240" s="1172"/>
      <c r="AX240" s="1172"/>
      <c r="AY240" s="1172"/>
      <c r="AZ240" s="1172"/>
      <c r="BA240" s="1236" t="s">
        <v>54</v>
      </c>
      <c r="BB240" s="1237">
        <v>2012</v>
      </c>
      <c r="BC240" s="1236" t="s">
        <v>286</v>
      </c>
      <c r="BD240" s="1236">
        <v>2</v>
      </c>
      <c r="BE240" s="1238">
        <v>242214929</v>
      </c>
      <c r="BF240" s="1239">
        <v>0.21099999999999999</v>
      </c>
      <c r="BG240" s="1236"/>
      <c r="BH240" s="1236" t="s">
        <v>61</v>
      </c>
      <c r="BI240" s="1236" t="s">
        <v>307</v>
      </c>
      <c r="BJ240" s="1236" t="s">
        <v>309</v>
      </c>
      <c r="BK240" s="1236">
        <v>2</v>
      </c>
      <c r="BL240" s="1238">
        <v>995377094.42999983</v>
      </c>
      <c r="BM240" s="1239">
        <v>0.19646151033138326</v>
      </c>
      <c r="BN240" s="1236">
        <v>2007</v>
      </c>
      <c r="BO240" s="174"/>
      <c r="BP240" s="174"/>
      <c r="BQ240" s="174"/>
      <c r="BR240" s="174"/>
      <c r="BS240" s="174"/>
      <c r="BT240" s="174"/>
      <c r="BU240" s="174"/>
      <c r="BV240" s="174"/>
      <c r="BW240" s="174"/>
      <c r="BX240" s="174"/>
    </row>
    <row r="241" spans="1:76" s="152" customFormat="1" ht="15" customHeight="1" x14ac:dyDescent="0.25">
      <c r="A241" s="152">
        <f t="shared" si="6"/>
        <v>1990</v>
      </c>
      <c r="B241" s="152" t="str">
        <f t="shared" si="7"/>
        <v>1989-90</v>
      </c>
      <c r="C241" s="173">
        <v>32933</v>
      </c>
      <c r="D241" s="154">
        <v>0.75575909090909088</v>
      </c>
      <c r="E241" s="155">
        <v>258.65099127272725</v>
      </c>
      <c r="F241" s="155">
        <v>342.24</v>
      </c>
      <c r="G241" s="155"/>
      <c r="H241" s="155"/>
      <c r="I241" s="156">
        <v>393.86</v>
      </c>
      <c r="J241" s="156">
        <v>522.61</v>
      </c>
      <c r="K241" s="157"/>
      <c r="L241" s="158"/>
      <c r="M241" s="159">
        <v>9196</v>
      </c>
      <c r="N241" s="159">
        <v>12167.898620892902</v>
      </c>
      <c r="O241" s="175">
        <v>2625.7</v>
      </c>
      <c r="P241" s="175">
        <v>3474.2552641233679</v>
      </c>
      <c r="Q241" s="175">
        <v>1061.5999999999999</v>
      </c>
      <c r="R241" s="175">
        <v>1404.6804236559269</v>
      </c>
      <c r="S241" s="175">
        <v>1667.2</v>
      </c>
      <c r="T241" s="175">
        <v>2205.9939735485696</v>
      </c>
      <c r="U241" s="161">
        <v>457.23424999999997</v>
      </c>
      <c r="V241" s="161">
        <v>605</v>
      </c>
      <c r="W241" s="161">
        <v>2223.3416601852941</v>
      </c>
      <c r="X241" s="161">
        <v>2941.8655851177009</v>
      </c>
      <c r="Y241" s="162"/>
      <c r="Z241" s="162"/>
      <c r="AA241" s="162"/>
      <c r="AB241" s="162"/>
      <c r="AC241" s="163"/>
      <c r="AD241" s="163">
        <v>6.9345001325908253</v>
      </c>
      <c r="AE241" s="163"/>
      <c r="AF241" s="163"/>
      <c r="AG241" s="163"/>
      <c r="AH241" s="163"/>
      <c r="AI241" s="163"/>
      <c r="AJ241" s="163"/>
      <c r="AK241" s="164">
        <v>18.29</v>
      </c>
      <c r="AL241" s="164">
        <v>24.20083359897033</v>
      </c>
      <c r="AM241" s="164">
        <v>20.6</v>
      </c>
      <c r="AN241" s="164">
        <v>27.257363156850129</v>
      </c>
      <c r="AO241" s="164"/>
      <c r="AP241" s="164"/>
      <c r="AS241" s="167"/>
      <c r="AT241" s="1170"/>
      <c r="AU241" s="1171"/>
      <c r="AV241" s="1171"/>
      <c r="AW241" s="1172"/>
      <c r="AX241" s="1172"/>
      <c r="AY241" s="1172"/>
      <c r="AZ241" s="1172"/>
      <c r="BA241" s="1236" t="s">
        <v>54</v>
      </c>
      <c r="BB241" s="1237">
        <v>2012</v>
      </c>
      <c r="BC241" s="1236" t="s">
        <v>312</v>
      </c>
      <c r="BD241" s="1236">
        <v>3</v>
      </c>
      <c r="BE241" s="1238">
        <v>140002097</v>
      </c>
      <c r="BF241" s="1239">
        <v>0.122</v>
      </c>
      <c r="BG241" s="1236"/>
      <c r="BH241" s="1236" t="s">
        <v>61</v>
      </c>
      <c r="BI241" s="1236" t="s">
        <v>307</v>
      </c>
      <c r="BJ241" s="1236" t="s">
        <v>312</v>
      </c>
      <c r="BK241" s="1236">
        <v>3</v>
      </c>
      <c r="BL241" s="1238">
        <v>664375540.18999982</v>
      </c>
      <c r="BM241" s="1239">
        <v>0.1311304256279881</v>
      </c>
      <c r="BN241" s="1236">
        <v>2007</v>
      </c>
      <c r="BO241" s="174"/>
      <c r="BP241" s="174"/>
      <c r="BQ241" s="174"/>
      <c r="BR241" s="174"/>
      <c r="BS241" s="174"/>
      <c r="BT241" s="174"/>
      <c r="BU241" s="174"/>
      <c r="BV241" s="174"/>
      <c r="BW241" s="174"/>
      <c r="BX241" s="174"/>
    </row>
    <row r="242" spans="1:76" s="152" customFormat="1" ht="15" customHeight="1" x14ac:dyDescent="0.25">
      <c r="A242" s="152">
        <f t="shared" si="6"/>
        <v>1990</v>
      </c>
      <c r="B242" s="152" t="str">
        <f t="shared" si="7"/>
        <v>1989-90</v>
      </c>
      <c r="C242" s="173">
        <v>32964</v>
      </c>
      <c r="D242" s="169">
        <v>0.76405000000000001</v>
      </c>
      <c r="E242" s="170">
        <v>261.96982350000002</v>
      </c>
      <c r="F242" s="170">
        <v>342.87</v>
      </c>
      <c r="G242" s="170"/>
      <c r="H242" s="170"/>
      <c r="I242" s="169">
        <v>374.59</v>
      </c>
      <c r="J242" s="169">
        <v>492.31</v>
      </c>
      <c r="K242" s="169"/>
      <c r="L242" s="170"/>
      <c r="M242" s="170">
        <v>8927.5</v>
      </c>
      <c r="N242" s="170">
        <v>11684.444735292192</v>
      </c>
      <c r="O242" s="170">
        <v>2698.2</v>
      </c>
      <c r="P242" s="170">
        <v>3531.4442772069888</v>
      </c>
      <c r="Q242" s="170">
        <v>832.44</v>
      </c>
      <c r="R242" s="170">
        <v>1089.5098488318829</v>
      </c>
      <c r="S242" s="170">
        <v>1685</v>
      </c>
      <c r="T242" s="170">
        <v>2205.3530528106799</v>
      </c>
      <c r="U242" s="170">
        <v>462.25024999999999</v>
      </c>
      <c r="V242" s="170">
        <v>605</v>
      </c>
      <c r="W242" s="170">
        <v>2209.3739724557522</v>
      </c>
      <c r="X242" s="170">
        <v>2891.6615044247787</v>
      </c>
      <c r="Y242" s="170"/>
      <c r="Z242" s="170"/>
      <c r="AA242" s="170"/>
      <c r="AB242" s="170"/>
      <c r="AC242" s="170"/>
      <c r="AD242" s="170">
        <v>6.8051671327740051</v>
      </c>
      <c r="AE242" s="170"/>
      <c r="AF242" s="170"/>
      <c r="AG242" s="170"/>
      <c r="AH242" s="170"/>
      <c r="AI242" s="170"/>
      <c r="AJ242" s="170"/>
      <c r="AK242" s="170">
        <v>17.190000000000001</v>
      </c>
      <c r="AL242" s="170">
        <v>22.498527583273347</v>
      </c>
      <c r="AM242" s="170">
        <v>19.5</v>
      </c>
      <c r="AN242" s="170">
        <v>25.521889928669591</v>
      </c>
      <c r="AO242" s="170"/>
      <c r="AP242" s="170"/>
      <c r="AS242" s="167"/>
      <c r="AT242" s="1170"/>
      <c r="AU242" s="1171"/>
      <c r="AV242" s="1171"/>
      <c r="AW242" s="1172"/>
      <c r="AX242" s="1172"/>
      <c r="AY242" s="1172"/>
      <c r="AZ242" s="1172"/>
      <c r="BA242" s="1236" t="s">
        <v>54</v>
      </c>
      <c r="BB242" s="1237">
        <v>2012</v>
      </c>
      <c r="BC242" s="1236" t="s">
        <v>308</v>
      </c>
      <c r="BD242" s="1236">
        <v>4</v>
      </c>
      <c r="BE242" s="1238">
        <v>67532476</v>
      </c>
      <c r="BF242" s="1239">
        <v>5.8999999999999997E-2</v>
      </c>
      <c r="BG242" s="1236"/>
      <c r="BH242" s="1236" t="s">
        <v>61</v>
      </c>
      <c r="BI242" s="1236" t="s">
        <v>307</v>
      </c>
      <c r="BJ242" s="1236" t="s">
        <v>308</v>
      </c>
      <c r="BK242" s="1236">
        <v>4</v>
      </c>
      <c r="BL242" s="1238">
        <v>396739027.13</v>
      </c>
      <c r="BM242" s="1239">
        <v>7.8305949487412957E-2</v>
      </c>
      <c r="BN242" s="1236">
        <v>2007</v>
      </c>
      <c r="BO242" s="174"/>
      <c r="BP242" s="174"/>
      <c r="BQ242" s="174"/>
      <c r="BR242" s="174"/>
      <c r="BS242" s="174"/>
      <c r="BT242" s="174"/>
      <c r="BU242" s="174"/>
      <c r="BV242" s="174"/>
      <c r="BW242" s="174"/>
      <c r="BX242" s="174"/>
    </row>
    <row r="243" spans="1:76" s="152" customFormat="1" ht="15" customHeight="1" x14ac:dyDescent="0.25">
      <c r="A243" s="152">
        <f t="shared" si="6"/>
        <v>1990</v>
      </c>
      <c r="B243" s="152" t="str">
        <f t="shared" si="7"/>
        <v>1989-90</v>
      </c>
      <c r="C243" s="173">
        <v>32994</v>
      </c>
      <c r="D243" s="154">
        <v>0.76180000000000003</v>
      </c>
      <c r="E243" s="155">
        <v>275.80207200000001</v>
      </c>
      <c r="F243" s="155">
        <v>362.04</v>
      </c>
      <c r="G243" s="155"/>
      <c r="H243" s="155"/>
      <c r="I243" s="156">
        <v>369.9</v>
      </c>
      <c r="J243" s="156">
        <v>490.37</v>
      </c>
      <c r="K243" s="157"/>
      <c r="L243" s="158"/>
      <c r="M243" s="159">
        <v>8834.4</v>
      </c>
      <c r="N243" s="159">
        <v>11596.744552375951</v>
      </c>
      <c r="O243" s="175">
        <v>2742.7</v>
      </c>
      <c r="P243" s="175">
        <v>3600.2887897085843</v>
      </c>
      <c r="Q243" s="175">
        <v>824.93</v>
      </c>
      <c r="R243" s="175">
        <v>1082.8695195589391</v>
      </c>
      <c r="S243" s="175">
        <v>1772.3</v>
      </c>
      <c r="T243" s="175">
        <v>2326.4636387503278</v>
      </c>
      <c r="U243" s="161">
        <v>460.88900000000001</v>
      </c>
      <c r="V243" s="161">
        <v>605</v>
      </c>
      <c r="W243" s="161">
        <v>2223.32827418952</v>
      </c>
      <c r="X243" s="161">
        <v>2918.5196563264899</v>
      </c>
      <c r="Y243" s="162"/>
      <c r="Z243" s="162"/>
      <c r="AA243" s="162"/>
      <c r="AB243" s="162"/>
      <c r="AC243" s="163"/>
      <c r="AD243" s="163">
        <v>6.8781692887790928</v>
      </c>
      <c r="AE243" s="163"/>
      <c r="AF243" s="163"/>
      <c r="AG243" s="163"/>
      <c r="AH243" s="163"/>
      <c r="AI243" s="163"/>
      <c r="AJ243" s="163"/>
      <c r="AK243" s="164">
        <v>17.190000000000001</v>
      </c>
      <c r="AL243" s="164">
        <v>22.564977684431611</v>
      </c>
      <c r="AM243" s="164">
        <v>17.600000000000001</v>
      </c>
      <c r="AN243" s="164">
        <v>23.103176686794434</v>
      </c>
      <c r="AO243" s="164"/>
      <c r="AP243" s="164"/>
      <c r="AS243" s="167"/>
      <c r="AT243" s="1170"/>
      <c r="AU243" s="1171"/>
      <c r="AV243" s="1171"/>
      <c r="AW243" s="1172"/>
      <c r="AX243" s="1172"/>
      <c r="AY243" s="1172"/>
      <c r="AZ243" s="1172"/>
      <c r="BA243" s="1236" t="s">
        <v>54</v>
      </c>
      <c r="BB243" s="1237">
        <v>2012</v>
      </c>
      <c r="BC243" s="1236" t="s">
        <v>285</v>
      </c>
      <c r="BD243" s="1236">
        <v>5</v>
      </c>
      <c r="BE243" s="1238">
        <v>48647201</v>
      </c>
      <c r="BF243" s="1239">
        <v>4.2000000000000003E-2</v>
      </c>
      <c r="BG243" s="1236"/>
      <c r="BH243" s="1236" t="s">
        <v>61</v>
      </c>
      <c r="BI243" s="1236" t="s">
        <v>307</v>
      </c>
      <c r="BJ243" s="1236" t="s">
        <v>298</v>
      </c>
      <c r="BK243" s="1236">
        <v>5</v>
      </c>
      <c r="BL243" s="1238">
        <v>325244859.28999996</v>
      </c>
      <c r="BM243" s="1239">
        <v>6.4194863073700426E-2</v>
      </c>
      <c r="BN243" s="1236">
        <v>2007</v>
      </c>
      <c r="BO243" s="174"/>
      <c r="BP243" s="174"/>
      <c r="BQ243" s="174"/>
      <c r="BR243" s="174"/>
      <c r="BS243" s="174"/>
      <c r="BT243" s="174"/>
      <c r="BU243" s="174"/>
      <c r="BV243" s="174"/>
      <c r="BW243" s="174"/>
      <c r="BX243" s="174"/>
    </row>
    <row r="244" spans="1:76" s="152" customFormat="1" ht="15" customHeight="1" x14ac:dyDescent="0.25">
      <c r="A244" s="152">
        <f t="shared" si="6"/>
        <v>1990</v>
      </c>
      <c r="B244" s="152" t="str">
        <f t="shared" si="7"/>
        <v>1989-90</v>
      </c>
      <c r="C244" s="173">
        <v>33025</v>
      </c>
      <c r="D244" s="169">
        <v>0.77834499999999995</v>
      </c>
      <c r="E244" s="170">
        <v>271.47116909999994</v>
      </c>
      <c r="F244" s="170">
        <v>348.78</v>
      </c>
      <c r="G244" s="170"/>
      <c r="H244" s="170"/>
      <c r="I244" s="169">
        <v>352.91</v>
      </c>
      <c r="J244" s="169">
        <v>454.68</v>
      </c>
      <c r="K244" s="169"/>
      <c r="L244" s="170"/>
      <c r="M244" s="170">
        <v>8392.5</v>
      </c>
      <c r="N244" s="170">
        <v>10782.493624292571</v>
      </c>
      <c r="O244" s="170">
        <v>2583.5</v>
      </c>
      <c r="P244" s="170">
        <v>3319.2221958129107</v>
      </c>
      <c r="Q244" s="170">
        <v>837.82</v>
      </c>
      <c r="R244" s="170">
        <v>1076.4121308674175</v>
      </c>
      <c r="S244" s="170">
        <v>1715.7</v>
      </c>
      <c r="T244" s="170">
        <v>2204.2924410126616</v>
      </c>
      <c r="U244" s="170">
        <v>470.89872499999996</v>
      </c>
      <c r="V244" s="170">
        <v>605</v>
      </c>
      <c r="W244" s="170">
        <v>2152.4722980190518</v>
      </c>
      <c r="X244" s="170">
        <v>2765.4475817523744</v>
      </c>
      <c r="Y244" s="170"/>
      <c r="Z244" s="170"/>
      <c r="AA244" s="170"/>
      <c r="AB244" s="170"/>
      <c r="AC244" s="170"/>
      <c r="AD244" s="170">
        <v>6.5272496831432196</v>
      </c>
      <c r="AE244" s="170"/>
      <c r="AF244" s="170"/>
      <c r="AG244" s="170"/>
      <c r="AH244" s="170"/>
      <c r="AI244" s="170"/>
      <c r="AJ244" s="170"/>
      <c r="AK244" s="170">
        <v>16.29</v>
      </c>
      <c r="AL244" s="170">
        <v>20.929022477179142</v>
      </c>
      <c r="AM244" s="170">
        <v>16</v>
      </c>
      <c r="AN244" s="170">
        <v>20.556437055547349</v>
      </c>
      <c r="AO244" s="170"/>
      <c r="AP244" s="170"/>
      <c r="AS244" s="167"/>
      <c r="AT244" s="1170"/>
      <c r="AU244" s="1171"/>
      <c r="AV244" s="1171"/>
      <c r="AW244" s="1172"/>
      <c r="AX244" s="1172"/>
      <c r="AY244" s="1172"/>
      <c r="AZ244" s="1172"/>
      <c r="BA244" s="1236" t="s">
        <v>54</v>
      </c>
      <c r="BB244" s="1237">
        <v>2012</v>
      </c>
      <c r="BC244" s="1236" t="s">
        <v>314</v>
      </c>
      <c r="BD244" s="1236">
        <v>6</v>
      </c>
      <c r="BE244" s="1238">
        <v>47358418</v>
      </c>
      <c r="BF244" s="1239">
        <v>4.1000000000000002E-2</v>
      </c>
      <c r="BG244" s="1236"/>
      <c r="BH244" s="1236" t="s">
        <v>61</v>
      </c>
      <c r="BI244" s="1236" t="s">
        <v>307</v>
      </c>
      <c r="BJ244" s="1236" t="s">
        <v>319</v>
      </c>
      <c r="BK244" s="1236">
        <v>6</v>
      </c>
      <c r="BL244" s="1238">
        <v>228784102.14000002</v>
      </c>
      <c r="BM244" s="1239">
        <v>4.5156022273119309E-2</v>
      </c>
      <c r="BN244" s="1236">
        <v>2007</v>
      </c>
      <c r="BO244" s="174"/>
      <c r="BP244" s="174"/>
      <c r="BQ244" s="174"/>
      <c r="BR244" s="174"/>
      <c r="BS244" s="174"/>
      <c r="BT244" s="174"/>
      <c r="BU244" s="174"/>
      <c r="BV244" s="174"/>
      <c r="BW244" s="174"/>
      <c r="BX244" s="174"/>
    </row>
    <row r="245" spans="1:76" s="152" customFormat="1" ht="15" customHeight="1" x14ac:dyDescent="0.25">
      <c r="A245" s="152">
        <f t="shared" si="6"/>
        <v>1990</v>
      </c>
      <c r="B245" s="152" t="str">
        <f t="shared" si="7"/>
        <v>1990-91</v>
      </c>
      <c r="C245" s="173">
        <v>33055</v>
      </c>
      <c r="D245" s="154">
        <v>0.79258181818181805</v>
      </c>
      <c r="E245" s="155">
        <v>258.47678254545451</v>
      </c>
      <c r="F245" s="155">
        <v>326.12</v>
      </c>
      <c r="G245" s="155"/>
      <c r="H245" s="155"/>
      <c r="I245" s="156">
        <v>362.28</v>
      </c>
      <c r="J245" s="156">
        <v>458.28</v>
      </c>
      <c r="K245" s="157"/>
      <c r="L245" s="158"/>
      <c r="M245" s="159">
        <v>9234.4</v>
      </c>
      <c r="N245" s="159">
        <v>11651.036887502296</v>
      </c>
      <c r="O245" s="175">
        <v>2770.4</v>
      </c>
      <c r="P245" s="175">
        <v>3495.4120022022398</v>
      </c>
      <c r="Q245" s="175">
        <v>872.99</v>
      </c>
      <c r="R245" s="175">
        <v>1101.4509543035422</v>
      </c>
      <c r="S245" s="175">
        <v>1638.9</v>
      </c>
      <c r="T245" s="175">
        <v>2067.7991374564144</v>
      </c>
      <c r="U245" s="161">
        <v>498.53396363636358</v>
      </c>
      <c r="V245" s="161">
        <v>629</v>
      </c>
      <c r="W245" s="161">
        <v>2070.7531955330323</v>
      </c>
      <c r="X245" s="161">
        <v>2612.6680527233621</v>
      </c>
      <c r="Y245" s="162"/>
      <c r="Z245" s="162"/>
      <c r="AA245" s="162"/>
      <c r="AB245" s="162"/>
      <c r="AC245" s="163"/>
      <c r="AD245" s="163">
        <v>6.3409694975319573</v>
      </c>
      <c r="AE245" s="163"/>
      <c r="AF245" s="163"/>
      <c r="AG245" s="163"/>
      <c r="AH245" s="163"/>
      <c r="AI245" s="163"/>
      <c r="AJ245" s="163"/>
      <c r="AK245" s="164">
        <v>16.29</v>
      </c>
      <c r="AL245" s="164">
        <v>20.553083134520097</v>
      </c>
      <c r="AM245" s="164">
        <v>15.4</v>
      </c>
      <c r="AN245" s="164">
        <v>19.430170673518081</v>
      </c>
      <c r="AO245" s="164"/>
      <c r="AP245" s="164"/>
      <c r="AS245" s="167"/>
      <c r="AT245" s="1170"/>
      <c r="AU245" s="1171"/>
      <c r="AV245" s="1171"/>
      <c r="AW245" s="1172"/>
      <c r="AX245" s="1172"/>
      <c r="AY245" s="1172"/>
      <c r="AZ245" s="1172"/>
      <c r="BA245" s="1236" t="s">
        <v>54</v>
      </c>
      <c r="BB245" s="1237">
        <v>2012</v>
      </c>
      <c r="BC245" s="1236" t="s">
        <v>319</v>
      </c>
      <c r="BD245" s="1236">
        <v>7</v>
      </c>
      <c r="BE245" s="1238">
        <v>42498341</v>
      </c>
      <c r="BF245" s="1239">
        <v>3.6999999999999998E-2</v>
      </c>
      <c r="BG245" s="1236"/>
      <c r="BH245" s="1236" t="s">
        <v>61</v>
      </c>
      <c r="BI245" s="1236" t="s">
        <v>307</v>
      </c>
      <c r="BJ245" s="1236" t="s">
        <v>321</v>
      </c>
      <c r="BK245" s="1236">
        <v>7</v>
      </c>
      <c r="BL245" s="1238">
        <v>130666627.83000001</v>
      </c>
      <c r="BM245" s="1239">
        <v>2.5790188660199147E-2</v>
      </c>
      <c r="BN245" s="1236">
        <v>2007</v>
      </c>
      <c r="BO245" s="174"/>
      <c r="BP245" s="174"/>
      <c r="BQ245" s="174"/>
      <c r="BR245" s="174"/>
      <c r="BS245" s="174"/>
      <c r="BT245" s="174"/>
      <c r="BU245" s="174"/>
      <c r="BV245" s="174"/>
      <c r="BW245" s="174"/>
      <c r="BX245" s="174"/>
    </row>
    <row r="246" spans="1:76" s="152" customFormat="1" ht="15" customHeight="1" x14ac:dyDescent="0.25">
      <c r="A246" s="152">
        <f t="shared" si="6"/>
        <v>1990</v>
      </c>
      <c r="B246" s="152" t="str">
        <f t="shared" si="7"/>
        <v>1990-91</v>
      </c>
      <c r="C246" s="173">
        <v>33086</v>
      </c>
      <c r="D246" s="169">
        <v>0.80877391304347834</v>
      </c>
      <c r="E246" s="170">
        <v>265.46386147826092</v>
      </c>
      <c r="F246" s="170">
        <v>328.23</v>
      </c>
      <c r="G246" s="170"/>
      <c r="H246" s="170"/>
      <c r="I246" s="169">
        <v>394.15</v>
      </c>
      <c r="J246" s="169">
        <v>490.13</v>
      </c>
      <c r="K246" s="169"/>
      <c r="L246" s="170"/>
      <c r="M246" s="170">
        <v>10915</v>
      </c>
      <c r="N246" s="170">
        <v>13495.736971690911</v>
      </c>
      <c r="O246" s="170">
        <v>2953.3</v>
      </c>
      <c r="P246" s="170">
        <v>3651.5767291337397</v>
      </c>
      <c r="Q246" s="170">
        <v>876.54</v>
      </c>
      <c r="R246" s="170">
        <v>1083.7886656130052</v>
      </c>
      <c r="S246" s="170">
        <v>1617.2</v>
      </c>
      <c r="T246" s="170">
        <v>1999.5699340923995</v>
      </c>
      <c r="U246" s="170">
        <v>508.71879130434786</v>
      </c>
      <c r="V246" s="170">
        <v>629</v>
      </c>
      <c r="W246" s="170">
        <v>2104.9811621864842</v>
      </c>
      <c r="X246" s="170">
        <v>2602.681822742376</v>
      </c>
      <c r="Y246" s="170"/>
      <c r="Z246" s="170"/>
      <c r="AA246" s="170"/>
      <c r="AB246" s="170"/>
      <c r="AC246" s="170"/>
      <c r="AD246" s="170">
        <v>6.3464837049742702</v>
      </c>
      <c r="AE246" s="170"/>
      <c r="AF246" s="170"/>
      <c r="AG246" s="170"/>
      <c r="AH246" s="170"/>
      <c r="AI246" s="170"/>
      <c r="AJ246" s="170"/>
      <c r="AK246" s="170">
        <v>19.690000000000001</v>
      </c>
      <c r="AL246" s="170">
        <v>24.345493446870734</v>
      </c>
      <c r="AM246" s="170">
        <v>18</v>
      </c>
      <c r="AN246" s="170">
        <v>22.25591071831758</v>
      </c>
      <c r="AO246" s="170"/>
      <c r="AP246" s="170"/>
      <c r="AS246" s="167"/>
      <c r="AT246" s="1170"/>
      <c r="AU246" s="1171"/>
      <c r="AV246" s="1171"/>
      <c r="AW246" s="1172"/>
      <c r="AX246" s="1172"/>
      <c r="AY246" s="1172"/>
      <c r="AZ246" s="1172"/>
      <c r="BA246" s="1236" t="s">
        <v>54</v>
      </c>
      <c r="BB246" s="1237">
        <v>2012</v>
      </c>
      <c r="BC246" s="1236" t="s">
        <v>315</v>
      </c>
      <c r="BD246" s="1236">
        <v>8</v>
      </c>
      <c r="BE246" s="1238">
        <v>42436740</v>
      </c>
      <c r="BF246" s="1239">
        <v>3.6999999999999998E-2</v>
      </c>
      <c r="BG246" s="1236"/>
      <c r="BH246" s="1236" t="s">
        <v>61</v>
      </c>
      <c r="BI246" s="1236" t="s">
        <v>307</v>
      </c>
      <c r="BJ246" s="1236" t="s">
        <v>320</v>
      </c>
      <c r="BK246" s="1236">
        <v>8</v>
      </c>
      <c r="BL246" s="1238">
        <v>126192126.90000001</v>
      </c>
      <c r="BM246" s="1239">
        <v>2.4907038730784332E-2</v>
      </c>
      <c r="BN246" s="1236">
        <v>2007</v>
      </c>
      <c r="BO246" s="174"/>
      <c r="BP246" s="174"/>
      <c r="BQ246" s="174"/>
      <c r="BR246" s="174"/>
      <c r="BS246" s="174"/>
      <c r="BT246" s="174"/>
      <c r="BU246" s="174"/>
      <c r="BV246" s="174"/>
      <c r="BW246" s="174"/>
      <c r="BX246" s="174"/>
    </row>
    <row r="247" spans="1:76" s="152" customFormat="1" ht="15" customHeight="1" x14ac:dyDescent="0.25">
      <c r="A247" s="152">
        <f t="shared" si="6"/>
        <v>1990</v>
      </c>
      <c r="B247" s="152" t="str">
        <f t="shared" si="7"/>
        <v>1990-91</v>
      </c>
      <c r="C247" s="173">
        <v>33117</v>
      </c>
      <c r="D247" s="154">
        <v>0.82486500000000018</v>
      </c>
      <c r="E247" s="155">
        <v>271.46307150000007</v>
      </c>
      <c r="F247" s="155">
        <v>329.1</v>
      </c>
      <c r="G247" s="155"/>
      <c r="H247" s="155"/>
      <c r="I247" s="156">
        <v>389.95</v>
      </c>
      <c r="J247" s="156">
        <v>474.36</v>
      </c>
      <c r="K247" s="157"/>
      <c r="L247" s="158"/>
      <c r="M247" s="159">
        <v>10812</v>
      </c>
      <c r="N247" s="159">
        <v>13107.599425360511</v>
      </c>
      <c r="O247" s="175">
        <v>3034.7</v>
      </c>
      <c r="P247" s="175">
        <v>3679.0262649039528</v>
      </c>
      <c r="Q247" s="175">
        <v>838.36</v>
      </c>
      <c r="R247" s="175">
        <v>1016.3602528898666</v>
      </c>
      <c r="S247" s="175">
        <v>1539</v>
      </c>
      <c r="T247" s="175">
        <v>1865.7598516120815</v>
      </c>
      <c r="U247" s="161">
        <v>518.84008500000016</v>
      </c>
      <c r="V247" s="161">
        <v>629</v>
      </c>
      <c r="W247" s="161">
        <v>2011.3787575602462</v>
      </c>
      <c r="X247" s="161">
        <v>2438.4338741009083</v>
      </c>
      <c r="Y247" s="162"/>
      <c r="Z247" s="162"/>
      <c r="AA247" s="162"/>
      <c r="AB247" s="162"/>
      <c r="AC247" s="163"/>
      <c r="AD247" s="163">
        <v>6.0375075620084697</v>
      </c>
      <c r="AE247" s="163"/>
      <c r="AF247" s="163"/>
      <c r="AG247" s="163"/>
      <c r="AH247" s="163"/>
      <c r="AI247" s="163"/>
      <c r="AJ247" s="163"/>
      <c r="AK247" s="164">
        <v>39.06</v>
      </c>
      <c r="AL247" s="164">
        <v>47.353203251441137</v>
      </c>
      <c r="AM247" s="164">
        <v>27</v>
      </c>
      <c r="AN247" s="164">
        <v>32.732628975650556</v>
      </c>
      <c r="AO247" s="164"/>
      <c r="AP247" s="164"/>
      <c r="AS247" s="167"/>
      <c r="AT247" s="1170"/>
      <c r="AU247" s="1171"/>
      <c r="AV247" s="1171"/>
      <c r="AW247" s="1172"/>
      <c r="AX247" s="1172"/>
      <c r="AY247" s="1172"/>
      <c r="AZ247" s="1172"/>
      <c r="BA247" s="1236" t="s">
        <v>54</v>
      </c>
      <c r="BB247" s="1237">
        <v>2012</v>
      </c>
      <c r="BC247" s="1236" t="s">
        <v>287</v>
      </c>
      <c r="BD247" s="1236">
        <v>9</v>
      </c>
      <c r="BE247" s="1238">
        <v>35454652</v>
      </c>
      <c r="BF247" s="1239">
        <v>3.1E-2</v>
      </c>
      <c r="BG247" s="1236"/>
      <c r="BH247" s="1236" t="s">
        <v>61</v>
      </c>
      <c r="BI247" s="1236" t="s">
        <v>307</v>
      </c>
      <c r="BJ247" s="1236" t="s">
        <v>314</v>
      </c>
      <c r="BK247" s="1236">
        <v>9</v>
      </c>
      <c r="BL247" s="1238">
        <v>125557708.87</v>
      </c>
      <c r="BM247" s="1239">
        <v>2.4781821137318777E-2</v>
      </c>
      <c r="BN247" s="1236">
        <v>2007</v>
      </c>
      <c r="BO247" s="174"/>
      <c r="BP247" s="174"/>
      <c r="BQ247" s="174"/>
      <c r="BR247" s="174"/>
      <c r="BS247" s="174"/>
      <c r="BT247" s="174"/>
      <c r="BU247" s="174"/>
      <c r="BV247" s="174"/>
      <c r="BW247" s="174"/>
      <c r="BX247" s="174"/>
    </row>
    <row r="248" spans="1:76" s="152" customFormat="1" ht="15" customHeight="1" x14ac:dyDescent="0.25">
      <c r="A248" s="152">
        <f t="shared" si="6"/>
        <v>1990</v>
      </c>
      <c r="B248" s="152" t="str">
        <f t="shared" si="7"/>
        <v>1990-91</v>
      </c>
      <c r="C248" s="173">
        <v>33147</v>
      </c>
      <c r="D248" s="169">
        <v>0.80295652173913057</v>
      </c>
      <c r="E248" s="170">
        <v>261.53899826086962</v>
      </c>
      <c r="F248" s="170">
        <v>325.72000000000003</v>
      </c>
      <c r="G248" s="170"/>
      <c r="H248" s="170"/>
      <c r="I248" s="169">
        <v>379.98</v>
      </c>
      <c r="J248" s="169">
        <v>475.67</v>
      </c>
      <c r="K248" s="169"/>
      <c r="L248" s="170"/>
      <c r="M248" s="170">
        <v>9140</v>
      </c>
      <c r="N248" s="170">
        <v>11382.93264024258</v>
      </c>
      <c r="O248" s="170">
        <v>2747.4</v>
      </c>
      <c r="P248" s="170">
        <v>3421.6049382716046</v>
      </c>
      <c r="Q248" s="170">
        <v>762.02</v>
      </c>
      <c r="R248" s="170">
        <v>949.01776045050883</v>
      </c>
      <c r="S248" s="170">
        <v>1353.4</v>
      </c>
      <c r="T248" s="170">
        <v>1685.5209010179769</v>
      </c>
      <c r="U248" s="170">
        <v>397.46347826086964</v>
      </c>
      <c r="V248" s="170">
        <v>495</v>
      </c>
      <c r="W248" s="170">
        <v>2098.9458909349655</v>
      </c>
      <c r="X248" s="170">
        <v>2614.0218481429606</v>
      </c>
      <c r="Y248" s="170"/>
      <c r="Z248" s="170"/>
      <c r="AA248" s="170"/>
      <c r="AB248" s="170"/>
      <c r="AC248" s="170"/>
      <c r="AD248" s="170">
        <v>5.6582133299350081</v>
      </c>
      <c r="AE248" s="170"/>
      <c r="AF248" s="170"/>
      <c r="AG248" s="170"/>
      <c r="AH248" s="170"/>
      <c r="AI248" s="170"/>
      <c r="AJ248" s="170"/>
      <c r="AK248" s="170">
        <v>39.06</v>
      </c>
      <c r="AL248" s="170">
        <v>48.645224171539958</v>
      </c>
      <c r="AM248" s="170">
        <v>39</v>
      </c>
      <c r="AN248" s="170">
        <v>48.570500324886282</v>
      </c>
      <c r="AO248" s="170"/>
      <c r="AP248" s="170"/>
      <c r="AS248" s="167"/>
      <c r="AT248" s="1170"/>
      <c r="AU248" s="1171"/>
      <c r="AV248" s="1171"/>
      <c r="AW248" s="1172"/>
      <c r="AX248" s="1172"/>
      <c r="AY248" s="1172"/>
      <c r="AZ248" s="1172"/>
      <c r="BA248" s="1236" t="s">
        <v>54</v>
      </c>
      <c r="BB248" s="1237">
        <v>2012</v>
      </c>
      <c r="BC248" s="1236" t="s">
        <v>290</v>
      </c>
      <c r="BD248" s="1236">
        <v>10</v>
      </c>
      <c r="BE248" s="1238">
        <v>34189181</v>
      </c>
      <c r="BF248" s="1239">
        <v>0.03</v>
      </c>
      <c r="BG248" s="1236"/>
      <c r="BH248" s="1236" t="s">
        <v>61</v>
      </c>
      <c r="BI248" s="1236" t="s">
        <v>307</v>
      </c>
      <c r="BJ248" s="1236" t="s">
        <v>305</v>
      </c>
      <c r="BK248" s="1236">
        <v>10</v>
      </c>
      <c r="BL248" s="1238">
        <v>44814173.819999993</v>
      </c>
      <c r="BM248" s="1239">
        <v>8.845150568762155E-3</v>
      </c>
      <c r="BN248" s="1236">
        <v>2007</v>
      </c>
      <c r="BO248" s="174"/>
      <c r="BP248" s="174"/>
      <c r="BQ248" s="174"/>
      <c r="BR248" s="174"/>
      <c r="BS248" s="174"/>
      <c r="BT248" s="174"/>
      <c r="BU248" s="174"/>
      <c r="BV248" s="174"/>
      <c r="BW248" s="174"/>
      <c r="BX248" s="174"/>
    </row>
    <row r="249" spans="1:76" s="152" customFormat="1" ht="15" customHeight="1" x14ac:dyDescent="0.25">
      <c r="A249" s="152">
        <f t="shared" si="6"/>
        <v>1990</v>
      </c>
      <c r="B249" s="152" t="str">
        <f t="shared" si="7"/>
        <v>1990-91</v>
      </c>
      <c r="C249" s="173">
        <v>33178</v>
      </c>
      <c r="D249" s="154">
        <v>0.77446363636363635</v>
      </c>
      <c r="E249" s="155">
        <v>263.98367509090912</v>
      </c>
      <c r="F249" s="155">
        <v>340.86</v>
      </c>
      <c r="G249" s="155"/>
      <c r="H249" s="155"/>
      <c r="I249" s="156">
        <v>382.14</v>
      </c>
      <c r="J249" s="156">
        <v>494.64</v>
      </c>
      <c r="K249" s="157"/>
      <c r="L249" s="158"/>
      <c r="M249" s="159">
        <v>8571</v>
      </c>
      <c r="N249" s="159">
        <v>11067.014121209988</v>
      </c>
      <c r="O249" s="175">
        <v>2584.5</v>
      </c>
      <c r="P249" s="175">
        <v>3337.1482903123569</v>
      </c>
      <c r="Q249" s="175">
        <v>700.74</v>
      </c>
      <c r="R249" s="175">
        <v>904.80684579356978</v>
      </c>
      <c r="S249" s="175">
        <v>1278.7</v>
      </c>
      <c r="T249" s="175">
        <v>1651.0781655339181</v>
      </c>
      <c r="U249" s="161">
        <v>383.35949999999997</v>
      </c>
      <c r="V249" s="161">
        <v>495</v>
      </c>
      <c r="W249" s="161">
        <v>1986.4253339080612</v>
      </c>
      <c r="X249" s="161">
        <v>2564.9045876898585</v>
      </c>
      <c r="Y249" s="162"/>
      <c r="Z249" s="162"/>
      <c r="AA249" s="162"/>
      <c r="AB249" s="162"/>
      <c r="AC249" s="163"/>
      <c r="AD249" s="163">
        <v>5.5648805681084568</v>
      </c>
      <c r="AE249" s="163"/>
      <c r="AF249" s="163"/>
      <c r="AG249" s="163"/>
      <c r="AH249" s="163"/>
      <c r="AI249" s="163"/>
      <c r="AJ249" s="163"/>
      <c r="AK249" s="164">
        <v>29.81</v>
      </c>
      <c r="AL249" s="164">
        <v>38.491155168973251</v>
      </c>
      <c r="AM249" s="164">
        <v>38</v>
      </c>
      <c r="AN249" s="164">
        <v>49.066215914826685</v>
      </c>
      <c r="AO249" s="164"/>
      <c r="AP249" s="164"/>
      <c r="AS249" s="167"/>
      <c r="AT249" s="1170"/>
      <c r="AU249" s="1171"/>
      <c r="AV249" s="1171"/>
      <c r="AW249" s="1172"/>
      <c r="AX249" s="1172"/>
      <c r="AY249" s="1172"/>
      <c r="AZ249" s="1172"/>
      <c r="BA249" s="1236" t="s">
        <v>54</v>
      </c>
      <c r="BB249" s="1237">
        <v>2012</v>
      </c>
      <c r="BC249" s="1236" t="s">
        <v>291</v>
      </c>
      <c r="BD249" s="1236"/>
      <c r="BE249" s="1238">
        <v>140423081</v>
      </c>
      <c r="BF249" s="1239">
        <v>0.122</v>
      </c>
      <c r="BG249" s="1236"/>
      <c r="BH249" s="1236" t="s">
        <v>61</v>
      </c>
      <c r="BI249" s="1236" t="s">
        <v>307</v>
      </c>
      <c r="BJ249" s="1236" t="s">
        <v>291</v>
      </c>
      <c r="BK249" s="1236"/>
      <c r="BL249" s="1238">
        <v>466757178.51999938</v>
      </c>
      <c r="BM249" s="1239">
        <v>9.2125708701952636E-2</v>
      </c>
      <c r="BN249" s="1236">
        <v>2007</v>
      </c>
      <c r="BO249" s="174"/>
      <c r="BP249" s="174"/>
      <c r="BQ249" s="174"/>
      <c r="BR249" s="174"/>
      <c r="BS249" s="174"/>
      <c r="BT249" s="174"/>
      <c r="BU249" s="174"/>
      <c r="BV249" s="174"/>
      <c r="BW249" s="174"/>
      <c r="BX249" s="174"/>
    </row>
    <row r="250" spans="1:76" s="152" customFormat="1" ht="15" customHeight="1" x14ac:dyDescent="0.25">
      <c r="A250" s="152">
        <f t="shared" si="6"/>
        <v>1990</v>
      </c>
      <c r="B250" s="152" t="str">
        <f t="shared" si="7"/>
        <v>1990-91</v>
      </c>
      <c r="C250" s="173">
        <v>33208</v>
      </c>
      <c r="D250" s="169">
        <v>0.76991578947368422</v>
      </c>
      <c r="E250" s="170">
        <v>261.30941894736839</v>
      </c>
      <c r="F250" s="170">
        <v>339.4</v>
      </c>
      <c r="G250" s="170"/>
      <c r="H250" s="170"/>
      <c r="I250" s="169">
        <v>377.78</v>
      </c>
      <c r="J250" s="169">
        <v>492.36</v>
      </c>
      <c r="K250" s="169"/>
      <c r="L250" s="170"/>
      <c r="M250" s="170">
        <v>8195.6</v>
      </c>
      <c r="N250" s="170">
        <v>10644.800525006152</v>
      </c>
      <c r="O250" s="170">
        <v>2490.4</v>
      </c>
      <c r="P250" s="170">
        <v>3234.6394684312709</v>
      </c>
      <c r="Q250" s="170">
        <v>621.87</v>
      </c>
      <c r="R250" s="170">
        <v>807.71171146536869</v>
      </c>
      <c r="S250" s="170">
        <v>1264.2</v>
      </c>
      <c r="T250" s="170">
        <v>1641.9977577862242</v>
      </c>
      <c r="U250" s="170">
        <v>381.10831578947369</v>
      </c>
      <c r="V250" s="170">
        <v>495</v>
      </c>
      <c r="W250" s="170">
        <v>1911.975843243278</v>
      </c>
      <c r="X250" s="170">
        <v>2483.3571013659921</v>
      </c>
      <c r="Y250" s="170"/>
      <c r="Z250" s="170"/>
      <c r="AA250" s="170"/>
      <c r="AB250" s="170"/>
      <c r="AC250" s="170"/>
      <c r="AD250" s="170">
        <v>5.4700633648002075</v>
      </c>
      <c r="AE250" s="170"/>
      <c r="AF250" s="170"/>
      <c r="AG250" s="170"/>
      <c r="AH250" s="170"/>
      <c r="AI250" s="170"/>
      <c r="AJ250" s="170"/>
      <c r="AK250" s="170">
        <v>29.81</v>
      </c>
      <c r="AL250" s="170">
        <v>38.718520138907877</v>
      </c>
      <c r="AM250" s="170">
        <v>32</v>
      </c>
      <c r="AN250" s="170">
        <v>41.562987066254685</v>
      </c>
      <c r="AO250" s="170"/>
      <c r="AP250" s="170"/>
      <c r="AS250" s="167"/>
      <c r="AT250" s="1170"/>
      <c r="AU250" s="1171"/>
      <c r="AV250" s="1171"/>
      <c r="AW250" s="1172"/>
      <c r="AX250" s="1172"/>
      <c r="AY250" s="1172"/>
      <c r="AZ250" s="1172"/>
      <c r="BA250" s="1236" t="s">
        <v>54</v>
      </c>
      <c r="BB250" s="1237">
        <v>2012</v>
      </c>
      <c r="BC250" s="1236" t="s">
        <v>292</v>
      </c>
      <c r="BD250" s="1236"/>
      <c r="BE250" s="1238">
        <v>1150353341</v>
      </c>
      <c r="BF250" s="1239"/>
      <c r="BG250" s="1236"/>
      <c r="BH250" s="1236" t="s">
        <v>61</v>
      </c>
      <c r="BI250" s="1236" t="s">
        <v>307</v>
      </c>
      <c r="BJ250" s="1236" t="s">
        <v>292</v>
      </c>
      <c r="BK250" s="1236"/>
      <c r="BL250" s="1238">
        <v>5192082407.5299988</v>
      </c>
      <c r="BM250" s="1239"/>
      <c r="BN250" s="1236">
        <v>2007</v>
      </c>
      <c r="BO250" s="174"/>
      <c r="BP250" s="174"/>
      <c r="BQ250" s="174"/>
      <c r="BR250" s="174"/>
      <c r="BS250" s="174"/>
      <c r="BT250" s="174"/>
      <c r="BU250" s="174"/>
      <c r="BV250" s="174"/>
      <c r="BW250" s="174"/>
      <c r="BX250" s="174"/>
    </row>
    <row r="251" spans="1:76" s="152" customFormat="1" ht="15" customHeight="1" x14ac:dyDescent="0.25">
      <c r="A251" s="152">
        <f t="shared" si="6"/>
        <v>1991</v>
      </c>
      <c r="B251" s="152" t="str">
        <f t="shared" si="7"/>
        <v>1990-91</v>
      </c>
      <c r="C251" s="173">
        <v>33239</v>
      </c>
      <c r="D251" s="154">
        <v>0.77916666666666667</v>
      </c>
      <c r="E251" s="155">
        <v>232.82279166666666</v>
      </c>
      <c r="F251" s="155">
        <v>298.81</v>
      </c>
      <c r="G251" s="155"/>
      <c r="H251" s="155"/>
      <c r="I251" s="156">
        <v>386.57</v>
      </c>
      <c r="J251" s="156">
        <v>498.04</v>
      </c>
      <c r="K251" s="157"/>
      <c r="L251" s="158"/>
      <c r="M251" s="159">
        <v>8511.8799999999992</v>
      </c>
      <c r="N251" s="159">
        <v>10924.337967914438</v>
      </c>
      <c r="O251" s="175">
        <v>2453.4</v>
      </c>
      <c r="P251" s="175">
        <v>3148.7486631016045</v>
      </c>
      <c r="Q251" s="175">
        <v>601.27</v>
      </c>
      <c r="R251" s="175">
        <v>771.68342245989299</v>
      </c>
      <c r="S251" s="175">
        <v>1209.4000000000001</v>
      </c>
      <c r="T251" s="175">
        <v>1552.1711229946525</v>
      </c>
      <c r="U251" s="161">
        <v>375.55833333333334</v>
      </c>
      <c r="V251" s="161">
        <v>482</v>
      </c>
      <c r="W251" s="161">
        <v>1929.9286547962224</v>
      </c>
      <c r="X251" s="161">
        <v>2476.9137815566492</v>
      </c>
      <c r="Y251" s="162"/>
      <c r="Z251" s="162"/>
      <c r="AA251" s="162"/>
      <c r="AB251" s="162"/>
      <c r="AC251" s="163"/>
      <c r="AD251" s="163">
        <v>5.4401834628615102</v>
      </c>
      <c r="AE251" s="163"/>
      <c r="AF251" s="163"/>
      <c r="AG251" s="163"/>
      <c r="AH251" s="163"/>
      <c r="AI251" s="163"/>
      <c r="AJ251" s="163"/>
      <c r="AK251" s="164">
        <v>27.76</v>
      </c>
      <c r="AL251" s="164">
        <v>35.627807486631021</v>
      </c>
      <c r="AM251" s="164">
        <v>27.5</v>
      </c>
      <c r="AN251" s="164">
        <v>35.294117647058826</v>
      </c>
      <c r="AO251" s="164"/>
      <c r="AP251" s="164"/>
      <c r="AS251" s="167"/>
      <c r="AT251" s="1170"/>
      <c r="AU251" s="1171"/>
      <c r="AV251" s="1171"/>
      <c r="AW251" s="1172"/>
      <c r="AX251" s="1172"/>
      <c r="AY251" s="1172"/>
      <c r="AZ251" s="1172"/>
      <c r="BA251" s="1236" t="s">
        <v>54</v>
      </c>
      <c r="BB251" s="1237">
        <v>2011</v>
      </c>
      <c r="BC251" s="1236" t="s">
        <v>281</v>
      </c>
      <c r="BD251" s="1236">
        <v>1</v>
      </c>
      <c r="BE251" s="1238">
        <v>257661911.24999997</v>
      </c>
      <c r="BF251" s="1239">
        <v>0.27677527780839778</v>
      </c>
      <c r="BG251" s="1236"/>
      <c r="BH251" s="1236" t="s">
        <v>61</v>
      </c>
      <c r="BI251" s="1236" t="s">
        <v>313</v>
      </c>
      <c r="BJ251" s="1236" t="s">
        <v>281</v>
      </c>
      <c r="BK251" s="1236">
        <v>1</v>
      </c>
      <c r="BL251" s="1238">
        <v>3195107458.9328957</v>
      </c>
      <c r="BM251" s="1239">
        <v>0.40018278338624153</v>
      </c>
      <c r="BN251" s="1236">
        <v>2006</v>
      </c>
      <c r="BO251" s="174"/>
      <c r="BP251" s="174"/>
      <c r="BQ251" s="174"/>
      <c r="BR251" s="174"/>
      <c r="BS251" s="174"/>
      <c r="BT251" s="174"/>
      <c r="BU251" s="174"/>
      <c r="BV251" s="174"/>
      <c r="BW251" s="174"/>
      <c r="BX251" s="174"/>
    </row>
    <row r="252" spans="1:76" s="152" customFormat="1" ht="15" customHeight="1" x14ac:dyDescent="0.25">
      <c r="A252" s="152">
        <f t="shared" si="6"/>
        <v>1991</v>
      </c>
      <c r="B252" s="152" t="str">
        <f t="shared" si="7"/>
        <v>1990-91</v>
      </c>
      <c r="C252" s="173">
        <v>33270</v>
      </c>
      <c r="D252" s="169">
        <v>0.78427000000000002</v>
      </c>
      <c r="E252" s="170">
        <v>226.84225480000001</v>
      </c>
      <c r="F252" s="170">
        <v>289.24</v>
      </c>
      <c r="G252" s="170"/>
      <c r="H252" s="170"/>
      <c r="I252" s="169">
        <v>364.04</v>
      </c>
      <c r="J252" s="169">
        <v>466.07</v>
      </c>
      <c r="K252" s="169"/>
      <c r="L252" s="170"/>
      <c r="M252" s="170">
        <v>8623.1299999999992</v>
      </c>
      <c r="N252" s="170">
        <v>10995.103727032782</v>
      </c>
      <c r="O252" s="170">
        <v>2450</v>
      </c>
      <c r="P252" s="170">
        <v>3123.9241587718516</v>
      </c>
      <c r="Q252" s="170">
        <v>592.04999999999995</v>
      </c>
      <c r="R252" s="170">
        <v>754.90583600035689</v>
      </c>
      <c r="S252" s="170">
        <v>1191.3</v>
      </c>
      <c r="T252" s="170">
        <v>1518.9921838142475</v>
      </c>
      <c r="U252" s="170">
        <v>378.01814000000002</v>
      </c>
      <c r="V252" s="170">
        <v>482</v>
      </c>
      <c r="W252" s="170">
        <v>1854.0046993264448</v>
      </c>
      <c r="X252" s="170">
        <v>2363.9877839601727</v>
      </c>
      <c r="Y252" s="170"/>
      <c r="Z252" s="170"/>
      <c r="AA252" s="170"/>
      <c r="AB252" s="170"/>
      <c r="AC252" s="170"/>
      <c r="AD252" s="170">
        <v>5.0057317539166988</v>
      </c>
      <c r="AE252" s="170"/>
      <c r="AF252" s="170"/>
      <c r="AG252" s="170"/>
      <c r="AH252" s="170"/>
      <c r="AI252" s="170"/>
      <c r="AJ252" s="170"/>
      <c r="AK252" s="170">
        <v>18.809999999999999</v>
      </c>
      <c r="AL252" s="170">
        <v>23.984087112856539</v>
      </c>
      <c r="AM252" s="170">
        <v>23.5</v>
      </c>
      <c r="AN252" s="170">
        <v>29.964170502505514</v>
      </c>
      <c r="AO252" s="170"/>
      <c r="AP252" s="170"/>
      <c r="AS252" s="167"/>
      <c r="AT252" s="1170"/>
      <c r="AU252" s="1171"/>
      <c r="AV252" s="1171"/>
      <c r="AW252" s="1172"/>
      <c r="AX252" s="1172"/>
      <c r="AY252" s="1172"/>
      <c r="AZ252" s="1172"/>
      <c r="BA252" s="1236" t="s">
        <v>54</v>
      </c>
      <c r="BB252" s="1237">
        <v>2011</v>
      </c>
      <c r="BC252" s="1236" t="s">
        <v>286</v>
      </c>
      <c r="BD252" s="1236">
        <v>2</v>
      </c>
      <c r="BE252" s="1238">
        <v>169969730.33000001</v>
      </c>
      <c r="BF252" s="1239">
        <v>0.18257808887189264</v>
      </c>
      <c r="BG252" s="1236"/>
      <c r="BH252" s="1236" t="s">
        <v>61</v>
      </c>
      <c r="BI252" s="1236" t="s">
        <v>313</v>
      </c>
      <c r="BJ252" s="1236" t="s">
        <v>309</v>
      </c>
      <c r="BK252" s="1236">
        <v>2</v>
      </c>
      <c r="BL252" s="1238">
        <v>1790361050.6323795</v>
      </c>
      <c r="BM252" s="1239">
        <v>0.22424024159352346</v>
      </c>
      <c r="BN252" s="1236">
        <v>2006</v>
      </c>
      <c r="BO252" s="174"/>
      <c r="BP252" s="174"/>
      <c r="BQ252" s="174"/>
      <c r="BR252" s="174"/>
      <c r="BS252" s="174"/>
      <c r="BT252" s="174"/>
      <c r="BU252" s="174"/>
      <c r="BV252" s="174"/>
      <c r="BW252" s="174"/>
      <c r="BX252" s="174"/>
    </row>
    <row r="253" spans="1:76" s="152" customFormat="1" ht="15" customHeight="1" x14ac:dyDescent="0.25">
      <c r="A253" s="152">
        <f t="shared" si="6"/>
        <v>1991</v>
      </c>
      <c r="B253" s="152" t="str">
        <f t="shared" si="7"/>
        <v>1990-91</v>
      </c>
      <c r="C253" s="173">
        <v>33298</v>
      </c>
      <c r="D253" s="154">
        <v>0.77187000000000006</v>
      </c>
      <c r="E253" s="155">
        <v>217.02668790000004</v>
      </c>
      <c r="F253" s="155">
        <v>281.17</v>
      </c>
      <c r="G253" s="155"/>
      <c r="H253" s="155"/>
      <c r="I253" s="156">
        <v>363.66</v>
      </c>
      <c r="J253" s="156">
        <v>473.36</v>
      </c>
      <c r="K253" s="157"/>
      <c r="L253" s="158"/>
      <c r="M253" s="159">
        <v>8711</v>
      </c>
      <c r="N253" s="159">
        <v>11285.579177840827</v>
      </c>
      <c r="O253" s="175">
        <v>2421.6999999999998</v>
      </c>
      <c r="P253" s="175">
        <v>3137.4454247476901</v>
      </c>
      <c r="Q253" s="175">
        <v>606.29</v>
      </c>
      <c r="R253" s="175">
        <v>785.48201121950581</v>
      </c>
      <c r="S253" s="175">
        <v>1200.5999999999999</v>
      </c>
      <c r="T253" s="175">
        <v>1555.4432741264718</v>
      </c>
      <c r="U253" s="161">
        <v>372.04134000000005</v>
      </c>
      <c r="V253" s="161">
        <v>482</v>
      </c>
      <c r="W253" s="161">
        <v>1615.5389959430156</v>
      </c>
      <c r="X253" s="161">
        <v>2093.0195446681637</v>
      </c>
      <c r="Y253" s="162"/>
      <c r="Z253" s="162"/>
      <c r="AA253" s="162"/>
      <c r="AB253" s="162"/>
      <c r="AC253" s="163"/>
      <c r="AD253" s="163">
        <v>5.3534571723426216</v>
      </c>
      <c r="AE253" s="163"/>
      <c r="AF253" s="163"/>
      <c r="AG253" s="163"/>
      <c r="AH253" s="163"/>
      <c r="AI253" s="163"/>
      <c r="AJ253" s="163"/>
      <c r="AK253" s="164">
        <v>18.16</v>
      </c>
      <c r="AL253" s="164">
        <v>23.527277909492529</v>
      </c>
      <c r="AM253" s="164">
        <v>19.5</v>
      </c>
      <c r="AN253" s="164">
        <v>25.263321543783277</v>
      </c>
      <c r="AO253" s="164"/>
      <c r="AP253" s="164"/>
      <c r="AS253" s="167"/>
      <c r="AT253" s="1170"/>
      <c r="AU253" s="1171"/>
      <c r="AV253" s="1171"/>
      <c r="AW253" s="1172"/>
      <c r="AX253" s="1172"/>
      <c r="AY253" s="1172"/>
      <c r="AZ253" s="1172"/>
      <c r="BA253" s="1236" t="s">
        <v>54</v>
      </c>
      <c r="BB253" s="1237">
        <v>2011</v>
      </c>
      <c r="BC253" s="1236" t="s">
        <v>312</v>
      </c>
      <c r="BD253" s="1236">
        <v>3</v>
      </c>
      <c r="BE253" s="1238">
        <v>101503781.13999997</v>
      </c>
      <c r="BF253" s="1239">
        <v>0.10903333398147454</v>
      </c>
      <c r="BG253" s="1236"/>
      <c r="BH253" s="1236" t="s">
        <v>61</v>
      </c>
      <c r="BI253" s="1236" t="s">
        <v>313</v>
      </c>
      <c r="BJ253" s="1236" t="s">
        <v>308</v>
      </c>
      <c r="BK253" s="1236">
        <v>3</v>
      </c>
      <c r="BL253" s="1238">
        <v>1246926532.082185</v>
      </c>
      <c r="BM253" s="1239">
        <v>0.15617582090758797</v>
      </c>
      <c r="BN253" s="1236">
        <v>2006</v>
      </c>
      <c r="BO253" s="174"/>
      <c r="BP253" s="174"/>
      <c r="BQ253" s="174"/>
      <c r="BR253" s="174"/>
      <c r="BS253" s="174"/>
      <c r="BT253" s="174"/>
      <c r="BU253" s="174"/>
      <c r="BV253" s="174"/>
      <c r="BW253" s="174"/>
      <c r="BX253" s="174"/>
    </row>
    <row r="254" spans="1:76" s="152" customFormat="1" ht="15" customHeight="1" x14ac:dyDescent="0.25">
      <c r="A254" s="152">
        <f t="shared" si="6"/>
        <v>1991</v>
      </c>
      <c r="B254" s="152" t="str">
        <f t="shared" si="7"/>
        <v>1990-91</v>
      </c>
      <c r="C254" s="173">
        <v>33329</v>
      </c>
      <c r="D254" s="169">
        <v>0.779775</v>
      </c>
      <c r="E254" s="170">
        <v>219.58464000000001</v>
      </c>
      <c r="F254" s="170">
        <v>281.60000000000002</v>
      </c>
      <c r="G254" s="170"/>
      <c r="H254" s="170"/>
      <c r="I254" s="169">
        <v>358.77</v>
      </c>
      <c r="J254" s="169">
        <v>462.02</v>
      </c>
      <c r="K254" s="169"/>
      <c r="L254" s="170"/>
      <c r="M254" s="170">
        <v>9004.3799999999992</v>
      </c>
      <c r="N254" s="170">
        <v>11547.407906126766</v>
      </c>
      <c r="O254" s="170">
        <v>2469.6999999999998</v>
      </c>
      <c r="P254" s="170">
        <v>3167.1956654163059</v>
      </c>
      <c r="Q254" s="170">
        <v>600.09</v>
      </c>
      <c r="R254" s="170">
        <v>769.56814465711273</v>
      </c>
      <c r="S254" s="170">
        <v>1246.3</v>
      </c>
      <c r="T254" s="170">
        <v>1598.2815555769291</v>
      </c>
      <c r="U254" s="170">
        <v>339.20212500000002</v>
      </c>
      <c r="V254" s="170">
        <v>435</v>
      </c>
      <c r="W254" s="170">
        <v>1709.5421847765942</v>
      </c>
      <c r="X254" s="170">
        <v>2192.353159278759</v>
      </c>
      <c r="Y254" s="170"/>
      <c r="Z254" s="170"/>
      <c r="AA254" s="170"/>
      <c r="AB254" s="170"/>
      <c r="AC254" s="170"/>
      <c r="AD254" s="170">
        <v>5.385697838045286</v>
      </c>
      <c r="AE254" s="170"/>
      <c r="AF254" s="170"/>
      <c r="AG254" s="170"/>
      <c r="AH254" s="170"/>
      <c r="AI254" s="170"/>
      <c r="AJ254" s="170"/>
      <c r="AK254" s="170">
        <v>19.489999999999998</v>
      </c>
      <c r="AL254" s="170">
        <v>24.994389407200792</v>
      </c>
      <c r="AM254" s="170">
        <v>19</v>
      </c>
      <c r="AN254" s="170">
        <v>24.366003013689845</v>
      </c>
      <c r="AO254" s="170"/>
      <c r="AP254" s="170"/>
      <c r="AS254" s="167"/>
      <c r="AT254" s="1170"/>
      <c r="AU254" s="1171"/>
      <c r="AV254" s="1171"/>
      <c r="AW254" s="1172"/>
      <c r="AX254" s="1172"/>
      <c r="AY254" s="1172"/>
      <c r="AZ254" s="1172"/>
      <c r="BA254" s="1236" t="s">
        <v>54</v>
      </c>
      <c r="BB254" s="1237">
        <v>2011</v>
      </c>
      <c r="BC254" s="1236" t="s">
        <v>322</v>
      </c>
      <c r="BD254" s="1236">
        <v>4</v>
      </c>
      <c r="BE254" s="1238">
        <v>91865617.050000012</v>
      </c>
      <c r="BF254" s="1239">
        <v>9.8680210655519005E-2</v>
      </c>
      <c r="BG254" s="1236"/>
      <c r="BH254" s="1236" t="s">
        <v>61</v>
      </c>
      <c r="BI254" s="1236" t="s">
        <v>313</v>
      </c>
      <c r="BJ254" s="1236" t="s">
        <v>312</v>
      </c>
      <c r="BK254" s="1236">
        <v>4</v>
      </c>
      <c r="BL254" s="1238">
        <v>443782098.31849658</v>
      </c>
      <c r="BM254" s="1239">
        <v>5.5583093089894266E-2</v>
      </c>
      <c r="BN254" s="1236">
        <v>2006</v>
      </c>
      <c r="BO254" s="174"/>
      <c r="BP254" s="174"/>
      <c r="BQ254" s="174"/>
      <c r="BR254" s="174"/>
      <c r="BS254" s="174"/>
      <c r="BT254" s="174"/>
      <c r="BU254" s="174"/>
      <c r="BV254" s="174"/>
      <c r="BW254" s="174"/>
      <c r="BX254" s="174"/>
    </row>
    <row r="255" spans="1:76" s="152" customFormat="1" ht="15" customHeight="1" x14ac:dyDescent="0.25">
      <c r="A255" s="152">
        <f t="shared" si="6"/>
        <v>1991</v>
      </c>
      <c r="B255" s="152" t="str">
        <f t="shared" si="7"/>
        <v>1990-91</v>
      </c>
      <c r="C255" s="173">
        <v>33359</v>
      </c>
      <c r="D255" s="154">
        <v>0.77461304347826099</v>
      </c>
      <c r="E255" s="155">
        <v>206.55831417391309</v>
      </c>
      <c r="F255" s="155">
        <v>266.66000000000003</v>
      </c>
      <c r="G255" s="155"/>
      <c r="H255" s="155"/>
      <c r="I255" s="156">
        <v>357.14</v>
      </c>
      <c r="J255" s="156">
        <v>462.98</v>
      </c>
      <c r="K255" s="157"/>
      <c r="L255" s="158"/>
      <c r="M255" s="159">
        <v>8426.5</v>
      </c>
      <c r="N255" s="159">
        <v>10878.334764623009</v>
      </c>
      <c r="O255" s="175">
        <v>2328.3000000000002</v>
      </c>
      <c r="P255" s="175">
        <v>3005.7588361089124</v>
      </c>
      <c r="Q255" s="175">
        <v>558.62</v>
      </c>
      <c r="R255" s="175">
        <v>721.160074314805</v>
      </c>
      <c r="S255" s="175">
        <v>1093.3</v>
      </c>
      <c r="T255" s="175">
        <v>1411.4143948451117</v>
      </c>
      <c r="U255" s="161">
        <v>336.95667391304352</v>
      </c>
      <c r="V255" s="161">
        <v>435</v>
      </c>
      <c r="W255" s="161">
        <v>1654.1531553634602</v>
      </c>
      <c r="X255" s="161">
        <v>2135.4573993949057</v>
      </c>
      <c r="Y255" s="162"/>
      <c r="Z255" s="162"/>
      <c r="AA255" s="162"/>
      <c r="AB255" s="162"/>
      <c r="AC255" s="163"/>
      <c r="AD255" s="163">
        <v>5.5066368773820482</v>
      </c>
      <c r="AE255" s="163"/>
      <c r="AF255" s="163"/>
      <c r="AG255" s="163"/>
      <c r="AH255" s="163"/>
      <c r="AI255" s="163"/>
      <c r="AJ255" s="163"/>
      <c r="AK255" s="164">
        <v>19.489999999999998</v>
      </c>
      <c r="AL255" s="164">
        <v>25.160949927312931</v>
      </c>
      <c r="AM255" s="164">
        <v>19.2</v>
      </c>
      <c r="AN255" s="164">
        <v>24.786569451226693</v>
      </c>
      <c r="AO255" s="164"/>
      <c r="AP255" s="164"/>
      <c r="AS255" s="167"/>
      <c r="AT255" s="1170"/>
      <c r="AU255" s="1171"/>
      <c r="AV255" s="1171"/>
      <c r="AW255" s="1172"/>
      <c r="AX255" s="1172"/>
      <c r="AY255" s="1172"/>
      <c r="AZ255" s="1172"/>
      <c r="BA255" s="1236" t="s">
        <v>54</v>
      </c>
      <c r="BB255" s="1237">
        <v>2011</v>
      </c>
      <c r="BC255" s="1236" t="s">
        <v>314</v>
      </c>
      <c r="BD255" s="1236">
        <v>5</v>
      </c>
      <c r="BE255" s="1238">
        <v>56477506.440000005</v>
      </c>
      <c r="BF255" s="1239">
        <v>6.0667009178899653E-2</v>
      </c>
      <c r="BG255" s="1236"/>
      <c r="BH255" s="1236" t="s">
        <v>61</v>
      </c>
      <c r="BI255" s="1236" t="s">
        <v>313</v>
      </c>
      <c r="BJ255" s="1236" t="s">
        <v>298</v>
      </c>
      <c r="BK255" s="1236">
        <v>5</v>
      </c>
      <c r="BL255" s="1238">
        <v>308903069.50406635</v>
      </c>
      <c r="BM255" s="1239">
        <v>3.8689681564568354E-2</v>
      </c>
      <c r="BN255" s="1236">
        <v>2006</v>
      </c>
      <c r="BO255" s="174"/>
      <c r="BP255" s="174"/>
      <c r="BQ255" s="174"/>
      <c r="BR255" s="174"/>
      <c r="BS255" s="174"/>
      <c r="BT255" s="174"/>
      <c r="BU255" s="174"/>
      <c r="BV255" s="174"/>
      <c r="BW255" s="174"/>
      <c r="BX255" s="174"/>
    </row>
    <row r="256" spans="1:76" s="152" customFormat="1" ht="15" customHeight="1" x14ac:dyDescent="0.25">
      <c r="A256" s="152">
        <f t="shared" si="6"/>
        <v>1991</v>
      </c>
      <c r="B256" s="152" t="str">
        <f t="shared" si="7"/>
        <v>1990-91</v>
      </c>
      <c r="C256" s="173">
        <v>33390</v>
      </c>
      <c r="D256" s="169">
        <v>0.76043157894736835</v>
      </c>
      <c r="E256" s="170">
        <v>214.24399305263157</v>
      </c>
      <c r="F256" s="170">
        <v>281.74</v>
      </c>
      <c r="G256" s="170"/>
      <c r="H256" s="170"/>
      <c r="I256" s="169">
        <v>366.49</v>
      </c>
      <c r="J256" s="169">
        <v>483.83</v>
      </c>
      <c r="K256" s="169"/>
      <c r="L256" s="170"/>
      <c r="M256" s="170">
        <v>8296.25</v>
      </c>
      <c r="N256" s="170">
        <v>10909.923035395414</v>
      </c>
      <c r="O256" s="170">
        <v>2219.4</v>
      </c>
      <c r="P256" s="170">
        <v>2918.6057778823665</v>
      </c>
      <c r="Q256" s="170">
        <v>549.48</v>
      </c>
      <c r="R256" s="170">
        <v>722.58966514859992</v>
      </c>
      <c r="S256" s="170">
        <v>1062.4000000000001</v>
      </c>
      <c r="T256" s="170">
        <v>1397.1013690286682</v>
      </c>
      <c r="U256" s="170">
        <v>330.78773684210523</v>
      </c>
      <c r="V256" s="170">
        <v>435</v>
      </c>
      <c r="W256" s="170">
        <v>1630.061905109563</v>
      </c>
      <c r="X256" s="170">
        <v>2143.6010158415374</v>
      </c>
      <c r="Y256" s="170"/>
      <c r="Z256" s="170"/>
      <c r="AA256" s="170"/>
      <c r="AB256" s="170"/>
      <c r="AC256" s="170"/>
      <c r="AD256" s="170">
        <v>6.0018226793386278</v>
      </c>
      <c r="AE256" s="170"/>
      <c r="AF256" s="170"/>
      <c r="AG256" s="170"/>
      <c r="AH256" s="170"/>
      <c r="AI256" s="170"/>
      <c r="AJ256" s="170"/>
      <c r="AK256" s="170">
        <v>18.34</v>
      </c>
      <c r="AL256" s="170">
        <v>24.117883196522751</v>
      </c>
      <c r="AM256" s="170">
        <v>20</v>
      </c>
      <c r="AN256" s="170">
        <v>26.300854085630046</v>
      </c>
      <c r="AO256" s="170"/>
      <c r="AP256" s="170"/>
      <c r="AS256" s="167"/>
      <c r="AT256" s="1170"/>
      <c r="AU256" s="1171"/>
      <c r="AV256" s="1171"/>
      <c r="AW256" s="1172"/>
      <c r="AX256" s="1172"/>
      <c r="AY256" s="1172"/>
      <c r="AZ256" s="1172"/>
      <c r="BA256" s="1236" t="s">
        <v>54</v>
      </c>
      <c r="BB256" s="1237">
        <v>2011</v>
      </c>
      <c r="BC256" s="1236" t="s">
        <v>308</v>
      </c>
      <c r="BD256" s="1236">
        <v>6</v>
      </c>
      <c r="BE256" s="1238">
        <v>34798913.290000007</v>
      </c>
      <c r="BF256" s="1239">
        <v>3.7380297485742953E-2</v>
      </c>
      <c r="BG256" s="1236"/>
      <c r="BH256" s="1236" t="s">
        <v>61</v>
      </c>
      <c r="BI256" s="1236" t="s">
        <v>313</v>
      </c>
      <c r="BJ256" s="1236" t="s">
        <v>319</v>
      </c>
      <c r="BK256" s="1236">
        <v>6</v>
      </c>
      <c r="BL256" s="1238">
        <v>253738823.90317833</v>
      </c>
      <c r="BM256" s="1239">
        <v>3.1780436216263704E-2</v>
      </c>
      <c r="BN256" s="1236">
        <v>2006</v>
      </c>
      <c r="BO256" s="174"/>
      <c r="BP256" s="174"/>
      <c r="BQ256" s="174"/>
      <c r="BR256" s="174"/>
      <c r="BS256" s="174"/>
      <c r="BT256" s="174"/>
      <c r="BU256" s="174"/>
      <c r="BV256" s="174"/>
      <c r="BW256" s="174"/>
      <c r="BX256" s="174"/>
    </row>
    <row r="257" spans="1:76" s="152" customFormat="1" ht="15" customHeight="1" x14ac:dyDescent="0.25">
      <c r="A257" s="152">
        <f t="shared" si="6"/>
        <v>1991</v>
      </c>
      <c r="B257" s="152" t="str">
        <f t="shared" si="7"/>
        <v>1991-92</v>
      </c>
      <c r="C257" s="173">
        <v>33420</v>
      </c>
      <c r="D257" s="154">
        <v>0.77106521739130451</v>
      </c>
      <c r="E257" s="155">
        <v>202.76702021739138</v>
      </c>
      <c r="F257" s="155">
        <v>262.97000000000003</v>
      </c>
      <c r="G257" s="155"/>
      <c r="H257" s="155"/>
      <c r="I257" s="156">
        <v>368</v>
      </c>
      <c r="J257" s="156">
        <v>479</v>
      </c>
      <c r="K257" s="157"/>
      <c r="L257" s="158"/>
      <c r="M257" s="159">
        <v>8541.2999999999993</v>
      </c>
      <c r="N257" s="159">
        <v>11077.273111731367</v>
      </c>
      <c r="O257" s="175">
        <v>2231.3000000000002</v>
      </c>
      <c r="P257" s="175">
        <v>2893.7889424567929</v>
      </c>
      <c r="Q257" s="175">
        <v>546.96</v>
      </c>
      <c r="R257" s="175">
        <v>709.3563393385773</v>
      </c>
      <c r="S257" s="175">
        <v>1064.0999999999999</v>
      </c>
      <c r="T257" s="175">
        <v>1380.0389072147505</v>
      </c>
      <c r="U257" s="161">
        <v>288.37839130434787</v>
      </c>
      <c r="V257" s="161">
        <v>374</v>
      </c>
      <c r="W257" s="161">
        <v>1625.5320853234921</v>
      </c>
      <c r="X257" s="161">
        <v>2108.164197605814</v>
      </c>
      <c r="Y257" s="162"/>
      <c r="Z257" s="162"/>
      <c r="AA257" s="162"/>
      <c r="AB257" s="162"/>
      <c r="AC257" s="163"/>
      <c r="AD257" s="163">
        <v>5.903536977491961</v>
      </c>
      <c r="AE257" s="163"/>
      <c r="AF257" s="163"/>
      <c r="AG257" s="163"/>
      <c r="AH257" s="163"/>
      <c r="AI257" s="163"/>
      <c r="AJ257" s="163"/>
      <c r="AK257" s="164">
        <v>18.34</v>
      </c>
      <c r="AL257" s="164">
        <v>23.785277284389181</v>
      </c>
      <c r="AM257" s="164">
        <v>20.2</v>
      </c>
      <c r="AN257" s="164">
        <v>26.197524598945552</v>
      </c>
      <c r="AO257" s="164"/>
      <c r="AP257" s="164"/>
      <c r="AS257" s="167"/>
      <c r="AT257" s="1170"/>
      <c r="AU257" s="1171"/>
      <c r="AV257" s="1171"/>
      <c r="AW257" s="1172"/>
      <c r="AX257" s="1172"/>
      <c r="AY257" s="1172"/>
      <c r="AZ257" s="1172"/>
      <c r="BA257" s="1236" t="s">
        <v>54</v>
      </c>
      <c r="BB257" s="1237">
        <v>2011</v>
      </c>
      <c r="BC257" s="1236" t="s">
        <v>285</v>
      </c>
      <c r="BD257" s="1236">
        <v>7</v>
      </c>
      <c r="BE257" s="1238">
        <v>29775230.719999995</v>
      </c>
      <c r="BF257" s="1239">
        <v>3.1983958026070645E-2</v>
      </c>
      <c r="BG257" s="1236"/>
      <c r="BH257" s="1236" t="s">
        <v>61</v>
      </c>
      <c r="BI257" s="1236" t="s">
        <v>313</v>
      </c>
      <c r="BJ257" s="1236" t="s">
        <v>321</v>
      </c>
      <c r="BK257" s="1236">
        <v>7</v>
      </c>
      <c r="BL257" s="1238">
        <v>145024295.43139207</v>
      </c>
      <c r="BM257" s="1239">
        <v>1.8164092115933419E-2</v>
      </c>
      <c r="BN257" s="1236">
        <v>2006</v>
      </c>
      <c r="BO257" s="174"/>
      <c r="BP257" s="174"/>
      <c r="BQ257" s="174"/>
      <c r="BR257" s="174"/>
      <c r="BS257" s="174"/>
      <c r="BT257" s="174"/>
      <c r="BU257" s="174"/>
      <c r="BV257" s="174"/>
      <c r="BW257" s="174"/>
      <c r="BX257" s="174"/>
    </row>
    <row r="258" spans="1:76" s="152" customFormat="1" ht="15" customHeight="1" x14ac:dyDescent="0.25">
      <c r="A258" s="152">
        <f t="shared" si="6"/>
        <v>1991</v>
      </c>
      <c r="B258" s="152" t="str">
        <f t="shared" si="7"/>
        <v>1991-92</v>
      </c>
      <c r="C258" s="173">
        <v>33451</v>
      </c>
      <c r="D258" s="169">
        <v>0.78238636363636371</v>
      </c>
      <c r="E258" s="170">
        <v>200.51780113636366</v>
      </c>
      <c r="F258" s="170">
        <v>256.29000000000002</v>
      </c>
      <c r="G258" s="170"/>
      <c r="H258" s="170"/>
      <c r="I258" s="169">
        <v>357.21</v>
      </c>
      <c r="J258" s="169">
        <v>458.42</v>
      </c>
      <c r="K258" s="169"/>
      <c r="L258" s="170"/>
      <c r="M258" s="170">
        <v>8144.71</v>
      </c>
      <c r="N258" s="170">
        <v>10410.086855482932</v>
      </c>
      <c r="O258" s="170">
        <v>2231.4</v>
      </c>
      <c r="P258" s="170">
        <v>2852.0435729847495</v>
      </c>
      <c r="Q258" s="170">
        <v>538.36</v>
      </c>
      <c r="R258" s="170">
        <v>688.09992737835876</v>
      </c>
      <c r="S258" s="170">
        <v>1046.2</v>
      </c>
      <c r="T258" s="170">
        <v>1337.1909949164851</v>
      </c>
      <c r="U258" s="170">
        <v>292.61250000000001</v>
      </c>
      <c r="V258" s="170">
        <v>374</v>
      </c>
      <c r="W258" s="170">
        <v>1611.6466219661377</v>
      </c>
      <c r="X258" s="170">
        <v>2059.9114412929571</v>
      </c>
      <c r="Y258" s="170"/>
      <c r="Z258" s="170"/>
      <c r="AA258" s="170"/>
      <c r="AB258" s="170"/>
      <c r="AC258" s="170"/>
      <c r="AD258" s="170">
        <v>5.3161652218255995</v>
      </c>
      <c r="AE258" s="170"/>
      <c r="AF258" s="170"/>
      <c r="AG258" s="170"/>
      <c r="AH258" s="170"/>
      <c r="AI258" s="170"/>
      <c r="AJ258" s="170"/>
      <c r="AK258" s="170">
        <v>20.49</v>
      </c>
      <c r="AL258" s="170">
        <v>26.189106753812631</v>
      </c>
      <c r="AM258" s="170">
        <v>20.2</v>
      </c>
      <c r="AN258" s="170">
        <v>25.818445896877265</v>
      </c>
      <c r="AO258" s="170"/>
      <c r="AP258" s="170"/>
      <c r="AS258" s="167"/>
      <c r="AT258" s="1170"/>
      <c r="AU258" s="1171"/>
      <c r="AV258" s="1171"/>
      <c r="AW258" s="1172"/>
      <c r="AX258" s="1172"/>
      <c r="AY258" s="1172"/>
      <c r="AZ258" s="1172"/>
      <c r="BA258" s="1236" t="s">
        <v>54</v>
      </c>
      <c r="BB258" s="1237">
        <v>2011</v>
      </c>
      <c r="BC258" s="1236" t="s">
        <v>315</v>
      </c>
      <c r="BD258" s="1236">
        <v>8</v>
      </c>
      <c r="BE258" s="1238">
        <v>27238459.690000005</v>
      </c>
      <c r="BF258" s="1239">
        <v>2.9259009262171638E-2</v>
      </c>
      <c r="BG258" s="1236"/>
      <c r="BH258" s="1236" t="s">
        <v>61</v>
      </c>
      <c r="BI258" s="1236" t="s">
        <v>313</v>
      </c>
      <c r="BJ258" s="1236" t="s">
        <v>305</v>
      </c>
      <c r="BK258" s="1236">
        <v>8</v>
      </c>
      <c r="BL258" s="1238">
        <v>123012672.22183648</v>
      </c>
      <c r="BM258" s="1239">
        <v>1.5407166799314779E-2</v>
      </c>
      <c r="BN258" s="1236">
        <v>2006</v>
      </c>
      <c r="BO258" s="174"/>
      <c r="BP258" s="174"/>
      <c r="BQ258" s="174"/>
      <c r="BR258" s="174"/>
      <c r="BS258" s="174"/>
      <c r="BT258" s="174"/>
      <c r="BU258" s="174"/>
      <c r="BV258" s="174"/>
      <c r="BW258" s="174"/>
      <c r="BX258" s="174"/>
    </row>
    <row r="259" spans="1:76" s="152" customFormat="1" ht="15" customHeight="1" x14ac:dyDescent="0.25">
      <c r="A259" s="152">
        <f t="shared" si="6"/>
        <v>1991</v>
      </c>
      <c r="B259" s="152" t="str">
        <f t="shared" si="7"/>
        <v>1991-92</v>
      </c>
      <c r="C259" s="173">
        <v>33482</v>
      </c>
      <c r="D259" s="154">
        <v>0.79273809523809513</v>
      </c>
      <c r="E259" s="155">
        <v>205.11305476190475</v>
      </c>
      <c r="F259" s="155">
        <v>258.74</v>
      </c>
      <c r="G259" s="155"/>
      <c r="H259" s="155"/>
      <c r="I259" s="156">
        <v>348.56</v>
      </c>
      <c r="J259" s="156">
        <v>441.66</v>
      </c>
      <c r="K259" s="157"/>
      <c r="L259" s="158"/>
      <c r="M259" s="159">
        <v>7688.75</v>
      </c>
      <c r="N259" s="159">
        <v>9698.9788256494976</v>
      </c>
      <c r="O259" s="175">
        <v>2322.5</v>
      </c>
      <c r="P259" s="175">
        <v>2929.7191770536119</v>
      </c>
      <c r="Q259" s="175">
        <v>539.34</v>
      </c>
      <c r="R259" s="175">
        <v>680.35080342393769</v>
      </c>
      <c r="S259" s="175">
        <v>1023.6</v>
      </c>
      <c r="T259" s="175">
        <v>1291.2209040396458</v>
      </c>
      <c r="U259" s="161">
        <v>296.4840476190476</v>
      </c>
      <c r="V259" s="161">
        <v>374</v>
      </c>
      <c r="W259" s="161">
        <v>1611.4582208590523</v>
      </c>
      <c r="X259" s="161">
        <v>2032.775049589434</v>
      </c>
      <c r="Y259" s="162"/>
      <c r="Z259" s="162"/>
      <c r="AA259" s="162"/>
      <c r="AB259" s="162"/>
      <c r="AC259" s="163"/>
      <c r="AD259" s="163">
        <v>5.3132832080200503</v>
      </c>
      <c r="AE259" s="163"/>
      <c r="AF259" s="163"/>
      <c r="AG259" s="163"/>
      <c r="AH259" s="163"/>
      <c r="AI259" s="163"/>
      <c r="AJ259" s="163"/>
      <c r="AK259" s="164">
        <v>20.99</v>
      </c>
      <c r="AL259" s="164">
        <v>26.477849526956</v>
      </c>
      <c r="AM259" s="164">
        <v>20.7</v>
      </c>
      <c r="AN259" s="164">
        <v>26.112028833158135</v>
      </c>
      <c r="AO259" s="164"/>
      <c r="AP259" s="164"/>
      <c r="AS259" s="167"/>
      <c r="AT259" s="1170"/>
      <c r="AU259" s="1171"/>
      <c r="AV259" s="1171"/>
      <c r="AW259" s="1172"/>
      <c r="AX259" s="1172"/>
      <c r="AY259" s="1172"/>
      <c r="AZ259" s="1172"/>
      <c r="BA259" s="1236" t="s">
        <v>54</v>
      </c>
      <c r="BB259" s="1237">
        <v>2011</v>
      </c>
      <c r="BC259" s="1236" t="s">
        <v>321</v>
      </c>
      <c r="BD259" s="1236">
        <v>9</v>
      </c>
      <c r="BE259" s="1238">
        <v>26375176.350000001</v>
      </c>
      <c r="BF259" s="1239">
        <v>2.8331687543968469E-2</v>
      </c>
      <c r="BG259" s="1236"/>
      <c r="BH259" s="1236" t="s">
        <v>61</v>
      </c>
      <c r="BI259" s="1236" t="s">
        <v>313</v>
      </c>
      <c r="BJ259" s="1236" t="s">
        <v>320</v>
      </c>
      <c r="BK259" s="1236">
        <v>9</v>
      </c>
      <c r="BL259" s="1238">
        <v>121713774.95107523</v>
      </c>
      <c r="BM259" s="1239">
        <v>1.5244481715377216E-2</v>
      </c>
      <c r="BN259" s="1236">
        <v>2006</v>
      </c>
      <c r="BO259" s="174"/>
      <c r="BP259" s="174"/>
      <c r="BQ259" s="174"/>
      <c r="BR259" s="174"/>
      <c r="BS259" s="174"/>
      <c r="BT259" s="174"/>
      <c r="BU259" s="174"/>
      <c r="BV259" s="174"/>
      <c r="BW259" s="174"/>
      <c r="BX259" s="174"/>
    </row>
    <row r="260" spans="1:76" s="152" customFormat="1" ht="15" customHeight="1" x14ac:dyDescent="0.25">
      <c r="A260" s="152">
        <f t="shared" si="6"/>
        <v>1991</v>
      </c>
      <c r="B260" s="152" t="str">
        <f t="shared" si="7"/>
        <v>1991-92</v>
      </c>
      <c r="C260" s="173">
        <v>33512</v>
      </c>
      <c r="D260" s="169">
        <v>0.79377391304347822</v>
      </c>
      <c r="E260" s="170">
        <v>195.54620347826085</v>
      </c>
      <c r="F260" s="170">
        <v>246.35</v>
      </c>
      <c r="G260" s="170"/>
      <c r="H260" s="170"/>
      <c r="I260" s="169">
        <v>358.95</v>
      </c>
      <c r="J260" s="169">
        <v>453.87</v>
      </c>
      <c r="K260" s="169"/>
      <c r="L260" s="170"/>
      <c r="M260" s="170">
        <v>7444.8</v>
      </c>
      <c r="N260" s="170">
        <v>9378.9930327330094</v>
      </c>
      <c r="O260" s="170">
        <v>2360.9</v>
      </c>
      <c r="P260" s="170">
        <v>2974.2725997984317</v>
      </c>
      <c r="Q260" s="170">
        <v>521.79999999999995</v>
      </c>
      <c r="R260" s="170">
        <v>657.36602252311468</v>
      </c>
      <c r="S260" s="170">
        <v>992.09</v>
      </c>
      <c r="T260" s="170">
        <v>1249.8395118531178</v>
      </c>
      <c r="U260" s="170">
        <v>247.6574608695652</v>
      </c>
      <c r="V260" s="170">
        <v>312</v>
      </c>
      <c r="W260" s="170">
        <v>1593.9464797784626</v>
      </c>
      <c r="X260" s="170">
        <v>2008.0610531366199</v>
      </c>
      <c r="Y260" s="170"/>
      <c r="Z260" s="170"/>
      <c r="AA260" s="170"/>
      <c r="AB260" s="170"/>
      <c r="AC260" s="170"/>
      <c r="AD260" s="170">
        <v>5.4378350778657136</v>
      </c>
      <c r="AE260" s="170"/>
      <c r="AF260" s="170"/>
      <c r="AG260" s="170"/>
      <c r="AH260" s="170"/>
      <c r="AI260" s="170"/>
      <c r="AJ260" s="170"/>
      <c r="AK260" s="170">
        <v>20.99</v>
      </c>
      <c r="AL260" s="170">
        <v>26.443297839709039</v>
      </c>
      <c r="AM260" s="170">
        <v>22</v>
      </c>
      <c r="AN260" s="170">
        <v>27.71570045133868</v>
      </c>
      <c r="AO260" s="170"/>
      <c r="AP260" s="170"/>
      <c r="AS260" s="167"/>
      <c r="AT260" s="1170"/>
      <c r="AU260" s="1171"/>
      <c r="AV260" s="1171"/>
      <c r="AW260" s="1172"/>
      <c r="AX260" s="1172"/>
      <c r="AY260" s="1172"/>
      <c r="AZ260" s="1172"/>
      <c r="BA260" s="1236" t="s">
        <v>54</v>
      </c>
      <c r="BB260" s="1237">
        <v>2011</v>
      </c>
      <c r="BC260" s="1236" t="s">
        <v>287</v>
      </c>
      <c r="BD260" s="1236">
        <v>10</v>
      </c>
      <c r="BE260" s="1238">
        <v>25441316.079999998</v>
      </c>
      <c r="BF260" s="1239">
        <v>2.7328553497459388E-2</v>
      </c>
      <c r="BG260" s="1236"/>
      <c r="BH260" s="1236" t="s">
        <v>61</v>
      </c>
      <c r="BI260" s="1236" t="s">
        <v>313</v>
      </c>
      <c r="BJ260" s="1236" t="s">
        <v>315</v>
      </c>
      <c r="BK260" s="1236">
        <v>10</v>
      </c>
      <c r="BL260" s="1238">
        <v>72627375.023722231</v>
      </c>
      <c r="BM260" s="1239">
        <v>9.0964781186847633E-3</v>
      </c>
      <c r="BN260" s="1236">
        <v>2006</v>
      </c>
      <c r="BO260" s="174"/>
      <c r="BP260" s="174"/>
      <c r="BQ260" s="174"/>
      <c r="BR260" s="174"/>
      <c r="BS260" s="174"/>
      <c r="BT260" s="174"/>
      <c r="BU260" s="174"/>
      <c r="BV260" s="174"/>
      <c r="BW260" s="174"/>
      <c r="BX260" s="174"/>
    </row>
    <row r="261" spans="1:76" s="152" customFormat="1" ht="15" customHeight="1" x14ac:dyDescent="0.25">
      <c r="A261" s="152">
        <f t="shared" si="6"/>
        <v>1991</v>
      </c>
      <c r="B261" s="152" t="str">
        <f t="shared" si="7"/>
        <v>1991-92</v>
      </c>
      <c r="C261" s="173">
        <v>33543</v>
      </c>
      <c r="D261" s="154">
        <v>0.78635238095238114</v>
      </c>
      <c r="E261" s="155">
        <v>193.96954180952383</v>
      </c>
      <c r="F261" s="155">
        <v>246.67</v>
      </c>
      <c r="G261" s="155"/>
      <c r="H261" s="155"/>
      <c r="I261" s="156">
        <v>359.81</v>
      </c>
      <c r="J261" s="156">
        <v>459.82</v>
      </c>
      <c r="K261" s="157"/>
      <c r="L261" s="158"/>
      <c r="M261" s="159">
        <v>7260.8</v>
      </c>
      <c r="N261" s="159">
        <v>9233.5194448145121</v>
      </c>
      <c r="O261" s="175">
        <v>2377.3000000000002</v>
      </c>
      <c r="P261" s="175">
        <v>3023.1993411411336</v>
      </c>
      <c r="Q261" s="175">
        <v>506.55</v>
      </c>
      <c r="R261" s="175">
        <v>644.17685031550127</v>
      </c>
      <c r="S261" s="175">
        <v>1093.7</v>
      </c>
      <c r="T261" s="175">
        <v>1390.8522775442971</v>
      </c>
      <c r="U261" s="161">
        <v>245.34194285714293</v>
      </c>
      <c r="V261" s="161">
        <v>312</v>
      </c>
      <c r="W261" s="161">
        <v>1632.3956373635217</v>
      </c>
      <c r="X261" s="161">
        <v>2075.9085581790514</v>
      </c>
      <c r="Y261" s="162"/>
      <c r="Z261" s="162"/>
      <c r="AA261" s="162"/>
      <c r="AB261" s="162"/>
      <c r="AC261" s="163"/>
      <c r="AD261" s="163">
        <v>5.4436511983681788</v>
      </c>
      <c r="AE261" s="163"/>
      <c r="AF261" s="163"/>
      <c r="AG261" s="163"/>
      <c r="AH261" s="163"/>
      <c r="AI261" s="163"/>
      <c r="AJ261" s="163"/>
      <c r="AK261" s="164">
        <v>20.190000000000001</v>
      </c>
      <c r="AL261" s="164">
        <v>25.675512008429514</v>
      </c>
      <c r="AM261" s="164">
        <v>23.1</v>
      </c>
      <c r="AN261" s="164">
        <v>29.376143011130349</v>
      </c>
      <c r="AO261" s="164"/>
      <c r="AP261" s="164"/>
      <c r="AS261" s="167"/>
      <c r="AT261" s="1170"/>
      <c r="AU261" s="1171"/>
      <c r="AV261" s="1171"/>
      <c r="AW261" s="1172"/>
      <c r="AX261" s="1172"/>
      <c r="AY261" s="1172"/>
      <c r="AZ261" s="1172"/>
      <c r="BA261" s="1236" t="s">
        <v>54</v>
      </c>
      <c r="BB261" s="1237">
        <v>2011</v>
      </c>
      <c r="BC261" s="1236" t="s">
        <v>324</v>
      </c>
      <c r="BD261" s="1236">
        <v>11</v>
      </c>
      <c r="BE261" s="1238">
        <v>21942313.099999998</v>
      </c>
      <c r="BF261" s="1239">
        <v>2.3569994395170216E-2</v>
      </c>
      <c r="BG261" s="1236"/>
      <c r="BH261" s="1236" t="s">
        <v>61</v>
      </c>
      <c r="BI261" s="1236" t="s">
        <v>313</v>
      </c>
      <c r="BJ261" s="1236" t="s">
        <v>291</v>
      </c>
      <c r="BK261" s="1236"/>
      <c r="BL261" s="1238">
        <v>282923084.99877071</v>
      </c>
      <c r="BM261" s="1239">
        <v>3.5435724492610302E-2</v>
      </c>
      <c r="BN261" s="1236">
        <v>2006</v>
      </c>
      <c r="BO261" s="174"/>
      <c r="BP261" s="174"/>
      <c r="BQ261" s="174"/>
      <c r="BR261" s="174"/>
      <c r="BS261" s="174"/>
      <c r="BT261" s="174"/>
      <c r="BU261" s="174"/>
      <c r="BV261" s="174"/>
      <c r="BW261" s="174"/>
      <c r="BX261" s="174"/>
    </row>
    <row r="262" spans="1:76" s="152" customFormat="1" ht="15" customHeight="1" x14ac:dyDescent="0.25">
      <c r="A262" s="152">
        <f t="shared" si="6"/>
        <v>1991</v>
      </c>
      <c r="B262" s="152" t="str">
        <f t="shared" si="7"/>
        <v>1991-92</v>
      </c>
      <c r="C262" s="173">
        <v>33573</v>
      </c>
      <c r="D262" s="169">
        <v>0.7723000000000001</v>
      </c>
      <c r="E262" s="170">
        <v>195.83211100000003</v>
      </c>
      <c r="F262" s="170">
        <v>253.57</v>
      </c>
      <c r="G262" s="170"/>
      <c r="H262" s="170"/>
      <c r="I262" s="169">
        <v>361.72</v>
      </c>
      <c r="J262" s="169">
        <v>470.01</v>
      </c>
      <c r="K262" s="169"/>
      <c r="L262" s="170"/>
      <c r="M262" s="170">
        <v>7123.75</v>
      </c>
      <c r="N262" s="170">
        <v>9224.0709568820403</v>
      </c>
      <c r="O262" s="170">
        <v>2211.3000000000002</v>
      </c>
      <c r="P262" s="170">
        <v>2863.2655703742066</v>
      </c>
      <c r="Q262" s="170">
        <v>533.13</v>
      </c>
      <c r="R262" s="170">
        <v>690.31464456817287</v>
      </c>
      <c r="S262" s="170">
        <v>1185.5</v>
      </c>
      <c r="T262" s="170">
        <v>1535.0252492554705</v>
      </c>
      <c r="U262" s="170">
        <v>240.95760000000004</v>
      </c>
      <c r="V262" s="170">
        <v>312</v>
      </c>
      <c r="W262" s="170">
        <v>1635.3345423308126</v>
      </c>
      <c r="X262" s="170">
        <v>2117.4861353500096</v>
      </c>
      <c r="Y262" s="170"/>
      <c r="Z262" s="170"/>
      <c r="AA262" s="170"/>
      <c r="AB262" s="170"/>
      <c r="AC262" s="170"/>
      <c r="AD262" s="170">
        <v>5.3853058084369794</v>
      </c>
      <c r="AE262" s="170"/>
      <c r="AF262" s="170"/>
      <c r="AG262" s="170"/>
      <c r="AH262" s="170"/>
      <c r="AI262" s="170"/>
      <c r="AJ262" s="170"/>
      <c r="AK262" s="170">
        <v>20.190000000000001</v>
      </c>
      <c r="AL262" s="170">
        <v>26.142690664249642</v>
      </c>
      <c r="AM262" s="170">
        <v>24.1</v>
      </c>
      <c r="AN262" s="170">
        <v>31.205490094522851</v>
      </c>
      <c r="AO262" s="170"/>
      <c r="AP262" s="170"/>
      <c r="AS262" s="167"/>
      <c r="AT262" s="1170"/>
      <c r="AU262" s="1171"/>
      <c r="AV262" s="1171"/>
      <c r="AW262" s="1172"/>
      <c r="AX262" s="1172"/>
      <c r="AY262" s="1172"/>
      <c r="AZ262" s="1172"/>
      <c r="BA262" s="1236" t="s">
        <v>54</v>
      </c>
      <c r="BB262" s="1237">
        <v>2011</v>
      </c>
      <c r="BC262" s="1236" t="s">
        <v>320</v>
      </c>
      <c r="BD262" s="1236">
        <v>12</v>
      </c>
      <c r="BE262" s="1238">
        <v>15986432.130000003</v>
      </c>
      <c r="BF262" s="1239">
        <v>1.7172306036544033E-2</v>
      </c>
      <c r="BG262" s="1236"/>
      <c r="BH262" s="1236" t="s">
        <v>61</v>
      </c>
      <c r="BI262" s="1236" t="s">
        <v>313</v>
      </c>
      <c r="BJ262" s="1236" t="s">
        <v>292</v>
      </c>
      <c r="BK262" s="1236"/>
      <c r="BL262" s="1238">
        <v>7984120235.9999981</v>
      </c>
      <c r="BM262" s="1239"/>
      <c r="BN262" s="1236">
        <v>2006</v>
      </c>
      <c r="BO262" s="174"/>
      <c r="BP262" s="174"/>
      <c r="BQ262" s="174"/>
      <c r="BR262" s="174"/>
      <c r="BS262" s="174"/>
      <c r="BT262" s="174"/>
      <c r="BU262" s="174"/>
      <c r="BV262" s="174"/>
      <c r="BW262" s="174"/>
      <c r="BX262" s="174"/>
    </row>
    <row r="263" spans="1:76" s="152" customFormat="1" ht="15" customHeight="1" x14ac:dyDescent="0.25">
      <c r="A263" s="152">
        <f t="shared" si="6"/>
        <v>1992</v>
      </c>
      <c r="B263" s="152" t="str">
        <f t="shared" si="7"/>
        <v>1991-92</v>
      </c>
      <c r="C263" s="173">
        <v>33604</v>
      </c>
      <c r="D263" s="154">
        <v>0.74845714285714271</v>
      </c>
      <c r="E263" s="155">
        <v>180.24344914285712</v>
      </c>
      <c r="F263" s="155">
        <v>240.82</v>
      </c>
      <c r="G263" s="155"/>
      <c r="H263" s="155"/>
      <c r="I263" s="156">
        <v>354.4</v>
      </c>
      <c r="J263" s="156">
        <v>475.18</v>
      </c>
      <c r="K263" s="157"/>
      <c r="L263" s="158"/>
      <c r="M263" s="159">
        <v>7486.4</v>
      </c>
      <c r="N263" s="159">
        <v>10002.44312108719</v>
      </c>
      <c r="O263" s="175">
        <v>2138.1</v>
      </c>
      <c r="P263" s="175">
        <v>2856.6765918460837</v>
      </c>
      <c r="Q263" s="175">
        <v>515.6</v>
      </c>
      <c r="R263" s="175">
        <v>688.88379905329077</v>
      </c>
      <c r="S263" s="175">
        <v>1155.3</v>
      </c>
      <c r="T263" s="175">
        <v>1543.5753550160332</v>
      </c>
      <c r="U263" s="161">
        <v>190.85657142857139</v>
      </c>
      <c r="V263" s="161">
        <v>255</v>
      </c>
      <c r="W263" s="161">
        <v>1650.0843182963283</v>
      </c>
      <c r="X263" s="161">
        <v>2204.6476996629831</v>
      </c>
      <c r="Y263" s="162"/>
      <c r="Z263" s="162"/>
      <c r="AA263" s="162"/>
      <c r="AB263" s="162"/>
      <c r="AC263" s="163"/>
      <c r="AD263" s="163">
        <v>5.758952431854623</v>
      </c>
      <c r="AE263" s="163"/>
      <c r="AF263" s="163"/>
      <c r="AG263" s="163"/>
      <c r="AH263" s="163"/>
      <c r="AI263" s="163"/>
      <c r="AJ263" s="163"/>
      <c r="AK263" s="164">
        <v>18.553636377507988</v>
      </c>
      <c r="AL263" s="164">
        <v>24.789176714489987</v>
      </c>
      <c r="AM263" s="164">
        <v>20.218181696805086</v>
      </c>
      <c r="AN263" s="164">
        <v>27.01314549504421</v>
      </c>
      <c r="AO263" s="164"/>
      <c r="AP263" s="164"/>
      <c r="AS263" s="167"/>
      <c r="AT263" s="1170"/>
      <c r="AU263" s="1171"/>
      <c r="AV263" s="1171"/>
      <c r="AW263" s="1172"/>
      <c r="AX263" s="1172"/>
      <c r="AY263" s="1172"/>
      <c r="AZ263" s="1172"/>
      <c r="BA263" s="1236" t="s">
        <v>54</v>
      </c>
      <c r="BB263" s="1237">
        <v>2011</v>
      </c>
      <c r="BC263" s="1236" t="s">
        <v>291</v>
      </c>
      <c r="BD263" s="1236"/>
      <c r="BE263" s="1238">
        <v>71906264.859999895</v>
      </c>
      <c r="BF263" s="1239">
        <v>7.7240273256688821E-2</v>
      </c>
      <c r="BG263" s="1236"/>
      <c r="BH263" s="1236" t="s">
        <v>61</v>
      </c>
      <c r="BI263" s="1236" t="s">
        <v>316</v>
      </c>
      <c r="BJ263" s="1236" t="s">
        <v>281</v>
      </c>
      <c r="BK263" s="1236">
        <v>1</v>
      </c>
      <c r="BL263" s="1238">
        <v>670589913.6869092</v>
      </c>
      <c r="BM263" s="1239">
        <v>0.22617286576121345</v>
      </c>
      <c r="BN263" s="1236">
        <v>2005</v>
      </c>
      <c r="BO263" s="174"/>
      <c r="BP263" s="174"/>
      <c r="BQ263" s="174"/>
      <c r="BR263" s="174"/>
      <c r="BS263" s="174"/>
      <c r="BT263" s="174"/>
      <c r="BU263" s="174"/>
      <c r="BV263" s="174"/>
      <c r="BW263" s="174"/>
      <c r="BX263" s="174"/>
    </row>
    <row r="264" spans="1:76" s="152" customFormat="1" ht="15" customHeight="1" x14ac:dyDescent="0.25">
      <c r="A264" s="152">
        <f t="shared" si="6"/>
        <v>1992</v>
      </c>
      <c r="B264" s="152" t="str">
        <f t="shared" si="7"/>
        <v>1991-92</v>
      </c>
      <c r="C264" s="173">
        <v>33635</v>
      </c>
      <c r="D264" s="169">
        <v>0.75186500000000023</v>
      </c>
      <c r="E264" s="170">
        <v>172.57557345000006</v>
      </c>
      <c r="F264" s="170">
        <v>229.53</v>
      </c>
      <c r="G264" s="170"/>
      <c r="H264" s="170"/>
      <c r="I264" s="169">
        <v>354.42</v>
      </c>
      <c r="J264" s="169">
        <v>473.18</v>
      </c>
      <c r="K264" s="169"/>
      <c r="L264" s="170"/>
      <c r="M264" s="170">
        <v>7796.13</v>
      </c>
      <c r="N264" s="170">
        <v>10369.05561503727</v>
      </c>
      <c r="O264" s="170">
        <v>2204.5</v>
      </c>
      <c r="P264" s="170">
        <v>2932.0423214273828</v>
      </c>
      <c r="Q264" s="170">
        <v>504.76</v>
      </c>
      <c r="R264" s="170">
        <v>671.3439247737291</v>
      </c>
      <c r="S264" s="170">
        <v>1131.0999999999999</v>
      </c>
      <c r="T264" s="170">
        <v>1504.3924108716319</v>
      </c>
      <c r="U264" s="170">
        <v>191.72557500000005</v>
      </c>
      <c r="V264" s="170">
        <v>255</v>
      </c>
      <c r="W264" s="170">
        <v>1626.6738488790561</v>
      </c>
      <c r="X264" s="170">
        <v>2163.5185157961278</v>
      </c>
      <c r="Y264" s="170"/>
      <c r="Z264" s="170"/>
      <c r="AA264" s="170"/>
      <c r="AB264" s="170"/>
      <c r="AC264" s="170"/>
      <c r="AD264" s="170">
        <v>5.7529162248144221</v>
      </c>
      <c r="AE264" s="170"/>
      <c r="AF264" s="170"/>
      <c r="AG264" s="170"/>
      <c r="AH264" s="170"/>
      <c r="AI264" s="170"/>
      <c r="AJ264" s="170"/>
      <c r="AK264" s="170">
        <v>18.482000064849853</v>
      </c>
      <c r="AL264" s="170">
        <v>24.581540655370109</v>
      </c>
      <c r="AM264" s="170">
        <v>19.287500000000001</v>
      </c>
      <c r="AN264" s="170">
        <v>25.652876513735837</v>
      </c>
      <c r="AO264" s="170"/>
      <c r="AP264" s="170"/>
      <c r="AS264" s="167"/>
      <c r="AT264" s="1170"/>
      <c r="AU264" s="1171"/>
      <c r="AV264" s="1171"/>
      <c r="AW264" s="1172"/>
      <c r="AX264" s="1172"/>
      <c r="AY264" s="1172"/>
      <c r="AZ264" s="1172"/>
      <c r="BA264" s="1236" t="s">
        <v>54</v>
      </c>
      <c r="BB264" s="1237">
        <v>2011</v>
      </c>
      <c r="BC264" s="1236" t="s">
        <v>292</v>
      </c>
      <c r="BD264" s="1236"/>
      <c r="BE264" s="1238">
        <v>930942652.43000007</v>
      </c>
      <c r="BF264" s="1239"/>
      <c r="BG264" s="1236"/>
      <c r="BH264" s="1236" t="s">
        <v>61</v>
      </c>
      <c r="BI264" s="1236" t="s">
        <v>316</v>
      </c>
      <c r="BJ264" s="1236" t="s">
        <v>305</v>
      </c>
      <c r="BK264" s="1236">
        <v>2</v>
      </c>
      <c r="BL264" s="1238">
        <v>534556422.10000002</v>
      </c>
      <c r="BM264" s="1239">
        <v>0.1802922403540142</v>
      </c>
      <c r="BN264" s="1236">
        <v>2005</v>
      </c>
      <c r="BO264" s="174"/>
      <c r="BP264" s="174"/>
      <c r="BQ264" s="174"/>
      <c r="BR264" s="174"/>
      <c r="BS264" s="174"/>
      <c r="BT264" s="174"/>
      <c r="BU264" s="174"/>
      <c r="BV264" s="174"/>
      <c r="BW264" s="174"/>
      <c r="BX264" s="174"/>
    </row>
    <row r="265" spans="1:76" s="152" customFormat="1" ht="15" customHeight="1" x14ac:dyDescent="0.25">
      <c r="A265" s="152">
        <f t="shared" si="6"/>
        <v>1992</v>
      </c>
      <c r="B265" s="152" t="str">
        <f t="shared" si="7"/>
        <v>1991-92</v>
      </c>
      <c r="C265" s="173">
        <v>33664</v>
      </c>
      <c r="D265" s="154">
        <v>0.7588454545454546</v>
      </c>
      <c r="E265" s="155">
        <v>171.06653081818183</v>
      </c>
      <c r="F265" s="155">
        <v>225.43</v>
      </c>
      <c r="G265" s="155"/>
      <c r="H265" s="155"/>
      <c r="I265" s="156">
        <v>344.8</v>
      </c>
      <c r="J265" s="156">
        <v>456.4</v>
      </c>
      <c r="K265" s="157"/>
      <c r="L265" s="158"/>
      <c r="M265" s="159">
        <v>7394.75</v>
      </c>
      <c r="N265" s="159">
        <v>9744.7378194146604</v>
      </c>
      <c r="O265" s="175">
        <v>2228.8000000000002</v>
      </c>
      <c r="P265" s="175">
        <v>2937.0934314089586</v>
      </c>
      <c r="Q265" s="175">
        <v>521.58000000000004</v>
      </c>
      <c r="R265" s="175">
        <v>687.3336288380674</v>
      </c>
      <c r="S265" s="175">
        <v>1214.9000000000001</v>
      </c>
      <c r="T265" s="175">
        <v>1600.9847495597378</v>
      </c>
      <c r="U265" s="161">
        <v>193.50559090909093</v>
      </c>
      <c r="V265" s="161">
        <v>255</v>
      </c>
      <c r="W265" s="161">
        <v>1712.4910560786777</v>
      </c>
      <c r="X265" s="161">
        <v>2256.7059548435368</v>
      </c>
      <c r="Y265" s="162"/>
      <c r="Z265" s="162"/>
      <c r="AA265" s="162"/>
      <c r="AB265" s="162"/>
      <c r="AC265" s="163"/>
      <c r="AD265" s="163">
        <v>5.6611140031233731</v>
      </c>
      <c r="AE265" s="163"/>
      <c r="AF265" s="163"/>
      <c r="AG265" s="163"/>
      <c r="AH265" s="163"/>
      <c r="AI265" s="163"/>
      <c r="AJ265" s="163"/>
      <c r="AK265" s="164">
        <v>17.589090954173695</v>
      </c>
      <c r="AL265" s="164">
        <v>23.178752470368938</v>
      </c>
      <c r="AM265" s="164">
        <v>18.400454434481535</v>
      </c>
      <c r="AN265" s="164">
        <v>24.247960272099586</v>
      </c>
      <c r="AO265" s="164"/>
      <c r="AP265" s="164"/>
      <c r="AS265" s="167"/>
      <c r="AT265" s="1170"/>
      <c r="AU265" s="1171"/>
      <c r="AV265" s="1171"/>
      <c r="AW265" s="1172"/>
      <c r="AX265" s="1172"/>
      <c r="AY265" s="1172"/>
      <c r="AZ265" s="1172"/>
      <c r="BA265" s="1236" t="s">
        <v>54</v>
      </c>
      <c r="BB265" s="1237">
        <v>2010</v>
      </c>
      <c r="BC265" s="1236" t="s">
        <v>281</v>
      </c>
      <c r="BD265" s="1236">
        <v>1</v>
      </c>
      <c r="BE265" s="1238">
        <v>174050973</v>
      </c>
      <c r="BF265" s="1239">
        <v>0.26300000000000001</v>
      </c>
      <c r="BG265" s="1236"/>
      <c r="BH265" s="1236" t="s">
        <v>61</v>
      </c>
      <c r="BI265" s="1236" t="s">
        <v>316</v>
      </c>
      <c r="BJ265" s="1236" t="s">
        <v>325</v>
      </c>
      <c r="BK265" s="1236">
        <v>3</v>
      </c>
      <c r="BL265" s="1238">
        <v>477572114.13000005</v>
      </c>
      <c r="BM265" s="1239">
        <v>0.16107288740232059</v>
      </c>
      <c r="BN265" s="1236">
        <v>2005</v>
      </c>
      <c r="BO265" s="174"/>
      <c r="BP265" s="174"/>
      <c r="BQ265" s="174"/>
      <c r="BR265" s="174"/>
      <c r="BS265" s="174"/>
      <c r="BT265" s="174"/>
      <c r="BU265" s="174"/>
      <c r="BV265" s="174"/>
      <c r="BW265" s="174"/>
      <c r="BX265" s="174"/>
    </row>
    <row r="266" spans="1:76" s="152" customFormat="1" ht="15" customHeight="1" x14ac:dyDescent="0.25">
      <c r="A266" s="152">
        <f t="shared" si="6"/>
        <v>1992</v>
      </c>
      <c r="B266" s="152" t="str">
        <f t="shared" si="7"/>
        <v>1991-92</v>
      </c>
      <c r="C266" s="173">
        <v>33695</v>
      </c>
      <c r="D266" s="169">
        <v>0.76270999999999989</v>
      </c>
      <c r="E266" s="170">
        <v>170.60297279999997</v>
      </c>
      <c r="F266" s="170">
        <v>223.68</v>
      </c>
      <c r="G266" s="170"/>
      <c r="H266" s="170"/>
      <c r="I266" s="169">
        <v>339.07</v>
      </c>
      <c r="J266" s="169">
        <v>446.01</v>
      </c>
      <c r="K266" s="169"/>
      <c r="L266" s="170"/>
      <c r="M266" s="170">
        <v>7418.63</v>
      </c>
      <c r="N266" s="170">
        <v>9726.671998531554</v>
      </c>
      <c r="O266" s="170">
        <v>2214.1999999999998</v>
      </c>
      <c r="P266" s="170">
        <v>2903.0693186138901</v>
      </c>
      <c r="Q266" s="170">
        <v>532.41999999999996</v>
      </c>
      <c r="R266" s="170">
        <v>698.06348415518357</v>
      </c>
      <c r="S266" s="170">
        <v>1304.5</v>
      </c>
      <c r="T266" s="170">
        <v>1710.34862529664</v>
      </c>
      <c r="U266" s="170">
        <v>173.13516999999999</v>
      </c>
      <c r="V266" s="170">
        <v>227</v>
      </c>
      <c r="W266" s="170">
        <v>1632.1239074736789</v>
      </c>
      <c r="X266" s="170">
        <v>2139.9010206679854</v>
      </c>
      <c r="Y266" s="170"/>
      <c r="Z266" s="170"/>
      <c r="AA266" s="170"/>
      <c r="AB266" s="170"/>
      <c r="AC266" s="170"/>
      <c r="AD266" s="170">
        <v>5.5972606347952061</v>
      </c>
      <c r="AE266" s="170"/>
      <c r="AF266" s="170"/>
      <c r="AG266" s="170"/>
      <c r="AH266" s="170"/>
      <c r="AI266" s="170"/>
      <c r="AJ266" s="170"/>
      <c r="AK266" s="170">
        <v>19.056666692097981</v>
      </c>
      <c r="AL266" s="170">
        <v>24.985468516340397</v>
      </c>
      <c r="AM266" s="170">
        <v>18.856818459250711</v>
      </c>
      <c r="AN266" s="170">
        <v>24.723444637215604</v>
      </c>
      <c r="AO266" s="170"/>
      <c r="AP266" s="170"/>
      <c r="AS266" s="167"/>
      <c r="AT266" s="1170"/>
      <c r="AU266" s="1171"/>
      <c r="AV266" s="1171"/>
      <c r="AW266" s="1172"/>
      <c r="AX266" s="1172"/>
      <c r="AY266" s="1172"/>
      <c r="AZ266" s="1172"/>
      <c r="BA266" s="1236" t="s">
        <v>54</v>
      </c>
      <c r="BB266" s="1237">
        <v>2010</v>
      </c>
      <c r="BC266" s="1236" t="s">
        <v>286</v>
      </c>
      <c r="BD266" s="1236">
        <v>2</v>
      </c>
      <c r="BE266" s="1238">
        <v>112624882</v>
      </c>
      <c r="BF266" s="1239">
        <v>0.17</v>
      </c>
      <c r="BG266" s="1236"/>
      <c r="BH266" s="1236" t="s">
        <v>61</v>
      </c>
      <c r="BI266" s="1236" t="s">
        <v>316</v>
      </c>
      <c r="BJ266" s="1236" t="s">
        <v>309</v>
      </c>
      <c r="BK266" s="1236">
        <v>4</v>
      </c>
      <c r="BL266" s="1238">
        <v>447970713.64971399</v>
      </c>
      <c r="BM266" s="1239">
        <v>0.15108909038938567</v>
      </c>
      <c r="BN266" s="1236">
        <v>2005</v>
      </c>
      <c r="BO266" s="174"/>
      <c r="BP266" s="174"/>
      <c r="BQ266" s="174"/>
      <c r="BR266" s="174"/>
      <c r="BS266" s="174"/>
      <c r="BT266" s="174"/>
      <c r="BU266" s="174"/>
      <c r="BV266" s="174"/>
      <c r="BW266" s="174"/>
      <c r="BX266" s="174"/>
    </row>
    <row r="267" spans="1:76" s="152" customFormat="1" ht="15" customHeight="1" x14ac:dyDescent="0.25">
      <c r="A267" s="152">
        <f t="shared" ref="A267:A330" si="8">YEAR(C267)</f>
        <v>1992</v>
      </c>
      <c r="B267" s="152" t="str">
        <f t="shared" si="7"/>
        <v>1991-92</v>
      </c>
      <c r="C267" s="173">
        <v>33725</v>
      </c>
      <c r="D267" s="154">
        <v>0.75632380952380962</v>
      </c>
      <c r="E267" s="155">
        <v>179.37731790476192</v>
      </c>
      <c r="F267" s="155">
        <v>237.17</v>
      </c>
      <c r="G267" s="155"/>
      <c r="H267" s="155"/>
      <c r="I267" s="156">
        <v>337.3</v>
      </c>
      <c r="J267" s="156">
        <v>447.75</v>
      </c>
      <c r="K267" s="157"/>
      <c r="L267" s="158"/>
      <c r="M267" s="159">
        <v>7352.7</v>
      </c>
      <c r="N267" s="159">
        <v>9721.6296874606469</v>
      </c>
      <c r="O267" s="175">
        <v>2219.4</v>
      </c>
      <c r="P267" s="175">
        <v>2934.4574004583574</v>
      </c>
      <c r="Q267" s="175">
        <v>520.69000000000005</v>
      </c>
      <c r="R267" s="175">
        <v>688.44851033822749</v>
      </c>
      <c r="S267" s="175">
        <v>1373.5</v>
      </c>
      <c r="T267" s="175">
        <v>1816.0211045911299</v>
      </c>
      <c r="U267" s="161">
        <v>171.68550476190478</v>
      </c>
      <c r="V267" s="161">
        <v>227</v>
      </c>
      <c r="W267" s="161">
        <v>1606.9667984126984</v>
      </c>
      <c r="X267" s="161">
        <v>2124.70740465577</v>
      </c>
      <c r="Y267" s="162"/>
      <c r="Z267" s="162"/>
      <c r="AA267" s="162"/>
      <c r="AB267" s="162"/>
      <c r="AC267" s="163"/>
      <c r="AD267" s="163">
        <v>5.6302742616033754</v>
      </c>
      <c r="AE267" s="163"/>
      <c r="AF267" s="163"/>
      <c r="AG267" s="163"/>
      <c r="AH267" s="163"/>
      <c r="AI267" s="163"/>
      <c r="AJ267" s="163"/>
      <c r="AK267" s="164">
        <v>20.02849988937378</v>
      </c>
      <c r="AL267" s="164">
        <v>26.481382229635159</v>
      </c>
      <c r="AM267" s="164">
        <v>20.33095241728283</v>
      </c>
      <c r="AN267" s="164">
        <v>26.881280426810097</v>
      </c>
      <c r="AO267" s="164"/>
      <c r="AP267" s="164"/>
      <c r="AS267" s="167"/>
      <c r="AT267" s="1170"/>
      <c r="AU267" s="1171"/>
      <c r="AV267" s="1171"/>
      <c r="AW267" s="1172"/>
      <c r="AX267" s="1172"/>
      <c r="AY267" s="1172"/>
      <c r="AZ267" s="1172"/>
      <c r="BA267" s="1236" t="s">
        <v>54</v>
      </c>
      <c r="BB267" s="1237">
        <v>2010</v>
      </c>
      <c r="BC267" s="1236" t="s">
        <v>312</v>
      </c>
      <c r="BD267" s="1236">
        <v>3</v>
      </c>
      <c r="BE267" s="1238">
        <v>63363439</v>
      </c>
      <c r="BF267" s="1239">
        <v>9.6000000000000002E-2</v>
      </c>
      <c r="BG267" s="1236"/>
      <c r="BH267" s="1236" t="s">
        <v>61</v>
      </c>
      <c r="BI267" s="1236" t="s">
        <v>316</v>
      </c>
      <c r="BJ267" s="1236" t="s">
        <v>308</v>
      </c>
      <c r="BK267" s="1236">
        <v>5</v>
      </c>
      <c r="BL267" s="1238">
        <v>210501410.90205574</v>
      </c>
      <c r="BM267" s="1239">
        <v>7.0996754318504579E-2</v>
      </c>
      <c r="BN267" s="1236">
        <v>2005</v>
      </c>
      <c r="BO267" s="174"/>
      <c r="BP267" s="174"/>
      <c r="BQ267" s="174"/>
      <c r="BR267" s="174"/>
      <c r="BS267" s="174"/>
      <c r="BT267" s="174"/>
      <c r="BU267" s="174"/>
      <c r="BV267" s="174"/>
      <c r="BW267" s="174"/>
      <c r="BX267" s="174"/>
    </row>
    <row r="268" spans="1:76" s="152" customFormat="1" ht="15" customHeight="1" x14ac:dyDescent="0.25">
      <c r="A268" s="152">
        <f t="shared" si="8"/>
        <v>1992</v>
      </c>
      <c r="B268" s="152" t="str">
        <f t="shared" ref="B268:B331" si="9">IF(MONTH(C268) &gt;= 7, A268 &amp; "-" &amp; RIGHT(A268+1, 2), A268-1 &amp; "-" &amp; RIGHT(A268, 2))</f>
        <v>1991-92</v>
      </c>
      <c r="C268" s="173">
        <v>33756</v>
      </c>
      <c r="D268" s="169">
        <v>0.75602380952380932</v>
      </c>
      <c r="E268" s="170">
        <v>169.24348999999995</v>
      </c>
      <c r="F268" s="170">
        <v>223.86</v>
      </c>
      <c r="G268" s="170"/>
      <c r="H268" s="170"/>
      <c r="I268" s="169">
        <v>340.89</v>
      </c>
      <c r="J268" s="169">
        <v>453.09</v>
      </c>
      <c r="K268" s="169"/>
      <c r="L268" s="170"/>
      <c r="M268" s="170">
        <v>7178.3</v>
      </c>
      <c r="N268" s="170">
        <v>9494.8067899096168</v>
      </c>
      <c r="O268" s="170">
        <v>2300.4</v>
      </c>
      <c r="P268" s="170">
        <v>3042.7613138916017</v>
      </c>
      <c r="Q268" s="170">
        <v>548.35</v>
      </c>
      <c r="R268" s="170">
        <v>725.30784492803855</v>
      </c>
      <c r="S268" s="170">
        <v>1386</v>
      </c>
      <c r="T268" s="170">
        <v>1833.275596006677</v>
      </c>
      <c r="U268" s="170">
        <v>171.61740476190471</v>
      </c>
      <c r="V268" s="170">
        <v>227</v>
      </c>
      <c r="W268" s="170">
        <v>1606.390843416717</v>
      </c>
      <c r="X268" s="170">
        <v>2124.7886947218258</v>
      </c>
      <c r="Y268" s="170"/>
      <c r="Z268" s="170"/>
      <c r="AA268" s="170"/>
      <c r="AB268" s="170"/>
      <c r="AC268" s="170"/>
      <c r="AD268" s="170">
        <v>5.625334045964725</v>
      </c>
      <c r="AE268" s="170"/>
      <c r="AF268" s="170"/>
      <c r="AG268" s="170"/>
      <c r="AH268" s="170"/>
      <c r="AI268" s="170"/>
      <c r="AJ268" s="170"/>
      <c r="AK268" s="170">
        <v>21.277727387168191</v>
      </c>
      <c r="AL268" s="170">
        <v>28.144255669104158</v>
      </c>
      <c r="AM268" s="170">
        <v>22.495454441417348</v>
      </c>
      <c r="AN268" s="170">
        <v>29.754955013369724</v>
      </c>
      <c r="AO268" s="170"/>
      <c r="AP268" s="170"/>
      <c r="AS268" s="167"/>
      <c r="AT268" s="1170"/>
      <c r="AU268" s="1171"/>
      <c r="AV268" s="1171"/>
      <c r="AW268" s="1172"/>
      <c r="AX268" s="1172"/>
      <c r="AY268" s="1172"/>
      <c r="AZ268" s="1172"/>
      <c r="BA268" s="1236" t="s">
        <v>54</v>
      </c>
      <c r="BB268" s="1237">
        <v>2010</v>
      </c>
      <c r="BC268" s="1236" t="s">
        <v>315</v>
      </c>
      <c r="BD268" s="1236">
        <v>4</v>
      </c>
      <c r="BE268" s="1238">
        <v>45342680</v>
      </c>
      <c r="BF268" s="1239">
        <v>6.9000000000000006E-2</v>
      </c>
      <c r="BG268" s="1236"/>
      <c r="BH268" s="1236" t="s">
        <v>61</v>
      </c>
      <c r="BI268" s="1236" t="s">
        <v>316</v>
      </c>
      <c r="BJ268" s="1236" t="s">
        <v>320</v>
      </c>
      <c r="BK268" s="1236">
        <v>6</v>
      </c>
      <c r="BL268" s="1238">
        <v>186489750.94</v>
      </c>
      <c r="BM268" s="1239">
        <v>6.2898234143270476E-2</v>
      </c>
      <c r="BN268" s="1236">
        <v>2005</v>
      </c>
      <c r="BO268" s="174"/>
      <c r="BP268" s="174"/>
      <c r="BQ268" s="174"/>
      <c r="BR268" s="174"/>
      <c r="BS268" s="174"/>
      <c r="BT268" s="174"/>
      <c r="BU268" s="174"/>
      <c r="BV268" s="174"/>
      <c r="BW268" s="174"/>
      <c r="BX268" s="174"/>
    </row>
    <row r="269" spans="1:76" s="152" customFormat="1" ht="15" customHeight="1" x14ac:dyDescent="0.25">
      <c r="A269" s="152">
        <f t="shared" si="8"/>
        <v>1992</v>
      </c>
      <c r="B269" s="152" t="str">
        <f t="shared" si="9"/>
        <v>1992-93</v>
      </c>
      <c r="C269" s="173">
        <v>33786</v>
      </c>
      <c r="D269" s="154">
        <v>0.74541304347826076</v>
      </c>
      <c r="E269" s="155">
        <v>177.00578130434781</v>
      </c>
      <c r="F269" s="155">
        <v>237.46</v>
      </c>
      <c r="G269" s="155"/>
      <c r="H269" s="155"/>
      <c r="I269" s="156">
        <v>352.45</v>
      </c>
      <c r="J269" s="156">
        <v>475.17</v>
      </c>
      <c r="K269" s="157"/>
      <c r="L269" s="158"/>
      <c r="M269" s="159">
        <v>7522</v>
      </c>
      <c r="N269" s="159">
        <v>10091.049607745927</v>
      </c>
      <c r="O269" s="175">
        <v>2522.9</v>
      </c>
      <c r="P269" s="175">
        <v>3384.5664790457586</v>
      </c>
      <c r="Q269" s="175">
        <v>626.77</v>
      </c>
      <c r="R269" s="175">
        <v>840.83583656566259</v>
      </c>
      <c r="S269" s="175">
        <v>1320.6</v>
      </c>
      <c r="T269" s="175">
        <v>1771.6352182915805</v>
      </c>
      <c r="U269" s="161">
        <v>155.7913260869565</v>
      </c>
      <c r="V269" s="161">
        <v>209</v>
      </c>
      <c r="W269" s="161">
        <v>1700.8480701081426</v>
      </c>
      <c r="X269" s="161">
        <v>2281.7524927812001</v>
      </c>
      <c r="Y269" s="162"/>
      <c r="Z269" s="162"/>
      <c r="AA269" s="162"/>
      <c r="AB269" s="162"/>
      <c r="AC269" s="163"/>
      <c r="AD269" s="163">
        <v>5.5630206933619997</v>
      </c>
      <c r="AE269" s="163"/>
      <c r="AF269" s="163"/>
      <c r="AG269" s="163"/>
      <c r="AH269" s="163"/>
      <c r="AI269" s="163"/>
      <c r="AJ269" s="163"/>
      <c r="AK269" s="164">
        <v>20.336521646250848</v>
      </c>
      <c r="AL269" s="164">
        <v>27.282218662764709</v>
      </c>
      <c r="AM269" s="164">
        <v>22.919565200805664</v>
      </c>
      <c r="AN269" s="164">
        <v>30.747470011871467</v>
      </c>
      <c r="AO269" s="164"/>
      <c r="AP269" s="164"/>
      <c r="AS269" s="167"/>
      <c r="AT269" s="1170"/>
      <c r="AU269" s="1171"/>
      <c r="AV269" s="1171"/>
      <c r="AW269" s="1172"/>
      <c r="AX269" s="1172"/>
      <c r="AY269" s="1172"/>
      <c r="AZ269" s="1172"/>
      <c r="BA269" s="1236" t="s">
        <v>54</v>
      </c>
      <c r="BB269" s="1237">
        <v>2010</v>
      </c>
      <c r="BC269" s="1236" t="s">
        <v>314</v>
      </c>
      <c r="BD269" s="1236">
        <v>5</v>
      </c>
      <c r="BE269" s="1238">
        <v>35138410</v>
      </c>
      <c r="BF269" s="1239">
        <v>5.2999999999999999E-2</v>
      </c>
      <c r="BG269" s="1236"/>
      <c r="BH269" s="1236" t="s">
        <v>61</v>
      </c>
      <c r="BI269" s="1236" t="s">
        <v>316</v>
      </c>
      <c r="BJ269" s="1236" t="s">
        <v>315</v>
      </c>
      <c r="BK269" s="1236">
        <v>7</v>
      </c>
      <c r="BL269" s="1238">
        <v>165285113.75999999</v>
      </c>
      <c r="BM269" s="1239">
        <v>5.5746451122766327E-2</v>
      </c>
      <c r="BN269" s="1236">
        <v>2005</v>
      </c>
      <c r="BO269" s="174"/>
      <c r="BP269" s="174"/>
      <c r="BQ269" s="174"/>
      <c r="BR269" s="174"/>
      <c r="BS269" s="174"/>
      <c r="BT269" s="174"/>
      <c r="BU269" s="174"/>
      <c r="BV269" s="174"/>
      <c r="BW269" s="174"/>
      <c r="BX269" s="174"/>
    </row>
    <row r="270" spans="1:76" s="152" customFormat="1" ht="15" customHeight="1" x14ac:dyDescent="0.25">
      <c r="A270" s="152">
        <f t="shared" si="8"/>
        <v>1992</v>
      </c>
      <c r="B270" s="152" t="str">
        <f t="shared" si="9"/>
        <v>1992-93</v>
      </c>
      <c r="C270" s="173">
        <v>33817</v>
      </c>
      <c r="D270" s="169">
        <v>0.72580476190476195</v>
      </c>
      <c r="E270" s="170">
        <v>170.25928104761906</v>
      </c>
      <c r="F270" s="170">
        <v>234.58</v>
      </c>
      <c r="G270" s="170"/>
      <c r="H270" s="170"/>
      <c r="I270" s="169">
        <v>343.6</v>
      </c>
      <c r="J270" s="169">
        <v>475.5</v>
      </c>
      <c r="K270" s="169"/>
      <c r="L270" s="170"/>
      <c r="M270" s="170">
        <v>7272.88</v>
      </c>
      <c r="N270" s="170">
        <v>10020.435772443068</v>
      </c>
      <c r="O270" s="170">
        <v>2646.5</v>
      </c>
      <c r="P270" s="170">
        <v>3646.2973776235244</v>
      </c>
      <c r="Q270" s="170">
        <v>688.11</v>
      </c>
      <c r="R270" s="170">
        <v>948.06487380182261</v>
      </c>
      <c r="S270" s="170">
        <v>1431.5</v>
      </c>
      <c r="T270" s="170">
        <v>1972.2934804715946</v>
      </c>
      <c r="U270" s="170">
        <v>151.69319523809526</v>
      </c>
      <c r="V270" s="170">
        <v>209</v>
      </c>
      <c r="W270" s="170">
        <v>1603.8021337113883</v>
      </c>
      <c r="X270" s="170">
        <v>2209.6880840275262</v>
      </c>
      <c r="Y270" s="170"/>
      <c r="Z270" s="170"/>
      <c r="AA270" s="170"/>
      <c r="AB270" s="170"/>
      <c r="AC270" s="170"/>
      <c r="AD270" s="170">
        <v>5.5368657134847208</v>
      </c>
      <c r="AE270" s="170"/>
      <c r="AF270" s="170"/>
      <c r="AG270" s="170"/>
      <c r="AH270" s="170"/>
      <c r="AI270" s="170"/>
      <c r="AJ270" s="170"/>
      <c r="AK270" s="170">
        <v>19.774761835734051</v>
      </c>
      <c r="AL270" s="170">
        <v>27.245290846312798</v>
      </c>
      <c r="AM270" s="170">
        <v>22.388095129103888</v>
      </c>
      <c r="AN270" s="170">
        <v>30.845891766195923</v>
      </c>
      <c r="AO270" s="170"/>
      <c r="AP270" s="170"/>
      <c r="AS270" s="167"/>
      <c r="AT270" s="1170"/>
      <c r="AU270" s="1171"/>
      <c r="AV270" s="1171"/>
      <c r="AW270" s="1172"/>
      <c r="AX270" s="1172"/>
      <c r="AY270" s="1172"/>
      <c r="AZ270" s="1172"/>
      <c r="BA270" s="1236" t="s">
        <v>54</v>
      </c>
      <c r="BB270" s="1237">
        <v>2010</v>
      </c>
      <c r="BC270" s="1236" t="s">
        <v>322</v>
      </c>
      <c r="BD270" s="1236">
        <v>6</v>
      </c>
      <c r="BE270" s="1238">
        <v>30226497</v>
      </c>
      <c r="BF270" s="1239">
        <v>4.5999999999999999E-2</v>
      </c>
      <c r="BG270" s="1236"/>
      <c r="BH270" s="1236" t="s">
        <v>61</v>
      </c>
      <c r="BI270" s="1236" t="s">
        <v>316</v>
      </c>
      <c r="BJ270" s="1236" t="s">
        <v>298</v>
      </c>
      <c r="BK270" s="1236">
        <v>8</v>
      </c>
      <c r="BL270" s="1238">
        <v>147979653.22</v>
      </c>
      <c r="BM270" s="1239">
        <v>4.9909760883675124E-2</v>
      </c>
      <c r="BN270" s="1236">
        <v>2005</v>
      </c>
      <c r="BO270" s="174"/>
      <c r="BP270" s="174"/>
      <c r="BQ270" s="174"/>
      <c r="BR270" s="174"/>
      <c r="BS270" s="174"/>
      <c r="BT270" s="174"/>
      <c r="BU270" s="174"/>
      <c r="BV270" s="174"/>
      <c r="BW270" s="174"/>
      <c r="BX270" s="174"/>
    </row>
    <row r="271" spans="1:76" s="152" customFormat="1" ht="15" customHeight="1" x14ac:dyDescent="0.25">
      <c r="A271" s="152">
        <f t="shared" si="8"/>
        <v>1992</v>
      </c>
      <c r="B271" s="152" t="str">
        <f t="shared" si="9"/>
        <v>1992-93</v>
      </c>
      <c r="C271" s="173">
        <v>33848</v>
      </c>
      <c r="D271" s="154">
        <v>0.72248181818181834</v>
      </c>
      <c r="E271" s="155">
        <v>173.77132690909096</v>
      </c>
      <c r="F271" s="155">
        <v>240.52</v>
      </c>
      <c r="G271" s="155"/>
      <c r="H271" s="155"/>
      <c r="I271" s="156">
        <v>345.3</v>
      </c>
      <c r="J271" s="156">
        <v>480.16</v>
      </c>
      <c r="K271" s="157"/>
      <c r="L271" s="158"/>
      <c r="M271" s="159">
        <v>6945.67</v>
      </c>
      <c r="N271" s="159">
        <v>9613.6260113497647</v>
      </c>
      <c r="O271" s="175">
        <v>2528.1999999999998</v>
      </c>
      <c r="P271" s="175">
        <v>3499.3268153964227</v>
      </c>
      <c r="Q271" s="175">
        <v>651.47</v>
      </c>
      <c r="R271" s="175">
        <v>901.71127301095953</v>
      </c>
      <c r="S271" s="175">
        <v>1428.6</v>
      </c>
      <c r="T271" s="175">
        <v>1977.3507983843565</v>
      </c>
      <c r="U271" s="161">
        <v>150.99870000000004</v>
      </c>
      <c r="V271" s="161">
        <v>209</v>
      </c>
      <c r="W271" s="161">
        <v>1591.923977694003</v>
      </c>
      <c r="X271" s="161">
        <v>2203.4104355735949</v>
      </c>
      <c r="Y271" s="162"/>
      <c r="Z271" s="162"/>
      <c r="AA271" s="162"/>
      <c r="AB271" s="162"/>
      <c r="AC271" s="163"/>
      <c r="AD271" s="163">
        <v>5.4481792717086837</v>
      </c>
      <c r="AE271" s="163"/>
      <c r="AF271" s="163"/>
      <c r="AG271" s="163"/>
      <c r="AH271" s="163"/>
      <c r="AI271" s="163"/>
      <c r="AJ271" s="163"/>
      <c r="AK271" s="164">
        <v>20.312272592024371</v>
      </c>
      <c r="AL271" s="164">
        <v>28.114579607195907</v>
      </c>
      <c r="AM271" s="164">
        <v>21.693181818181817</v>
      </c>
      <c r="AN271" s="164">
        <v>30.025920752960115</v>
      </c>
      <c r="AO271" s="164"/>
      <c r="AP271" s="164"/>
      <c r="AS271" s="167"/>
      <c r="AT271" s="1170"/>
      <c r="AU271" s="1171"/>
      <c r="AV271" s="1171"/>
      <c r="AW271" s="1172"/>
      <c r="AX271" s="1172"/>
      <c r="AY271" s="1172"/>
      <c r="AZ271" s="1172"/>
      <c r="BA271" s="1236" t="s">
        <v>54</v>
      </c>
      <c r="BB271" s="1237">
        <v>2010</v>
      </c>
      <c r="BC271" s="1236" t="s">
        <v>287</v>
      </c>
      <c r="BD271" s="1236">
        <v>7</v>
      </c>
      <c r="BE271" s="1238">
        <v>28431387</v>
      </c>
      <c r="BF271" s="1239">
        <v>4.2999999999999997E-2</v>
      </c>
      <c r="BG271" s="1236"/>
      <c r="BH271" s="1236" t="s">
        <v>61</v>
      </c>
      <c r="BI271" s="1236" t="s">
        <v>316</v>
      </c>
      <c r="BJ271" s="1236" t="s">
        <v>291</v>
      </c>
      <c r="BK271" s="1236"/>
      <c r="BL271" s="1238">
        <v>123999050.8</v>
      </c>
      <c r="BM271" s="1239">
        <v>4.1821715624849501E-2</v>
      </c>
      <c r="BN271" s="1236">
        <v>2005</v>
      </c>
      <c r="BO271" s="174"/>
      <c r="BP271" s="174"/>
      <c r="BQ271" s="174"/>
      <c r="BR271" s="174"/>
      <c r="BS271" s="174"/>
      <c r="BT271" s="174"/>
      <c r="BU271" s="174"/>
      <c r="BV271" s="174"/>
      <c r="BW271" s="174"/>
      <c r="BX271" s="174"/>
    </row>
    <row r="272" spans="1:76" s="152" customFormat="1" ht="15" customHeight="1" x14ac:dyDescent="0.25">
      <c r="A272" s="152">
        <f t="shared" si="8"/>
        <v>1992</v>
      </c>
      <c r="B272" s="152" t="str">
        <f t="shared" si="9"/>
        <v>1992-93</v>
      </c>
      <c r="C272" s="173">
        <v>33878</v>
      </c>
      <c r="D272" s="169">
        <v>0.71581363636363615</v>
      </c>
      <c r="E272" s="170">
        <v>170.37796172727269</v>
      </c>
      <c r="F272" s="170">
        <v>238.02</v>
      </c>
      <c r="G272" s="170"/>
      <c r="H272" s="170"/>
      <c r="I272" s="169">
        <v>344.27</v>
      </c>
      <c r="J272" s="169">
        <v>482.75</v>
      </c>
      <c r="K272" s="169"/>
      <c r="L272" s="170"/>
      <c r="M272" s="170">
        <v>6338.5</v>
      </c>
      <c r="N272" s="170">
        <v>8854.9584389029678</v>
      </c>
      <c r="O272" s="170">
        <v>2249.6</v>
      </c>
      <c r="P272" s="170">
        <v>3142.7174416906391</v>
      </c>
      <c r="Q272" s="170">
        <v>538.26</v>
      </c>
      <c r="R272" s="170">
        <v>751.95549882841544</v>
      </c>
      <c r="S272" s="170">
        <v>1164</v>
      </c>
      <c r="T272" s="170">
        <v>1626.1215781151777</v>
      </c>
      <c r="U272" s="170">
        <v>125.98319999999997</v>
      </c>
      <c r="V272" s="170">
        <v>176</v>
      </c>
      <c r="W272" s="170">
        <v>1658.4236652547768</v>
      </c>
      <c r="X272" s="170">
        <v>2316.8372059515937</v>
      </c>
      <c r="Y272" s="170"/>
      <c r="Z272" s="170"/>
      <c r="AA272" s="170"/>
      <c r="AB272" s="170"/>
      <c r="AC272" s="170"/>
      <c r="AD272" s="170">
        <v>5.4788610871440895</v>
      </c>
      <c r="AE272" s="170"/>
      <c r="AF272" s="170"/>
      <c r="AG272" s="170"/>
      <c r="AH272" s="170"/>
      <c r="AI272" s="170"/>
      <c r="AJ272" s="170"/>
      <c r="AK272" s="170">
        <v>20.264545440673828</v>
      </c>
      <c r="AL272" s="170">
        <v>28.309806367504514</v>
      </c>
      <c r="AM272" s="170">
        <v>21.654999906366523</v>
      </c>
      <c r="AN272" s="170">
        <v>30.252287475794464</v>
      </c>
      <c r="AO272" s="170"/>
      <c r="AP272" s="170"/>
      <c r="AS272" s="167"/>
      <c r="AT272" s="1170"/>
      <c r="AU272" s="1171"/>
      <c r="AV272" s="1171"/>
      <c r="AW272" s="1172"/>
      <c r="AX272" s="1172"/>
      <c r="AY272" s="1172"/>
      <c r="AZ272" s="1172"/>
      <c r="BA272" s="1236" t="s">
        <v>54</v>
      </c>
      <c r="BB272" s="1237">
        <v>2010</v>
      </c>
      <c r="BC272" s="1236" t="s">
        <v>285</v>
      </c>
      <c r="BD272" s="1236">
        <v>8</v>
      </c>
      <c r="BE272" s="1238">
        <v>26061563</v>
      </c>
      <c r="BF272" s="1239">
        <v>3.9E-2</v>
      </c>
      <c r="BG272" s="1236"/>
      <c r="BH272" s="1236" t="s">
        <v>61</v>
      </c>
      <c r="BI272" s="1236" t="s">
        <v>316</v>
      </c>
      <c r="BJ272" s="1236" t="s">
        <v>292</v>
      </c>
      <c r="BK272" s="1236"/>
      <c r="BL272" s="1238">
        <v>2964944143.1886792</v>
      </c>
      <c r="BM272" s="1239"/>
      <c r="BN272" s="1236">
        <v>2005</v>
      </c>
      <c r="BO272" s="174"/>
      <c r="BP272" s="174"/>
      <c r="BQ272" s="174"/>
      <c r="BR272" s="174"/>
      <c r="BS272" s="174"/>
      <c r="BT272" s="174"/>
      <c r="BU272" s="174"/>
      <c r="BV272" s="174"/>
      <c r="BW272" s="174"/>
      <c r="BX272" s="174"/>
    </row>
    <row r="273" spans="1:76" s="152" customFormat="1" ht="15" customHeight="1" x14ac:dyDescent="0.25">
      <c r="A273" s="152">
        <f t="shared" si="8"/>
        <v>1992</v>
      </c>
      <c r="B273" s="152" t="str">
        <f t="shared" si="9"/>
        <v>1992-93</v>
      </c>
      <c r="C273" s="173">
        <v>33909</v>
      </c>
      <c r="D273" s="154">
        <v>0.69018571428571429</v>
      </c>
      <c r="E273" s="155">
        <v>166.29334600000001</v>
      </c>
      <c r="F273" s="155">
        <v>240.94</v>
      </c>
      <c r="G273" s="155"/>
      <c r="H273" s="155"/>
      <c r="I273" s="156">
        <v>334.92</v>
      </c>
      <c r="J273" s="156">
        <v>485.91</v>
      </c>
      <c r="K273" s="157"/>
      <c r="L273" s="158"/>
      <c r="M273" s="159">
        <v>5671.63</v>
      </c>
      <c r="N273" s="159">
        <v>8217.5418624386821</v>
      </c>
      <c r="O273" s="175">
        <v>2158.5</v>
      </c>
      <c r="P273" s="175">
        <v>3127.4191211475172</v>
      </c>
      <c r="Q273" s="175">
        <v>460.48</v>
      </c>
      <c r="R273" s="175">
        <v>667.18274584480366</v>
      </c>
      <c r="S273" s="175">
        <v>1047.3</v>
      </c>
      <c r="T273" s="175">
        <v>1517.4176722621239</v>
      </c>
      <c r="U273" s="161">
        <v>121.47268571428572</v>
      </c>
      <c r="V273" s="161">
        <v>176</v>
      </c>
      <c r="W273" s="161">
        <v>1596.7350816118221</v>
      </c>
      <c r="X273" s="161">
        <v>2313.4861365021329</v>
      </c>
      <c r="Y273" s="162"/>
      <c r="Z273" s="162"/>
      <c r="AA273" s="162"/>
      <c r="AB273" s="162"/>
      <c r="AC273" s="163"/>
      <c r="AD273" s="163">
        <v>5.7159607210904291</v>
      </c>
      <c r="AE273" s="163"/>
      <c r="AF273" s="163"/>
      <c r="AG273" s="163"/>
      <c r="AH273" s="163"/>
      <c r="AI273" s="163"/>
      <c r="AJ273" s="163"/>
      <c r="AK273" s="164">
        <v>19.151428404308501</v>
      </c>
      <c r="AL273" s="164">
        <v>27.748224873255541</v>
      </c>
      <c r="AM273" s="164">
        <v>21.020952315557572</v>
      </c>
      <c r="AN273" s="164">
        <v>30.45695076043777</v>
      </c>
      <c r="AO273" s="164"/>
      <c r="AP273" s="164"/>
      <c r="AS273" s="167"/>
      <c r="AT273" s="1170"/>
      <c r="AU273" s="1171"/>
      <c r="AV273" s="1171"/>
      <c r="AW273" s="1172"/>
      <c r="AX273" s="1172"/>
      <c r="AY273" s="1172"/>
      <c r="AZ273" s="1172"/>
      <c r="BA273" s="1236" t="s">
        <v>54</v>
      </c>
      <c r="BB273" s="1237">
        <v>2010</v>
      </c>
      <c r="BC273" s="1236" t="s">
        <v>306</v>
      </c>
      <c r="BD273" s="1236">
        <v>9</v>
      </c>
      <c r="BE273" s="1238">
        <v>21340156</v>
      </c>
      <c r="BF273" s="1239">
        <v>3.2000000000000001E-2</v>
      </c>
      <c r="BG273" s="1236"/>
      <c r="BH273" s="1236" t="s">
        <v>61</v>
      </c>
      <c r="BI273" s="1236" t="s">
        <v>317</v>
      </c>
      <c r="BJ273" s="1236" t="s">
        <v>305</v>
      </c>
      <c r="BK273" s="1236">
        <v>1</v>
      </c>
      <c r="BL273" s="1238">
        <v>676007499.02399993</v>
      </c>
      <c r="BM273" s="1239">
        <v>0.22348479180077857</v>
      </c>
      <c r="BN273" s="1236">
        <v>2004</v>
      </c>
      <c r="BO273" s="174"/>
      <c r="BP273" s="174"/>
      <c r="BQ273" s="174"/>
      <c r="BR273" s="174"/>
      <c r="BS273" s="174"/>
      <c r="BT273" s="174"/>
      <c r="BU273" s="174"/>
      <c r="BV273" s="174"/>
      <c r="BW273" s="174"/>
      <c r="BX273" s="174"/>
    </row>
    <row r="274" spans="1:76" s="152" customFormat="1" ht="15" customHeight="1" x14ac:dyDescent="0.25">
      <c r="A274" s="152">
        <f t="shared" si="8"/>
        <v>1992</v>
      </c>
      <c r="B274" s="152" t="str">
        <f t="shared" si="9"/>
        <v>1992-93</v>
      </c>
      <c r="C274" s="173">
        <v>33939</v>
      </c>
      <c r="D274" s="169">
        <v>0.6895714285714285</v>
      </c>
      <c r="E274" s="170">
        <v>168.67606714285714</v>
      </c>
      <c r="F274" s="170">
        <v>244.61</v>
      </c>
      <c r="G274" s="170"/>
      <c r="H274" s="170"/>
      <c r="I274" s="169">
        <v>334.65</v>
      </c>
      <c r="J274" s="169">
        <v>486.08</v>
      </c>
      <c r="K274" s="169"/>
      <c r="L274" s="170"/>
      <c r="M274" s="170">
        <v>5686.08</v>
      </c>
      <c r="N274" s="170">
        <v>8245.8172778123062</v>
      </c>
      <c r="O274" s="170">
        <v>2209.1999999999998</v>
      </c>
      <c r="P274" s="170">
        <v>3203.7290242386575</v>
      </c>
      <c r="Q274" s="170">
        <v>454.16</v>
      </c>
      <c r="R274" s="170">
        <v>658.61197431116648</v>
      </c>
      <c r="S274" s="170">
        <v>1058.4000000000001</v>
      </c>
      <c r="T274" s="170">
        <v>1534.8663766314485</v>
      </c>
      <c r="U274" s="170">
        <v>121.36457142857142</v>
      </c>
      <c r="V274" s="170">
        <v>176</v>
      </c>
      <c r="W274" s="170">
        <v>1476.3365171269486</v>
      </c>
      <c r="X274" s="170">
        <v>2140.947922081757</v>
      </c>
      <c r="Y274" s="170"/>
      <c r="Z274" s="170"/>
      <c r="AA274" s="170"/>
      <c r="AB274" s="170"/>
      <c r="AC274" s="170"/>
      <c r="AD274" s="170">
        <v>5.6976744186046515</v>
      </c>
      <c r="AE274" s="170"/>
      <c r="AF274" s="170"/>
      <c r="AG274" s="170"/>
      <c r="AH274" s="170"/>
      <c r="AI274" s="170"/>
      <c r="AJ274" s="170"/>
      <c r="AK274" s="170">
        <v>18.145454666831277</v>
      </c>
      <c r="AL274" s="170">
        <v>26.314104551029409</v>
      </c>
      <c r="AM274" s="170">
        <v>19.980434832365617</v>
      </c>
      <c r="AN274" s="170">
        <v>28.975148917870175</v>
      </c>
      <c r="AO274" s="170"/>
      <c r="AP274" s="170"/>
      <c r="AS274" s="167"/>
      <c r="AT274" s="1170"/>
      <c r="AU274" s="1171"/>
      <c r="AV274" s="1171"/>
      <c r="AW274" s="1172"/>
      <c r="AX274" s="1172"/>
      <c r="AY274" s="1172"/>
      <c r="AZ274" s="1172"/>
      <c r="BA274" s="1236" t="s">
        <v>54</v>
      </c>
      <c r="BB274" s="1237">
        <v>2010</v>
      </c>
      <c r="BC274" s="1236" t="s">
        <v>324</v>
      </c>
      <c r="BD274" s="1236">
        <v>10</v>
      </c>
      <c r="BE274" s="1238">
        <v>20559499</v>
      </c>
      <c r="BF274" s="1239">
        <v>3.1E-2</v>
      </c>
      <c r="BG274" s="1236"/>
      <c r="BH274" s="1236" t="s">
        <v>61</v>
      </c>
      <c r="BI274" s="1236" t="s">
        <v>317</v>
      </c>
      <c r="BJ274" s="1236" t="s">
        <v>309</v>
      </c>
      <c r="BK274" s="1236">
        <v>2</v>
      </c>
      <c r="BL274" s="1238">
        <v>593087715.92404997</v>
      </c>
      <c r="BM274" s="1239">
        <v>0.19607191474096342</v>
      </c>
      <c r="BN274" s="1236">
        <v>2004</v>
      </c>
      <c r="BO274" s="174"/>
      <c r="BP274" s="174"/>
      <c r="BQ274" s="174"/>
      <c r="BR274" s="174"/>
      <c r="BS274" s="174"/>
      <c r="BT274" s="174"/>
      <c r="BU274" s="174"/>
      <c r="BV274" s="174"/>
      <c r="BW274" s="174"/>
      <c r="BX274" s="174"/>
    </row>
    <row r="275" spans="1:76" s="152" customFormat="1" ht="15" customHeight="1" x14ac:dyDescent="0.25">
      <c r="A275" s="152">
        <f t="shared" si="8"/>
        <v>1993</v>
      </c>
      <c r="B275" s="152" t="str">
        <f t="shared" si="9"/>
        <v>1992-93</v>
      </c>
      <c r="C275" s="173">
        <v>33970</v>
      </c>
      <c r="D275" s="154">
        <v>0.6739750000000001</v>
      </c>
      <c r="E275" s="155">
        <v>170.40783900000002</v>
      </c>
      <c r="F275" s="155">
        <v>252.84</v>
      </c>
      <c r="G275" s="155"/>
      <c r="H275" s="155"/>
      <c r="I275" s="156">
        <v>328.99</v>
      </c>
      <c r="J275" s="156">
        <v>489.16</v>
      </c>
      <c r="K275" s="157"/>
      <c r="L275" s="158"/>
      <c r="M275" s="159">
        <v>5845.75</v>
      </c>
      <c r="N275" s="159">
        <v>8673.54130346081</v>
      </c>
      <c r="O275" s="175">
        <v>2258.6999999999998</v>
      </c>
      <c r="P275" s="175">
        <v>3351.3112504172996</v>
      </c>
      <c r="Q275" s="175">
        <v>437.25</v>
      </c>
      <c r="R275" s="175">
        <v>648.76293631069393</v>
      </c>
      <c r="S275" s="175">
        <v>1061.2</v>
      </c>
      <c r="T275" s="175">
        <v>1574.5391149523348</v>
      </c>
      <c r="U275" s="161">
        <v>124.68537500000002</v>
      </c>
      <c r="V275" s="161">
        <v>185</v>
      </c>
      <c r="W275" s="161">
        <v>1527.3042857251726</v>
      </c>
      <c r="X275" s="161">
        <v>2266.1141521943282</v>
      </c>
      <c r="Y275" s="162"/>
      <c r="Z275" s="162"/>
      <c r="AA275" s="162"/>
      <c r="AB275" s="162"/>
      <c r="AC275" s="163"/>
      <c r="AD275" s="163">
        <v>5.7193396226415096</v>
      </c>
      <c r="AE275" s="163"/>
      <c r="AF275" s="163"/>
      <c r="AG275" s="163"/>
      <c r="AH275" s="163"/>
      <c r="AI275" s="163"/>
      <c r="AJ275" s="163"/>
      <c r="AK275" s="164">
        <v>17.351999950408935</v>
      </c>
      <c r="AL275" s="164">
        <v>25.745762009583341</v>
      </c>
      <c r="AM275" s="164">
        <v>18.921499824523927</v>
      </c>
      <c r="AN275" s="164">
        <v>28.074483214546422</v>
      </c>
      <c r="AO275" s="164"/>
      <c r="AP275" s="164"/>
      <c r="AS275" s="167"/>
      <c r="AT275" s="1170"/>
      <c r="AU275" s="1171"/>
      <c r="AV275" s="1171"/>
      <c r="AW275" s="1172"/>
      <c r="AX275" s="1172"/>
      <c r="AY275" s="1172"/>
      <c r="AZ275" s="1172"/>
      <c r="BA275" s="1236" t="s">
        <v>54</v>
      </c>
      <c r="BB275" s="1237">
        <v>2010</v>
      </c>
      <c r="BC275" s="1236" t="s">
        <v>291</v>
      </c>
      <c r="BD275" s="1236"/>
      <c r="BE275" s="1238">
        <v>104483885</v>
      </c>
      <c r="BF275" s="1239">
        <v>0.158</v>
      </c>
      <c r="BG275" s="1236"/>
      <c r="BH275" s="1236" t="s">
        <v>61</v>
      </c>
      <c r="BI275" s="1236" t="s">
        <v>317</v>
      </c>
      <c r="BJ275" s="1236" t="s">
        <v>308</v>
      </c>
      <c r="BK275" s="1236">
        <v>3</v>
      </c>
      <c r="BL275" s="1238">
        <v>453335315.47582501</v>
      </c>
      <c r="BM275" s="1239">
        <v>0.14987045075879868</v>
      </c>
      <c r="BN275" s="1236">
        <v>2004</v>
      </c>
      <c r="BO275" s="174"/>
      <c r="BP275" s="174"/>
      <c r="BQ275" s="174"/>
      <c r="BR275" s="174"/>
      <c r="BS275" s="174"/>
      <c r="BT275" s="174"/>
      <c r="BU275" s="174"/>
      <c r="BV275" s="174"/>
      <c r="BW275" s="174"/>
      <c r="BX275" s="174"/>
    </row>
    <row r="276" spans="1:76" s="152" customFormat="1" ht="15" customHeight="1" x14ac:dyDescent="0.25">
      <c r="A276" s="152">
        <f t="shared" si="8"/>
        <v>1993</v>
      </c>
      <c r="B276" s="152" t="str">
        <f t="shared" si="9"/>
        <v>1992-93</v>
      </c>
      <c r="C276" s="173">
        <v>34001</v>
      </c>
      <c r="D276" s="169">
        <v>0.68123499999999992</v>
      </c>
      <c r="E276" s="170">
        <v>175.75181764999999</v>
      </c>
      <c r="F276" s="170">
        <v>257.99</v>
      </c>
      <c r="G276" s="170"/>
      <c r="H276" s="170"/>
      <c r="I276" s="169">
        <v>329.31</v>
      </c>
      <c r="J276" s="169">
        <v>483.92</v>
      </c>
      <c r="K276" s="169"/>
      <c r="L276" s="170"/>
      <c r="M276" s="170">
        <v>6052.38</v>
      </c>
      <c r="N276" s="170">
        <v>8884.4231432618708</v>
      </c>
      <c r="O276" s="170">
        <v>2211</v>
      </c>
      <c r="P276" s="170">
        <v>3245.5760493809044</v>
      </c>
      <c r="Q276" s="170">
        <v>413.71</v>
      </c>
      <c r="R276" s="170">
        <v>607.29410555828758</v>
      </c>
      <c r="S276" s="170">
        <v>1072.5</v>
      </c>
      <c r="T276" s="170">
        <v>1574.3465911176027</v>
      </c>
      <c r="U276" s="170">
        <v>126.02847499999999</v>
      </c>
      <c r="V276" s="170">
        <v>185</v>
      </c>
      <c r="W276" s="170">
        <v>1528.6185876795478</v>
      </c>
      <c r="X276" s="170">
        <v>2243.893205251562</v>
      </c>
      <c r="Y276" s="170"/>
      <c r="Z276" s="170"/>
      <c r="AA276" s="170"/>
      <c r="AB276" s="170"/>
      <c r="AC276" s="170"/>
      <c r="AD276" s="170">
        <v>5.6226632154155878</v>
      </c>
      <c r="AE276" s="170"/>
      <c r="AF276" s="170"/>
      <c r="AG276" s="170"/>
      <c r="AH276" s="170"/>
      <c r="AI276" s="170"/>
      <c r="AJ276" s="170"/>
      <c r="AK276" s="170">
        <v>18.482000160217286</v>
      </c>
      <c r="AL276" s="170">
        <v>27.130138880441091</v>
      </c>
      <c r="AM276" s="170">
        <v>19.648999977111817</v>
      </c>
      <c r="AN276" s="170">
        <v>28.843203853459993</v>
      </c>
      <c r="AO276" s="170"/>
      <c r="AP276" s="170"/>
      <c r="AS276" s="167"/>
      <c r="AT276" s="1170"/>
      <c r="AU276" s="1171"/>
      <c r="AV276" s="1171"/>
      <c r="AW276" s="1172"/>
      <c r="AX276" s="1172"/>
      <c r="AY276" s="1172"/>
      <c r="AZ276" s="1172"/>
      <c r="BA276" s="1236" t="s">
        <v>54</v>
      </c>
      <c r="BB276" s="1237">
        <v>2010</v>
      </c>
      <c r="BC276" s="1236" t="s">
        <v>292</v>
      </c>
      <c r="BD276" s="1236"/>
      <c r="BE276" s="1238">
        <v>661623371</v>
      </c>
      <c r="BF276" s="1239"/>
      <c r="BG276" s="1236"/>
      <c r="BH276" s="1236" t="s">
        <v>61</v>
      </c>
      <c r="BI276" s="1236" t="s">
        <v>317</v>
      </c>
      <c r="BJ276" s="1236" t="s">
        <v>325</v>
      </c>
      <c r="BK276" s="1236">
        <v>4</v>
      </c>
      <c r="BL276" s="1238">
        <v>446530529.08579999</v>
      </c>
      <c r="BM276" s="1239">
        <v>0.14762082146945033</v>
      </c>
      <c r="BN276" s="1236">
        <v>2004</v>
      </c>
      <c r="BO276" s="174"/>
      <c r="BP276" s="174"/>
      <c r="BQ276" s="174"/>
      <c r="BR276" s="174"/>
      <c r="BS276" s="174"/>
      <c r="BT276" s="174"/>
      <c r="BU276" s="174"/>
      <c r="BV276" s="174"/>
      <c r="BW276" s="174"/>
      <c r="BX276" s="174"/>
    </row>
    <row r="277" spans="1:76" s="152" customFormat="1" ht="15" customHeight="1" x14ac:dyDescent="0.25">
      <c r="A277" s="152">
        <f t="shared" si="8"/>
        <v>1993</v>
      </c>
      <c r="B277" s="152" t="str">
        <f t="shared" si="9"/>
        <v>1992-93</v>
      </c>
      <c r="C277" s="173">
        <v>34029</v>
      </c>
      <c r="D277" s="154">
        <v>0.70733043478260882</v>
      </c>
      <c r="E277" s="155">
        <v>166.18728565217393</v>
      </c>
      <c r="F277" s="155">
        <v>234.95</v>
      </c>
      <c r="G277" s="155"/>
      <c r="H277" s="155"/>
      <c r="I277" s="156">
        <v>329.97</v>
      </c>
      <c r="J277" s="156">
        <v>467.03</v>
      </c>
      <c r="K277" s="157"/>
      <c r="L277" s="158"/>
      <c r="M277" s="159">
        <v>5982.42</v>
      </c>
      <c r="N277" s="159">
        <v>8457.7443664482489</v>
      </c>
      <c r="O277" s="175">
        <v>2152.6</v>
      </c>
      <c r="P277" s="175">
        <v>3043.2735453573137</v>
      </c>
      <c r="Q277" s="175">
        <v>405.84</v>
      </c>
      <c r="R277" s="175">
        <v>573.76295440296019</v>
      </c>
      <c r="S277" s="175">
        <v>996.39</v>
      </c>
      <c r="T277" s="175">
        <v>1408.6626999250086</v>
      </c>
      <c r="U277" s="161">
        <v>130.85613043478264</v>
      </c>
      <c r="V277" s="161">
        <v>185</v>
      </c>
      <c r="W277" s="161">
        <v>1614.638753710004</v>
      </c>
      <c r="X277" s="161">
        <v>2282.7220126704256</v>
      </c>
      <c r="Y277" s="162"/>
      <c r="Z277" s="162"/>
      <c r="AA277" s="162"/>
      <c r="AB277" s="162"/>
      <c r="AC277" s="163"/>
      <c r="AD277" s="163">
        <v>5.387014459880918</v>
      </c>
      <c r="AE277" s="163"/>
      <c r="AF277" s="163"/>
      <c r="AG277" s="163"/>
      <c r="AH277" s="163"/>
      <c r="AI277" s="163"/>
      <c r="AJ277" s="163"/>
      <c r="AK277" s="164">
        <v>18.746086701102879</v>
      </c>
      <c r="AL277" s="164">
        <v>26.502587446084245</v>
      </c>
      <c r="AM277" s="164">
        <v>20.81347830399223</v>
      </c>
      <c r="AN277" s="164">
        <v>29.425396222896943</v>
      </c>
      <c r="AO277" s="164"/>
      <c r="AP277" s="164"/>
      <c r="AS277" s="167"/>
      <c r="AT277" s="1170"/>
      <c r="AU277" s="1171"/>
      <c r="AV277" s="1171"/>
      <c r="AW277" s="1172"/>
      <c r="AX277" s="1172"/>
      <c r="AY277" s="1172"/>
      <c r="AZ277" s="1172"/>
      <c r="BA277" s="1236" t="s">
        <v>54</v>
      </c>
      <c r="BB277" s="1237">
        <v>2009</v>
      </c>
      <c r="BC277" s="1236" t="s">
        <v>281</v>
      </c>
      <c r="BD277" s="1236">
        <v>1</v>
      </c>
      <c r="BE277" s="1238">
        <v>209836492</v>
      </c>
      <c r="BF277" s="1239">
        <v>0.29699999999999999</v>
      </c>
      <c r="BG277" s="1236"/>
      <c r="BH277" s="1236" t="s">
        <v>61</v>
      </c>
      <c r="BI277" s="1236" t="s">
        <v>317</v>
      </c>
      <c r="BJ277" s="1236" t="s">
        <v>281</v>
      </c>
      <c r="BK277" s="1236">
        <v>5</v>
      </c>
      <c r="BL277" s="1238">
        <v>253224077.28597003</v>
      </c>
      <c r="BM277" s="1239">
        <v>8.3714648540001074E-2</v>
      </c>
      <c r="BN277" s="1236">
        <v>2004</v>
      </c>
      <c r="BO277" s="174"/>
      <c r="BP277" s="174"/>
      <c r="BQ277" s="174"/>
      <c r="BR277" s="174"/>
      <c r="BS277" s="174"/>
      <c r="BT277" s="174"/>
      <c r="BU277" s="174"/>
      <c r="BV277" s="174"/>
      <c r="BW277" s="174"/>
      <c r="BX277" s="174"/>
    </row>
    <row r="278" spans="1:76" s="152" customFormat="1" ht="15" customHeight="1" x14ac:dyDescent="0.25">
      <c r="A278" s="152">
        <f t="shared" si="8"/>
        <v>1993</v>
      </c>
      <c r="B278" s="152" t="str">
        <f t="shared" si="9"/>
        <v>1992-93</v>
      </c>
      <c r="C278" s="173">
        <v>34060</v>
      </c>
      <c r="D278" s="169">
        <v>0.71178000000000019</v>
      </c>
      <c r="E278" s="170">
        <v>170.05847760000003</v>
      </c>
      <c r="F278" s="170">
        <v>238.92</v>
      </c>
      <c r="G278" s="170"/>
      <c r="H278" s="170"/>
      <c r="I278" s="169">
        <v>341.94</v>
      </c>
      <c r="J278" s="169">
        <v>480.75</v>
      </c>
      <c r="K278" s="169"/>
      <c r="L278" s="170"/>
      <c r="M278" s="170">
        <v>5975.88</v>
      </c>
      <c r="N278" s="170">
        <v>8395.6840596813599</v>
      </c>
      <c r="O278" s="170">
        <v>1960.3</v>
      </c>
      <c r="P278" s="170">
        <v>2754.0813172609505</v>
      </c>
      <c r="Q278" s="170">
        <v>423.1</v>
      </c>
      <c r="R278" s="170">
        <v>594.42524375509277</v>
      </c>
      <c r="S278" s="170">
        <v>1004.2</v>
      </c>
      <c r="T278" s="170">
        <v>1410.8291887942901</v>
      </c>
      <c r="U278" s="170">
        <v>111.74946000000003</v>
      </c>
      <c r="V278" s="170">
        <v>157</v>
      </c>
      <c r="W278" s="170">
        <v>1594.7940547696476</v>
      </c>
      <c r="X278" s="170">
        <v>2240.5716018568196</v>
      </c>
      <c r="Y278" s="170"/>
      <c r="Z278" s="170"/>
      <c r="AA278" s="170"/>
      <c r="AB278" s="170"/>
      <c r="AC278" s="170"/>
      <c r="AD278" s="170">
        <v>5.7913972448692714</v>
      </c>
      <c r="AE278" s="170"/>
      <c r="AF278" s="170"/>
      <c r="AG278" s="170"/>
      <c r="AH278" s="170"/>
      <c r="AI278" s="170"/>
      <c r="AJ278" s="170"/>
      <c r="AK278" s="170">
        <v>18.627618971325102</v>
      </c>
      <c r="AL278" s="170">
        <v>26.170472577657559</v>
      </c>
      <c r="AM278" s="170">
        <v>20.692272619767621</v>
      </c>
      <c r="AN278" s="170">
        <v>29.071163308561093</v>
      </c>
      <c r="AO278" s="170"/>
      <c r="AP278" s="170"/>
      <c r="AS278" s="167"/>
      <c r="AT278" s="1170"/>
      <c r="AU278" s="1171"/>
      <c r="AV278" s="1171"/>
      <c r="AW278" s="1172"/>
      <c r="AX278" s="1172"/>
      <c r="AY278" s="1172"/>
      <c r="AZ278" s="1172"/>
      <c r="BA278" s="1236" t="s">
        <v>54</v>
      </c>
      <c r="BB278" s="1237">
        <v>2009</v>
      </c>
      <c r="BC278" s="1236" t="s">
        <v>286</v>
      </c>
      <c r="BD278" s="1236">
        <v>2</v>
      </c>
      <c r="BE278" s="1238">
        <v>99411560</v>
      </c>
      <c r="BF278" s="1239">
        <v>0.14099999999999999</v>
      </c>
      <c r="BG278" s="1236"/>
      <c r="BH278" s="1236" t="s">
        <v>61</v>
      </c>
      <c r="BI278" s="1236" t="s">
        <v>317</v>
      </c>
      <c r="BJ278" s="1236" t="s">
        <v>298</v>
      </c>
      <c r="BK278" s="1236">
        <v>6</v>
      </c>
      <c r="BL278" s="1238">
        <v>205715736.69999999</v>
      </c>
      <c r="BM278" s="1239">
        <v>6.800862217197251E-2</v>
      </c>
      <c r="BN278" s="1236">
        <v>2004</v>
      </c>
      <c r="BO278" s="174"/>
      <c r="BP278" s="174"/>
      <c r="BQ278" s="174"/>
      <c r="BR278" s="174"/>
      <c r="BS278" s="174"/>
      <c r="BT278" s="174"/>
      <c r="BU278" s="174"/>
      <c r="BV278" s="174"/>
      <c r="BW278" s="174"/>
      <c r="BX278" s="174"/>
    </row>
    <row r="279" spans="1:76" s="152" customFormat="1" ht="15" customHeight="1" x14ac:dyDescent="0.25">
      <c r="A279" s="152">
        <f t="shared" si="8"/>
        <v>1993</v>
      </c>
      <c r="B279" s="152" t="str">
        <f t="shared" si="9"/>
        <v>1992-93</v>
      </c>
      <c r="C279" s="173">
        <v>34090</v>
      </c>
      <c r="D279" s="154">
        <v>0.69787142857142848</v>
      </c>
      <c r="E279" s="155">
        <v>167.09135614285714</v>
      </c>
      <c r="F279" s="155">
        <v>239.43</v>
      </c>
      <c r="G279" s="155"/>
      <c r="H279" s="155"/>
      <c r="I279" s="156">
        <v>367.04</v>
      </c>
      <c r="J279" s="156">
        <v>525.61</v>
      </c>
      <c r="K279" s="157"/>
      <c r="L279" s="158"/>
      <c r="M279" s="159">
        <v>5788.13</v>
      </c>
      <c r="N279" s="159">
        <v>8293.9776053714377</v>
      </c>
      <c r="O279" s="175">
        <v>1796.9</v>
      </c>
      <c r="P279" s="175">
        <v>2574.8295838365648</v>
      </c>
      <c r="Q279" s="175">
        <v>407.26</v>
      </c>
      <c r="R279" s="175">
        <v>583.57454299809626</v>
      </c>
      <c r="S279" s="175">
        <v>980.45</v>
      </c>
      <c r="T279" s="175">
        <v>1404.9149454463575</v>
      </c>
      <c r="U279" s="161">
        <v>109.56581428571427</v>
      </c>
      <c r="V279" s="161">
        <v>157</v>
      </c>
      <c r="W279" s="161">
        <v>1513.0353553802247</v>
      </c>
      <c r="X279" s="161">
        <v>2168.0717872022219</v>
      </c>
      <c r="Y279" s="162"/>
      <c r="Z279" s="162"/>
      <c r="AA279" s="162"/>
      <c r="AB279" s="162"/>
      <c r="AC279" s="163"/>
      <c r="AD279" s="163">
        <v>6.6002310803004045</v>
      </c>
      <c r="AE279" s="163"/>
      <c r="AF279" s="163"/>
      <c r="AG279" s="163"/>
      <c r="AH279" s="163"/>
      <c r="AI279" s="163"/>
      <c r="AJ279" s="163"/>
      <c r="AK279" s="164">
        <v>18.510999774932863</v>
      </c>
      <c r="AL279" s="164">
        <v>26.52494287210703</v>
      </c>
      <c r="AM279" s="164">
        <v>20.25952366420201</v>
      </c>
      <c r="AN279" s="164">
        <v>29.030452938407421</v>
      </c>
      <c r="AO279" s="164"/>
      <c r="AP279" s="164"/>
      <c r="AS279" s="167"/>
      <c r="AT279" s="1170"/>
      <c r="AU279" s="1171"/>
      <c r="AV279" s="1171"/>
      <c r="AW279" s="1172"/>
      <c r="AX279" s="1172"/>
      <c r="AY279" s="1172"/>
      <c r="AZ279" s="1172"/>
      <c r="BA279" s="1236" t="s">
        <v>54</v>
      </c>
      <c r="BB279" s="1237">
        <v>2009</v>
      </c>
      <c r="BC279" s="1236" t="s">
        <v>290</v>
      </c>
      <c r="BD279" s="1236">
        <v>3</v>
      </c>
      <c r="BE279" s="1238">
        <v>70198914</v>
      </c>
      <c r="BF279" s="1239">
        <v>9.9000000000000005E-2</v>
      </c>
      <c r="BG279" s="1236"/>
      <c r="BH279" s="1236" t="s">
        <v>61</v>
      </c>
      <c r="BI279" s="1236" t="s">
        <v>317</v>
      </c>
      <c r="BJ279" s="1236" t="s">
        <v>315</v>
      </c>
      <c r="BK279" s="1236">
        <v>7</v>
      </c>
      <c r="BL279" s="1238">
        <v>168121515.56709999</v>
      </c>
      <c r="BM279" s="1239">
        <v>5.5580155483468646E-2</v>
      </c>
      <c r="BN279" s="1236">
        <v>2004</v>
      </c>
      <c r="BO279" s="174"/>
      <c r="BP279" s="174"/>
      <c r="BQ279" s="174"/>
      <c r="BR279" s="174"/>
      <c r="BS279" s="174"/>
      <c r="BT279" s="174"/>
      <c r="BU279" s="174"/>
      <c r="BV279" s="174"/>
      <c r="BW279" s="174"/>
      <c r="BX279" s="174"/>
    </row>
    <row r="280" spans="1:76" s="152" customFormat="1" ht="15" customHeight="1" x14ac:dyDescent="0.25">
      <c r="A280" s="152">
        <f t="shared" si="8"/>
        <v>1993</v>
      </c>
      <c r="B280" s="152" t="str">
        <f t="shared" si="9"/>
        <v>1992-93</v>
      </c>
      <c r="C280" s="173">
        <v>34121</v>
      </c>
      <c r="D280" s="169">
        <v>0.67494545454545463</v>
      </c>
      <c r="E280" s="170">
        <v>167.92642909090912</v>
      </c>
      <c r="F280" s="170">
        <v>248.8</v>
      </c>
      <c r="G280" s="170"/>
      <c r="H280" s="170"/>
      <c r="I280" s="169">
        <v>371.91</v>
      </c>
      <c r="J280" s="169">
        <v>551.71</v>
      </c>
      <c r="K280" s="169"/>
      <c r="L280" s="170"/>
      <c r="M280" s="170">
        <v>5548.25</v>
      </c>
      <c r="N280" s="170">
        <v>8220.2938958030263</v>
      </c>
      <c r="O280" s="170">
        <v>1854.3</v>
      </c>
      <c r="P280" s="170">
        <v>2747.3331178277031</v>
      </c>
      <c r="Q280" s="170">
        <v>394.25</v>
      </c>
      <c r="R280" s="170">
        <v>584.12127579333003</v>
      </c>
      <c r="S280" s="170">
        <v>926.34</v>
      </c>
      <c r="T280" s="170">
        <v>1372.466461936318</v>
      </c>
      <c r="U280" s="170">
        <v>105.96643636363638</v>
      </c>
      <c r="V280" s="170">
        <v>157</v>
      </c>
      <c r="W280" s="170">
        <v>1510.5266336374705</v>
      </c>
      <c r="X280" s="170">
        <v>2237.9980833484419</v>
      </c>
      <c r="Y280" s="170"/>
      <c r="Z280" s="170"/>
      <c r="AA280" s="170"/>
      <c r="AB280" s="170"/>
      <c r="AC280" s="170"/>
      <c r="AD280" s="170">
        <v>6.7519333729922666</v>
      </c>
      <c r="AE280" s="170"/>
      <c r="AF280" s="170"/>
      <c r="AG280" s="170"/>
      <c r="AH280" s="170"/>
      <c r="AI280" s="170"/>
      <c r="AJ280" s="170"/>
      <c r="AK280" s="170">
        <v>17.593636426058683</v>
      </c>
      <c r="AL280" s="170">
        <v>26.066752961403683</v>
      </c>
      <c r="AM280" s="170">
        <v>19.134090596979316</v>
      </c>
      <c r="AN280" s="170">
        <v>28.349091720108351</v>
      </c>
      <c r="AO280" s="170"/>
      <c r="AP280" s="170"/>
      <c r="AS280" s="167"/>
      <c r="AT280" s="1170"/>
      <c r="AU280" s="1171"/>
      <c r="AV280" s="1171"/>
      <c r="AW280" s="1172"/>
      <c r="AX280" s="1172"/>
      <c r="AY280" s="1172"/>
      <c r="AZ280" s="1172"/>
      <c r="BA280" s="1236" t="s">
        <v>54</v>
      </c>
      <c r="BB280" s="1237">
        <v>2009</v>
      </c>
      <c r="BC280" s="1236" t="s">
        <v>324</v>
      </c>
      <c r="BD280" s="1236">
        <v>4</v>
      </c>
      <c r="BE280" s="1238">
        <v>50286074</v>
      </c>
      <c r="BF280" s="1239">
        <v>7.0999999999999994E-2</v>
      </c>
      <c r="BG280" s="1236"/>
      <c r="BH280" s="1236" t="s">
        <v>61</v>
      </c>
      <c r="BI280" s="1236" t="s">
        <v>317</v>
      </c>
      <c r="BJ280" s="1236" t="s">
        <v>320</v>
      </c>
      <c r="BK280" s="1236">
        <v>8</v>
      </c>
      <c r="BL280" s="1238">
        <v>132393526.52408001</v>
      </c>
      <c r="BM280" s="1239">
        <v>4.3768656048524743E-2</v>
      </c>
      <c r="BN280" s="1236">
        <v>2004</v>
      </c>
      <c r="BO280" s="174"/>
      <c r="BP280" s="174"/>
      <c r="BQ280" s="174"/>
      <c r="BR280" s="174"/>
      <c r="BS280" s="174"/>
      <c r="BT280" s="174"/>
      <c r="BU280" s="174"/>
      <c r="BV280" s="174"/>
      <c r="BW280" s="174"/>
      <c r="BX280" s="174"/>
    </row>
    <row r="281" spans="1:76" s="152" customFormat="1" ht="15" customHeight="1" x14ac:dyDescent="0.25">
      <c r="A281" s="152">
        <f t="shared" si="8"/>
        <v>1993</v>
      </c>
      <c r="B281" s="152" t="str">
        <f t="shared" si="9"/>
        <v>1993-94</v>
      </c>
      <c r="C281" s="173">
        <v>34151</v>
      </c>
      <c r="D281" s="154">
        <v>0.67747272727272734</v>
      </c>
      <c r="E281" s="155">
        <v>167.05799981818183</v>
      </c>
      <c r="F281" s="155">
        <v>246.59</v>
      </c>
      <c r="G281" s="155"/>
      <c r="H281" s="155"/>
      <c r="I281" s="156">
        <v>392.03</v>
      </c>
      <c r="J281" s="156">
        <v>578.71</v>
      </c>
      <c r="K281" s="157"/>
      <c r="L281" s="158"/>
      <c r="M281" s="159">
        <v>5039</v>
      </c>
      <c r="N281" s="159">
        <v>7437.9377901827638</v>
      </c>
      <c r="O281" s="175">
        <v>1927.2</v>
      </c>
      <c r="P281" s="175">
        <v>2844.6901586108797</v>
      </c>
      <c r="Q281" s="175">
        <v>388.25</v>
      </c>
      <c r="R281" s="175">
        <v>573.08580016639371</v>
      </c>
      <c r="S281" s="175">
        <v>927.91</v>
      </c>
      <c r="T281" s="175">
        <v>1369.6639918413352</v>
      </c>
      <c r="U281" s="161">
        <v>108.39563636363637</v>
      </c>
      <c r="V281" s="161">
        <v>160</v>
      </c>
      <c r="W281" s="161">
        <v>1565.412709029584</v>
      </c>
      <c r="X281" s="161">
        <v>2310.6652799610079</v>
      </c>
      <c r="Y281" s="162"/>
      <c r="Z281" s="162"/>
      <c r="AA281" s="162"/>
      <c r="AB281" s="162"/>
      <c r="AC281" s="163"/>
      <c r="AD281" s="163">
        <v>7.609013754755634</v>
      </c>
      <c r="AE281" s="163"/>
      <c r="AF281" s="163"/>
      <c r="AG281" s="163"/>
      <c r="AH281" s="163"/>
      <c r="AI281" s="163"/>
      <c r="AJ281" s="163"/>
      <c r="AK281" s="164">
        <v>16.76499990983443</v>
      </c>
      <c r="AL281" s="164">
        <v>24.746383485169307</v>
      </c>
      <c r="AM281" s="164">
        <v>18.761905034383137</v>
      </c>
      <c r="AN281" s="164">
        <v>27.69396357830097</v>
      </c>
      <c r="AO281" s="164"/>
      <c r="AP281" s="164"/>
      <c r="AS281" s="167"/>
      <c r="AT281" s="1170"/>
      <c r="AU281" s="1171"/>
      <c r="AV281" s="1171"/>
      <c r="AW281" s="1172"/>
      <c r="AX281" s="1172"/>
      <c r="AY281" s="1172"/>
      <c r="AZ281" s="1172"/>
      <c r="BA281" s="1236" t="s">
        <v>54</v>
      </c>
      <c r="BB281" s="1237">
        <v>2009</v>
      </c>
      <c r="BC281" s="1236" t="s">
        <v>308</v>
      </c>
      <c r="BD281" s="1236">
        <v>5</v>
      </c>
      <c r="BE281" s="1238">
        <v>41974327</v>
      </c>
      <c r="BF281" s="1239">
        <v>5.8999999999999997E-2</v>
      </c>
      <c r="BG281" s="1236"/>
      <c r="BH281" s="1236" t="s">
        <v>61</v>
      </c>
      <c r="BI281" s="1236" t="s">
        <v>317</v>
      </c>
      <c r="BJ281" s="1236" t="s">
        <v>291</v>
      </c>
      <c r="BK281" s="1236"/>
      <c r="BL281" s="1238">
        <v>96431965.9039855</v>
      </c>
      <c r="BM281" s="1239">
        <v>3.1879938986042022E-2</v>
      </c>
      <c r="BN281" s="1236">
        <v>2004</v>
      </c>
      <c r="BO281" s="174"/>
      <c r="BP281" s="174"/>
      <c r="BQ281" s="174"/>
      <c r="BR281" s="174"/>
      <c r="BS281" s="174"/>
      <c r="BT281" s="174"/>
      <c r="BU281" s="174"/>
      <c r="BV281" s="174"/>
      <c r="BW281" s="174"/>
      <c r="BX281" s="174"/>
    </row>
    <row r="282" spans="1:76" s="152" customFormat="1" ht="15" customHeight="1" x14ac:dyDescent="0.25">
      <c r="A282" s="152">
        <f t="shared" si="8"/>
        <v>1993</v>
      </c>
      <c r="B282" s="152" t="str">
        <f t="shared" si="9"/>
        <v>1993-94</v>
      </c>
      <c r="C282" s="173">
        <v>34182</v>
      </c>
      <c r="D282" s="169">
        <v>0.67846818181818191</v>
      </c>
      <c r="E282" s="170">
        <v>164.50818004545457</v>
      </c>
      <c r="F282" s="170">
        <v>242.47</v>
      </c>
      <c r="G282" s="170"/>
      <c r="H282" s="170"/>
      <c r="I282" s="169">
        <v>379.79</v>
      </c>
      <c r="J282" s="169">
        <v>559.66999999999996</v>
      </c>
      <c r="K282" s="169"/>
      <c r="L282" s="170"/>
      <c r="M282" s="170">
        <v>4723</v>
      </c>
      <c r="N282" s="170">
        <v>6961.2697051513087</v>
      </c>
      <c r="O282" s="170">
        <v>1948.2</v>
      </c>
      <c r="P282" s="170">
        <v>2871.4684818072792</v>
      </c>
      <c r="Q282" s="170">
        <v>388.18</v>
      </c>
      <c r="R282" s="170">
        <v>572.14178999484125</v>
      </c>
      <c r="S282" s="170">
        <v>884.09</v>
      </c>
      <c r="T282" s="170">
        <v>1303.0677394933773</v>
      </c>
      <c r="U282" s="170">
        <v>108.55490909090911</v>
      </c>
      <c r="V282" s="170">
        <v>160</v>
      </c>
      <c r="W282" s="170">
        <v>1578.5651145685333</v>
      </c>
      <c r="X282" s="170">
        <v>2326.6604932573864</v>
      </c>
      <c r="Y282" s="170"/>
      <c r="Z282" s="170"/>
      <c r="AA282" s="170"/>
      <c r="AB282" s="170"/>
      <c r="AC282" s="170"/>
      <c r="AD282" s="170">
        <v>7.4537865235539655</v>
      </c>
      <c r="AE282" s="170"/>
      <c r="AF282" s="170"/>
      <c r="AG282" s="170"/>
      <c r="AH282" s="170"/>
      <c r="AI282" s="170"/>
      <c r="AJ282" s="170"/>
      <c r="AK282" s="170">
        <v>16.706190472557431</v>
      </c>
      <c r="AL282" s="170">
        <v>24.623395643680176</v>
      </c>
      <c r="AM282" s="170">
        <v>19.047619138445175</v>
      </c>
      <c r="AN282" s="170">
        <v>28.074447186897878</v>
      </c>
      <c r="AO282" s="170"/>
      <c r="AP282" s="170"/>
      <c r="AS282" s="167"/>
      <c r="AT282" s="1170"/>
      <c r="AU282" s="1171"/>
      <c r="AV282" s="1171"/>
      <c r="AW282" s="1172"/>
      <c r="AX282" s="1172"/>
      <c r="AY282" s="1172"/>
      <c r="AZ282" s="1172"/>
      <c r="BA282" s="1236" t="s">
        <v>54</v>
      </c>
      <c r="BB282" s="1237">
        <v>2009</v>
      </c>
      <c r="BC282" s="1236" t="s">
        <v>312</v>
      </c>
      <c r="BD282" s="1236">
        <v>6</v>
      </c>
      <c r="BE282" s="1238">
        <v>33689089</v>
      </c>
      <c r="BF282" s="1239">
        <v>4.8000000000000001E-2</v>
      </c>
      <c r="BG282" s="1236"/>
      <c r="BH282" s="1236" t="s">
        <v>61</v>
      </c>
      <c r="BI282" s="1236" t="s">
        <v>317</v>
      </c>
      <c r="BJ282" s="1236" t="s">
        <v>292</v>
      </c>
      <c r="BK282" s="1236"/>
      <c r="BL282" s="1238">
        <v>3024847881.4908104</v>
      </c>
      <c r="BM282" s="1239"/>
      <c r="BN282" s="1236">
        <v>2004</v>
      </c>
      <c r="BO282" s="174"/>
      <c r="BP282" s="174"/>
      <c r="BQ282" s="174"/>
      <c r="BR282" s="174"/>
      <c r="BS282" s="174"/>
      <c r="BT282" s="174"/>
      <c r="BU282" s="174"/>
      <c r="BV282" s="174"/>
      <c r="BW282" s="174"/>
      <c r="BX282" s="174"/>
    </row>
    <row r="283" spans="1:76" s="152" customFormat="1" ht="15" customHeight="1" x14ac:dyDescent="0.25">
      <c r="A283" s="152">
        <f t="shared" si="8"/>
        <v>1993</v>
      </c>
      <c r="B283" s="152" t="str">
        <f t="shared" si="9"/>
        <v>1993-94</v>
      </c>
      <c r="C283" s="173">
        <v>34213</v>
      </c>
      <c r="D283" s="154">
        <v>0.6521136363636364</v>
      </c>
      <c r="E283" s="155">
        <v>162.81973272727274</v>
      </c>
      <c r="F283" s="155">
        <v>249.68</v>
      </c>
      <c r="G283" s="155"/>
      <c r="H283" s="155"/>
      <c r="I283" s="156">
        <v>355.56</v>
      </c>
      <c r="J283" s="156">
        <v>545.63</v>
      </c>
      <c r="K283" s="157"/>
      <c r="L283" s="158"/>
      <c r="M283" s="159">
        <v>4355</v>
      </c>
      <c r="N283" s="159">
        <v>6678.2839019970024</v>
      </c>
      <c r="O283" s="175">
        <v>1861.9</v>
      </c>
      <c r="P283" s="175">
        <v>2855.1772209249643</v>
      </c>
      <c r="Q283" s="175">
        <v>375.73</v>
      </c>
      <c r="R283" s="175">
        <v>576.17258564806752</v>
      </c>
      <c r="S283" s="175">
        <v>874.55</v>
      </c>
      <c r="T283" s="175">
        <v>1341.100616875196</v>
      </c>
      <c r="U283" s="161">
        <v>104.33818181818182</v>
      </c>
      <c r="V283" s="161">
        <v>160</v>
      </c>
      <c r="W283" s="161">
        <v>1542.708974035942</v>
      </c>
      <c r="X283" s="161">
        <v>2365.7057420827882</v>
      </c>
      <c r="Y283" s="162"/>
      <c r="Z283" s="162"/>
      <c r="AA283" s="162"/>
      <c r="AB283" s="162"/>
      <c r="AC283" s="163"/>
      <c r="AD283" s="163">
        <v>6.7565473423214018</v>
      </c>
      <c r="AE283" s="163"/>
      <c r="AF283" s="163"/>
      <c r="AG283" s="163"/>
      <c r="AH283" s="163"/>
      <c r="AI283" s="163"/>
      <c r="AJ283" s="163"/>
      <c r="AK283" s="164">
        <v>15.992272680455988</v>
      </c>
      <c r="AL283" s="164">
        <v>24.523751365840567</v>
      </c>
      <c r="AM283" s="164">
        <v>18.415908900174227</v>
      </c>
      <c r="AN283" s="164">
        <v>28.240337072026833</v>
      </c>
      <c r="AO283" s="164"/>
      <c r="AP283" s="164"/>
      <c r="AS283" s="167"/>
      <c r="AT283" s="1170"/>
      <c r="AU283" s="1171"/>
      <c r="AV283" s="1171"/>
      <c r="AW283" s="1172"/>
      <c r="AX283" s="1172"/>
      <c r="AY283" s="1172"/>
      <c r="AZ283" s="1172"/>
      <c r="BA283" s="1236" t="s">
        <v>54</v>
      </c>
      <c r="BB283" s="1237">
        <v>2009</v>
      </c>
      <c r="BC283" s="1236" t="s">
        <v>314</v>
      </c>
      <c r="BD283" s="1236">
        <v>7</v>
      </c>
      <c r="BE283" s="1238">
        <v>33671932</v>
      </c>
      <c r="BF283" s="1239">
        <v>4.8000000000000001E-2</v>
      </c>
      <c r="BG283" s="1236"/>
      <c r="BH283" s="1236" t="s">
        <v>54</v>
      </c>
      <c r="BI283" s="1236" t="s">
        <v>280</v>
      </c>
      <c r="BJ283" s="1236" t="s">
        <v>281</v>
      </c>
      <c r="BK283" s="1236">
        <v>1</v>
      </c>
      <c r="BL283" s="1238">
        <v>180417494</v>
      </c>
      <c r="BM283" s="1239">
        <v>0.214</v>
      </c>
      <c r="BN283" s="1236">
        <v>2015</v>
      </c>
      <c r="BO283" s="174"/>
      <c r="BP283" s="174"/>
      <c r="BQ283" s="174"/>
      <c r="BR283" s="174"/>
      <c r="BS283" s="174"/>
      <c r="BT283" s="174"/>
      <c r="BU283" s="174"/>
      <c r="BV283" s="174"/>
      <c r="BW283" s="174"/>
      <c r="BX283" s="174"/>
    </row>
    <row r="284" spans="1:76" s="152" customFormat="1" ht="15" customHeight="1" x14ac:dyDescent="0.25">
      <c r="A284" s="152">
        <f t="shared" si="8"/>
        <v>1993</v>
      </c>
      <c r="B284" s="152" t="str">
        <f t="shared" si="9"/>
        <v>1993-94</v>
      </c>
      <c r="C284" s="173">
        <v>34243</v>
      </c>
      <c r="D284" s="169">
        <v>0.66031904761904758</v>
      </c>
      <c r="E284" s="170">
        <v>162.39226338095239</v>
      </c>
      <c r="F284" s="170">
        <v>245.93</v>
      </c>
      <c r="G284" s="170"/>
      <c r="H284" s="170"/>
      <c r="I284" s="169">
        <v>364</v>
      </c>
      <c r="J284" s="169">
        <v>551.63</v>
      </c>
      <c r="K284" s="169"/>
      <c r="L284" s="170"/>
      <c r="M284" s="170">
        <v>4451</v>
      </c>
      <c r="N284" s="170">
        <v>6740.680911824732</v>
      </c>
      <c r="O284" s="170">
        <v>1646.4</v>
      </c>
      <c r="P284" s="170">
        <v>2493.3401602399995</v>
      </c>
      <c r="Q284" s="170">
        <v>384.3</v>
      </c>
      <c r="R284" s="170">
        <v>581.99138944377546</v>
      </c>
      <c r="S284" s="170">
        <v>915.2</v>
      </c>
      <c r="T284" s="170">
        <v>1385.9966682772399</v>
      </c>
      <c r="U284" s="170">
        <v>115.55583333333333</v>
      </c>
      <c r="V284" s="170">
        <v>175</v>
      </c>
      <c r="W284" s="170">
        <v>1467.6503033100028</v>
      </c>
      <c r="X284" s="170">
        <v>2222.6381453056647</v>
      </c>
      <c r="Y284" s="170"/>
      <c r="Z284" s="170"/>
      <c r="AA284" s="170"/>
      <c r="AB284" s="170"/>
      <c r="AC284" s="170"/>
      <c r="AD284" s="170">
        <v>6.8157934244107485</v>
      </c>
      <c r="AE284" s="170"/>
      <c r="AF284" s="170"/>
      <c r="AG284" s="170"/>
      <c r="AH284" s="170"/>
      <c r="AI284" s="170"/>
      <c r="AJ284" s="170"/>
      <c r="AK284" s="170">
        <v>16.558571633838472</v>
      </c>
      <c r="AL284" s="170">
        <v>25.076622722825757</v>
      </c>
      <c r="AM284" s="170">
        <v>18.226190294538224</v>
      </c>
      <c r="AN284" s="170">
        <v>27.602096835245785</v>
      </c>
      <c r="AO284" s="170"/>
      <c r="AP284" s="170"/>
      <c r="AS284" s="167"/>
      <c r="AT284" s="1170"/>
      <c r="AU284" s="1171"/>
      <c r="AV284" s="1171"/>
      <c r="AW284" s="1172"/>
      <c r="AX284" s="1172"/>
      <c r="AY284" s="1172"/>
      <c r="AZ284" s="1172"/>
      <c r="BA284" s="1236" t="s">
        <v>54</v>
      </c>
      <c r="BB284" s="1237">
        <v>2009</v>
      </c>
      <c r="BC284" s="1236" t="s">
        <v>285</v>
      </c>
      <c r="BD284" s="1236">
        <v>8</v>
      </c>
      <c r="BE284" s="1238">
        <v>31465232</v>
      </c>
      <c r="BF284" s="1239">
        <v>4.4999999999999998E-2</v>
      </c>
      <c r="BG284" s="1236"/>
      <c r="BH284" s="1236" t="s">
        <v>54</v>
      </c>
      <c r="BI284" s="1236" t="s">
        <v>280</v>
      </c>
      <c r="BJ284" s="1236" t="s">
        <v>286</v>
      </c>
      <c r="BK284" s="1236">
        <v>2</v>
      </c>
      <c r="BL284" s="1238">
        <v>147808693</v>
      </c>
      <c r="BM284" s="1239">
        <v>0.17599999999999999</v>
      </c>
      <c r="BN284" s="1236">
        <v>2015</v>
      </c>
      <c r="BO284" s="174"/>
      <c r="BP284" s="174"/>
      <c r="BQ284" s="174"/>
      <c r="BR284" s="174"/>
      <c r="BS284" s="174"/>
      <c r="BT284" s="174"/>
      <c r="BU284" s="174"/>
      <c r="BV284" s="174"/>
      <c r="BW284" s="174"/>
      <c r="BX284" s="174"/>
    </row>
    <row r="285" spans="1:76" s="152" customFormat="1" ht="15" customHeight="1" x14ac:dyDescent="0.25">
      <c r="A285" s="152">
        <f t="shared" si="8"/>
        <v>1993</v>
      </c>
      <c r="B285" s="152" t="str">
        <f t="shared" si="9"/>
        <v>1993-94</v>
      </c>
      <c r="C285" s="173">
        <v>34274</v>
      </c>
      <c r="D285" s="154">
        <v>0.66488636363636366</v>
      </c>
      <c r="E285" s="155">
        <v>162.45168522727275</v>
      </c>
      <c r="F285" s="155">
        <v>244.33</v>
      </c>
      <c r="G285" s="155"/>
      <c r="H285" s="155"/>
      <c r="I285" s="156">
        <v>373.93</v>
      </c>
      <c r="J285" s="156">
        <v>563.12</v>
      </c>
      <c r="K285" s="157"/>
      <c r="L285" s="158"/>
      <c r="M285" s="159">
        <v>4633.8900000000003</v>
      </c>
      <c r="N285" s="159">
        <v>6969.4465903264399</v>
      </c>
      <c r="O285" s="175">
        <v>1630</v>
      </c>
      <c r="P285" s="175">
        <v>2451.5467441462997</v>
      </c>
      <c r="Q285" s="175">
        <v>400.25</v>
      </c>
      <c r="R285" s="175">
        <v>601.98256708254996</v>
      </c>
      <c r="S285" s="175">
        <v>928.75</v>
      </c>
      <c r="T285" s="175">
        <v>1396.8552384207828</v>
      </c>
      <c r="U285" s="161">
        <v>116.35511363636364</v>
      </c>
      <c r="V285" s="161">
        <v>175</v>
      </c>
      <c r="W285" s="161">
        <v>1509.5100448555033</v>
      </c>
      <c r="X285" s="161">
        <v>2270.3278746758551</v>
      </c>
      <c r="Y285" s="162"/>
      <c r="Z285" s="162"/>
      <c r="AA285" s="162"/>
      <c r="AB285" s="162"/>
      <c r="AC285" s="163"/>
      <c r="AD285" s="163">
        <v>7.0756149407834803</v>
      </c>
      <c r="AE285" s="163"/>
      <c r="AF285" s="163"/>
      <c r="AG285" s="163"/>
      <c r="AH285" s="163"/>
      <c r="AI285" s="163"/>
      <c r="AJ285" s="163"/>
      <c r="AK285" s="164">
        <v>15.084545395591043</v>
      </c>
      <c r="AL285" s="164">
        <v>22.68740377391919</v>
      </c>
      <c r="AM285" s="164">
        <v>17.113636276938699</v>
      </c>
      <c r="AN285" s="164">
        <v>25.739189751676729</v>
      </c>
      <c r="AO285" s="164"/>
      <c r="AP285" s="164"/>
      <c r="AS285" s="167"/>
      <c r="AT285" s="1170"/>
      <c r="AU285" s="1171"/>
      <c r="AV285" s="1171"/>
      <c r="AW285" s="1172"/>
      <c r="AX285" s="1172"/>
      <c r="AY285" s="1172"/>
      <c r="AZ285" s="1172"/>
      <c r="BA285" s="1236" t="s">
        <v>54</v>
      </c>
      <c r="BB285" s="1237">
        <v>2009</v>
      </c>
      <c r="BC285" s="1236" t="s">
        <v>315</v>
      </c>
      <c r="BD285" s="1236">
        <v>9</v>
      </c>
      <c r="BE285" s="1238">
        <v>27556065</v>
      </c>
      <c r="BF285" s="1239">
        <v>3.9E-2</v>
      </c>
      <c r="BG285" s="1236"/>
      <c r="BH285" s="1236" t="s">
        <v>54</v>
      </c>
      <c r="BI285" s="1236" t="s">
        <v>280</v>
      </c>
      <c r="BJ285" s="1236" t="s">
        <v>314</v>
      </c>
      <c r="BK285" s="1236">
        <v>3</v>
      </c>
      <c r="BL285" s="1238">
        <v>92891709</v>
      </c>
      <c r="BM285" s="1239">
        <v>0.11</v>
      </c>
      <c r="BN285" s="1236">
        <v>2015</v>
      </c>
      <c r="BO285" s="174"/>
      <c r="BP285" s="174"/>
      <c r="BQ285" s="174"/>
      <c r="BR285" s="174"/>
      <c r="BS285" s="174"/>
      <c r="BT285" s="174"/>
      <c r="BU285" s="174"/>
      <c r="BV285" s="174"/>
      <c r="BW285" s="174"/>
      <c r="BX285" s="174"/>
    </row>
    <row r="286" spans="1:76" s="152" customFormat="1" ht="15" customHeight="1" x14ac:dyDescent="0.25">
      <c r="A286" s="152">
        <f t="shared" si="8"/>
        <v>1993</v>
      </c>
      <c r="B286" s="152" t="str">
        <f t="shared" si="9"/>
        <v>1993-94</v>
      </c>
      <c r="C286" s="173">
        <v>34304</v>
      </c>
      <c r="D286" s="169">
        <v>0.67280476190476179</v>
      </c>
      <c r="E286" s="170">
        <v>158.42533728571425</v>
      </c>
      <c r="F286" s="170">
        <v>235.47</v>
      </c>
      <c r="G286" s="170"/>
      <c r="H286" s="170"/>
      <c r="I286" s="169">
        <v>383.24</v>
      </c>
      <c r="J286" s="169">
        <v>570.38</v>
      </c>
      <c r="K286" s="169"/>
      <c r="L286" s="170"/>
      <c r="M286" s="170">
        <v>5119.12</v>
      </c>
      <c r="N286" s="170">
        <v>7608.6262907940472</v>
      </c>
      <c r="O286" s="170">
        <v>1728.8</v>
      </c>
      <c r="P286" s="170">
        <v>2569.5418610082884</v>
      </c>
      <c r="Q286" s="170">
        <v>461.87</v>
      </c>
      <c r="R286" s="170">
        <v>686.48443969452694</v>
      </c>
      <c r="S286" s="170">
        <v>975.7</v>
      </c>
      <c r="T286" s="170">
        <v>1450.1978214864571</v>
      </c>
      <c r="U286" s="170">
        <v>117.74083333333331</v>
      </c>
      <c r="V286" s="170">
        <v>175</v>
      </c>
      <c r="W286" s="170">
        <v>1465.5425197990121</v>
      </c>
      <c r="X286" s="170">
        <v>2178.2582448583585</v>
      </c>
      <c r="Y286" s="170"/>
      <c r="Z286" s="170"/>
      <c r="AA286" s="170"/>
      <c r="AB286" s="170"/>
      <c r="AC286" s="170"/>
      <c r="AD286" s="170">
        <v>7.6059666223600653</v>
      </c>
      <c r="AE286" s="170"/>
      <c r="AF286" s="170"/>
      <c r="AG286" s="170"/>
      <c r="AH286" s="170"/>
      <c r="AI286" s="170"/>
      <c r="AJ286" s="170"/>
      <c r="AK286" s="170">
        <v>13.557391249615213</v>
      </c>
      <c r="AL286" s="170">
        <v>20.150557810014899</v>
      </c>
      <c r="AM286" s="170">
        <v>15.643043518066406</v>
      </c>
      <c r="AN286" s="170">
        <v>23.250494651345441</v>
      </c>
      <c r="AO286" s="170"/>
      <c r="AP286" s="170"/>
      <c r="AS286" s="167"/>
      <c r="AT286" s="1170"/>
      <c r="AU286" s="1171"/>
      <c r="AV286" s="1171"/>
      <c r="AW286" s="1172"/>
      <c r="AX286" s="1172"/>
      <c r="AY286" s="1172"/>
      <c r="AZ286" s="1172"/>
      <c r="BA286" s="1236" t="s">
        <v>54</v>
      </c>
      <c r="BB286" s="1237">
        <v>2009</v>
      </c>
      <c r="BC286" s="1236" t="s">
        <v>287</v>
      </c>
      <c r="BD286" s="1236">
        <v>10</v>
      </c>
      <c r="BE286" s="1238">
        <v>19569631</v>
      </c>
      <c r="BF286" s="1239">
        <v>2.8000000000000001E-2</v>
      </c>
      <c r="BG286" s="1236"/>
      <c r="BH286" s="1236" t="s">
        <v>54</v>
      </c>
      <c r="BI286" s="1236" t="s">
        <v>280</v>
      </c>
      <c r="BJ286" s="1236" t="s">
        <v>312</v>
      </c>
      <c r="BK286" s="1236">
        <v>4</v>
      </c>
      <c r="BL286" s="1238">
        <v>83218121</v>
      </c>
      <c r="BM286" s="1239">
        <v>9.9000000000000005E-2</v>
      </c>
      <c r="BN286" s="1236">
        <v>2015</v>
      </c>
      <c r="BO286" s="174"/>
      <c r="BP286" s="174"/>
      <c r="BQ286" s="174"/>
      <c r="BR286" s="174"/>
      <c r="BS286" s="174"/>
      <c r="BT286" s="174"/>
      <c r="BU286" s="174"/>
      <c r="BV286" s="174"/>
      <c r="BW286" s="174"/>
      <c r="BX286" s="174"/>
    </row>
    <row r="287" spans="1:76" s="152" customFormat="1" ht="15" customHeight="1" x14ac:dyDescent="0.25">
      <c r="A287" s="152">
        <f t="shared" si="8"/>
        <v>1994</v>
      </c>
      <c r="B287" s="152" t="str">
        <f t="shared" si="9"/>
        <v>1993-94</v>
      </c>
      <c r="C287" s="173">
        <v>34335</v>
      </c>
      <c r="D287" s="154">
        <v>0.69560526315789473</v>
      </c>
      <c r="E287" s="155">
        <v>151.44717789473683</v>
      </c>
      <c r="F287" s="155">
        <v>217.72</v>
      </c>
      <c r="G287" s="155"/>
      <c r="H287" s="155"/>
      <c r="I287" s="156">
        <v>387.11</v>
      </c>
      <c r="J287" s="156">
        <v>556.50815268792803</v>
      </c>
      <c r="K287" s="157"/>
      <c r="L287" s="158"/>
      <c r="M287" s="159">
        <v>5580</v>
      </c>
      <c r="N287" s="159">
        <v>8021.7909431392582</v>
      </c>
      <c r="O287" s="175">
        <v>1803.1</v>
      </c>
      <c r="P287" s="175">
        <v>2592.1310483108236</v>
      </c>
      <c r="Q287" s="175">
        <v>489.52</v>
      </c>
      <c r="R287" s="175">
        <v>703.73245564256797</v>
      </c>
      <c r="S287" s="175">
        <v>997.43</v>
      </c>
      <c r="T287" s="175">
        <v>1433.9023190708583</v>
      </c>
      <c r="U287" s="161">
        <v>141.90347368421052</v>
      </c>
      <c r="V287" s="161">
        <v>204</v>
      </c>
      <c r="W287" s="161">
        <v>1648.5844736842105</v>
      </c>
      <c r="X287" s="161">
        <v>2370</v>
      </c>
      <c r="Y287" s="162"/>
      <c r="Z287" s="162"/>
      <c r="AA287" s="162"/>
      <c r="AB287" s="162"/>
      <c r="AC287" s="163"/>
      <c r="AD287" s="163">
        <v>7.6631046119235089</v>
      </c>
      <c r="AE287" s="163"/>
      <c r="AF287" s="163"/>
      <c r="AG287" s="163"/>
      <c r="AH287" s="163"/>
      <c r="AI287" s="163"/>
      <c r="AJ287" s="163"/>
      <c r="AK287" s="164">
        <v>14.217142877124605</v>
      </c>
      <c r="AL287" s="164">
        <v>20.438521141404117</v>
      </c>
      <c r="AM287" s="164">
        <v>16.229523658752441</v>
      </c>
      <c r="AN287" s="164">
        <v>23.331513601656745</v>
      </c>
      <c r="AO287" s="164"/>
      <c r="AP287" s="164"/>
      <c r="AS287" s="167"/>
      <c r="AT287" s="1170"/>
      <c r="AU287" s="1171"/>
      <c r="AV287" s="1171"/>
      <c r="AW287" s="1172"/>
      <c r="AX287" s="1172"/>
      <c r="AY287" s="1172"/>
      <c r="AZ287" s="1172"/>
      <c r="BA287" s="1236" t="s">
        <v>54</v>
      </c>
      <c r="BB287" s="1237">
        <v>2009</v>
      </c>
      <c r="BC287" s="1236" t="s">
        <v>291</v>
      </c>
      <c r="BD287" s="1236"/>
      <c r="BE287" s="1238">
        <v>87941336</v>
      </c>
      <c r="BF287" s="1239">
        <v>0.125</v>
      </c>
      <c r="BG287" s="1236"/>
      <c r="BH287" s="1236" t="s">
        <v>54</v>
      </c>
      <c r="BI287" s="1236" t="s">
        <v>280</v>
      </c>
      <c r="BJ287" s="1236" t="s">
        <v>290</v>
      </c>
      <c r="BK287" s="1236">
        <v>5</v>
      </c>
      <c r="BL287" s="1238">
        <v>81449096</v>
      </c>
      <c r="BM287" s="1239">
        <v>9.7000000000000003E-2</v>
      </c>
      <c r="BN287" s="1236">
        <v>2015</v>
      </c>
      <c r="BO287" s="174"/>
      <c r="BP287" s="174"/>
      <c r="BQ287" s="174"/>
      <c r="BR287" s="174"/>
      <c r="BS287" s="174"/>
      <c r="BT287" s="174"/>
      <c r="BU287" s="174"/>
      <c r="BV287" s="174"/>
      <c r="BW287" s="174"/>
      <c r="BX287" s="174"/>
    </row>
    <row r="288" spans="1:76" s="152" customFormat="1" ht="15" customHeight="1" x14ac:dyDescent="0.25">
      <c r="A288" s="152">
        <f t="shared" si="8"/>
        <v>1994</v>
      </c>
      <c r="B288" s="152" t="str">
        <f t="shared" si="9"/>
        <v>1993-94</v>
      </c>
      <c r="C288" s="173">
        <v>34366</v>
      </c>
      <c r="D288" s="169">
        <v>0.71609</v>
      </c>
      <c r="E288" s="170">
        <v>142.17966950000002</v>
      </c>
      <c r="F288" s="170">
        <v>198.55</v>
      </c>
      <c r="G288" s="170"/>
      <c r="H288" s="170"/>
      <c r="I288" s="169">
        <v>381.66</v>
      </c>
      <c r="J288" s="169">
        <v>532.97769833400832</v>
      </c>
      <c r="K288" s="169"/>
      <c r="L288" s="170"/>
      <c r="M288" s="170">
        <v>5824.95</v>
      </c>
      <c r="N288" s="170">
        <v>8134.3825496795089</v>
      </c>
      <c r="O288" s="170">
        <v>1866.4</v>
      </c>
      <c r="P288" s="170">
        <v>2606.3762934826627</v>
      </c>
      <c r="Q288" s="170">
        <v>485.43</v>
      </c>
      <c r="R288" s="170">
        <v>677.88965074222517</v>
      </c>
      <c r="S288" s="170">
        <v>969.2</v>
      </c>
      <c r="T288" s="170">
        <v>1353.4611571171222</v>
      </c>
      <c r="U288" s="170">
        <v>146.08235999999999</v>
      </c>
      <c r="V288" s="170">
        <v>204</v>
      </c>
      <c r="W288" s="170">
        <v>1697.1333</v>
      </c>
      <c r="X288" s="170">
        <v>2370</v>
      </c>
      <c r="Y288" s="170"/>
      <c r="Z288" s="170"/>
      <c r="AA288" s="170"/>
      <c r="AB288" s="170"/>
      <c r="AC288" s="170"/>
      <c r="AD288" s="170">
        <v>7.5647812761214821</v>
      </c>
      <c r="AE288" s="170"/>
      <c r="AF288" s="170"/>
      <c r="AG288" s="170"/>
      <c r="AH288" s="170"/>
      <c r="AI288" s="170"/>
      <c r="AJ288" s="170"/>
      <c r="AK288" s="170">
        <v>13.752000093460083</v>
      </c>
      <c r="AL288" s="170">
        <v>19.204290094066504</v>
      </c>
      <c r="AM288" s="170">
        <v>16.652499961853028</v>
      </c>
      <c r="AN288" s="170">
        <v>23.25475842680812</v>
      </c>
      <c r="AO288" s="170"/>
      <c r="AP288" s="170"/>
      <c r="AS288" s="167"/>
      <c r="AT288" s="1170"/>
      <c r="AU288" s="1171"/>
      <c r="AV288" s="1171"/>
      <c r="AW288" s="1172"/>
      <c r="AX288" s="1172"/>
      <c r="AY288" s="1172"/>
      <c r="AZ288" s="1172"/>
      <c r="BA288" s="1236" t="s">
        <v>54</v>
      </c>
      <c r="BB288" s="1237">
        <v>2009</v>
      </c>
      <c r="BC288" s="1236" t="s">
        <v>292</v>
      </c>
      <c r="BD288" s="1236"/>
      <c r="BE288" s="1238">
        <v>705600652</v>
      </c>
      <c r="BF288" s="1239">
        <v>1</v>
      </c>
      <c r="BG288" s="1236"/>
      <c r="BH288" s="1236" t="s">
        <v>54</v>
      </c>
      <c r="BI288" s="1236" t="s">
        <v>280</v>
      </c>
      <c r="BJ288" s="1236" t="s">
        <v>322</v>
      </c>
      <c r="BK288" s="1236">
        <v>6</v>
      </c>
      <c r="BL288" s="1238">
        <v>56969116</v>
      </c>
      <c r="BM288" s="1239">
        <v>6.8000000000000005E-2</v>
      </c>
      <c r="BN288" s="1236">
        <v>2015</v>
      </c>
      <c r="BO288" s="174"/>
      <c r="BP288" s="174"/>
      <c r="BQ288" s="174"/>
      <c r="BR288" s="174"/>
      <c r="BS288" s="174"/>
      <c r="BT288" s="174"/>
      <c r="BU288" s="174"/>
      <c r="BV288" s="174"/>
      <c r="BW288" s="174"/>
      <c r="BX288" s="174"/>
    </row>
    <row r="289" spans="1:76" s="152" customFormat="1" ht="15" customHeight="1" x14ac:dyDescent="0.25">
      <c r="A289" s="152">
        <f t="shared" si="8"/>
        <v>1994</v>
      </c>
      <c r="B289" s="152" t="str">
        <f t="shared" si="9"/>
        <v>1993-94</v>
      </c>
      <c r="C289" s="173">
        <v>34394</v>
      </c>
      <c r="D289" s="154">
        <v>0.71167391304347827</v>
      </c>
      <c r="E289" s="155">
        <v>145.71523369565219</v>
      </c>
      <c r="F289" s="155">
        <v>204.75</v>
      </c>
      <c r="G289" s="155"/>
      <c r="H289" s="155"/>
      <c r="I289" s="156">
        <v>384</v>
      </c>
      <c r="J289" s="156">
        <v>539.57296025903406</v>
      </c>
      <c r="K289" s="157"/>
      <c r="L289" s="158"/>
      <c r="M289" s="159">
        <v>5587.54</v>
      </c>
      <c r="N289" s="159">
        <v>7851.264318660842</v>
      </c>
      <c r="O289" s="175">
        <v>1914.8</v>
      </c>
      <c r="P289" s="175">
        <v>2690.5580841249962</v>
      </c>
      <c r="Q289" s="175">
        <v>451.46</v>
      </c>
      <c r="R289" s="175">
        <v>634.36356416287379</v>
      </c>
      <c r="S289" s="175">
        <v>936.22</v>
      </c>
      <c r="T289" s="175">
        <v>1315.5182209732109</v>
      </c>
      <c r="U289" s="161">
        <v>145.18147826086957</v>
      </c>
      <c r="V289" s="161">
        <v>204</v>
      </c>
      <c r="W289" s="161">
        <v>1686.6671739130436</v>
      </c>
      <c r="X289" s="161">
        <v>2370</v>
      </c>
      <c r="Y289" s="162"/>
      <c r="Z289" s="162"/>
      <c r="AA289" s="162"/>
      <c r="AB289" s="162"/>
      <c r="AC289" s="163"/>
      <c r="AD289" s="163">
        <v>7.862442922374429</v>
      </c>
      <c r="AE289" s="163"/>
      <c r="AF289" s="163"/>
      <c r="AG289" s="163"/>
      <c r="AH289" s="163"/>
      <c r="AI289" s="163"/>
      <c r="AJ289" s="163"/>
      <c r="AK289" s="164">
        <v>13.877391359080439</v>
      </c>
      <c r="AL289" s="164">
        <v>19.499648792427536</v>
      </c>
      <c r="AM289" s="164">
        <v>15.83913044307543</v>
      </c>
      <c r="AN289" s="164">
        <v>22.256162763279157</v>
      </c>
      <c r="AO289" s="164"/>
      <c r="AP289" s="164"/>
      <c r="AS289" s="167"/>
      <c r="AT289" s="1170"/>
      <c r="AU289" s="1171"/>
      <c r="AV289" s="1171"/>
      <c r="AW289" s="1172"/>
      <c r="AX289" s="1172"/>
      <c r="AY289" s="1172"/>
      <c r="AZ289" s="1172"/>
      <c r="BA289" s="1236" t="s">
        <v>54</v>
      </c>
      <c r="BB289" s="1237">
        <v>2008</v>
      </c>
      <c r="BC289" s="1236" t="s">
        <v>281</v>
      </c>
      <c r="BD289" s="1236">
        <v>1</v>
      </c>
      <c r="BE289" s="1238">
        <v>149292229.32000002</v>
      </c>
      <c r="BF289" s="1239">
        <v>0.16082568528040042</v>
      </c>
      <c r="BG289" s="1236"/>
      <c r="BH289" s="1236" t="s">
        <v>54</v>
      </c>
      <c r="BI289" s="1236" t="s">
        <v>280</v>
      </c>
      <c r="BJ289" s="1236" t="s">
        <v>287</v>
      </c>
      <c r="BK289" s="1236">
        <v>7</v>
      </c>
      <c r="BL289" s="1238">
        <v>43508105</v>
      </c>
      <c r="BM289" s="1239">
        <v>5.1999999999999998E-2</v>
      </c>
      <c r="BN289" s="1236">
        <v>2015</v>
      </c>
      <c r="BO289" s="174"/>
      <c r="BP289" s="174"/>
      <c r="BQ289" s="174"/>
      <c r="BR289" s="174"/>
      <c r="BS289" s="174"/>
      <c r="BT289" s="174"/>
      <c r="BU289" s="174"/>
      <c r="BV289" s="174"/>
      <c r="BW289" s="174"/>
      <c r="BX289" s="174"/>
    </row>
    <row r="290" spans="1:76" s="152" customFormat="1" ht="15" customHeight="1" x14ac:dyDescent="0.25">
      <c r="A290" s="152">
        <f t="shared" si="8"/>
        <v>1994</v>
      </c>
      <c r="B290" s="152" t="str">
        <f t="shared" si="9"/>
        <v>1993-94</v>
      </c>
      <c r="C290" s="173">
        <v>34425</v>
      </c>
      <c r="D290" s="169">
        <v>0.71648333333333336</v>
      </c>
      <c r="E290" s="170">
        <v>148.47684116666667</v>
      </c>
      <c r="F290" s="170">
        <v>207.23</v>
      </c>
      <c r="G290" s="170"/>
      <c r="H290" s="170"/>
      <c r="I290" s="169">
        <v>377.92</v>
      </c>
      <c r="J290" s="169">
        <v>527.46516550745537</v>
      </c>
      <c r="K290" s="169"/>
      <c r="L290" s="170"/>
      <c r="M290" s="170">
        <v>5407.97</v>
      </c>
      <c r="N290" s="170">
        <v>7547.9355183884254</v>
      </c>
      <c r="O290" s="170">
        <v>1882.6</v>
      </c>
      <c r="P290" s="170">
        <v>2627.5558863895412</v>
      </c>
      <c r="Q290" s="170">
        <v>440.42</v>
      </c>
      <c r="R290" s="170">
        <v>614.69678289795058</v>
      </c>
      <c r="S290" s="170">
        <v>925.35</v>
      </c>
      <c r="T290" s="170">
        <v>1291.5164344367163</v>
      </c>
      <c r="U290" s="170">
        <v>164.79116666666667</v>
      </c>
      <c r="V290" s="170">
        <v>230</v>
      </c>
      <c r="W290" s="170">
        <v>1905.8456666666668</v>
      </c>
      <c r="X290" s="170">
        <v>2660</v>
      </c>
      <c r="Y290" s="170"/>
      <c r="Z290" s="170"/>
      <c r="AA290" s="170"/>
      <c r="AB290" s="170"/>
      <c r="AC290" s="170"/>
      <c r="AD290" s="170">
        <v>7.7203818079730482</v>
      </c>
      <c r="AE290" s="170"/>
      <c r="AF290" s="170"/>
      <c r="AG290" s="170"/>
      <c r="AH290" s="170"/>
      <c r="AI290" s="170"/>
      <c r="AJ290" s="170"/>
      <c r="AK290" s="170">
        <v>15.151500129699707</v>
      </c>
      <c r="AL290" s="170">
        <v>21.147037795296061</v>
      </c>
      <c r="AM290" s="170">
        <v>15.990476244971866</v>
      </c>
      <c r="AN290" s="170">
        <v>22.318001691091023</v>
      </c>
      <c r="AO290" s="170"/>
      <c r="AP290" s="170"/>
      <c r="AS290" s="167"/>
      <c r="AT290" s="1170"/>
      <c r="AU290" s="1171"/>
      <c r="AV290" s="1171"/>
      <c r="AW290" s="1172"/>
      <c r="AX290" s="1172"/>
      <c r="AY290" s="1172"/>
      <c r="AZ290" s="1172"/>
      <c r="BA290" s="1236" t="s">
        <v>54</v>
      </c>
      <c r="BB290" s="1237">
        <v>2008</v>
      </c>
      <c r="BC290" s="1236" t="s">
        <v>286</v>
      </c>
      <c r="BD290" s="1236">
        <v>2</v>
      </c>
      <c r="BE290" s="1238">
        <v>143673284.38</v>
      </c>
      <c r="BF290" s="1239">
        <v>0.15477265308546032</v>
      </c>
      <c r="BG290" s="1236"/>
      <c r="BH290" s="1236" t="s">
        <v>54</v>
      </c>
      <c r="BI290" s="1236" t="s">
        <v>280</v>
      </c>
      <c r="BJ290" s="1236" t="s">
        <v>285</v>
      </c>
      <c r="BK290" s="1236">
        <v>8</v>
      </c>
      <c r="BL290" s="1238">
        <v>30288335</v>
      </c>
      <c r="BM290" s="1239">
        <v>3.5999999999999997E-2</v>
      </c>
      <c r="BN290" s="1236">
        <v>2015</v>
      </c>
      <c r="BO290" s="174"/>
      <c r="BP290" s="174"/>
      <c r="BQ290" s="174"/>
      <c r="BR290" s="174"/>
      <c r="BS290" s="174"/>
      <c r="BT290" s="174"/>
      <c r="BU290" s="174"/>
      <c r="BV290" s="174"/>
      <c r="BW290" s="174"/>
      <c r="BX290" s="174"/>
    </row>
    <row r="291" spans="1:76" s="152" customFormat="1" ht="15" customHeight="1" x14ac:dyDescent="0.25">
      <c r="A291" s="152">
        <f t="shared" si="8"/>
        <v>1994</v>
      </c>
      <c r="B291" s="152" t="str">
        <f t="shared" si="9"/>
        <v>1993-94</v>
      </c>
      <c r="C291" s="173">
        <v>34455</v>
      </c>
      <c r="D291" s="154">
        <v>0.72404090909090912</v>
      </c>
      <c r="E291" s="155">
        <v>148.71800272727273</v>
      </c>
      <c r="F291" s="155">
        <v>205.4</v>
      </c>
      <c r="G291" s="155"/>
      <c r="H291" s="155"/>
      <c r="I291" s="156">
        <v>381.34</v>
      </c>
      <c r="J291" s="156">
        <v>526.68294734727442</v>
      </c>
      <c r="K291" s="157"/>
      <c r="L291" s="158"/>
      <c r="M291" s="159">
        <v>6086.65</v>
      </c>
      <c r="N291" s="159">
        <v>8406.5001349747927</v>
      </c>
      <c r="O291" s="175">
        <v>2143.4</v>
      </c>
      <c r="P291" s="175">
        <v>2960.3299662876907</v>
      </c>
      <c r="Q291" s="175">
        <v>473.06</v>
      </c>
      <c r="R291" s="175">
        <v>653.36087237662355</v>
      </c>
      <c r="S291" s="175">
        <v>954.47</v>
      </c>
      <c r="T291" s="175">
        <v>1318.2542422891725</v>
      </c>
      <c r="U291" s="161">
        <v>166.5294090909091</v>
      </c>
      <c r="V291" s="161">
        <v>230</v>
      </c>
      <c r="W291" s="161">
        <v>1925.9488181818183</v>
      </c>
      <c r="X291" s="161">
        <v>2660</v>
      </c>
      <c r="Y291" s="162"/>
      <c r="Z291" s="162"/>
      <c r="AA291" s="162"/>
      <c r="AB291" s="162"/>
      <c r="AC291" s="163"/>
      <c r="AD291" s="163">
        <v>7.7299279989131922</v>
      </c>
      <c r="AE291" s="163"/>
      <c r="AF291" s="163"/>
      <c r="AG291" s="163"/>
      <c r="AH291" s="163"/>
      <c r="AI291" s="163"/>
      <c r="AJ291" s="163"/>
      <c r="AK291" s="164">
        <v>16.258571443103609</v>
      </c>
      <c r="AL291" s="164">
        <v>22.45532156949189</v>
      </c>
      <c r="AM291" s="164">
        <v>16.671686236820523</v>
      </c>
      <c r="AN291" s="164">
        <v>23.025889873754718</v>
      </c>
      <c r="AO291" s="164"/>
      <c r="AP291" s="164"/>
      <c r="AS291" s="167"/>
      <c r="AT291" s="1170"/>
      <c r="AU291" s="1171"/>
      <c r="AV291" s="1171"/>
      <c r="AW291" s="1172"/>
      <c r="AX291" s="1172"/>
      <c r="AY291" s="1172"/>
      <c r="AZ291" s="1172"/>
      <c r="BA291" s="1236" t="s">
        <v>54</v>
      </c>
      <c r="BB291" s="1237">
        <v>2008</v>
      </c>
      <c r="BC291" s="1236" t="s">
        <v>314</v>
      </c>
      <c r="BD291" s="1236">
        <v>3</v>
      </c>
      <c r="BE291" s="1238">
        <v>88634117.160000011</v>
      </c>
      <c r="BF291" s="1239">
        <v>9.5481477478149432E-2</v>
      </c>
      <c r="BG291" s="1236"/>
      <c r="BH291" s="1236" t="s">
        <v>54</v>
      </c>
      <c r="BI291" s="1236" t="s">
        <v>280</v>
      </c>
      <c r="BJ291" s="1236" t="s">
        <v>319</v>
      </c>
      <c r="BK291" s="1236">
        <v>9</v>
      </c>
      <c r="BL291" s="1238">
        <v>22709081</v>
      </c>
      <c r="BM291" s="1239">
        <v>2.7E-2</v>
      </c>
      <c r="BN291" s="1236">
        <v>2015</v>
      </c>
      <c r="BO291" s="174"/>
      <c r="BP291" s="174"/>
      <c r="BQ291" s="174"/>
      <c r="BR291" s="174"/>
      <c r="BS291" s="174"/>
      <c r="BT291" s="174"/>
      <c r="BU291" s="174"/>
      <c r="BV291" s="174"/>
      <c r="BW291" s="174"/>
      <c r="BX291" s="174"/>
    </row>
    <row r="292" spans="1:76" s="152" customFormat="1" ht="15" customHeight="1" x14ac:dyDescent="0.25">
      <c r="A292" s="152">
        <f t="shared" si="8"/>
        <v>1994</v>
      </c>
      <c r="B292" s="152" t="str">
        <f t="shared" si="9"/>
        <v>1993-94</v>
      </c>
      <c r="C292" s="173">
        <v>34486</v>
      </c>
      <c r="D292" s="169">
        <v>0.73330476190476201</v>
      </c>
      <c r="E292" s="170">
        <v>150.29081095238098</v>
      </c>
      <c r="F292" s="170">
        <v>204.95</v>
      </c>
      <c r="G292" s="170"/>
      <c r="H292" s="170"/>
      <c r="I292" s="169">
        <v>385.9</v>
      </c>
      <c r="J292" s="169">
        <v>526.24777588737209</v>
      </c>
      <c r="K292" s="169"/>
      <c r="L292" s="170"/>
      <c r="M292" s="170">
        <v>6281.84</v>
      </c>
      <c r="N292" s="170">
        <v>8566.4792134758482</v>
      </c>
      <c r="O292" s="170">
        <v>2369.5</v>
      </c>
      <c r="P292" s="170">
        <v>3231.2622569710502</v>
      </c>
      <c r="Q292" s="170">
        <v>526.11</v>
      </c>
      <c r="R292" s="170">
        <v>717.45067989661925</v>
      </c>
      <c r="S292" s="170">
        <v>966.23</v>
      </c>
      <c r="T292" s="170">
        <v>1317.6377001701362</v>
      </c>
      <c r="U292" s="170">
        <v>168.66009523809527</v>
      </c>
      <c r="V292" s="170">
        <v>230</v>
      </c>
      <c r="W292" s="170">
        <v>1950.5906666666669</v>
      </c>
      <c r="X292" s="170">
        <v>2660</v>
      </c>
      <c r="Y292" s="170"/>
      <c r="Z292" s="170"/>
      <c r="AA292" s="170"/>
      <c r="AB292" s="170"/>
      <c r="AC292" s="170"/>
      <c r="AD292" s="170">
        <v>7.6258400768070222</v>
      </c>
      <c r="AE292" s="170"/>
      <c r="AF292" s="170"/>
      <c r="AG292" s="170"/>
      <c r="AH292" s="170"/>
      <c r="AI292" s="170"/>
      <c r="AJ292" s="170"/>
      <c r="AK292" s="170">
        <v>16.744090860540215</v>
      </c>
      <c r="AL292" s="170">
        <v>22.833740799728851</v>
      </c>
      <c r="AM292" s="170">
        <v>17.63409068367698</v>
      </c>
      <c r="AN292" s="170">
        <v>24.047424208554652</v>
      </c>
      <c r="AO292" s="170"/>
      <c r="AP292" s="170"/>
      <c r="AS292" s="167"/>
      <c r="AT292" s="1170"/>
      <c r="AU292" s="1171"/>
      <c r="AV292" s="1171"/>
      <c r="AW292" s="1172"/>
      <c r="AX292" s="1172"/>
      <c r="AY292" s="1172"/>
      <c r="AZ292" s="1172"/>
      <c r="BA292" s="1236" t="s">
        <v>54</v>
      </c>
      <c r="BB292" s="1237">
        <v>2008</v>
      </c>
      <c r="BC292" s="1236" t="s">
        <v>308</v>
      </c>
      <c r="BD292" s="1236">
        <v>4</v>
      </c>
      <c r="BE292" s="1238">
        <v>74598607.569999993</v>
      </c>
      <c r="BF292" s="1239">
        <v>8.0361665426625664E-2</v>
      </c>
      <c r="BG292" s="1236"/>
      <c r="BH292" s="1236" t="s">
        <v>54</v>
      </c>
      <c r="BI292" s="1236" t="s">
        <v>280</v>
      </c>
      <c r="BJ292" s="1236" t="s">
        <v>320</v>
      </c>
      <c r="BK292" s="1236">
        <v>10</v>
      </c>
      <c r="BL292" s="1238">
        <v>16973993</v>
      </c>
      <c r="BM292" s="1239">
        <v>0.02</v>
      </c>
      <c r="BN292" s="1236">
        <v>2015</v>
      </c>
      <c r="BO292" s="174"/>
      <c r="BP292" s="174"/>
      <c r="BQ292" s="174"/>
      <c r="BR292" s="174"/>
      <c r="BS292" s="174"/>
      <c r="BT292" s="174"/>
      <c r="BU292" s="174"/>
      <c r="BV292" s="174"/>
      <c r="BW292" s="174"/>
      <c r="BX292" s="174"/>
    </row>
    <row r="293" spans="1:76" s="152" customFormat="1" ht="15" customHeight="1" x14ac:dyDescent="0.25">
      <c r="A293" s="152">
        <f t="shared" si="8"/>
        <v>1994</v>
      </c>
      <c r="B293" s="152" t="str">
        <f t="shared" si="9"/>
        <v>1994-95</v>
      </c>
      <c r="C293" s="173">
        <v>34516</v>
      </c>
      <c r="D293" s="154">
        <v>0.73492857142857138</v>
      </c>
      <c r="E293" s="155">
        <v>149.6461557142857</v>
      </c>
      <c r="F293" s="155">
        <v>203.62</v>
      </c>
      <c r="G293" s="155"/>
      <c r="H293" s="155"/>
      <c r="I293" s="156">
        <v>385.43</v>
      </c>
      <c r="J293" s="156">
        <v>524.44552434638945</v>
      </c>
      <c r="K293" s="157"/>
      <c r="L293" s="158"/>
      <c r="M293" s="159">
        <v>6226.76</v>
      </c>
      <c r="N293" s="159">
        <v>8472.6056954028591</v>
      </c>
      <c r="O293" s="175">
        <v>2458.1</v>
      </c>
      <c r="P293" s="175">
        <v>3344.6787831664888</v>
      </c>
      <c r="Q293" s="175">
        <v>580.14</v>
      </c>
      <c r="R293" s="175">
        <v>789.38283603848777</v>
      </c>
      <c r="S293" s="175">
        <v>964.4</v>
      </c>
      <c r="T293" s="175">
        <v>1312.2363689377005</v>
      </c>
      <c r="U293" s="161">
        <v>177.1177857142857</v>
      </c>
      <c r="V293" s="161">
        <v>241</v>
      </c>
      <c r="W293" s="161">
        <v>2013.7042857142856</v>
      </c>
      <c r="X293" s="161">
        <v>2740</v>
      </c>
      <c r="Y293" s="162"/>
      <c r="Z293" s="162"/>
      <c r="AA293" s="162"/>
      <c r="AB293" s="162"/>
      <c r="AC293" s="163"/>
      <c r="AD293" s="163">
        <v>7.4665223860408494</v>
      </c>
      <c r="AE293" s="163"/>
      <c r="AF293" s="163"/>
      <c r="AG293" s="163"/>
      <c r="AH293" s="163"/>
      <c r="AI293" s="163"/>
      <c r="AJ293" s="163"/>
      <c r="AK293" s="164">
        <v>17.627142951602028</v>
      </c>
      <c r="AL293" s="164">
        <v>23.984838305221928</v>
      </c>
      <c r="AM293" s="164">
        <v>18.68571444920131</v>
      </c>
      <c r="AN293" s="164">
        <v>25.425211613258661</v>
      </c>
      <c r="AO293" s="164"/>
      <c r="AP293" s="164"/>
      <c r="AS293" s="167"/>
      <c r="AT293" s="1170"/>
      <c r="AU293" s="1171"/>
      <c r="AV293" s="1171"/>
      <c r="AW293" s="1172"/>
      <c r="AX293" s="1172"/>
      <c r="AY293" s="1172"/>
      <c r="AZ293" s="1172"/>
      <c r="BA293" s="1236" t="s">
        <v>54</v>
      </c>
      <c r="BB293" s="1237">
        <v>2008</v>
      </c>
      <c r="BC293" s="1236" t="s">
        <v>321</v>
      </c>
      <c r="BD293" s="1236">
        <v>5</v>
      </c>
      <c r="BE293" s="1238">
        <v>69070542.060000002</v>
      </c>
      <c r="BF293" s="1239">
        <v>7.440653348191438E-2</v>
      </c>
      <c r="BG293" s="1236"/>
      <c r="BH293" s="1236" t="s">
        <v>54</v>
      </c>
      <c r="BI293" s="1236" t="s">
        <v>280</v>
      </c>
      <c r="BJ293" s="1236" t="s">
        <v>291</v>
      </c>
      <c r="BK293" s="1236"/>
      <c r="BL293" s="1238">
        <v>84899598</v>
      </c>
      <c r="BM293" s="1239">
        <v>0.10100000000000001</v>
      </c>
      <c r="BN293" s="1236">
        <v>2015</v>
      </c>
      <c r="BO293" s="174"/>
      <c r="BP293" s="174"/>
      <c r="BQ293" s="174"/>
      <c r="BR293" s="174"/>
      <c r="BS293" s="174"/>
      <c r="BT293" s="174"/>
      <c r="BU293" s="174"/>
      <c r="BV293" s="174"/>
      <c r="BW293" s="174"/>
      <c r="BX293" s="174"/>
    </row>
    <row r="294" spans="1:76" s="152" customFormat="1" ht="15" customHeight="1" x14ac:dyDescent="0.25">
      <c r="A294" s="152">
        <f t="shared" si="8"/>
        <v>1994</v>
      </c>
      <c r="B294" s="152" t="str">
        <f t="shared" si="9"/>
        <v>1994-95</v>
      </c>
      <c r="C294" s="173">
        <v>34547</v>
      </c>
      <c r="D294" s="169">
        <v>0.74044347826086965</v>
      </c>
      <c r="E294" s="170">
        <v>156.49272913043478</v>
      </c>
      <c r="F294" s="170">
        <v>211.35</v>
      </c>
      <c r="G294" s="170"/>
      <c r="H294" s="170"/>
      <c r="I294" s="169">
        <v>380.26</v>
      </c>
      <c r="J294" s="169">
        <v>513.55709269415502</v>
      </c>
      <c r="K294" s="169"/>
      <c r="L294" s="170"/>
      <c r="M294" s="170">
        <v>5859.5</v>
      </c>
      <c r="N294" s="170">
        <v>7913.5007222463619</v>
      </c>
      <c r="O294" s="170">
        <v>2406.1</v>
      </c>
      <c r="P294" s="170">
        <v>3249.5390541508609</v>
      </c>
      <c r="Q294" s="170">
        <v>570.95000000000005</v>
      </c>
      <c r="R294" s="170">
        <v>771.09194254911858</v>
      </c>
      <c r="S294" s="170">
        <v>946.2</v>
      </c>
      <c r="T294" s="170">
        <v>1277.8828199316508</v>
      </c>
      <c r="U294" s="170">
        <v>178.4468782608696</v>
      </c>
      <c r="V294" s="170">
        <v>241</v>
      </c>
      <c r="W294" s="170">
        <v>2028.8151304347828</v>
      </c>
      <c r="X294" s="170">
        <v>2740</v>
      </c>
      <c r="Y294" s="170"/>
      <c r="Z294" s="170"/>
      <c r="AA294" s="170"/>
      <c r="AB294" s="170"/>
      <c r="AC294" s="170"/>
      <c r="AD294" s="170">
        <v>7.2727272727272725</v>
      </c>
      <c r="AE294" s="170"/>
      <c r="AF294" s="170"/>
      <c r="AG294" s="170"/>
      <c r="AH294" s="170"/>
      <c r="AI294" s="170"/>
      <c r="AJ294" s="170"/>
      <c r="AK294" s="170">
        <v>16.816363594748758</v>
      </c>
      <c r="AL294" s="170">
        <v>22.711204958204917</v>
      </c>
      <c r="AM294" s="170">
        <v>18.713042632393215</v>
      </c>
      <c r="AN294" s="170">
        <v>25.272749618034073</v>
      </c>
      <c r="AO294" s="170"/>
      <c r="AP294" s="170"/>
      <c r="AS294" s="167"/>
      <c r="AT294" s="1170"/>
      <c r="AU294" s="1171"/>
      <c r="AV294" s="1171"/>
      <c r="AW294" s="1172"/>
      <c r="AX294" s="1172"/>
      <c r="AY294" s="1172"/>
      <c r="AZ294" s="1172"/>
      <c r="BA294" s="1236" t="s">
        <v>54</v>
      </c>
      <c r="BB294" s="1237">
        <v>2008</v>
      </c>
      <c r="BC294" s="1236" t="s">
        <v>312</v>
      </c>
      <c r="BD294" s="1236">
        <v>6</v>
      </c>
      <c r="BE294" s="1238">
        <v>66171521.980000004</v>
      </c>
      <c r="BF294" s="1239">
        <v>7.1283551842941814E-2</v>
      </c>
      <c r="BG294" s="1236"/>
      <c r="BH294" s="1236" t="s">
        <v>54</v>
      </c>
      <c r="BI294" s="1236" t="s">
        <v>280</v>
      </c>
      <c r="BJ294" s="1236" t="s">
        <v>292</v>
      </c>
      <c r="BK294" s="1236"/>
      <c r="BL294" s="1238">
        <v>841133341</v>
      </c>
      <c r="BM294" s="1239"/>
      <c r="BN294" s="1236">
        <v>2015</v>
      </c>
      <c r="BO294" s="174"/>
      <c r="BP294" s="174"/>
      <c r="BQ294" s="174"/>
      <c r="BR294" s="174"/>
      <c r="BS294" s="174"/>
      <c r="BT294" s="174"/>
      <c r="BU294" s="174"/>
      <c r="BV294" s="174"/>
      <c r="BW294" s="174"/>
      <c r="BX294" s="174"/>
    </row>
    <row r="295" spans="1:76" s="152" customFormat="1" ht="15" customHeight="1" x14ac:dyDescent="0.25">
      <c r="A295" s="152">
        <f t="shared" si="8"/>
        <v>1994</v>
      </c>
      <c r="B295" s="152" t="str">
        <f t="shared" si="9"/>
        <v>1994-95</v>
      </c>
      <c r="C295" s="173">
        <v>34578</v>
      </c>
      <c r="D295" s="154">
        <v>0.74142272727272729</v>
      </c>
      <c r="E295" s="155">
        <v>155.88412840909092</v>
      </c>
      <c r="F295" s="155">
        <v>210.25</v>
      </c>
      <c r="G295" s="155"/>
      <c r="H295" s="155"/>
      <c r="I295" s="156">
        <v>391.35</v>
      </c>
      <c r="J295" s="156">
        <v>449.41786306704853</v>
      </c>
      <c r="K295" s="157"/>
      <c r="L295" s="158"/>
      <c r="M295" s="159">
        <v>6364.75</v>
      </c>
      <c r="N295" s="159">
        <v>8584.5088987389117</v>
      </c>
      <c r="O295" s="175">
        <v>2506.6</v>
      </c>
      <c r="P295" s="175">
        <v>3380.7973613384584</v>
      </c>
      <c r="Q295" s="175">
        <v>614.28</v>
      </c>
      <c r="R295" s="175">
        <v>828.51520111824311</v>
      </c>
      <c r="S295" s="175">
        <v>993.33</v>
      </c>
      <c r="T295" s="175">
        <v>1339.7620054808631</v>
      </c>
      <c r="U295" s="161">
        <v>178.68287727272727</v>
      </c>
      <c r="V295" s="161">
        <v>241</v>
      </c>
      <c r="W295" s="161">
        <v>2031.4982727272727</v>
      </c>
      <c r="X295" s="161">
        <v>2740</v>
      </c>
      <c r="Y295" s="162"/>
      <c r="Z295" s="162"/>
      <c r="AA295" s="162"/>
      <c r="AB295" s="162"/>
      <c r="AC295" s="163"/>
      <c r="AD295" s="163">
        <v>7.6839826839826841</v>
      </c>
      <c r="AE295" s="163"/>
      <c r="AF295" s="163"/>
      <c r="AG295" s="163"/>
      <c r="AH295" s="163"/>
      <c r="AI295" s="163"/>
      <c r="AJ295" s="163"/>
      <c r="AK295" s="164">
        <v>15.855000062422318</v>
      </c>
      <c r="AL295" s="164">
        <v>21.3845617071166</v>
      </c>
      <c r="AM295" s="164">
        <v>17.568181558088824</v>
      </c>
      <c r="AN295" s="164">
        <v>23.695229336592064</v>
      </c>
      <c r="AO295" s="164"/>
      <c r="AP295" s="164"/>
      <c r="AS295" s="167"/>
      <c r="AT295" s="1170"/>
      <c r="AU295" s="1171"/>
      <c r="AV295" s="1171"/>
      <c r="AW295" s="1172"/>
      <c r="AX295" s="1172"/>
      <c r="AY295" s="1172"/>
      <c r="AZ295" s="1172"/>
      <c r="BA295" s="1236" t="s">
        <v>54</v>
      </c>
      <c r="BB295" s="1237">
        <v>2008</v>
      </c>
      <c r="BC295" s="1236" t="s">
        <v>290</v>
      </c>
      <c r="BD295" s="1236">
        <v>7</v>
      </c>
      <c r="BE295" s="1238">
        <v>64614850.18</v>
      </c>
      <c r="BF295" s="1239">
        <v>6.9606620564388419E-2</v>
      </c>
      <c r="BG295" s="1236"/>
      <c r="BH295" s="1236" t="s">
        <v>54</v>
      </c>
      <c r="BI295" s="1236" t="s">
        <v>293</v>
      </c>
      <c r="BJ295" s="1236" t="s">
        <v>286</v>
      </c>
      <c r="BK295" s="1236">
        <v>1</v>
      </c>
      <c r="BL295" s="1238">
        <v>219174301</v>
      </c>
      <c r="BM295" s="1239">
        <v>0.32600000000000001</v>
      </c>
      <c r="BN295" s="1236">
        <v>2014</v>
      </c>
      <c r="BO295" s="174"/>
      <c r="BP295" s="174"/>
      <c r="BQ295" s="174"/>
      <c r="BR295" s="174"/>
      <c r="BS295" s="174"/>
      <c r="BT295" s="174"/>
      <c r="BU295" s="174"/>
      <c r="BV295" s="174"/>
      <c r="BW295" s="174"/>
      <c r="BX295" s="174"/>
    </row>
    <row r="296" spans="1:76" s="152" customFormat="1" ht="15" customHeight="1" x14ac:dyDescent="0.25">
      <c r="A296" s="152">
        <f t="shared" si="8"/>
        <v>1994</v>
      </c>
      <c r="B296" s="152" t="str">
        <f t="shared" si="9"/>
        <v>1994-95</v>
      </c>
      <c r="C296" s="173">
        <v>34608</v>
      </c>
      <c r="D296" s="169">
        <v>0.7382333333333333</v>
      </c>
      <c r="E296" s="170">
        <v>151.85459666666665</v>
      </c>
      <c r="F296" s="170">
        <v>205.7</v>
      </c>
      <c r="G296" s="170"/>
      <c r="H296" s="170"/>
      <c r="I296" s="169">
        <v>390.16</v>
      </c>
      <c r="J296" s="169">
        <v>441.90916788526755</v>
      </c>
      <c r="K296" s="169"/>
      <c r="L296" s="170"/>
      <c r="M296" s="170">
        <v>6748.29</v>
      </c>
      <c r="N296" s="170">
        <v>9141.1342394003714</v>
      </c>
      <c r="O296" s="170">
        <v>2547.6</v>
      </c>
      <c r="P296" s="170">
        <v>3450.9414367634445</v>
      </c>
      <c r="Q296" s="170">
        <v>641.83000000000004</v>
      </c>
      <c r="R296" s="170">
        <v>869.41346457759528</v>
      </c>
      <c r="S296" s="170">
        <v>1058.9000000000001</v>
      </c>
      <c r="T296" s="170">
        <v>1434.3703436131307</v>
      </c>
      <c r="U296" s="170">
        <v>194.15536666666665</v>
      </c>
      <c r="V296" s="170">
        <v>263</v>
      </c>
      <c r="W296" s="170">
        <v>1985.8476666666666</v>
      </c>
      <c r="X296" s="170">
        <v>2690</v>
      </c>
      <c r="Y296" s="170"/>
      <c r="Z296" s="170"/>
      <c r="AA296" s="170"/>
      <c r="AB296" s="170"/>
      <c r="AC296" s="170"/>
      <c r="AD296" s="170">
        <v>7.6798706548100251</v>
      </c>
      <c r="AE296" s="170"/>
      <c r="AF296" s="170"/>
      <c r="AG296" s="170"/>
      <c r="AH296" s="170"/>
      <c r="AI296" s="170"/>
      <c r="AJ296" s="170"/>
      <c r="AK296" s="170">
        <v>16.427140054248628</v>
      </c>
      <c r="AL296" s="170">
        <v>22.251961964485432</v>
      </c>
      <c r="AM296" s="170">
        <v>17.535714558192662</v>
      </c>
      <c r="AN296" s="170">
        <v>23.753620659492476</v>
      </c>
      <c r="AO296" s="170"/>
      <c r="AP296" s="170"/>
      <c r="AS296" s="167"/>
      <c r="AT296" s="1170"/>
      <c r="AU296" s="1171"/>
      <c r="AV296" s="1171"/>
      <c r="AW296" s="1172"/>
      <c r="AX296" s="1172"/>
      <c r="AY296" s="1172"/>
      <c r="AZ296" s="1172"/>
      <c r="BA296" s="1236" t="s">
        <v>54</v>
      </c>
      <c r="BB296" s="1237">
        <v>2008</v>
      </c>
      <c r="BC296" s="1236" t="s">
        <v>325</v>
      </c>
      <c r="BD296" s="1236">
        <v>8</v>
      </c>
      <c r="BE296" s="1238">
        <v>55218097.929999985</v>
      </c>
      <c r="BF296" s="1239">
        <v>5.9483929471222843E-2</v>
      </c>
      <c r="BG296" s="1236"/>
      <c r="BH296" s="1236" t="s">
        <v>54</v>
      </c>
      <c r="BI296" s="1236" t="s">
        <v>293</v>
      </c>
      <c r="BJ296" s="1236" t="s">
        <v>281</v>
      </c>
      <c r="BK296" s="1236">
        <v>2</v>
      </c>
      <c r="BL296" s="1238">
        <v>140776205</v>
      </c>
      <c r="BM296" s="1239">
        <v>0.20899999999999999</v>
      </c>
      <c r="BN296" s="1236">
        <v>2014</v>
      </c>
      <c r="BO296" s="174"/>
      <c r="BP296" s="174"/>
      <c r="BQ296" s="174"/>
      <c r="BR296" s="174"/>
      <c r="BS296" s="174"/>
      <c r="BT296" s="174"/>
      <c r="BU296" s="174"/>
      <c r="BV296" s="174"/>
      <c r="BW296" s="174"/>
      <c r="BX296" s="174"/>
    </row>
    <row r="297" spans="1:76" s="152" customFormat="1" ht="15" customHeight="1" x14ac:dyDescent="0.25">
      <c r="A297" s="152">
        <f t="shared" si="8"/>
        <v>1994</v>
      </c>
      <c r="B297" s="152" t="str">
        <f t="shared" si="9"/>
        <v>1994-95</v>
      </c>
      <c r="C297" s="173">
        <v>34639</v>
      </c>
      <c r="D297" s="154">
        <v>0.75390909090909086</v>
      </c>
      <c r="E297" s="155">
        <v>161.75873454545453</v>
      </c>
      <c r="F297" s="155">
        <v>214.56</v>
      </c>
      <c r="G297" s="155"/>
      <c r="H297" s="155"/>
      <c r="I297" s="156">
        <v>384.38</v>
      </c>
      <c r="J297" s="156">
        <v>431.87345005572155</v>
      </c>
      <c r="K297" s="157"/>
      <c r="L297" s="158"/>
      <c r="M297" s="159">
        <v>7561.7780000000002</v>
      </c>
      <c r="N297" s="159">
        <v>10030.092608223804</v>
      </c>
      <c r="O297" s="175">
        <v>2802.4</v>
      </c>
      <c r="P297" s="175">
        <v>3717.1590498010373</v>
      </c>
      <c r="Q297" s="175">
        <v>667.18</v>
      </c>
      <c r="R297" s="175">
        <v>884.96081032195832</v>
      </c>
      <c r="S297" s="175">
        <v>1152</v>
      </c>
      <c r="T297" s="175">
        <v>1528.0356927529242</v>
      </c>
      <c r="U297" s="161">
        <v>198.27809090909091</v>
      </c>
      <c r="V297" s="161">
        <v>263</v>
      </c>
      <c r="W297" s="161">
        <v>2028.0154545454545</v>
      </c>
      <c r="X297" s="161">
        <v>2690</v>
      </c>
      <c r="Y297" s="162"/>
      <c r="Z297" s="162"/>
      <c r="AA297" s="162"/>
      <c r="AB297" s="162"/>
      <c r="AC297" s="163"/>
      <c r="AD297" s="163">
        <v>7.1540265832681786</v>
      </c>
      <c r="AE297" s="163"/>
      <c r="AF297" s="163"/>
      <c r="AG297" s="163"/>
      <c r="AH297" s="163"/>
      <c r="AI297" s="163"/>
      <c r="AJ297" s="163"/>
      <c r="AK297" s="164">
        <v>17.304089199412953</v>
      </c>
      <c r="AL297" s="164">
        <v>22.952487784100143</v>
      </c>
      <c r="AM297" s="164">
        <v>17.431817401539195</v>
      </c>
      <c r="AN297" s="164">
        <v>23.12190900963839</v>
      </c>
      <c r="AO297" s="164"/>
      <c r="AP297" s="164"/>
      <c r="AS297" s="167"/>
      <c r="AT297" s="1170"/>
      <c r="AU297" s="1171"/>
      <c r="AV297" s="1171"/>
      <c r="AW297" s="1172"/>
      <c r="AX297" s="1172"/>
      <c r="AY297" s="1172"/>
      <c r="AZ297" s="1172"/>
      <c r="BA297" s="1236" t="s">
        <v>54</v>
      </c>
      <c r="BB297" s="1237">
        <v>2008</v>
      </c>
      <c r="BC297" s="1236" t="s">
        <v>315</v>
      </c>
      <c r="BD297" s="1236">
        <v>9</v>
      </c>
      <c r="BE297" s="1238">
        <v>44761978.759999998</v>
      </c>
      <c r="BF297" s="1239">
        <v>4.8220030884215129E-2</v>
      </c>
      <c r="BG297" s="1236"/>
      <c r="BH297" s="1236" t="s">
        <v>54</v>
      </c>
      <c r="BI297" s="1236" t="s">
        <v>293</v>
      </c>
      <c r="BJ297" s="1236" t="s">
        <v>312</v>
      </c>
      <c r="BK297" s="1236">
        <v>3</v>
      </c>
      <c r="BL297" s="1238">
        <v>66026579</v>
      </c>
      <c r="BM297" s="1239">
        <v>9.8000000000000004E-2</v>
      </c>
      <c r="BN297" s="1236">
        <v>2014</v>
      </c>
      <c r="BO297" s="174"/>
      <c r="BP297" s="174"/>
      <c r="BQ297" s="174"/>
      <c r="BR297" s="174"/>
      <c r="BS297" s="174"/>
      <c r="BT297" s="174"/>
      <c r="BU297" s="174"/>
      <c r="BV297" s="174"/>
      <c r="BW297" s="174"/>
      <c r="BX297" s="174"/>
    </row>
    <row r="298" spans="1:76" s="152" customFormat="1" ht="15" customHeight="1" x14ac:dyDescent="0.25">
      <c r="A298" s="152">
        <f t="shared" si="8"/>
        <v>1994</v>
      </c>
      <c r="B298" s="152" t="str">
        <f t="shared" si="9"/>
        <v>1994-95</v>
      </c>
      <c r="C298" s="173">
        <v>34669</v>
      </c>
      <c r="D298" s="169">
        <v>0.77394999999999992</v>
      </c>
      <c r="E298" s="170">
        <v>159.37952349999998</v>
      </c>
      <c r="F298" s="170">
        <v>205.93</v>
      </c>
      <c r="G298" s="170"/>
      <c r="H298" s="170"/>
      <c r="I298" s="169">
        <v>379.5</v>
      </c>
      <c r="J298" s="169">
        <v>420.36750184869015</v>
      </c>
      <c r="K298" s="169"/>
      <c r="L298" s="170"/>
      <c r="M298" s="170">
        <v>8553.848</v>
      </c>
      <c r="N298" s="170">
        <v>11052.197170359843</v>
      </c>
      <c r="O298" s="170">
        <v>2985.7</v>
      </c>
      <c r="P298" s="170">
        <v>3857.7427482395506</v>
      </c>
      <c r="Q298" s="170">
        <v>634.82000000000005</v>
      </c>
      <c r="R298" s="170">
        <v>820.23386523677254</v>
      </c>
      <c r="S298" s="170">
        <v>1113.9000000000001</v>
      </c>
      <c r="T298" s="170">
        <v>1439.2402609987728</v>
      </c>
      <c r="U298" s="170">
        <v>203.54884999999999</v>
      </c>
      <c r="V298" s="170">
        <v>263</v>
      </c>
      <c r="W298" s="170">
        <v>2081.9254999999998</v>
      </c>
      <c r="X298" s="170">
        <v>2690</v>
      </c>
      <c r="Y298" s="170"/>
      <c r="Z298" s="170"/>
      <c r="AA298" s="170"/>
      <c r="AB298" s="170"/>
      <c r="AC298" s="170"/>
      <c r="AD298" s="170">
        <v>6.4752832131822862</v>
      </c>
      <c r="AE298" s="170"/>
      <c r="AF298" s="170"/>
      <c r="AG298" s="170"/>
      <c r="AH298" s="170"/>
      <c r="AI298" s="170"/>
      <c r="AJ298" s="170"/>
      <c r="AK298" s="170">
        <v>15.881904374985467</v>
      </c>
      <c r="AL298" s="170">
        <v>20.520581917417751</v>
      </c>
      <c r="AM298" s="170">
        <v>17.073809124174574</v>
      </c>
      <c r="AN298" s="170">
        <v>22.060610018960624</v>
      </c>
      <c r="AO298" s="170"/>
      <c r="AP298" s="170"/>
      <c r="AS298" s="167"/>
      <c r="AT298" s="1170"/>
      <c r="AU298" s="1171"/>
      <c r="AV298" s="1171"/>
      <c r="AW298" s="1172"/>
      <c r="AX298" s="1172"/>
      <c r="AY298" s="1172"/>
      <c r="AZ298" s="1172"/>
      <c r="BA298" s="1236" t="s">
        <v>54</v>
      </c>
      <c r="BB298" s="1237">
        <v>2008</v>
      </c>
      <c r="BC298" s="1236" t="s">
        <v>326</v>
      </c>
      <c r="BD298" s="1236">
        <v>10</v>
      </c>
      <c r="BE298" s="1238">
        <v>35841945.059999995</v>
      </c>
      <c r="BF298" s="1239">
        <v>3.8610886864724067E-2</v>
      </c>
      <c r="BG298" s="1236"/>
      <c r="BH298" s="1236" t="s">
        <v>54</v>
      </c>
      <c r="BI298" s="1236" t="s">
        <v>293</v>
      </c>
      <c r="BJ298" s="1236" t="s">
        <v>314</v>
      </c>
      <c r="BK298" s="1236">
        <v>4</v>
      </c>
      <c r="BL298" s="1238">
        <v>61145279</v>
      </c>
      <c r="BM298" s="1239">
        <v>9.0999999999999998E-2</v>
      </c>
      <c r="BN298" s="1236">
        <v>2014</v>
      </c>
      <c r="BO298" s="174"/>
      <c r="BP298" s="174"/>
      <c r="BQ298" s="174"/>
      <c r="BR298" s="174"/>
      <c r="BS298" s="174"/>
      <c r="BT298" s="174"/>
      <c r="BU298" s="174"/>
      <c r="BV298" s="174"/>
      <c r="BW298" s="174"/>
      <c r="BX298" s="174"/>
    </row>
    <row r="299" spans="1:76" s="152" customFormat="1" ht="15" customHeight="1" x14ac:dyDescent="0.25">
      <c r="A299" s="152">
        <f t="shared" si="8"/>
        <v>1995</v>
      </c>
      <c r="B299" s="152" t="str">
        <f t="shared" si="9"/>
        <v>1994-95</v>
      </c>
      <c r="C299" s="173">
        <v>34700</v>
      </c>
      <c r="D299" s="154">
        <v>0.76631428571428573</v>
      </c>
      <c r="E299" s="155">
        <v>160.765074</v>
      </c>
      <c r="F299" s="155">
        <v>209.79</v>
      </c>
      <c r="G299" s="155"/>
      <c r="H299" s="155"/>
      <c r="I299" s="156">
        <v>378.74</v>
      </c>
      <c r="J299" s="156">
        <v>494.23585996047871</v>
      </c>
      <c r="K299" s="157"/>
      <c r="L299" s="158"/>
      <c r="M299" s="159">
        <v>9592.5499999999993</v>
      </c>
      <c r="N299" s="159">
        <v>12517.775250736362</v>
      </c>
      <c r="O299" s="175">
        <v>3010.3</v>
      </c>
      <c r="P299" s="175">
        <v>3928.2838074643005</v>
      </c>
      <c r="Q299" s="175">
        <v>665.93</v>
      </c>
      <c r="R299" s="175">
        <v>869.00376570597655</v>
      </c>
      <c r="S299" s="175">
        <v>1155.8</v>
      </c>
      <c r="T299" s="175">
        <v>1508.2584541963386</v>
      </c>
      <c r="U299" s="161">
        <v>218.39957142857142</v>
      </c>
      <c r="V299" s="161">
        <v>285</v>
      </c>
      <c r="W299" s="161">
        <v>1954.1014285714286</v>
      </c>
      <c r="X299" s="161">
        <v>2550</v>
      </c>
      <c r="Y299" s="162"/>
      <c r="Z299" s="162"/>
      <c r="AA299" s="162"/>
      <c r="AB299" s="162"/>
      <c r="AC299" s="163"/>
      <c r="AD299" s="163">
        <v>6.5013846762495051</v>
      </c>
      <c r="AE299" s="163">
        <v>66016.747000000003</v>
      </c>
      <c r="AF299" s="163">
        <v>86148.396592222518</v>
      </c>
      <c r="AG299" s="163"/>
      <c r="AH299" s="163"/>
      <c r="AI299" s="163"/>
      <c r="AJ299" s="163"/>
      <c r="AK299" s="164">
        <v>16.549046289353143</v>
      </c>
      <c r="AL299" s="164">
        <v>21.595638496974757</v>
      </c>
      <c r="AM299" s="164">
        <v>18.502172553020976</v>
      </c>
      <c r="AN299" s="164">
        <v>24.144365957858923</v>
      </c>
      <c r="AO299" s="164"/>
      <c r="AP299" s="164"/>
      <c r="AS299" s="167"/>
      <c r="AT299" s="1170"/>
      <c r="AU299" s="1171"/>
      <c r="AV299" s="1171"/>
      <c r="AW299" s="1172"/>
      <c r="AX299" s="1172"/>
      <c r="AY299" s="1172"/>
      <c r="AZ299" s="1172"/>
      <c r="BA299" s="1236" t="s">
        <v>54</v>
      </c>
      <c r="BB299" s="1237">
        <v>2008</v>
      </c>
      <c r="BC299" s="1236" t="s">
        <v>322</v>
      </c>
      <c r="BD299" s="1236">
        <v>11</v>
      </c>
      <c r="BE299" s="1238">
        <v>33437899.27</v>
      </c>
      <c r="BF299" s="1239">
        <v>3.6021118372530914E-2</v>
      </c>
      <c r="BG299" s="1236"/>
      <c r="BH299" s="1236" t="s">
        <v>54</v>
      </c>
      <c r="BI299" s="1236" t="s">
        <v>293</v>
      </c>
      <c r="BJ299" s="1236" t="s">
        <v>287</v>
      </c>
      <c r="BK299" s="1236">
        <v>5</v>
      </c>
      <c r="BL299" s="1238">
        <v>39026663</v>
      </c>
      <c r="BM299" s="1239">
        <v>5.8000000000000003E-2</v>
      </c>
      <c r="BN299" s="1236">
        <v>2014</v>
      </c>
      <c r="BO299" s="174"/>
      <c r="BP299" s="174"/>
      <c r="BQ299" s="174"/>
      <c r="BR299" s="174"/>
      <c r="BS299" s="174"/>
      <c r="BT299" s="174"/>
      <c r="BU299" s="174"/>
      <c r="BV299" s="174"/>
      <c r="BW299" s="174"/>
      <c r="BX299" s="174"/>
    </row>
    <row r="300" spans="1:76" s="152" customFormat="1" ht="15" customHeight="1" x14ac:dyDescent="0.25">
      <c r="A300" s="152">
        <f t="shared" si="8"/>
        <v>1995</v>
      </c>
      <c r="B300" s="152" t="str">
        <f t="shared" si="9"/>
        <v>1994-95</v>
      </c>
      <c r="C300" s="173">
        <v>34731</v>
      </c>
      <c r="D300" s="169">
        <v>0.74529000000000001</v>
      </c>
      <c r="E300" s="170">
        <v>162.4285026</v>
      </c>
      <c r="F300" s="170">
        <v>217.94</v>
      </c>
      <c r="G300" s="170"/>
      <c r="H300" s="170"/>
      <c r="I300" s="169">
        <v>376.4</v>
      </c>
      <c r="J300" s="169">
        <v>505.0383072361094</v>
      </c>
      <c r="K300" s="169"/>
      <c r="L300" s="170"/>
      <c r="M300" s="170">
        <v>8505.4500000000007</v>
      </c>
      <c r="N300" s="170">
        <v>11412.269049631688</v>
      </c>
      <c r="O300" s="170">
        <v>2877.6</v>
      </c>
      <c r="P300" s="170">
        <v>3861.0473775308938</v>
      </c>
      <c r="Q300" s="170">
        <v>579.85</v>
      </c>
      <c r="R300" s="170">
        <v>778.01929450281102</v>
      </c>
      <c r="S300" s="170">
        <v>1032.5999999999999</v>
      </c>
      <c r="T300" s="170">
        <v>1385.5009459405062</v>
      </c>
      <c r="U300" s="170">
        <v>212.40764999999999</v>
      </c>
      <c r="V300" s="170">
        <v>285</v>
      </c>
      <c r="W300" s="170">
        <v>1900.4894999999999</v>
      </c>
      <c r="X300" s="170">
        <v>2550</v>
      </c>
      <c r="Y300" s="170"/>
      <c r="Z300" s="170"/>
      <c r="AA300" s="170"/>
      <c r="AB300" s="170"/>
      <c r="AC300" s="170"/>
      <c r="AD300" s="170">
        <v>6.626098715348208</v>
      </c>
      <c r="AE300" s="170">
        <v>66005.724000000002</v>
      </c>
      <c r="AF300" s="170">
        <v>88563.812744032519</v>
      </c>
      <c r="AG300" s="170"/>
      <c r="AH300" s="170"/>
      <c r="AI300" s="170"/>
      <c r="AJ300" s="170"/>
      <c r="AK300" s="170">
        <v>17.139000034332277</v>
      </c>
      <c r="AL300" s="170">
        <v>22.996417547977668</v>
      </c>
      <c r="AM300" s="170">
        <v>18.882499980926514</v>
      </c>
      <c r="AN300" s="170">
        <v>25.335775310183305</v>
      </c>
      <c r="AO300" s="170"/>
      <c r="AP300" s="170"/>
      <c r="AS300" s="167"/>
      <c r="AT300" s="1170"/>
      <c r="AU300" s="1171"/>
      <c r="AV300" s="1171"/>
      <c r="AW300" s="1172"/>
      <c r="AX300" s="1172"/>
      <c r="AY300" s="1172"/>
      <c r="AZ300" s="1172"/>
      <c r="BA300" s="1236" t="s">
        <v>54</v>
      </c>
      <c r="BB300" s="1237">
        <v>2008</v>
      </c>
      <c r="BC300" s="1236" t="s">
        <v>285</v>
      </c>
      <c r="BD300" s="1236">
        <v>12</v>
      </c>
      <c r="BE300" s="1238">
        <v>32033099.390000004</v>
      </c>
      <c r="BF300" s="1239">
        <v>3.450779176195054E-2</v>
      </c>
      <c r="BG300" s="1236"/>
      <c r="BH300" s="1236" t="s">
        <v>54</v>
      </c>
      <c r="BI300" s="1236" t="s">
        <v>293</v>
      </c>
      <c r="BJ300" s="1236" t="s">
        <v>290</v>
      </c>
      <c r="BK300" s="1236">
        <v>6</v>
      </c>
      <c r="BL300" s="1238">
        <v>24561816</v>
      </c>
      <c r="BM300" s="1239">
        <v>3.6999999999999998E-2</v>
      </c>
      <c r="BN300" s="1236">
        <v>2014</v>
      </c>
      <c r="BO300" s="174"/>
      <c r="BP300" s="174"/>
      <c r="BQ300" s="174"/>
      <c r="BR300" s="174"/>
      <c r="BS300" s="174"/>
      <c r="BT300" s="174"/>
      <c r="BU300" s="174"/>
      <c r="BV300" s="174"/>
      <c r="BW300" s="174"/>
      <c r="BX300" s="174"/>
    </row>
    <row r="301" spans="1:76" s="152" customFormat="1" ht="15" customHeight="1" x14ac:dyDescent="0.25">
      <c r="A301" s="152">
        <f t="shared" si="8"/>
        <v>1995</v>
      </c>
      <c r="B301" s="152" t="str">
        <f t="shared" si="9"/>
        <v>1994-95</v>
      </c>
      <c r="C301" s="173">
        <v>34759</v>
      </c>
      <c r="D301" s="154">
        <v>0.73461304347826084</v>
      </c>
      <c r="E301" s="155">
        <v>155.23842834782607</v>
      </c>
      <c r="F301" s="155">
        <v>211.32</v>
      </c>
      <c r="G301" s="155"/>
      <c r="H301" s="155"/>
      <c r="I301" s="156">
        <v>385.37</v>
      </c>
      <c r="J301" s="156">
        <v>524.58910636182316</v>
      </c>
      <c r="K301" s="157"/>
      <c r="L301" s="158"/>
      <c r="M301" s="159">
        <v>7531.91</v>
      </c>
      <c r="N301" s="159">
        <v>10252.894454933386</v>
      </c>
      <c r="O301" s="175">
        <v>2924</v>
      </c>
      <c r="P301" s="175">
        <v>3980.3268209823568</v>
      </c>
      <c r="Q301" s="175">
        <v>585.55999999999995</v>
      </c>
      <c r="R301" s="175">
        <v>797.09992246731485</v>
      </c>
      <c r="S301" s="175">
        <v>1022.6</v>
      </c>
      <c r="T301" s="175">
        <v>1392.0253786376738</v>
      </c>
      <c r="U301" s="161">
        <v>209.36471739130434</v>
      </c>
      <c r="V301" s="161">
        <v>285</v>
      </c>
      <c r="W301" s="161">
        <v>1873.2632608695651</v>
      </c>
      <c r="X301" s="161">
        <v>2550</v>
      </c>
      <c r="Y301" s="162"/>
      <c r="Z301" s="162"/>
      <c r="AA301" s="162"/>
      <c r="AB301" s="162"/>
      <c r="AC301" s="163"/>
      <c r="AD301" s="163">
        <v>6.5384615384615383</v>
      </c>
      <c r="AE301" s="163">
        <v>63007.467999999993</v>
      </c>
      <c r="AF301" s="163">
        <v>85769.601505672908</v>
      </c>
      <c r="AG301" s="163"/>
      <c r="AH301" s="163"/>
      <c r="AI301" s="163"/>
      <c r="AJ301" s="163"/>
      <c r="AK301" s="164">
        <v>17.016518883083176</v>
      </c>
      <c r="AL301" s="164">
        <v>23.163921515078219</v>
      </c>
      <c r="AM301" s="164">
        <v>18.48695655491041</v>
      </c>
      <c r="AN301" s="164">
        <v>25.165570798168776</v>
      </c>
      <c r="AO301" s="164"/>
      <c r="AP301" s="164"/>
      <c r="AS301" s="167"/>
      <c r="AT301" s="1170"/>
      <c r="AU301" s="1171"/>
      <c r="AV301" s="1171"/>
      <c r="AW301" s="1172"/>
      <c r="AX301" s="1172"/>
      <c r="AY301" s="1172"/>
      <c r="AZ301" s="1172"/>
      <c r="BA301" s="1236" t="s">
        <v>54</v>
      </c>
      <c r="BB301" s="1237">
        <v>2008</v>
      </c>
      <c r="BC301" s="1236" t="s">
        <v>291</v>
      </c>
      <c r="BD301" s="1236"/>
      <c r="BE301" s="1238">
        <v>70937809.740000248</v>
      </c>
      <c r="BF301" s="1239">
        <v>7.6418055485476241E-2</v>
      </c>
      <c r="BG301" s="1236"/>
      <c r="BH301" s="1236" t="s">
        <v>54</v>
      </c>
      <c r="BI301" s="1236" t="s">
        <v>293</v>
      </c>
      <c r="BJ301" s="1236" t="s">
        <v>315</v>
      </c>
      <c r="BK301" s="1236">
        <v>7</v>
      </c>
      <c r="BL301" s="1238">
        <v>22232225</v>
      </c>
      <c r="BM301" s="1239">
        <v>3.3000000000000002E-2</v>
      </c>
      <c r="BN301" s="1236">
        <v>2014</v>
      </c>
      <c r="BO301" s="174"/>
      <c r="BP301" s="174"/>
      <c r="BQ301" s="174"/>
      <c r="BR301" s="174"/>
      <c r="BS301" s="174"/>
      <c r="BT301" s="174"/>
      <c r="BU301" s="174"/>
      <c r="BV301" s="174"/>
      <c r="BW301" s="174"/>
      <c r="BX301" s="174"/>
    </row>
    <row r="302" spans="1:76" s="152" customFormat="1" ht="15" customHeight="1" x14ac:dyDescent="0.25">
      <c r="A302" s="152">
        <f t="shared" si="8"/>
        <v>1995</v>
      </c>
      <c r="B302" s="152" t="str">
        <f t="shared" si="9"/>
        <v>1994-95</v>
      </c>
      <c r="C302" s="173">
        <v>34790</v>
      </c>
      <c r="D302" s="169">
        <v>0.73606470588235307</v>
      </c>
      <c r="E302" s="170">
        <v>166.89531141176474</v>
      </c>
      <c r="F302" s="170">
        <v>226.74</v>
      </c>
      <c r="G302" s="170"/>
      <c r="H302" s="170"/>
      <c r="I302" s="169">
        <v>389.95</v>
      </c>
      <c r="J302" s="169">
        <v>529.77679391997174</v>
      </c>
      <c r="K302" s="169"/>
      <c r="L302" s="170"/>
      <c r="M302" s="170">
        <v>7397.83</v>
      </c>
      <c r="N302" s="170">
        <v>10050.515859379369</v>
      </c>
      <c r="O302" s="170">
        <v>2906.6</v>
      </c>
      <c r="P302" s="170">
        <v>3948.8376181761505</v>
      </c>
      <c r="Q302" s="170">
        <v>608</v>
      </c>
      <c r="R302" s="170">
        <v>826.01433697485027</v>
      </c>
      <c r="S302" s="170">
        <v>1060</v>
      </c>
      <c r="T302" s="170">
        <v>1440.0907848574691</v>
      </c>
      <c r="U302" s="170">
        <v>236.27677058823534</v>
      </c>
      <c r="V302" s="170">
        <v>321</v>
      </c>
      <c r="W302" s="170">
        <v>1960.8763764705886</v>
      </c>
      <c r="X302" s="170">
        <v>2664</v>
      </c>
      <c r="Y302" s="170"/>
      <c r="Z302" s="170"/>
      <c r="AA302" s="170"/>
      <c r="AB302" s="170"/>
      <c r="AC302" s="170"/>
      <c r="AD302" s="170">
        <v>7.6859843814221129</v>
      </c>
      <c r="AE302" s="170">
        <v>60626.5</v>
      </c>
      <c r="AF302" s="170">
        <v>82365.720724680519</v>
      </c>
      <c r="AG302" s="170"/>
      <c r="AH302" s="170"/>
      <c r="AI302" s="170"/>
      <c r="AJ302" s="170"/>
      <c r="AK302" s="170">
        <v>18.742218865288628</v>
      </c>
      <c r="AL302" s="170">
        <v>25.4627327129094</v>
      </c>
      <c r="AM302" s="170">
        <v>19.065789373297442</v>
      </c>
      <c r="AN302" s="170">
        <v>25.902327908036895</v>
      </c>
      <c r="AO302" s="170"/>
      <c r="AP302" s="170"/>
      <c r="AS302" s="167"/>
      <c r="AT302" s="1170"/>
      <c r="AU302" s="1171"/>
      <c r="AV302" s="1171"/>
      <c r="AW302" s="1172"/>
      <c r="AX302" s="1172"/>
      <c r="AY302" s="1172"/>
      <c r="AZ302" s="1172"/>
      <c r="BA302" s="1236" t="s">
        <v>54</v>
      </c>
      <c r="BB302" s="1237">
        <v>2008</v>
      </c>
      <c r="BC302" s="1236" t="s">
        <v>292</v>
      </c>
      <c r="BD302" s="1236"/>
      <c r="BE302" s="1238">
        <v>928285982.80000007</v>
      </c>
      <c r="BF302" s="1239"/>
      <c r="BG302" s="1236"/>
      <c r="BH302" s="1236" t="s">
        <v>54</v>
      </c>
      <c r="BI302" s="1236" t="s">
        <v>293</v>
      </c>
      <c r="BJ302" s="1236" t="s">
        <v>285</v>
      </c>
      <c r="BK302" s="1236">
        <v>8</v>
      </c>
      <c r="BL302" s="1238">
        <v>15818131</v>
      </c>
      <c r="BM302" s="1239">
        <v>2.4E-2</v>
      </c>
      <c r="BN302" s="1236">
        <v>2014</v>
      </c>
      <c r="BO302" s="174"/>
      <c r="BP302" s="174"/>
      <c r="BQ302" s="174"/>
      <c r="BR302" s="174"/>
      <c r="BS302" s="174"/>
      <c r="BT302" s="174"/>
      <c r="BU302" s="174"/>
      <c r="BV302" s="174"/>
      <c r="BW302" s="174"/>
      <c r="BX302" s="174"/>
    </row>
    <row r="303" spans="1:76" s="152" customFormat="1" ht="15" customHeight="1" x14ac:dyDescent="0.25">
      <c r="A303" s="152">
        <f t="shared" si="8"/>
        <v>1995</v>
      </c>
      <c r="B303" s="152" t="str">
        <f t="shared" si="9"/>
        <v>1994-95</v>
      </c>
      <c r="C303" s="173">
        <v>34820</v>
      </c>
      <c r="D303" s="154">
        <v>0.72783478260869561</v>
      </c>
      <c r="E303" s="155">
        <v>170.95383373913043</v>
      </c>
      <c r="F303" s="155">
        <v>234.88</v>
      </c>
      <c r="G303" s="155"/>
      <c r="H303" s="155"/>
      <c r="I303" s="156">
        <v>384.3</v>
      </c>
      <c r="J303" s="156">
        <v>528.00444439134549</v>
      </c>
      <c r="K303" s="157"/>
      <c r="L303" s="158"/>
      <c r="M303" s="159">
        <v>7232</v>
      </c>
      <c r="N303" s="159">
        <v>9936.3209519599532</v>
      </c>
      <c r="O303" s="175">
        <v>2774.1</v>
      </c>
      <c r="P303" s="175">
        <v>3811.4419182566517</v>
      </c>
      <c r="Q303" s="175">
        <v>596.96</v>
      </c>
      <c r="R303" s="175">
        <v>820.18613875580945</v>
      </c>
      <c r="S303" s="175">
        <v>1036.5</v>
      </c>
      <c r="T303" s="175">
        <v>1424.0869284715834</v>
      </c>
      <c r="U303" s="161">
        <v>233.63496521739128</v>
      </c>
      <c r="V303" s="161">
        <v>321</v>
      </c>
      <c r="W303" s="161">
        <v>1938.9518608695651</v>
      </c>
      <c r="X303" s="161">
        <v>2664</v>
      </c>
      <c r="Y303" s="162"/>
      <c r="Z303" s="162"/>
      <c r="AA303" s="162"/>
      <c r="AB303" s="162"/>
      <c r="AC303" s="163"/>
      <c r="AD303" s="163">
        <v>7.9293919865508551</v>
      </c>
      <c r="AE303" s="163">
        <v>63558.617999999995</v>
      </c>
      <c r="AF303" s="163">
        <v>87325.612238802409</v>
      </c>
      <c r="AG303" s="163"/>
      <c r="AH303" s="163"/>
      <c r="AI303" s="163"/>
      <c r="AJ303" s="163"/>
      <c r="AK303" s="164">
        <v>18.317353657313756</v>
      </c>
      <c r="AL303" s="164">
        <v>25.166911632968329</v>
      </c>
      <c r="AM303" s="164">
        <v>19.307726513255727</v>
      </c>
      <c r="AN303" s="164">
        <v>26.527622716866091</v>
      </c>
      <c r="AO303" s="164"/>
      <c r="AP303" s="164"/>
      <c r="AS303" s="167"/>
      <c r="AT303" s="1170"/>
      <c r="AU303" s="1171"/>
      <c r="AV303" s="1171"/>
      <c r="AW303" s="1172"/>
      <c r="AX303" s="1172"/>
      <c r="AY303" s="1172"/>
      <c r="AZ303" s="1172"/>
      <c r="BA303" s="1240" t="s">
        <v>32</v>
      </c>
      <c r="BB303" s="1241">
        <v>2002</v>
      </c>
      <c r="BC303" s="1240" t="s">
        <v>314</v>
      </c>
      <c r="BD303" s="1240">
        <v>1</v>
      </c>
      <c r="BE303" s="1242">
        <v>1029318000</v>
      </c>
      <c r="BF303" s="1239">
        <v>0.26879031588381191</v>
      </c>
      <c r="BG303" s="1236"/>
      <c r="BH303" s="1236" t="s">
        <v>54</v>
      </c>
      <c r="BI303" s="1236" t="s">
        <v>293</v>
      </c>
      <c r="BJ303" s="1236" t="s">
        <v>308</v>
      </c>
      <c r="BK303" s="1236">
        <v>9</v>
      </c>
      <c r="BL303" s="1238">
        <v>15358603</v>
      </c>
      <c r="BM303" s="1239">
        <v>2.3E-2</v>
      </c>
      <c r="BN303" s="1236">
        <v>2014</v>
      </c>
      <c r="BO303" s="174"/>
      <c r="BP303" s="174"/>
      <c r="BQ303" s="174"/>
      <c r="BR303" s="174"/>
      <c r="BS303" s="174"/>
      <c r="BT303" s="174"/>
      <c r="BU303" s="174"/>
      <c r="BV303" s="174"/>
      <c r="BW303" s="174"/>
      <c r="BX303" s="174"/>
    </row>
    <row r="304" spans="1:76" s="152" customFormat="1" ht="15" customHeight="1" x14ac:dyDescent="0.25">
      <c r="A304" s="152">
        <f t="shared" si="8"/>
        <v>1995</v>
      </c>
      <c r="B304" s="152" t="str">
        <f t="shared" si="9"/>
        <v>1994-95</v>
      </c>
      <c r="C304" s="173">
        <v>34851</v>
      </c>
      <c r="D304" s="169">
        <v>0.7193272727272727</v>
      </c>
      <c r="E304" s="170">
        <v>174.65266181818183</v>
      </c>
      <c r="F304" s="170">
        <v>242.8</v>
      </c>
      <c r="G304" s="170"/>
      <c r="H304" s="170"/>
      <c r="I304" s="169">
        <v>387.62</v>
      </c>
      <c r="J304" s="169">
        <v>538.8645957081111</v>
      </c>
      <c r="K304" s="169"/>
      <c r="L304" s="170"/>
      <c r="M304" s="170">
        <v>7874.3</v>
      </c>
      <c r="N304" s="170">
        <v>10946.755807193591</v>
      </c>
      <c r="O304" s="170">
        <v>2994.6</v>
      </c>
      <c r="P304" s="170">
        <v>4163.0563910724668</v>
      </c>
      <c r="Q304" s="170">
        <v>611.79999999999995</v>
      </c>
      <c r="R304" s="170">
        <v>850.51689710082644</v>
      </c>
      <c r="S304" s="170">
        <v>1010</v>
      </c>
      <c r="T304" s="170">
        <v>1404.0896797512828</v>
      </c>
      <c r="U304" s="170">
        <v>230.90405454545453</v>
      </c>
      <c r="V304" s="170">
        <v>321</v>
      </c>
      <c r="W304" s="170">
        <v>1916.2878545454546</v>
      </c>
      <c r="X304" s="170">
        <v>2664</v>
      </c>
      <c r="Y304" s="170"/>
      <c r="Z304" s="170"/>
      <c r="AA304" s="170"/>
      <c r="AB304" s="170"/>
      <c r="AC304" s="170"/>
      <c r="AD304" s="170">
        <v>7.9733792016975578</v>
      </c>
      <c r="AE304" s="170">
        <v>62467.341</v>
      </c>
      <c r="AF304" s="170">
        <v>86841.335464954638</v>
      </c>
      <c r="AG304" s="170"/>
      <c r="AH304" s="170"/>
      <c r="AI304" s="170"/>
      <c r="AJ304" s="170"/>
      <c r="AK304" s="170">
        <v>17.345903136513449</v>
      </c>
      <c r="AL304" s="170">
        <v>24.114062950439546</v>
      </c>
      <c r="AM304" s="170">
        <v>18.280909191478383</v>
      </c>
      <c r="AN304" s="170">
        <v>25.413896962599175</v>
      </c>
      <c r="AO304" s="170"/>
      <c r="AP304" s="170"/>
      <c r="AS304" s="167"/>
      <c r="AT304" s="1170"/>
      <c r="AU304" s="1171"/>
      <c r="AV304" s="1171"/>
      <c r="AW304" s="1172"/>
      <c r="AX304" s="1172"/>
      <c r="AY304" s="1172"/>
      <c r="AZ304" s="1172"/>
      <c r="BA304" s="1240" t="s">
        <v>32</v>
      </c>
      <c r="BB304" s="1241">
        <v>2002</v>
      </c>
      <c r="BC304" s="1240" t="s">
        <v>320</v>
      </c>
      <c r="BD304" s="1240">
        <v>2</v>
      </c>
      <c r="BE304" s="1242">
        <v>875472000</v>
      </c>
      <c r="BF304" s="1239">
        <v>0.22861583633768434</v>
      </c>
      <c r="BG304" s="1236"/>
      <c r="BH304" s="1236" t="s">
        <v>54</v>
      </c>
      <c r="BI304" s="1236" t="s">
        <v>293</v>
      </c>
      <c r="BJ304" s="1236" t="s">
        <v>323</v>
      </c>
      <c r="BK304" s="1236">
        <v>10</v>
      </c>
      <c r="BL304" s="1238">
        <v>14679500</v>
      </c>
      <c r="BM304" s="1239">
        <v>2.1999999999999999E-2</v>
      </c>
      <c r="BN304" s="1236">
        <v>2014</v>
      </c>
      <c r="BO304" s="174"/>
      <c r="BP304" s="174"/>
      <c r="BQ304" s="174"/>
      <c r="BR304" s="174"/>
      <c r="BS304" s="174"/>
      <c r="BT304" s="174"/>
      <c r="BU304" s="174"/>
      <c r="BV304" s="174"/>
      <c r="BW304" s="174"/>
      <c r="BX304" s="174"/>
    </row>
    <row r="305" spans="1:76" s="152" customFormat="1" ht="15" customHeight="1" x14ac:dyDescent="0.25">
      <c r="A305" s="152">
        <f t="shared" si="8"/>
        <v>1995</v>
      </c>
      <c r="B305" s="152" t="str">
        <f t="shared" si="9"/>
        <v>1995-96</v>
      </c>
      <c r="C305" s="173">
        <v>34881</v>
      </c>
      <c r="D305" s="154">
        <v>0.72684285714285723</v>
      </c>
      <c r="E305" s="155">
        <v>184.92335971428574</v>
      </c>
      <c r="F305" s="155">
        <v>254.42</v>
      </c>
      <c r="G305" s="155"/>
      <c r="H305" s="155"/>
      <c r="I305" s="156">
        <v>386.14</v>
      </c>
      <c r="J305" s="156">
        <v>531.25651054462537</v>
      </c>
      <c r="K305" s="157"/>
      <c r="L305" s="158"/>
      <c r="M305" s="159">
        <v>8596.57</v>
      </c>
      <c r="N305" s="159">
        <v>11827.27451404312</v>
      </c>
      <c r="O305" s="175">
        <v>3075.6</v>
      </c>
      <c r="P305" s="175">
        <v>4231.4510898406015</v>
      </c>
      <c r="Q305" s="175">
        <v>621.9</v>
      </c>
      <c r="R305" s="175">
        <v>855.61823149039867</v>
      </c>
      <c r="S305" s="175">
        <v>1027</v>
      </c>
      <c r="T305" s="175">
        <v>1412.9601603805104</v>
      </c>
      <c r="U305" s="161">
        <v>271.83922857142858</v>
      </c>
      <c r="V305" s="161">
        <v>374</v>
      </c>
      <c r="W305" s="161">
        <v>1987.9152142857145</v>
      </c>
      <c r="X305" s="161">
        <v>2735</v>
      </c>
      <c r="Y305" s="162"/>
      <c r="Z305" s="162"/>
      <c r="AA305" s="162"/>
      <c r="AB305" s="162"/>
      <c r="AC305" s="163"/>
      <c r="AD305" s="163">
        <v>7.6518719758226563</v>
      </c>
      <c r="AE305" s="163">
        <v>60295.81</v>
      </c>
      <c r="AF305" s="163">
        <v>82955.771536390239</v>
      </c>
      <c r="AG305" s="163"/>
      <c r="AH305" s="163"/>
      <c r="AI305" s="163"/>
      <c r="AJ305" s="163"/>
      <c r="AK305" s="164">
        <v>15.85952345530192</v>
      </c>
      <c r="AL305" s="164">
        <v>21.819741776983317</v>
      </c>
      <c r="AM305" s="164">
        <v>17.260000047229585</v>
      </c>
      <c r="AN305" s="164">
        <v>23.746535963876468</v>
      </c>
      <c r="AO305" s="164"/>
      <c r="AP305" s="164"/>
      <c r="AS305" s="167"/>
      <c r="AT305" s="1170"/>
      <c r="AU305" s="1171"/>
      <c r="AV305" s="1171"/>
      <c r="AW305" s="1172"/>
      <c r="AX305" s="1172"/>
      <c r="AY305" s="1172"/>
      <c r="AZ305" s="1172"/>
      <c r="BA305" s="1240" t="s">
        <v>32</v>
      </c>
      <c r="BB305" s="1241">
        <v>2002</v>
      </c>
      <c r="BC305" s="1240" t="s">
        <v>306</v>
      </c>
      <c r="BD305" s="1240">
        <v>3</v>
      </c>
      <c r="BE305" s="1242">
        <v>579074000</v>
      </c>
      <c r="BF305" s="1239">
        <v>0.15121612891264166</v>
      </c>
      <c r="BG305" s="1236"/>
      <c r="BH305" s="1236" t="s">
        <v>54</v>
      </c>
      <c r="BI305" s="1236" t="s">
        <v>293</v>
      </c>
      <c r="BJ305" s="1236" t="s">
        <v>291</v>
      </c>
      <c r="BK305" s="1236"/>
      <c r="BL305" s="1238">
        <v>53700797</v>
      </c>
      <c r="BM305" s="1239">
        <v>0.08</v>
      </c>
      <c r="BN305" s="1236">
        <v>2014</v>
      </c>
      <c r="BO305" s="174"/>
      <c r="BP305" s="174"/>
      <c r="BQ305" s="174"/>
      <c r="BR305" s="174"/>
      <c r="BS305" s="174"/>
      <c r="BT305" s="174"/>
      <c r="BU305" s="174"/>
      <c r="BV305" s="174"/>
      <c r="BW305" s="174"/>
      <c r="BX305" s="174"/>
    </row>
    <row r="306" spans="1:76" s="152" customFormat="1" ht="15" customHeight="1" x14ac:dyDescent="0.25">
      <c r="A306" s="152">
        <f t="shared" si="8"/>
        <v>1995</v>
      </c>
      <c r="B306" s="152" t="str">
        <f t="shared" si="9"/>
        <v>1995-96</v>
      </c>
      <c r="C306" s="173">
        <v>34912</v>
      </c>
      <c r="D306" s="169">
        <v>0.74118695652173916</v>
      </c>
      <c r="E306" s="170">
        <v>178.50746660869567</v>
      </c>
      <c r="F306" s="170">
        <v>240.84</v>
      </c>
      <c r="G306" s="170"/>
      <c r="H306" s="170"/>
      <c r="I306" s="169">
        <v>383.5</v>
      </c>
      <c r="J306" s="169">
        <v>503.3</v>
      </c>
      <c r="K306" s="169"/>
      <c r="L306" s="170"/>
      <c r="M306" s="170">
        <v>8944.73</v>
      </c>
      <c r="N306" s="170">
        <v>12068.115771999084</v>
      </c>
      <c r="O306" s="170">
        <v>3037.6</v>
      </c>
      <c r="P306" s="170">
        <v>4098.2912250033723</v>
      </c>
      <c r="Q306" s="170">
        <v>623.76</v>
      </c>
      <c r="R306" s="170">
        <v>841.56904612460619</v>
      </c>
      <c r="S306" s="170">
        <v>1014.5</v>
      </c>
      <c r="T306" s="170">
        <v>1368.7504766150651</v>
      </c>
      <c r="U306" s="170">
        <v>277.20392173913046</v>
      </c>
      <c r="V306" s="170">
        <v>374</v>
      </c>
      <c r="W306" s="170">
        <v>2027.1463260869566</v>
      </c>
      <c r="X306" s="170">
        <v>2735</v>
      </c>
      <c r="Y306" s="170"/>
      <c r="Z306" s="170"/>
      <c r="AA306" s="170"/>
      <c r="AB306" s="170"/>
      <c r="AC306" s="170"/>
      <c r="AD306" s="170">
        <v>7.7804748661726171</v>
      </c>
      <c r="AE306" s="170">
        <v>61861.075999999994</v>
      </c>
      <c r="AF306" s="170">
        <v>83462.175711109667</v>
      </c>
      <c r="AG306" s="170"/>
      <c r="AH306" s="170"/>
      <c r="AI306" s="170"/>
      <c r="AJ306" s="170"/>
      <c r="AK306" s="170">
        <v>16.071299718773883</v>
      </c>
      <c r="AL306" s="170">
        <v>21.683192853519284</v>
      </c>
      <c r="AM306" s="170">
        <v>17.451739186825961</v>
      </c>
      <c r="AN306" s="170">
        <v>23.545664198846566</v>
      </c>
      <c r="AO306" s="170"/>
      <c r="AP306" s="170"/>
      <c r="AS306" s="167"/>
      <c r="AT306" s="1170"/>
      <c r="AU306" s="1171"/>
      <c r="AV306" s="1171"/>
      <c r="AW306" s="1172"/>
      <c r="AX306" s="1172"/>
      <c r="AY306" s="1172"/>
      <c r="AZ306" s="1172"/>
      <c r="BA306" s="1240" t="s">
        <v>32</v>
      </c>
      <c r="BB306" s="1241">
        <v>2002</v>
      </c>
      <c r="BC306" s="1240" t="s">
        <v>308</v>
      </c>
      <c r="BD306" s="1240">
        <v>4</v>
      </c>
      <c r="BE306" s="1242">
        <v>314995000</v>
      </c>
      <c r="BF306" s="1239">
        <v>8.2256023456134392E-2</v>
      </c>
      <c r="BG306" s="1236"/>
      <c r="BH306" s="1236" t="s">
        <v>54</v>
      </c>
      <c r="BI306" s="1236" t="s">
        <v>293</v>
      </c>
      <c r="BJ306" s="1236" t="s">
        <v>292</v>
      </c>
      <c r="BK306" s="1236"/>
      <c r="BL306" s="1238">
        <v>672500097</v>
      </c>
      <c r="BM306" s="1239"/>
      <c r="BN306" s="1236">
        <v>2014</v>
      </c>
      <c r="BO306" s="174"/>
      <c r="BP306" s="174"/>
      <c r="BQ306" s="174"/>
      <c r="BR306" s="174"/>
      <c r="BS306" s="174"/>
      <c r="BT306" s="174"/>
      <c r="BU306" s="174"/>
      <c r="BV306" s="174"/>
      <c r="BW306" s="174"/>
      <c r="BX306" s="174"/>
    </row>
    <row r="307" spans="1:76" s="152" customFormat="1" ht="15" customHeight="1" x14ac:dyDescent="0.25">
      <c r="A307" s="152">
        <f t="shared" si="8"/>
        <v>1995</v>
      </c>
      <c r="B307" s="152" t="str">
        <f t="shared" si="9"/>
        <v>1995-96</v>
      </c>
      <c r="C307" s="173">
        <v>34943</v>
      </c>
      <c r="D307" s="154">
        <v>0.7541809523809524</v>
      </c>
      <c r="E307" s="155">
        <v>180.52075276190479</v>
      </c>
      <c r="F307" s="155">
        <v>239.36</v>
      </c>
      <c r="G307" s="155"/>
      <c r="H307" s="155"/>
      <c r="I307" s="156">
        <v>382.93</v>
      </c>
      <c r="J307" s="156">
        <v>510.4</v>
      </c>
      <c r="K307" s="157"/>
      <c r="L307" s="158"/>
      <c r="M307" s="159">
        <v>8408</v>
      </c>
      <c r="N307" s="159">
        <v>11148.518102261678</v>
      </c>
      <c r="O307" s="175">
        <v>2915.5</v>
      </c>
      <c r="P307" s="175">
        <v>3865.7831264443294</v>
      </c>
      <c r="Q307" s="175">
        <v>592.71</v>
      </c>
      <c r="R307" s="175">
        <v>785.8989253557944</v>
      </c>
      <c r="S307" s="175">
        <v>986.57</v>
      </c>
      <c r="T307" s="175">
        <v>1308.1343368397127</v>
      </c>
      <c r="U307" s="161">
        <v>282.0636761904762</v>
      </c>
      <c r="V307" s="161">
        <v>374</v>
      </c>
      <c r="W307" s="161">
        <v>2062.6849047619048</v>
      </c>
      <c r="X307" s="161">
        <v>2735</v>
      </c>
      <c r="Y307" s="162"/>
      <c r="Z307" s="162"/>
      <c r="AA307" s="162"/>
      <c r="AB307" s="162"/>
      <c r="AC307" s="163"/>
      <c r="AD307" s="163">
        <v>7.6840226984101463</v>
      </c>
      <c r="AE307" s="163">
        <v>63734.985999999997</v>
      </c>
      <c r="AF307" s="163">
        <v>84508.877874452257</v>
      </c>
      <c r="AG307" s="163"/>
      <c r="AH307" s="163"/>
      <c r="AI307" s="163"/>
      <c r="AJ307" s="163"/>
      <c r="AK307" s="164">
        <v>16.658092498779297</v>
      </c>
      <c r="AL307" s="164">
        <v>22.087660058490776</v>
      </c>
      <c r="AM307" s="164">
        <v>17.496190661475772</v>
      </c>
      <c r="AN307" s="164">
        <v>23.198929389876827</v>
      </c>
      <c r="AO307" s="164"/>
      <c r="AP307" s="164"/>
      <c r="AS307" s="167"/>
      <c r="AT307" s="1170"/>
      <c r="AU307" s="1171"/>
      <c r="AV307" s="1171"/>
      <c r="AW307" s="1172"/>
      <c r="AX307" s="1172"/>
      <c r="AY307" s="1172"/>
      <c r="AZ307" s="1172"/>
      <c r="BA307" s="1240" t="s">
        <v>32</v>
      </c>
      <c r="BB307" s="1241">
        <v>2002</v>
      </c>
      <c r="BC307" s="1240" t="s">
        <v>327</v>
      </c>
      <c r="BD307" s="1240">
        <v>5</v>
      </c>
      <c r="BE307" s="1242">
        <v>293728000</v>
      </c>
      <c r="BF307" s="1239">
        <v>7.6702478635290852E-2</v>
      </c>
      <c r="BG307" s="1236"/>
      <c r="BH307" s="1236" t="s">
        <v>54</v>
      </c>
      <c r="BI307" s="1236" t="s">
        <v>294</v>
      </c>
      <c r="BJ307" s="1236" t="s">
        <v>281</v>
      </c>
      <c r="BK307" s="1236">
        <v>1</v>
      </c>
      <c r="BL307" s="1238">
        <v>194756189</v>
      </c>
      <c r="BM307" s="1239">
        <v>0.28799999999999998</v>
      </c>
      <c r="BN307" s="1236">
        <v>2013</v>
      </c>
      <c r="BO307" s="174"/>
      <c r="BP307" s="174"/>
      <c r="BQ307" s="174"/>
      <c r="BR307" s="174"/>
      <c r="BS307" s="174"/>
      <c r="BT307" s="174"/>
      <c r="BU307" s="174"/>
      <c r="BV307" s="174"/>
      <c r="BW307" s="174"/>
      <c r="BX307" s="174"/>
    </row>
    <row r="308" spans="1:76" s="152" customFormat="1" ht="15" customHeight="1" x14ac:dyDescent="0.25">
      <c r="A308" s="152">
        <f t="shared" si="8"/>
        <v>1995</v>
      </c>
      <c r="B308" s="152" t="str">
        <f t="shared" si="9"/>
        <v>1995-96</v>
      </c>
      <c r="C308" s="173">
        <v>34973</v>
      </c>
      <c r="D308" s="169">
        <v>0.7580318181818182</v>
      </c>
      <c r="E308" s="170">
        <v>173.87733845454545</v>
      </c>
      <c r="F308" s="170">
        <v>229.38</v>
      </c>
      <c r="G308" s="170"/>
      <c r="H308" s="170"/>
      <c r="I308" s="169">
        <v>383.2</v>
      </c>
      <c r="J308" s="169">
        <v>503.6</v>
      </c>
      <c r="K308" s="169"/>
      <c r="L308" s="170"/>
      <c r="M308" s="170">
        <v>8064.8</v>
      </c>
      <c r="N308" s="170">
        <v>10639.13124299172</v>
      </c>
      <c r="O308" s="170">
        <v>2813.5</v>
      </c>
      <c r="P308" s="170">
        <v>3711.585625453477</v>
      </c>
      <c r="Q308" s="170">
        <v>639.09</v>
      </c>
      <c r="R308" s="170">
        <v>843.09125906204463</v>
      </c>
      <c r="S308" s="170">
        <v>979.5</v>
      </c>
      <c r="T308" s="170">
        <v>1292.1621184047203</v>
      </c>
      <c r="U308" s="170">
        <v>325.19565</v>
      </c>
      <c r="V308" s="170">
        <v>429</v>
      </c>
      <c r="W308" s="170">
        <v>2037.5895272727273</v>
      </c>
      <c r="X308" s="170">
        <v>2688</v>
      </c>
      <c r="Y308" s="170"/>
      <c r="Z308" s="170"/>
      <c r="AA308" s="170"/>
      <c r="AB308" s="170"/>
      <c r="AC308" s="170"/>
      <c r="AD308" s="170">
        <v>7.6197212532351664</v>
      </c>
      <c r="AE308" s="170">
        <v>65608.896000000008</v>
      </c>
      <c r="AF308" s="170">
        <v>86551.638633542621</v>
      </c>
      <c r="AG308" s="170"/>
      <c r="AH308" s="170"/>
      <c r="AI308" s="170"/>
      <c r="AJ308" s="170"/>
      <c r="AK308" s="170">
        <v>16.116362268274482</v>
      </c>
      <c r="AL308" s="170">
        <v>21.260799193008125</v>
      </c>
      <c r="AM308" s="170">
        <v>17.28909093683416</v>
      </c>
      <c r="AN308" s="170">
        <v>22.807869699062255</v>
      </c>
      <c r="AO308" s="170"/>
      <c r="AP308" s="170"/>
      <c r="AS308" s="167"/>
      <c r="AT308" s="1170"/>
      <c r="AU308" s="1171"/>
      <c r="AV308" s="1171"/>
      <c r="AW308" s="1172"/>
      <c r="AX308" s="1172"/>
      <c r="AY308" s="1172"/>
      <c r="AZ308" s="1172"/>
      <c r="BA308" s="1240" t="s">
        <v>32</v>
      </c>
      <c r="BB308" s="1241">
        <v>2002</v>
      </c>
      <c r="BC308" s="1240" t="s">
        <v>287</v>
      </c>
      <c r="BD308" s="1240">
        <v>6</v>
      </c>
      <c r="BE308" s="1242">
        <v>247070000</v>
      </c>
      <c r="BF308" s="1239">
        <v>6.4518470817972101E-2</v>
      </c>
      <c r="BG308" s="1236"/>
      <c r="BH308" s="1236" t="s">
        <v>54</v>
      </c>
      <c r="BI308" s="1236" t="s">
        <v>294</v>
      </c>
      <c r="BJ308" s="1236" t="s">
        <v>286</v>
      </c>
      <c r="BK308" s="1236">
        <v>2</v>
      </c>
      <c r="BL308" s="1238">
        <v>149251517</v>
      </c>
      <c r="BM308" s="1239">
        <v>0.221</v>
      </c>
      <c r="BN308" s="1236">
        <v>2013</v>
      </c>
      <c r="BO308" s="174"/>
      <c r="BP308" s="174"/>
      <c r="BQ308" s="174"/>
      <c r="BR308" s="174"/>
      <c r="BS308" s="174"/>
      <c r="BT308" s="174"/>
      <c r="BU308" s="174"/>
      <c r="BV308" s="174"/>
      <c r="BW308" s="174"/>
      <c r="BX308" s="174"/>
    </row>
    <row r="309" spans="1:76" s="152" customFormat="1" ht="15" customHeight="1" x14ac:dyDescent="0.25">
      <c r="A309" s="152">
        <f t="shared" si="8"/>
        <v>1995</v>
      </c>
      <c r="B309" s="152" t="str">
        <f t="shared" si="9"/>
        <v>1995-96</v>
      </c>
      <c r="C309" s="173">
        <v>35004</v>
      </c>
      <c r="D309" s="154">
        <v>0.74586818181818171</v>
      </c>
      <c r="E309" s="155">
        <v>181.49210468181818</v>
      </c>
      <c r="F309" s="155">
        <v>243.33</v>
      </c>
      <c r="G309" s="155"/>
      <c r="H309" s="155"/>
      <c r="I309" s="156">
        <v>385.21</v>
      </c>
      <c r="J309" s="156">
        <v>519.6</v>
      </c>
      <c r="K309" s="157"/>
      <c r="L309" s="158"/>
      <c r="M309" s="159">
        <v>8509</v>
      </c>
      <c r="N309" s="159">
        <v>11408.182045328509</v>
      </c>
      <c r="O309" s="175">
        <v>2977.3</v>
      </c>
      <c r="P309" s="175">
        <v>3991.7241043079762</v>
      </c>
      <c r="Q309" s="175">
        <v>713.59</v>
      </c>
      <c r="R309" s="175">
        <v>956.72401289528386</v>
      </c>
      <c r="S309" s="175">
        <v>1031</v>
      </c>
      <c r="T309" s="175">
        <v>1382.2817826693727</v>
      </c>
      <c r="U309" s="161">
        <v>319.97744999999998</v>
      </c>
      <c r="V309" s="161">
        <v>429</v>
      </c>
      <c r="W309" s="161">
        <v>2004.8936727272724</v>
      </c>
      <c r="X309" s="161">
        <v>2688</v>
      </c>
      <c r="Y309" s="162"/>
      <c r="Z309" s="162"/>
      <c r="AA309" s="162"/>
      <c r="AB309" s="162"/>
      <c r="AC309" s="163"/>
      <c r="AD309" s="163">
        <v>7.6840226984101463</v>
      </c>
      <c r="AE309" s="163">
        <v>69742.520999999993</v>
      </c>
      <c r="AF309" s="163">
        <v>93505.156407115574</v>
      </c>
      <c r="AG309" s="163"/>
      <c r="AH309" s="163"/>
      <c r="AI309" s="163"/>
      <c r="AJ309" s="163"/>
      <c r="AK309" s="164">
        <v>16.877267317338422</v>
      </c>
      <c r="AL309" s="164">
        <v>22.627681041705234</v>
      </c>
      <c r="AM309" s="164">
        <v>18.20636341788552</v>
      </c>
      <c r="AN309" s="164">
        <v>24.409626072940107</v>
      </c>
      <c r="AO309" s="164"/>
      <c r="AP309" s="164"/>
      <c r="AS309" s="167"/>
      <c r="AT309" s="1170"/>
      <c r="AU309" s="1171"/>
      <c r="AV309" s="1171"/>
      <c r="AW309" s="1172"/>
      <c r="AX309" s="1172"/>
      <c r="AY309" s="1172"/>
      <c r="AZ309" s="1172"/>
      <c r="BA309" s="1240" t="s">
        <v>32</v>
      </c>
      <c r="BB309" s="1241">
        <v>2002</v>
      </c>
      <c r="BC309" s="1240" t="s">
        <v>315</v>
      </c>
      <c r="BD309" s="1240">
        <v>7</v>
      </c>
      <c r="BE309" s="1242">
        <v>184127000</v>
      </c>
      <c r="BF309" s="1239">
        <v>4.8081889651923539E-2</v>
      </c>
      <c r="BG309" s="1236"/>
      <c r="BH309" s="1236" t="s">
        <v>54</v>
      </c>
      <c r="BI309" s="1236" t="s">
        <v>294</v>
      </c>
      <c r="BJ309" s="1236" t="s">
        <v>312</v>
      </c>
      <c r="BK309" s="1236">
        <v>3</v>
      </c>
      <c r="BL309" s="1238">
        <v>74636151</v>
      </c>
      <c r="BM309" s="1239">
        <v>0.111</v>
      </c>
      <c r="BN309" s="1236">
        <v>2013</v>
      </c>
      <c r="BO309" s="174"/>
      <c r="BP309" s="174"/>
      <c r="BQ309" s="174"/>
      <c r="BR309" s="174"/>
      <c r="BS309" s="174"/>
      <c r="BT309" s="174"/>
      <c r="BU309" s="174"/>
      <c r="BV309" s="174"/>
      <c r="BW309" s="174"/>
      <c r="BX309" s="174"/>
    </row>
    <row r="310" spans="1:76" s="152" customFormat="1" ht="15" customHeight="1" x14ac:dyDescent="0.25">
      <c r="A310" s="152">
        <f t="shared" si="8"/>
        <v>1995</v>
      </c>
      <c r="B310" s="152" t="str">
        <f t="shared" si="9"/>
        <v>1995-96</v>
      </c>
      <c r="C310" s="173">
        <v>35034</v>
      </c>
      <c r="D310" s="169">
        <v>0.74157368421052638</v>
      </c>
      <c r="E310" s="170">
        <v>177.56981868421053</v>
      </c>
      <c r="F310" s="170">
        <v>239.45</v>
      </c>
      <c r="G310" s="170"/>
      <c r="H310" s="170"/>
      <c r="I310" s="169">
        <v>387.46</v>
      </c>
      <c r="J310" s="169">
        <v>520.6</v>
      </c>
      <c r="K310" s="169"/>
      <c r="L310" s="170"/>
      <c r="M310" s="170">
        <v>8146</v>
      </c>
      <c r="N310" s="170">
        <v>10984.747940013767</v>
      </c>
      <c r="O310" s="170">
        <v>2934</v>
      </c>
      <c r="P310" s="170">
        <v>3956.4510748834268</v>
      </c>
      <c r="Q310" s="170">
        <v>756</v>
      </c>
      <c r="R310" s="170">
        <v>1019.4536511969566</v>
      </c>
      <c r="S310" s="170">
        <v>1023</v>
      </c>
      <c r="T310" s="170">
        <v>1379.4987899133421</v>
      </c>
      <c r="U310" s="170">
        <v>318.13511052631583</v>
      </c>
      <c r="V310" s="170">
        <v>429</v>
      </c>
      <c r="W310" s="170">
        <v>1993.350063157895</v>
      </c>
      <c r="X310" s="170">
        <v>2688</v>
      </c>
      <c r="Y310" s="170"/>
      <c r="Z310" s="170"/>
      <c r="AA310" s="170"/>
      <c r="AB310" s="170"/>
      <c r="AC310" s="170"/>
      <c r="AD310" s="170">
        <v>7.4911183628852056</v>
      </c>
      <c r="AE310" s="170">
        <v>71847.914000000004</v>
      </c>
      <c r="AF310" s="170">
        <v>96885.738436752566</v>
      </c>
      <c r="AG310" s="170"/>
      <c r="AH310" s="170"/>
      <c r="AI310" s="170"/>
      <c r="AJ310" s="170"/>
      <c r="AK310" s="170">
        <v>17.959997749328615</v>
      </c>
      <c r="AL310" s="170">
        <v>24.218763599262143</v>
      </c>
      <c r="AM310" s="170">
        <v>19.606664748418901</v>
      </c>
      <c r="AN310" s="170">
        <v>26.439267150225273</v>
      </c>
      <c r="AO310" s="170"/>
      <c r="AP310" s="170"/>
      <c r="AS310" s="167"/>
      <c r="AT310" s="1170"/>
      <c r="AU310" s="1171"/>
      <c r="AV310" s="1171"/>
      <c r="AW310" s="1172"/>
      <c r="AX310" s="1172"/>
      <c r="AY310" s="1172"/>
      <c r="AZ310" s="1172"/>
      <c r="BA310" s="1240" t="s">
        <v>32</v>
      </c>
      <c r="BB310" s="1241">
        <v>2002</v>
      </c>
      <c r="BC310" s="1240" t="s">
        <v>323</v>
      </c>
      <c r="BD310" s="1240">
        <v>8</v>
      </c>
      <c r="BE310" s="1242">
        <v>172653000</v>
      </c>
      <c r="BF310" s="1239">
        <v>4.508563379663795E-2</v>
      </c>
      <c r="BG310" s="1236"/>
      <c r="BH310" s="1236" t="s">
        <v>54</v>
      </c>
      <c r="BI310" s="1236" t="s">
        <v>294</v>
      </c>
      <c r="BJ310" s="1236" t="s">
        <v>322</v>
      </c>
      <c r="BK310" s="1236">
        <v>4</v>
      </c>
      <c r="BL310" s="1238">
        <v>39929734</v>
      </c>
      <c r="BM310" s="1239">
        <v>5.8999999999999997E-2</v>
      </c>
      <c r="BN310" s="1236">
        <v>2013</v>
      </c>
      <c r="BO310" s="174"/>
      <c r="BP310" s="174"/>
      <c r="BQ310" s="174"/>
      <c r="BR310" s="174"/>
      <c r="BS310" s="174"/>
      <c r="BT310" s="174"/>
      <c r="BU310" s="174"/>
      <c r="BV310" s="174"/>
      <c r="BW310" s="174"/>
      <c r="BX310" s="174"/>
    </row>
    <row r="311" spans="1:76" s="152" customFormat="1" ht="15" customHeight="1" x14ac:dyDescent="0.25">
      <c r="A311" s="152">
        <f t="shared" si="8"/>
        <v>1996</v>
      </c>
      <c r="B311" s="152" t="str">
        <f t="shared" si="9"/>
        <v>1995-96</v>
      </c>
      <c r="C311" s="173">
        <v>35065</v>
      </c>
      <c r="D311" s="154">
        <v>0.74198095238095241</v>
      </c>
      <c r="E311" s="155">
        <v>197.13691923809523</v>
      </c>
      <c r="F311" s="155">
        <v>265.69</v>
      </c>
      <c r="G311" s="155"/>
      <c r="H311" s="155"/>
      <c r="I311" s="156">
        <v>398.7</v>
      </c>
      <c r="J311" s="156">
        <v>544.1</v>
      </c>
      <c r="K311" s="157"/>
      <c r="L311" s="158"/>
      <c r="M311" s="159">
        <v>7863.4</v>
      </c>
      <c r="N311" s="159">
        <v>10597.846177542742</v>
      </c>
      <c r="O311" s="175">
        <v>2624.2</v>
      </c>
      <c r="P311" s="175">
        <v>3536.748472557375</v>
      </c>
      <c r="Q311" s="175">
        <v>709.74</v>
      </c>
      <c r="R311" s="175">
        <v>956.54746624223446</v>
      </c>
      <c r="S311" s="175">
        <v>1018.6</v>
      </c>
      <c r="T311" s="175">
        <v>1372.8115212815114</v>
      </c>
      <c r="U311" s="161">
        <v>400.66971428571429</v>
      </c>
      <c r="V311" s="161">
        <v>540</v>
      </c>
      <c r="W311" s="161">
        <v>1889.0835047619048</v>
      </c>
      <c r="X311" s="161">
        <v>2546</v>
      </c>
      <c r="Y311" s="162"/>
      <c r="Z311" s="162"/>
      <c r="AA311" s="162"/>
      <c r="AB311" s="162"/>
      <c r="AC311" s="163"/>
      <c r="AD311" s="163">
        <v>7.9090777565225778</v>
      </c>
      <c r="AE311" s="163">
        <v>71627.453999999998</v>
      </c>
      <c r="AF311" s="163">
        <v>96535.435000256708</v>
      </c>
      <c r="AG311" s="163"/>
      <c r="AH311" s="163"/>
      <c r="AI311" s="163"/>
      <c r="AJ311" s="163"/>
      <c r="AK311" s="164">
        <v>17.943179043856535</v>
      </c>
      <c r="AL311" s="164">
        <v>24.182802787967038</v>
      </c>
      <c r="AM311" s="164">
        <v>20.383910054745883</v>
      </c>
      <c r="AN311" s="164">
        <v>27.472282124407219</v>
      </c>
      <c r="AO311" s="164"/>
      <c r="AP311" s="164"/>
      <c r="AS311" s="167"/>
      <c r="AT311" s="1170"/>
      <c r="AU311" s="1171"/>
      <c r="AV311" s="1171"/>
      <c r="AW311" s="1172"/>
      <c r="AX311" s="1172"/>
      <c r="AY311" s="1172"/>
      <c r="AZ311" s="1172"/>
      <c r="BA311" s="1240" t="s">
        <v>32</v>
      </c>
      <c r="BB311" s="1241">
        <v>2002</v>
      </c>
      <c r="BC311" s="1240" t="s">
        <v>279</v>
      </c>
      <c r="BD311" s="1240">
        <v>9</v>
      </c>
      <c r="BE311" s="1242">
        <v>60342000</v>
      </c>
      <c r="BF311" s="1239">
        <v>1.5757370648391437E-2</v>
      </c>
      <c r="BG311" s="1236"/>
      <c r="BH311" s="1236" t="s">
        <v>54</v>
      </c>
      <c r="BI311" s="1236" t="s">
        <v>294</v>
      </c>
      <c r="BJ311" s="1236" t="s">
        <v>287</v>
      </c>
      <c r="BK311" s="1236">
        <v>5</v>
      </c>
      <c r="BL311" s="1238">
        <v>38625442</v>
      </c>
      <c r="BM311" s="1239">
        <v>5.7000000000000002E-2</v>
      </c>
      <c r="BN311" s="1236">
        <v>2013</v>
      </c>
      <c r="BO311" s="174"/>
      <c r="BP311" s="174"/>
      <c r="BQ311" s="174"/>
      <c r="BR311" s="174"/>
      <c r="BS311" s="174"/>
      <c r="BT311" s="174"/>
      <c r="BU311" s="174"/>
      <c r="BV311" s="174"/>
      <c r="BW311" s="174"/>
      <c r="BX311" s="174"/>
    </row>
    <row r="312" spans="1:76" s="152" customFormat="1" ht="15" customHeight="1" x14ac:dyDescent="0.25">
      <c r="A312" s="152">
        <f t="shared" si="8"/>
        <v>1996</v>
      </c>
      <c r="B312" s="152" t="str">
        <f t="shared" si="9"/>
        <v>1995-96</v>
      </c>
      <c r="C312" s="173">
        <v>35096</v>
      </c>
      <c r="D312" s="169">
        <v>0.7555238095238096</v>
      </c>
      <c r="E312" s="170">
        <v>196.86683904761907</v>
      </c>
      <c r="F312" s="170">
        <v>260.57</v>
      </c>
      <c r="G312" s="170"/>
      <c r="H312" s="170"/>
      <c r="I312" s="169">
        <v>404.92</v>
      </c>
      <c r="J312" s="169">
        <v>525.54999999999995</v>
      </c>
      <c r="K312" s="169"/>
      <c r="L312" s="170"/>
      <c r="M312" s="170">
        <v>8218.6</v>
      </c>
      <c r="N312" s="170">
        <v>10878.015883020294</v>
      </c>
      <c r="O312" s="170">
        <v>2537.6999999999998</v>
      </c>
      <c r="P312" s="170">
        <v>3358.8617168788601</v>
      </c>
      <c r="Q312" s="170">
        <v>769.67</v>
      </c>
      <c r="R312" s="170">
        <v>1018.723685869154</v>
      </c>
      <c r="S312" s="170">
        <v>1036.0999999999999</v>
      </c>
      <c r="T312" s="170">
        <v>1371.3664439682336</v>
      </c>
      <c r="U312" s="170">
        <v>407.9828571428572</v>
      </c>
      <c r="V312" s="170">
        <v>540</v>
      </c>
      <c r="W312" s="170">
        <v>1923.5636190476193</v>
      </c>
      <c r="X312" s="170">
        <v>2546</v>
      </c>
      <c r="Y312" s="170"/>
      <c r="Z312" s="170"/>
      <c r="AA312" s="170"/>
      <c r="AB312" s="170"/>
      <c r="AC312" s="170"/>
      <c r="AD312" s="170">
        <v>8.0055299242850477</v>
      </c>
      <c r="AE312" s="170">
        <v>68364.645999999993</v>
      </c>
      <c r="AF312" s="170">
        <v>90486.421656372098</v>
      </c>
      <c r="AG312" s="170"/>
      <c r="AH312" s="170"/>
      <c r="AI312" s="170"/>
      <c r="AJ312" s="170"/>
      <c r="AK312" s="170">
        <v>17.974285852341424</v>
      </c>
      <c r="AL312" s="170">
        <v>23.79049558169481</v>
      </c>
      <c r="AM312" s="170">
        <v>20.378570738292876</v>
      </c>
      <c r="AN312" s="170">
        <v>26.972771051566266</v>
      </c>
      <c r="AO312" s="170"/>
      <c r="AP312" s="170"/>
      <c r="AS312" s="167"/>
      <c r="AT312" s="1170"/>
      <c r="AU312" s="1171"/>
      <c r="AV312" s="1171"/>
      <c r="AW312" s="1172"/>
      <c r="AX312" s="1172"/>
      <c r="AY312" s="1172"/>
      <c r="AZ312" s="1172"/>
      <c r="BA312" s="1240" t="s">
        <v>32</v>
      </c>
      <c r="BB312" s="1241">
        <v>2002</v>
      </c>
      <c r="BC312" s="1240" t="s">
        <v>290</v>
      </c>
      <c r="BD312" s="1240">
        <v>10</v>
      </c>
      <c r="BE312" s="1242">
        <v>35869000</v>
      </c>
      <c r="BF312" s="1239">
        <v>9.3666290110893322E-3</v>
      </c>
      <c r="BG312" s="1236"/>
      <c r="BH312" s="1236" t="s">
        <v>54</v>
      </c>
      <c r="BI312" s="1236" t="s">
        <v>294</v>
      </c>
      <c r="BJ312" s="1236" t="s">
        <v>314</v>
      </c>
      <c r="BK312" s="1236">
        <v>6</v>
      </c>
      <c r="BL312" s="1238">
        <v>37228553</v>
      </c>
      <c r="BM312" s="1239">
        <v>5.5E-2</v>
      </c>
      <c r="BN312" s="1236">
        <v>2013</v>
      </c>
      <c r="BO312" s="174"/>
      <c r="BP312" s="174"/>
      <c r="BQ312" s="174"/>
      <c r="BR312" s="174"/>
      <c r="BS312" s="174"/>
      <c r="BT312" s="174"/>
      <c r="BU312" s="174"/>
      <c r="BV312" s="174"/>
      <c r="BW312" s="174"/>
      <c r="BX312" s="174"/>
    </row>
    <row r="313" spans="1:76" s="152" customFormat="1" ht="15" customHeight="1" x14ac:dyDescent="0.25">
      <c r="A313" s="152">
        <f t="shared" si="8"/>
        <v>1996</v>
      </c>
      <c r="B313" s="152" t="str">
        <f t="shared" si="9"/>
        <v>1995-96</v>
      </c>
      <c r="C313" s="173">
        <v>35125</v>
      </c>
      <c r="D313" s="154">
        <v>0.77142857142857124</v>
      </c>
      <c r="E313" s="155">
        <v>195.30257142857138</v>
      </c>
      <c r="F313" s="155">
        <v>253.17</v>
      </c>
      <c r="G313" s="155"/>
      <c r="H313" s="155"/>
      <c r="I313" s="156">
        <v>396.51</v>
      </c>
      <c r="J313" s="156">
        <v>524.54999999999995</v>
      </c>
      <c r="K313" s="157"/>
      <c r="L313" s="158"/>
      <c r="M313" s="159">
        <v>8024.2</v>
      </c>
      <c r="N313" s="159">
        <v>10401.740740740743</v>
      </c>
      <c r="O313" s="175">
        <v>2561</v>
      </c>
      <c r="P313" s="175">
        <v>3319.8148148148157</v>
      </c>
      <c r="Q313" s="175">
        <v>817.93</v>
      </c>
      <c r="R313" s="175">
        <v>1060.2796296296299</v>
      </c>
      <c r="S313" s="175">
        <v>1064.2</v>
      </c>
      <c r="T313" s="175">
        <v>1379.5185185185189</v>
      </c>
      <c r="U313" s="161">
        <v>416.5714285714285</v>
      </c>
      <c r="V313" s="161">
        <v>540</v>
      </c>
      <c r="W313" s="161">
        <v>1964.0571428571425</v>
      </c>
      <c r="X313" s="161">
        <v>2546</v>
      </c>
      <c r="Y313" s="162"/>
      <c r="Z313" s="162"/>
      <c r="AA313" s="162"/>
      <c r="AB313" s="162"/>
      <c r="AC313" s="163"/>
      <c r="AD313" s="163">
        <v>7.6840226984101463</v>
      </c>
      <c r="AE313" s="163">
        <v>64539.664999999994</v>
      </c>
      <c r="AF313" s="163">
        <v>83662.52870370372</v>
      </c>
      <c r="AG313" s="163"/>
      <c r="AH313" s="163"/>
      <c r="AI313" s="163"/>
      <c r="AJ313" s="163"/>
      <c r="AK313" s="164">
        <v>19.988571530296689</v>
      </c>
      <c r="AL313" s="164">
        <v>25.911111242977196</v>
      </c>
      <c r="AM313" s="164">
        <v>20.962380182175409</v>
      </c>
      <c r="AN313" s="164">
        <v>27.173455791708868</v>
      </c>
      <c r="AO313" s="164"/>
      <c r="AP313" s="164"/>
      <c r="AS313" s="167"/>
      <c r="AT313" s="1170"/>
      <c r="AU313" s="1171"/>
      <c r="AV313" s="1171"/>
      <c r="AW313" s="1172"/>
      <c r="AX313" s="1172"/>
      <c r="AY313" s="1172"/>
      <c r="AZ313" s="1172"/>
      <c r="BA313" s="1240" t="s">
        <v>32</v>
      </c>
      <c r="BB313" s="1241">
        <v>2002</v>
      </c>
      <c r="BC313" s="1240" t="s">
        <v>291</v>
      </c>
      <c r="BD313" s="1240"/>
      <c r="BE313" s="1242">
        <v>36798000</v>
      </c>
      <c r="BF313" s="1239">
        <v>9.6092228484224614E-3</v>
      </c>
      <c r="BG313" s="1236"/>
      <c r="BH313" s="1236" t="s">
        <v>54</v>
      </c>
      <c r="BI313" s="1236" t="s">
        <v>294</v>
      </c>
      <c r="BJ313" s="1236" t="s">
        <v>285</v>
      </c>
      <c r="BK313" s="1236">
        <v>7</v>
      </c>
      <c r="BL313" s="1238">
        <v>21112495</v>
      </c>
      <c r="BM313" s="1239">
        <v>3.1E-2</v>
      </c>
      <c r="BN313" s="1236">
        <v>2013</v>
      </c>
      <c r="BO313" s="174"/>
      <c r="BP313" s="174"/>
      <c r="BQ313" s="174"/>
      <c r="BR313" s="174"/>
      <c r="BS313" s="174"/>
      <c r="BT313" s="174"/>
      <c r="BU313" s="174"/>
      <c r="BV313" s="174"/>
      <c r="BW313" s="174"/>
      <c r="BX313" s="174"/>
    </row>
    <row r="314" spans="1:76" s="152" customFormat="1" ht="15" customHeight="1" x14ac:dyDescent="0.25">
      <c r="A314" s="152">
        <f t="shared" si="8"/>
        <v>1996</v>
      </c>
      <c r="B314" s="152" t="str">
        <f t="shared" si="9"/>
        <v>1995-96</v>
      </c>
      <c r="C314" s="173">
        <v>35156</v>
      </c>
      <c r="D314" s="169">
        <v>0.7868421052631579</v>
      </c>
      <c r="E314" s="170">
        <v>195.36502631578946</v>
      </c>
      <c r="F314" s="170">
        <v>248.29</v>
      </c>
      <c r="G314" s="170"/>
      <c r="H314" s="170"/>
      <c r="I314" s="169">
        <v>392.87</v>
      </c>
      <c r="J314" s="169">
        <v>496.45</v>
      </c>
      <c r="K314" s="169"/>
      <c r="L314" s="170"/>
      <c r="M314" s="170">
        <v>8044.1</v>
      </c>
      <c r="N314" s="170">
        <v>10223.270903010034</v>
      </c>
      <c r="O314" s="170">
        <v>2585.9</v>
      </c>
      <c r="P314" s="170">
        <v>3286.4280936454852</v>
      </c>
      <c r="Q314" s="170">
        <v>815.36</v>
      </c>
      <c r="R314" s="170">
        <v>1036.2434782608696</v>
      </c>
      <c r="S314" s="170">
        <v>1046.3</v>
      </c>
      <c r="T314" s="170">
        <v>1329.7458193979933</v>
      </c>
      <c r="U314" s="170">
        <v>446.92631578947368</v>
      </c>
      <c r="V314" s="170">
        <v>568</v>
      </c>
      <c r="W314" s="170">
        <v>1828.621052631579</v>
      </c>
      <c r="X314" s="170">
        <v>2324</v>
      </c>
      <c r="Y314" s="170"/>
      <c r="Z314" s="170"/>
      <c r="AA314" s="170"/>
      <c r="AB314" s="170"/>
      <c r="AC314" s="170"/>
      <c r="AD314" s="170">
        <v>7.3946661951227357</v>
      </c>
      <c r="AE314" s="170">
        <v>63272.02</v>
      </c>
      <c r="AF314" s="170">
        <v>80412.60066889631</v>
      </c>
      <c r="AG314" s="170"/>
      <c r="AH314" s="170"/>
      <c r="AI314" s="170"/>
      <c r="AJ314" s="170"/>
      <c r="AK314" s="170">
        <v>21.014285768781388</v>
      </c>
      <c r="AL314" s="170">
        <v>26.707119037247249</v>
      </c>
      <c r="AM314" s="170">
        <v>20.609522319975355</v>
      </c>
      <c r="AN314" s="170">
        <v>26.192703951808141</v>
      </c>
      <c r="AO314" s="170"/>
      <c r="AP314" s="170"/>
      <c r="AS314" s="167"/>
      <c r="AT314" s="1170"/>
      <c r="AU314" s="1171"/>
      <c r="AV314" s="1171"/>
      <c r="AW314" s="1172"/>
      <c r="AX314" s="1172"/>
      <c r="AY314" s="1172"/>
      <c r="AZ314" s="1172"/>
      <c r="BA314" s="1240" t="s">
        <v>32</v>
      </c>
      <c r="BB314" s="1241">
        <v>2002</v>
      </c>
      <c r="BC314" s="1240" t="s">
        <v>292</v>
      </c>
      <c r="BD314" s="1240"/>
      <c r="BE314" s="1242">
        <v>3829446000</v>
      </c>
      <c r="BF314" s="1239">
        <v>1</v>
      </c>
      <c r="BG314" s="1236"/>
      <c r="BH314" s="1236" t="s">
        <v>54</v>
      </c>
      <c r="BI314" s="1236" t="s">
        <v>294</v>
      </c>
      <c r="BJ314" s="1236" t="s">
        <v>315</v>
      </c>
      <c r="BK314" s="1236">
        <v>8</v>
      </c>
      <c r="BL314" s="1238">
        <v>20134229</v>
      </c>
      <c r="BM314" s="1239">
        <v>0.03</v>
      </c>
      <c r="BN314" s="1236">
        <v>2013</v>
      </c>
      <c r="BO314" s="174"/>
      <c r="BP314" s="174"/>
      <c r="BQ314" s="174"/>
      <c r="BR314" s="174"/>
      <c r="BS314" s="174"/>
      <c r="BT314" s="174"/>
      <c r="BU314" s="174"/>
      <c r="BV314" s="174"/>
      <c r="BW314" s="174"/>
      <c r="BX314" s="174"/>
    </row>
    <row r="315" spans="1:76" s="152" customFormat="1" ht="15" customHeight="1" x14ac:dyDescent="0.25">
      <c r="A315" s="152">
        <f t="shared" si="8"/>
        <v>1996</v>
      </c>
      <c r="B315" s="152" t="str">
        <f t="shared" si="9"/>
        <v>1995-96</v>
      </c>
      <c r="C315" s="173">
        <v>35186</v>
      </c>
      <c r="D315" s="154">
        <v>0.79696956521739137</v>
      </c>
      <c r="E315" s="155">
        <v>199.67275486956524</v>
      </c>
      <c r="F315" s="155">
        <v>250.54</v>
      </c>
      <c r="G315" s="155"/>
      <c r="H315" s="155"/>
      <c r="I315" s="156">
        <v>391.99</v>
      </c>
      <c r="J315" s="156">
        <v>490.95</v>
      </c>
      <c r="K315" s="157"/>
      <c r="L315" s="158"/>
      <c r="M315" s="159">
        <v>8019.6</v>
      </c>
      <c r="N315" s="159">
        <v>10062.617633099295</v>
      </c>
      <c r="O315" s="175">
        <v>2656.9</v>
      </c>
      <c r="P315" s="175">
        <v>3333.7534028357418</v>
      </c>
      <c r="Q315" s="175">
        <v>839.57</v>
      </c>
      <c r="R315" s="175">
        <v>1053.4530258642794</v>
      </c>
      <c r="S315" s="175">
        <v>1036.5</v>
      </c>
      <c r="T315" s="175">
        <v>1300.5515458012142</v>
      </c>
      <c r="U315" s="161">
        <v>452.6787130434783</v>
      </c>
      <c r="V315" s="161">
        <v>568</v>
      </c>
      <c r="W315" s="161">
        <v>1852.1572695652176</v>
      </c>
      <c r="X315" s="161">
        <v>2324</v>
      </c>
      <c r="Y315" s="162"/>
      <c r="Z315" s="162"/>
      <c r="AA315" s="162"/>
      <c r="AB315" s="162"/>
      <c r="AC315" s="163"/>
      <c r="AD315" s="163">
        <v>7.2339125821852841</v>
      </c>
      <c r="AE315" s="163">
        <v>62103.582000000002</v>
      </c>
      <c r="AF315" s="163">
        <v>77924.659498207882</v>
      </c>
      <c r="AG315" s="163"/>
      <c r="AH315" s="163"/>
      <c r="AI315" s="163"/>
      <c r="AJ315" s="163"/>
      <c r="AK315" s="164">
        <v>19.145454580133613</v>
      </c>
      <c r="AL315" s="164">
        <v>24.022817703096681</v>
      </c>
      <c r="AM315" s="164">
        <v>20.160000013268512</v>
      </c>
      <c r="AN315" s="164">
        <v>25.295821688961759</v>
      </c>
      <c r="AO315" s="164"/>
      <c r="AP315" s="164"/>
      <c r="AS315" s="167"/>
      <c r="AT315" s="1170"/>
      <c r="AU315" s="1171"/>
      <c r="AV315" s="1171"/>
      <c r="AW315" s="1172"/>
      <c r="AX315" s="1172"/>
      <c r="AY315" s="1172"/>
      <c r="AZ315" s="1172"/>
      <c r="BA315" s="1243" t="s">
        <v>32</v>
      </c>
      <c r="BB315" s="1244">
        <v>2003</v>
      </c>
      <c r="BC315" s="1243" t="s">
        <v>314</v>
      </c>
      <c r="BD315" s="1243">
        <v>1</v>
      </c>
      <c r="BE315" s="1245">
        <v>2650957000</v>
      </c>
      <c r="BF315" s="1239">
        <v>0.46160148188493871</v>
      </c>
      <c r="BG315" s="1236"/>
      <c r="BH315" s="1236" t="s">
        <v>54</v>
      </c>
      <c r="BI315" s="1236" t="s">
        <v>294</v>
      </c>
      <c r="BJ315" s="1236" t="s">
        <v>324</v>
      </c>
      <c r="BK315" s="1236">
        <v>9</v>
      </c>
      <c r="BL315" s="1238">
        <v>16076908</v>
      </c>
      <c r="BM315" s="1239">
        <v>2.4E-2</v>
      </c>
      <c r="BN315" s="1236">
        <v>2013</v>
      </c>
      <c r="BO315" s="174"/>
      <c r="BP315" s="174"/>
      <c r="BQ315" s="174"/>
      <c r="BR315" s="174"/>
      <c r="BS315" s="174"/>
      <c r="BT315" s="174"/>
      <c r="BU315" s="174"/>
      <c r="BV315" s="174"/>
      <c r="BW315" s="174"/>
      <c r="BX315" s="174"/>
    </row>
    <row r="316" spans="1:76" s="152" customFormat="1" ht="15" customHeight="1" x14ac:dyDescent="0.25">
      <c r="A316" s="152">
        <f t="shared" si="8"/>
        <v>1996</v>
      </c>
      <c r="B316" s="152" t="str">
        <f t="shared" si="9"/>
        <v>1995-96</v>
      </c>
      <c r="C316" s="173">
        <v>35217</v>
      </c>
      <c r="D316" s="169">
        <v>0.79152631578947374</v>
      </c>
      <c r="E316" s="170">
        <v>194.73130421052633</v>
      </c>
      <c r="F316" s="170">
        <v>246.02</v>
      </c>
      <c r="G316" s="170"/>
      <c r="H316" s="170"/>
      <c r="I316" s="169">
        <v>385.24</v>
      </c>
      <c r="J316" s="169">
        <v>484.95</v>
      </c>
      <c r="K316" s="169"/>
      <c r="L316" s="170"/>
      <c r="M316" s="170">
        <v>7791.9</v>
      </c>
      <c r="N316" s="170">
        <v>9844.1452224217028</v>
      </c>
      <c r="O316" s="170">
        <v>2173.4</v>
      </c>
      <c r="P316" s="170">
        <v>2745.8341645056184</v>
      </c>
      <c r="Q316" s="170">
        <v>796.5</v>
      </c>
      <c r="R316" s="170">
        <v>1006.2836624775583</v>
      </c>
      <c r="S316" s="170">
        <v>1008.8</v>
      </c>
      <c r="T316" s="170">
        <v>1274.4996342841944</v>
      </c>
      <c r="U316" s="170">
        <v>449.58694736842108</v>
      </c>
      <c r="V316" s="170">
        <v>568</v>
      </c>
      <c r="W316" s="170">
        <v>1839.507157894737</v>
      </c>
      <c r="X316" s="170">
        <v>2324</v>
      </c>
      <c r="Y316" s="170"/>
      <c r="Z316" s="170"/>
      <c r="AA316" s="170"/>
      <c r="AB316" s="170"/>
      <c r="AC316" s="170"/>
      <c r="AD316" s="170">
        <v>7.0410082466603434</v>
      </c>
      <c r="AE316" s="170">
        <v>58399.853999999992</v>
      </c>
      <c r="AF316" s="170">
        <v>73781.316975862748</v>
      </c>
      <c r="AG316" s="170"/>
      <c r="AH316" s="170"/>
      <c r="AI316" s="170"/>
      <c r="AJ316" s="170"/>
      <c r="AK316" s="170">
        <v>18.266998291015625</v>
      </c>
      <c r="AL316" s="170">
        <v>23.07819452950973</v>
      </c>
      <c r="AM316" s="170">
        <v>20.493998622894289</v>
      </c>
      <c r="AN316" s="170">
        <v>25.891746381740237</v>
      </c>
      <c r="AO316" s="170"/>
      <c r="AP316" s="170"/>
      <c r="AS316" s="167"/>
      <c r="AT316" s="1170"/>
      <c r="AU316" s="1171"/>
      <c r="AV316" s="1171"/>
      <c r="AW316" s="1172"/>
      <c r="AX316" s="1172"/>
      <c r="AY316" s="1172"/>
      <c r="AZ316" s="1172"/>
      <c r="BA316" s="1243" t="s">
        <v>32</v>
      </c>
      <c r="BB316" s="1244">
        <v>2003</v>
      </c>
      <c r="BC316" s="1243" t="s">
        <v>287</v>
      </c>
      <c r="BD316" s="1243">
        <v>2</v>
      </c>
      <c r="BE316" s="1245">
        <v>1152565000</v>
      </c>
      <c r="BF316" s="1239">
        <v>0.20069194331281662</v>
      </c>
      <c r="BG316" s="1236"/>
      <c r="BH316" s="1236" t="s">
        <v>54</v>
      </c>
      <c r="BI316" s="1236" t="s">
        <v>294</v>
      </c>
      <c r="BJ316" s="1236" t="s">
        <v>320</v>
      </c>
      <c r="BK316" s="1236">
        <v>10</v>
      </c>
      <c r="BL316" s="1238">
        <v>11445493</v>
      </c>
      <c r="BM316" s="1239">
        <v>1.7000000000000001E-2</v>
      </c>
      <c r="BN316" s="1236">
        <v>2013</v>
      </c>
      <c r="BO316" s="174"/>
      <c r="BP316" s="174"/>
      <c r="BQ316" s="174"/>
      <c r="BR316" s="174"/>
      <c r="BS316" s="174"/>
      <c r="BT316" s="174"/>
      <c r="BU316" s="174"/>
      <c r="BV316" s="174"/>
      <c r="BW316" s="174"/>
      <c r="BX316" s="174"/>
    </row>
    <row r="317" spans="1:76" s="152" customFormat="1" ht="15" customHeight="1" x14ac:dyDescent="0.25">
      <c r="A317" s="152">
        <f t="shared" si="8"/>
        <v>1996</v>
      </c>
      <c r="B317" s="152" t="str">
        <f t="shared" si="9"/>
        <v>1996-97</v>
      </c>
      <c r="C317" s="173">
        <v>35247</v>
      </c>
      <c r="D317" s="154">
        <v>0.78927391304347838</v>
      </c>
      <c r="E317" s="155">
        <v>185.00580521739133</v>
      </c>
      <c r="F317" s="155">
        <v>234.4</v>
      </c>
      <c r="G317" s="155"/>
      <c r="H317" s="155"/>
      <c r="I317" s="156">
        <v>384.45</v>
      </c>
      <c r="J317" s="156">
        <v>494.09</v>
      </c>
      <c r="K317" s="157"/>
      <c r="L317" s="158"/>
      <c r="M317" s="159">
        <v>7206.5</v>
      </c>
      <c r="N317" s="159">
        <v>9130.5437578842393</v>
      </c>
      <c r="O317" s="175">
        <v>1985.5</v>
      </c>
      <c r="P317" s="175">
        <v>2515.6032236563046</v>
      </c>
      <c r="Q317" s="175">
        <v>783.48</v>
      </c>
      <c r="R317" s="175">
        <v>992.65918593313597</v>
      </c>
      <c r="S317" s="175">
        <v>1000.3</v>
      </c>
      <c r="T317" s="175">
        <v>1267.3673657131208</v>
      </c>
      <c r="U317" s="161">
        <v>449.0968565217392</v>
      </c>
      <c r="V317" s="161">
        <v>569</v>
      </c>
      <c r="W317" s="161">
        <v>1666.9465043478262</v>
      </c>
      <c r="X317" s="161">
        <v>2112</v>
      </c>
      <c r="Y317" s="162"/>
      <c r="Z317" s="162"/>
      <c r="AA317" s="162"/>
      <c r="AB317" s="162"/>
      <c r="AC317" s="163"/>
      <c r="AD317" s="163">
        <v>6.8802546337228927</v>
      </c>
      <c r="AE317" s="163">
        <v>50154.65</v>
      </c>
      <c r="AF317" s="163">
        <v>63545.303057846228</v>
      </c>
      <c r="AG317" s="163"/>
      <c r="AH317" s="163"/>
      <c r="AI317" s="163"/>
      <c r="AJ317" s="163"/>
      <c r="AK317" s="164">
        <v>19.610394021739129</v>
      </c>
      <c r="AL317" s="164">
        <v>24.846119576055038</v>
      </c>
      <c r="AM317" s="164">
        <v>20.72521732164466</v>
      </c>
      <c r="AN317" s="164">
        <v>26.258586504813291</v>
      </c>
      <c r="AO317" s="164"/>
      <c r="AP317" s="164"/>
      <c r="AS317" s="167"/>
      <c r="AT317" s="1170"/>
      <c r="AU317" s="1171"/>
      <c r="AV317" s="1171"/>
      <c r="AW317" s="1172"/>
      <c r="AX317" s="1172"/>
      <c r="AY317" s="1172"/>
      <c r="AZ317" s="1172"/>
      <c r="BA317" s="1243" t="s">
        <v>32</v>
      </c>
      <c r="BB317" s="1244">
        <v>2003</v>
      </c>
      <c r="BC317" s="1243" t="s">
        <v>320</v>
      </c>
      <c r="BD317" s="1243">
        <v>3</v>
      </c>
      <c r="BE317" s="1245">
        <v>793707000</v>
      </c>
      <c r="BF317" s="1239">
        <v>0.13820530751062693</v>
      </c>
      <c r="BG317" s="1236"/>
      <c r="BH317" s="1236" t="s">
        <v>54</v>
      </c>
      <c r="BI317" s="1236" t="s">
        <v>294</v>
      </c>
      <c r="BJ317" s="1236" t="s">
        <v>291</v>
      </c>
      <c r="BK317" s="1236"/>
      <c r="BL317" s="1238">
        <v>72193928</v>
      </c>
      <c r="BM317" s="1239">
        <v>0.107</v>
      </c>
      <c r="BN317" s="1236">
        <v>2013</v>
      </c>
      <c r="BO317" s="174"/>
      <c r="BP317" s="174"/>
      <c r="BQ317" s="174"/>
      <c r="BR317" s="174"/>
      <c r="BS317" s="174"/>
      <c r="BT317" s="174"/>
      <c r="BU317" s="174"/>
      <c r="BV317" s="174"/>
      <c r="BW317" s="174"/>
      <c r="BX317" s="174"/>
    </row>
    <row r="318" spans="1:76" s="152" customFormat="1" ht="15" customHeight="1" x14ac:dyDescent="0.25">
      <c r="A318" s="152">
        <f t="shared" si="8"/>
        <v>1996</v>
      </c>
      <c r="B318" s="152" t="str">
        <f t="shared" si="9"/>
        <v>1996-97</v>
      </c>
      <c r="C318" s="173">
        <v>35278</v>
      </c>
      <c r="D318" s="169">
        <v>0.78303636363636364</v>
      </c>
      <c r="E318" s="170">
        <v>188.59430818181818</v>
      </c>
      <c r="F318" s="170">
        <v>240.85</v>
      </c>
      <c r="G318" s="170"/>
      <c r="H318" s="170"/>
      <c r="I318" s="169">
        <v>387.51</v>
      </c>
      <c r="J318" s="169">
        <v>489.65</v>
      </c>
      <c r="K318" s="169"/>
      <c r="L318" s="170"/>
      <c r="M318" s="170">
        <v>7068.5</v>
      </c>
      <c r="N318" s="170">
        <v>9027.0392644019776</v>
      </c>
      <c r="O318" s="170">
        <v>2006.7</v>
      </c>
      <c r="P318" s="170">
        <v>2562.7162328464951</v>
      </c>
      <c r="Q318" s="170">
        <v>815.68</v>
      </c>
      <c r="R318" s="170">
        <v>1041.688531822509</v>
      </c>
      <c r="S318" s="170">
        <v>1006.9</v>
      </c>
      <c r="T318" s="170">
        <v>1285.891750063854</v>
      </c>
      <c r="U318" s="170">
        <v>445.54769090909093</v>
      </c>
      <c r="V318" s="170">
        <v>569</v>
      </c>
      <c r="W318" s="170">
        <v>1653.7728</v>
      </c>
      <c r="X318" s="170">
        <v>2112</v>
      </c>
      <c r="Y318" s="170"/>
      <c r="Z318" s="170"/>
      <c r="AA318" s="170"/>
      <c r="AB318" s="170"/>
      <c r="AC318" s="170"/>
      <c r="AD318" s="170">
        <v>7.0365071454980956</v>
      </c>
      <c r="AE318" s="170">
        <v>47465.038</v>
      </c>
      <c r="AF318" s="170">
        <v>60616.645923793163</v>
      </c>
      <c r="AG318" s="170"/>
      <c r="AH318" s="170"/>
      <c r="AI318" s="170"/>
      <c r="AJ318" s="170"/>
      <c r="AK318" s="170">
        <v>19.95619010925293</v>
      </c>
      <c r="AL318" s="170">
        <v>25.48564924440781</v>
      </c>
      <c r="AM318" s="170">
        <v>21.156815355474297</v>
      </c>
      <c r="AN318" s="170">
        <v>27.018943612303765</v>
      </c>
      <c r="AO318" s="170"/>
      <c r="AP318" s="170"/>
      <c r="AS318" s="167"/>
      <c r="AT318" s="1170"/>
      <c r="AU318" s="1171"/>
      <c r="AV318" s="1171"/>
      <c r="AW318" s="1172"/>
      <c r="AX318" s="1172"/>
      <c r="AY318" s="1172"/>
      <c r="AZ318" s="1172"/>
      <c r="BA318" s="1243" t="s">
        <v>32</v>
      </c>
      <c r="BB318" s="1244">
        <v>2003</v>
      </c>
      <c r="BC318" s="1243" t="s">
        <v>306</v>
      </c>
      <c r="BD318" s="1243">
        <v>4</v>
      </c>
      <c r="BE318" s="1245">
        <v>366265000</v>
      </c>
      <c r="BF318" s="1239">
        <v>6.3776389719858551E-2</v>
      </c>
      <c r="BG318" s="1236"/>
      <c r="BH318" s="1236" t="s">
        <v>54</v>
      </c>
      <c r="BI318" s="1236" t="s">
        <v>294</v>
      </c>
      <c r="BJ318" s="1236" t="s">
        <v>292</v>
      </c>
      <c r="BK318" s="1236"/>
      <c r="BL318" s="1238">
        <v>675390639</v>
      </c>
      <c r="BM318" s="1239"/>
      <c r="BN318" s="1236">
        <v>2013</v>
      </c>
      <c r="BO318" s="174"/>
      <c r="BP318" s="174"/>
      <c r="BQ318" s="174"/>
      <c r="BR318" s="174"/>
      <c r="BS318" s="174"/>
      <c r="BT318" s="174"/>
      <c r="BU318" s="174"/>
      <c r="BV318" s="174"/>
      <c r="BW318" s="174"/>
      <c r="BX318" s="174"/>
    </row>
    <row r="319" spans="1:76" s="152" customFormat="1" ht="15" customHeight="1" x14ac:dyDescent="0.25">
      <c r="A319" s="152">
        <f t="shared" si="8"/>
        <v>1996</v>
      </c>
      <c r="B319" s="152" t="str">
        <f t="shared" si="9"/>
        <v>1996-97</v>
      </c>
      <c r="C319" s="173">
        <v>35309</v>
      </c>
      <c r="D319" s="154">
        <v>0.79293333333333338</v>
      </c>
      <c r="E319" s="155">
        <v>189.59036</v>
      </c>
      <c r="F319" s="155">
        <v>239.1</v>
      </c>
      <c r="G319" s="155"/>
      <c r="H319" s="155"/>
      <c r="I319" s="156">
        <v>383.29</v>
      </c>
      <c r="J319" s="156">
        <v>481.82</v>
      </c>
      <c r="K319" s="157"/>
      <c r="L319" s="158"/>
      <c r="M319" s="159">
        <v>7320.6</v>
      </c>
      <c r="N319" s="159">
        <v>9232.3020010089112</v>
      </c>
      <c r="O319" s="175">
        <v>1941.4</v>
      </c>
      <c r="P319" s="175">
        <v>2448.3773331091306</v>
      </c>
      <c r="Q319" s="175">
        <v>796.62</v>
      </c>
      <c r="R319" s="175">
        <v>1004.6494030603665</v>
      </c>
      <c r="S319" s="175">
        <v>1000.6</v>
      </c>
      <c r="T319" s="175">
        <v>1261.8967546662182</v>
      </c>
      <c r="U319" s="161">
        <v>451.1790666666667</v>
      </c>
      <c r="V319" s="161">
        <v>569</v>
      </c>
      <c r="W319" s="161">
        <v>1674.6752000000001</v>
      </c>
      <c r="X319" s="161">
        <v>2112</v>
      </c>
      <c r="Y319" s="162"/>
      <c r="Z319" s="162"/>
      <c r="AA319" s="162"/>
      <c r="AB319" s="162"/>
      <c r="AC319" s="163"/>
      <c r="AD319" s="163">
        <v>6.8664298230102716</v>
      </c>
      <c r="AE319" s="163">
        <v>51091.604999999996</v>
      </c>
      <c r="AF319" s="163">
        <v>64433.670337985532</v>
      </c>
      <c r="AG319" s="163"/>
      <c r="AH319" s="163"/>
      <c r="AI319" s="163"/>
      <c r="AJ319" s="163"/>
      <c r="AK319" s="164">
        <v>22.055713926042831</v>
      </c>
      <c r="AL319" s="164">
        <v>27.815344618348952</v>
      </c>
      <c r="AM319" s="164">
        <v>22.957142057872954</v>
      </c>
      <c r="AN319" s="164">
        <v>28.952171756187514</v>
      </c>
      <c r="AO319" s="164"/>
      <c r="AP319" s="164"/>
      <c r="AS319" s="167"/>
      <c r="AT319" s="1170"/>
      <c r="AU319" s="1171"/>
      <c r="AV319" s="1171"/>
      <c r="AW319" s="1172"/>
      <c r="AX319" s="1172"/>
      <c r="AY319" s="1172"/>
      <c r="AZ319" s="1172"/>
      <c r="BA319" s="1243" t="s">
        <v>32</v>
      </c>
      <c r="BB319" s="1244">
        <v>2003</v>
      </c>
      <c r="BC319" s="1243" t="s">
        <v>327</v>
      </c>
      <c r="BD319" s="1243">
        <v>5</v>
      </c>
      <c r="BE319" s="1245">
        <v>207320000</v>
      </c>
      <c r="BF319" s="1239">
        <v>3.609987609168519E-2</v>
      </c>
      <c r="BG319" s="1236"/>
      <c r="BH319" s="1236" t="s">
        <v>54</v>
      </c>
      <c r="BI319" s="1236" t="s">
        <v>295</v>
      </c>
      <c r="BJ319" s="1236" t="s">
        <v>281</v>
      </c>
      <c r="BK319" s="1236">
        <v>1</v>
      </c>
      <c r="BL319" s="1238">
        <v>246575715</v>
      </c>
      <c r="BM319" s="1239">
        <v>0.28100000000000003</v>
      </c>
      <c r="BN319" s="1236">
        <v>2012</v>
      </c>
      <c r="BO319" s="174"/>
      <c r="BP319" s="174"/>
      <c r="BQ319" s="174"/>
      <c r="BR319" s="174"/>
      <c r="BS319" s="174"/>
      <c r="BT319" s="174"/>
      <c r="BU319" s="174"/>
      <c r="BV319" s="174"/>
      <c r="BW319" s="174"/>
      <c r="BX319" s="174"/>
    </row>
    <row r="320" spans="1:76" s="152" customFormat="1" ht="15" customHeight="1" x14ac:dyDescent="0.25">
      <c r="A320" s="152">
        <f t="shared" si="8"/>
        <v>1996</v>
      </c>
      <c r="B320" s="152" t="str">
        <f t="shared" si="9"/>
        <v>1996-97</v>
      </c>
      <c r="C320" s="173">
        <v>35339</v>
      </c>
      <c r="D320" s="169">
        <v>0.79183478260869544</v>
      </c>
      <c r="E320" s="170">
        <v>180.34037173913038</v>
      </c>
      <c r="F320" s="170">
        <v>227.75</v>
      </c>
      <c r="G320" s="170"/>
      <c r="H320" s="170"/>
      <c r="I320" s="169">
        <v>380.91</v>
      </c>
      <c r="J320" s="169">
        <v>480.81</v>
      </c>
      <c r="K320" s="169"/>
      <c r="L320" s="170"/>
      <c r="M320" s="170">
        <v>7304</v>
      </c>
      <c r="N320" s="170">
        <v>9224.1464512799139</v>
      </c>
      <c r="O320" s="170">
        <v>1961.1</v>
      </c>
      <c r="P320" s="170">
        <v>2476.6530128155855</v>
      </c>
      <c r="Q320" s="170">
        <v>741.76</v>
      </c>
      <c r="R320" s="170">
        <v>936.76107224827342</v>
      </c>
      <c r="S320" s="170">
        <v>1003.4</v>
      </c>
      <c r="T320" s="170">
        <v>1267.1835363108248</v>
      </c>
      <c r="U320" s="170">
        <v>460.05600869565205</v>
      </c>
      <c r="V320" s="170">
        <v>581</v>
      </c>
      <c r="W320" s="170">
        <v>1525.8656260869561</v>
      </c>
      <c r="X320" s="170">
        <v>1927</v>
      </c>
      <c r="Y320" s="170"/>
      <c r="Z320" s="170"/>
      <c r="AA320" s="170"/>
      <c r="AB320" s="170"/>
      <c r="AC320" s="170"/>
      <c r="AD320" s="170">
        <v>6.7069622389763213</v>
      </c>
      <c r="AE320" s="170">
        <v>48512.222999999998</v>
      </c>
      <c r="AF320" s="170">
        <v>61265.587298624014</v>
      </c>
      <c r="AG320" s="170"/>
      <c r="AH320" s="170"/>
      <c r="AI320" s="170"/>
      <c r="AJ320" s="170"/>
      <c r="AK320" s="170">
        <v>23.683478065159012</v>
      </c>
      <c r="AL320" s="170">
        <v>29.909620776109278</v>
      </c>
      <c r="AM320" s="170">
        <v>25.726085331128992</v>
      </c>
      <c r="AN320" s="170">
        <v>32.48920847651393</v>
      </c>
      <c r="AO320" s="170"/>
      <c r="AP320" s="170"/>
      <c r="AS320" s="167"/>
      <c r="AT320" s="1170"/>
      <c r="AU320" s="1171"/>
      <c r="AV320" s="1171"/>
      <c r="AW320" s="1172"/>
      <c r="AX320" s="1172"/>
      <c r="AY320" s="1172"/>
      <c r="AZ320" s="1172"/>
      <c r="BA320" s="1243" t="s">
        <v>32</v>
      </c>
      <c r="BB320" s="1244">
        <v>2003</v>
      </c>
      <c r="BC320" s="1243" t="s">
        <v>323</v>
      </c>
      <c r="BD320" s="1243">
        <v>6</v>
      </c>
      <c r="BE320" s="1245">
        <v>201248000</v>
      </c>
      <c r="BF320" s="1239">
        <v>3.5042580859055858E-2</v>
      </c>
      <c r="BG320" s="1236"/>
      <c r="BH320" s="1236" t="s">
        <v>54</v>
      </c>
      <c r="BI320" s="1236" t="s">
        <v>295</v>
      </c>
      <c r="BJ320" s="1236" t="s">
        <v>286</v>
      </c>
      <c r="BK320" s="1236">
        <v>2</v>
      </c>
      <c r="BL320" s="1238">
        <v>232201911</v>
      </c>
      <c r="BM320" s="1239">
        <v>0.26400000000000001</v>
      </c>
      <c r="BN320" s="1236">
        <v>2012</v>
      </c>
      <c r="BO320" s="174"/>
      <c r="BP320" s="174"/>
      <c r="BQ320" s="174"/>
      <c r="BR320" s="174"/>
      <c r="BS320" s="174"/>
      <c r="BT320" s="174"/>
      <c r="BU320" s="174"/>
      <c r="BV320" s="174"/>
      <c r="BW320" s="174"/>
      <c r="BX320" s="174"/>
    </row>
    <row r="321" spans="1:76" s="152" customFormat="1" ht="15" customHeight="1" x14ac:dyDescent="0.25">
      <c r="A321" s="152">
        <f t="shared" si="8"/>
        <v>1996</v>
      </c>
      <c r="B321" s="152" t="str">
        <f t="shared" si="9"/>
        <v>1996-97</v>
      </c>
      <c r="C321" s="173">
        <v>35370</v>
      </c>
      <c r="D321" s="154">
        <v>0.79614285714285704</v>
      </c>
      <c r="E321" s="155">
        <v>177.1417857142857</v>
      </c>
      <c r="F321" s="155">
        <v>222.5</v>
      </c>
      <c r="G321" s="155"/>
      <c r="H321" s="155"/>
      <c r="I321" s="156">
        <v>377.87</v>
      </c>
      <c r="J321" s="156">
        <v>460.19</v>
      </c>
      <c r="K321" s="157"/>
      <c r="L321" s="158"/>
      <c r="M321" s="159">
        <v>6945.6</v>
      </c>
      <c r="N321" s="159">
        <v>8724.0624439260737</v>
      </c>
      <c r="O321" s="175">
        <v>2230.8000000000002</v>
      </c>
      <c r="P321" s="175">
        <v>2802.0096895747361</v>
      </c>
      <c r="Q321" s="175">
        <v>717.29</v>
      </c>
      <c r="R321" s="175">
        <v>900.95639691369104</v>
      </c>
      <c r="S321" s="175">
        <v>1046.8</v>
      </c>
      <c r="T321" s="175">
        <v>1314.8394042705904</v>
      </c>
      <c r="U321" s="161">
        <v>462.55899999999997</v>
      </c>
      <c r="V321" s="161">
        <v>581</v>
      </c>
      <c r="W321" s="161">
        <v>1534.1672857142855</v>
      </c>
      <c r="X321" s="161">
        <v>1927</v>
      </c>
      <c r="Y321" s="162"/>
      <c r="Z321" s="162"/>
      <c r="AA321" s="162"/>
      <c r="AB321" s="162"/>
      <c r="AC321" s="163"/>
      <c r="AD321" s="163">
        <v>6.5442795826836209</v>
      </c>
      <c r="AE321" s="163">
        <v>47156.394</v>
      </c>
      <c r="AF321" s="163">
        <v>59231.070877444829</v>
      </c>
      <c r="AG321" s="163"/>
      <c r="AH321" s="163"/>
      <c r="AI321" s="163"/>
      <c r="AJ321" s="163"/>
      <c r="AK321" s="164">
        <v>22.275714874267578</v>
      </c>
      <c r="AL321" s="164">
        <v>27.979544970370188</v>
      </c>
      <c r="AM321" s="164">
        <v>24.763332911900111</v>
      </c>
      <c r="AN321" s="164">
        <v>31.10413249296623</v>
      </c>
      <c r="AO321" s="164"/>
      <c r="AP321" s="164"/>
      <c r="AS321" s="167"/>
      <c r="AT321" s="1170"/>
      <c r="AU321" s="1171"/>
      <c r="AV321" s="1171"/>
      <c r="AW321" s="1172"/>
      <c r="AX321" s="1172"/>
      <c r="AY321" s="1172"/>
      <c r="AZ321" s="1172"/>
      <c r="BA321" s="1243" t="s">
        <v>32</v>
      </c>
      <c r="BB321" s="1244">
        <v>2003</v>
      </c>
      <c r="BC321" s="1243" t="s">
        <v>308</v>
      </c>
      <c r="BD321" s="1243">
        <v>7</v>
      </c>
      <c r="BE321" s="1245">
        <v>153579000</v>
      </c>
      <c r="BF321" s="1239">
        <v>2.6742151602763456E-2</v>
      </c>
      <c r="BG321" s="1236"/>
      <c r="BH321" s="1236" t="s">
        <v>54</v>
      </c>
      <c r="BI321" s="1236" t="s">
        <v>295</v>
      </c>
      <c r="BJ321" s="1236" t="s">
        <v>312</v>
      </c>
      <c r="BK321" s="1236">
        <v>3</v>
      </c>
      <c r="BL321" s="1238">
        <v>101341646</v>
      </c>
      <c r="BM321" s="1239">
        <v>0.115</v>
      </c>
      <c r="BN321" s="1236">
        <v>2012</v>
      </c>
      <c r="BO321" s="174"/>
      <c r="BP321" s="174"/>
      <c r="BQ321" s="174"/>
      <c r="BR321" s="174"/>
      <c r="BS321" s="174"/>
      <c r="BT321" s="174"/>
      <c r="BU321" s="174"/>
      <c r="BV321" s="174"/>
      <c r="BW321" s="174"/>
      <c r="BX321" s="174"/>
    </row>
    <row r="322" spans="1:76" s="152" customFormat="1" ht="15" customHeight="1" x14ac:dyDescent="0.25">
      <c r="A322" s="152">
        <f t="shared" si="8"/>
        <v>1996</v>
      </c>
      <c r="B322" s="152" t="str">
        <f t="shared" si="9"/>
        <v>1996-97</v>
      </c>
      <c r="C322" s="173">
        <v>35400</v>
      </c>
      <c r="D322" s="169">
        <v>0.79786999999999997</v>
      </c>
      <c r="E322" s="170">
        <v>183.19893070000001</v>
      </c>
      <c r="F322" s="170">
        <v>229.61</v>
      </c>
      <c r="G322" s="170"/>
      <c r="H322" s="170"/>
      <c r="I322" s="169">
        <v>369.34</v>
      </c>
      <c r="J322" s="169">
        <v>464.45</v>
      </c>
      <c r="K322" s="169"/>
      <c r="L322" s="170"/>
      <c r="M322" s="170">
        <v>6570.5</v>
      </c>
      <c r="N322" s="170">
        <v>8235.0508228157469</v>
      </c>
      <c r="O322" s="170">
        <v>2264.6999999999998</v>
      </c>
      <c r="P322" s="170">
        <v>2838.4323260681563</v>
      </c>
      <c r="Q322" s="170">
        <v>691.43</v>
      </c>
      <c r="R322" s="170">
        <v>866.59480867810544</v>
      </c>
      <c r="S322" s="170">
        <v>1037.8</v>
      </c>
      <c r="T322" s="170">
        <v>1300.7131487585698</v>
      </c>
      <c r="U322" s="170">
        <v>463.56246999999996</v>
      </c>
      <c r="V322" s="170">
        <v>581</v>
      </c>
      <c r="W322" s="170">
        <v>1537.49549</v>
      </c>
      <c r="X322" s="170">
        <v>1927</v>
      </c>
      <c r="Y322" s="170"/>
      <c r="Z322" s="170"/>
      <c r="AA322" s="170"/>
      <c r="AB322" s="170"/>
      <c r="AC322" s="170"/>
      <c r="AD322" s="170">
        <v>6.5089137878373808</v>
      </c>
      <c r="AE322" s="170">
        <v>48005.164999999994</v>
      </c>
      <c r="AF322" s="170">
        <v>60166.649955506531</v>
      </c>
      <c r="AG322" s="170"/>
      <c r="AH322" s="170"/>
      <c r="AI322" s="170"/>
      <c r="AJ322" s="170"/>
      <c r="AK322" s="170">
        <v>23.521428698585147</v>
      </c>
      <c r="AL322" s="170">
        <v>29.480277111039577</v>
      </c>
      <c r="AM322" s="170">
        <v>25.399998710269021</v>
      </c>
      <c r="AN322" s="170">
        <v>31.834758432161909</v>
      </c>
      <c r="AO322" s="170"/>
      <c r="AP322" s="170"/>
      <c r="AS322" s="167"/>
      <c r="AT322" s="1170"/>
      <c r="AU322" s="1171"/>
      <c r="AV322" s="1171"/>
      <c r="AW322" s="1172"/>
      <c r="AX322" s="1172"/>
      <c r="AY322" s="1172"/>
      <c r="AZ322" s="1172"/>
      <c r="BA322" s="1243" t="s">
        <v>32</v>
      </c>
      <c r="BB322" s="1244">
        <v>2003</v>
      </c>
      <c r="BC322" s="1243" t="s">
        <v>315</v>
      </c>
      <c r="BD322" s="1243">
        <v>8</v>
      </c>
      <c r="BE322" s="1245">
        <v>123002000</v>
      </c>
      <c r="BF322" s="1239">
        <v>2.1417890020400645E-2</v>
      </c>
      <c r="BG322" s="1236"/>
      <c r="BH322" s="1236" t="s">
        <v>54</v>
      </c>
      <c r="BI322" s="1236" t="s">
        <v>295</v>
      </c>
      <c r="BJ322" s="1236" t="s">
        <v>315</v>
      </c>
      <c r="BK322" s="1236">
        <v>4</v>
      </c>
      <c r="BL322" s="1238">
        <v>62073281</v>
      </c>
      <c r="BM322" s="1239">
        <v>7.0999999999999994E-2</v>
      </c>
      <c r="BN322" s="1236">
        <v>2012</v>
      </c>
      <c r="BO322" s="174"/>
      <c r="BP322" s="174"/>
      <c r="BQ322" s="174"/>
      <c r="BR322" s="174"/>
      <c r="BS322" s="174"/>
      <c r="BT322" s="174"/>
      <c r="BU322" s="174"/>
      <c r="BV322" s="174"/>
      <c r="BW322" s="174"/>
      <c r="BX322" s="174"/>
    </row>
    <row r="323" spans="1:76" s="152" customFormat="1" ht="15" customHeight="1" x14ac:dyDescent="0.25">
      <c r="A323" s="152">
        <f t="shared" si="8"/>
        <v>1997</v>
      </c>
      <c r="B323" s="152" t="str">
        <f t="shared" si="9"/>
        <v>1996-97</v>
      </c>
      <c r="C323" s="173">
        <v>35431</v>
      </c>
      <c r="D323" s="154">
        <v>0.77905714285714278</v>
      </c>
      <c r="E323" s="155">
        <v>180.05568685714283</v>
      </c>
      <c r="F323" s="155">
        <v>231.12</v>
      </c>
      <c r="G323" s="155"/>
      <c r="H323" s="155"/>
      <c r="I323" s="156">
        <v>355.02</v>
      </c>
      <c r="J323" s="156">
        <v>452.26</v>
      </c>
      <c r="K323" s="157"/>
      <c r="L323" s="158"/>
      <c r="M323" s="159">
        <v>7042.3</v>
      </c>
      <c r="N323" s="159">
        <v>9039.5166318260181</v>
      </c>
      <c r="O323" s="175">
        <v>2425.4</v>
      </c>
      <c r="P323" s="175">
        <v>3113.2504492610119</v>
      </c>
      <c r="Q323" s="175">
        <v>692.65</v>
      </c>
      <c r="R323" s="175">
        <v>889.08754171709393</v>
      </c>
      <c r="S323" s="175">
        <v>1085.0999999999999</v>
      </c>
      <c r="T323" s="175">
        <v>1392.8374958741335</v>
      </c>
      <c r="U323" s="161">
        <v>462.75994285714279</v>
      </c>
      <c r="V323" s="161">
        <v>594</v>
      </c>
      <c r="W323" s="161">
        <v>1479.429514285714</v>
      </c>
      <c r="X323" s="161">
        <v>1899</v>
      </c>
      <c r="Y323" s="162"/>
      <c r="Z323" s="162"/>
      <c r="AA323" s="162"/>
      <c r="AB323" s="162"/>
      <c r="AC323" s="163"/>
      <c r="AD323" s="163">
        <v>6.5786808558522356</v>
      </c>
      <c r="AE323" s="163">
        <v>46803.657999999996</v>
      </c>
      <c r="AF323" s="163">
        <v>60077.310668573737</v>
      </c>
      <c r="AG323" s="163"/>
      <c r="AH323" s="163"/>
      <c r="AI323" s="163"/>
      <c r="AJ323" s="163"/>
      <c r="AK323" s="164">
        <v>23.468181523409758</v>
      </c>
      <c r="AL323" s="164">
        <v>30.123825625090461</v>
      </c>
      <c r="AM323" s="164">
        <v>26.009089556607332</v>
      </c>
      <c r="AN323" s="164">
        <v>33.38534251957519</v>
      </c>
      <c r="AO323" s="164"/>
      <c r="AP323" s="164"/>
      <c r="AS323" s="167"/>
      <c r="AT323" s="1170"/>
      <c r="AU323" s="1171"/>
      <c r="AV323" s="1171"/>
      <c r="AW323" s="1172"/>
      <c r="AX323" s="1172"/>
      <c r="AY323" s="1172"/>
      <c r="AZ323" s="1172"/>
      <c r="BA323" s="1243" t="s">
        <v>32</v>
      </c>
      <c r="BB323" s="1244">
        <v>2003</v>
      </c>
      <c r="BC323" s="1243" t="s">
        <v>328</v>
      </c>
      <c r="BD323" s="1243">
        <v>9</v>
      </c>
      <c r="BE323" s="1245">
        <v>59570000</v>
      </c>
      <c r="BF323" s="1239">
        <v>1.0372707017083189E-2</v>
      </c>
      <c r="BG323" s="1236"/>
      <c r="BH323" s="1236" t="s">
        <v>54</v>
      </c>
      <c r="BI323" s="1236" t="s">
        <v>295</v>
      </c>
      <c r="BJ323" s="1236" t="s">
        <v>308</v>
      </c>
      <c r="BK323" s="1236">
        <v>5</v>
      </c>
      <c r="BL323" s="1238">
        <v>38089165</v>
      </c>
      <c r="BM323" s="1239">
        <v>4.2999999999999997E-2</v>
      </c>
      <c r="BN323" s="1236">
        <v>2012</v>
      </c>
      <c r="BO323" s="174"/>
      <c r="BP323" s="174"/>
      <c r="BQ323" s="174"/>
      <c r="BR323" s="174"/>
      <c r="BS323" s="174"/>
      <c r="BT323" s="174"/>
      <c r="BU323" s="174"/>
      <c r="BV323" s="174"/>
      <c r="BW323" s="174"/>
      <c r="BX323" s="174"/>
    </row>
    <row r="324" spans="1:76" s="152" customFormat="1" ht="15" customHeight="1" x14ac:dyDescent="0.25">
      <c r="A324" s="152">
        <f t="shared" si="8"/>
        <v>1997</v>
      </c>
      <c r="B324" s="152" t="str">
        <f t="shared" si="9"/>
        <v>1996-97</v>
      </c>
      <c r="C324" s="173">
        <v>35462</v>
      </c>
      <c r="D324" s="169">
        <v>0.76702500000000007</v>
      </c>
      <c r="E324" s="170">
        <v>182.39087475000002</v>
      </c>
      <c r="F324" s="170">
        <v>237.79</v>
      </c>
      <c r="G324" s="170"/>
      <c r="H324" s="170"/>
      <c r="I324" s="169">
        <v>346.4</v>
      </c>
      <c r="J324" s="169">
        <v>463.44</v>
      </c>
      <c r="K324" s="169"/>
      <c r="L324" s="170"/>
      <c r="M324" s="170">
        <v>7737.3</v>
      </c>
      <c r="N324" s="170">
        <v>10087.415664417716</v>
      </c>
      <c r="O324" s="170">
        <v>2405.8000000000002</v>
      </c>
      <c r="P324" s="170">
        <v>3136.5340112773379</v>
      </c>
      <c r="Q324" s="170">
        <v>660.22</v>
      </c>
      <c r="R324" s="170">
        <v>860.75421270493132</v>
      </c>
      <c r="S324" s="170">
        <v>1179.7</v>
      </c>
      <c r="T324" s="170">
        <v>1538.0202731332095</v>
      </c>
      <c r="U324" s="170">
        <v>455.61285000000004</v>
      </c>
      <c r="V324" s="170">
        <v>594</v>
      </c>
      <c r="W324" s="170">
        <v>1456.5804750000002</v>
      </c>
      <c r="X324" s="170">
        <v>1899</v>
      </c>
      <c r="Y324" s="170"/>
      <c r="Z324" s="170"/>
      <c r="AA324" s="170"/>
      <c r="AB324" s="170"/>
      <c r="AC324" s="170"/>
      <c r="AD324" s="170">
        <v>7.0795891137653317</v>
      </c>
      <c r="AE324" s="170">
        <v>44114.046000000002</v>
      </c>
      <c r="AF324" s="170">
        <v>57513.178840324632</v>
      </c>
      <c r="AG324" s="170"/>
      <c r="AH324" s="170"/>
      <c r="AI324" s="170"/>
      <c r="AJ324" s="170"/>
      <c r="AK324" s="170">
        <v>20.83049659729004</v>
      </c>
      <c r="AL324" s="170">
        <v>27.157519764401471</v>
      </c>
      <c r="AM324" s="170">
        <v>23.56499719619751</v>
      </c>
      <c r="AN324" s="170">
        <v>30.722593391607194</v>
      </c>
      <c r="AO324" s="170"/>
      <c r="AP324" s="170"/>
      <c r="AS324" s="167"/>
      <c r="AT324" s="1170"/>
      <c r="AU324" s="1171"/>
      <c r="AV324" s="1171"/>
      <c r="AW324" s="1172"/>
      <c r="AX324" s="1172"/>
      <c r="AY324" s="1172"/>
      <c r="AZ324" s="1172"/>
      <c r="BA324" s="1243" t="s">
        <v>32</v>
      </c>
      <c r="BB324" s="1244">
        <v>2003</v>
      </c>
      <c r="BC324" s="1243" t="s">
        <v>279</v>
      </c>
      <c r="BD324" s="1243">
        <v>10</v>
      </c>
      <c r="BE324" s="1245">
        <v>14674000</v>
      </c>
      <c r="BF324" s="1239">
        <v>2.555130145520878E-3</v>
      </c>
      <c r="BG324" s="1236"/>
      <c r="BH324" s="1236" t="s">
        <v>54</v>
      </c>
      <c r="BI324" s="1236" t="s">
        <v>295</v>
      </c>
      <c r="BJ324" s="1236" t="s">
        <v>287</v>
      </c>
      <c r="BK324" s="1236">
        <v>6</v>
      </c>
      <c r="BL324" s="1238">
        <v>37677938</v>
      </c>
      <c r="BM324" s="1239">
        <v>4.2999999999999997E-2</v>
      </c>
      <c r="BN324" s="1236">
        <v>2012</v>
      </c>
      <c r="BO324" s="174"/>
      <c r="BP324" s="174"/>
      <c r="BQ324" s="174"/>
      <c r="BR324" s="174"/>
      <c r="BS324" s="174"/>
      <c r="BT324" s="174"/>
      <c r="BU324" s="174"/>
      <c r="BV324" s="174"/>
      <c r="BW324" s="174"/>
      <c r="BX324" s="174"/>
    </row>
    <row r="325" spans="1:76" s="152" customFormat="1" ht="15" customHeight="1" x14ac:dyDescent="0.25">
      <c r="A325" s="152">
        <f t="shared" si="8"/>
        <v>1997</v>
      </c>
      <c r="B325" s="152" t="str">
        <f t="shared" si="9"/>
        <v>1996-97</v>
      </c>
      <c r="C325" s="173">
        <v>35490</v>
      </c>
      <c r="D325" s="154">
        <v>0.78882105263157898</v>
      </c>
      <c r="E325" s="155">
        <v>184.15816294736842</v>
      </c>
      <c r="F325" s="155">
        <v>233.46</v>
      </c>
      <c r="G325" s="155"/>
      <c r="H325" s="155"/>
      <c r="I325" s="156">
        <v>352.31</v>
      </c>
      <c r="J325" s="156">
        <v>446.91</v>
      </c>
      <c r="K325" s="157"/>
      <c r="L325" s="158"/>
      <c r="M325" s="159">
        <v>7869.1</v>
      </c>
      <c r="N325" s="159">
        <v>9975.7733059329039</v>
      </c>
      <c r="O325" s="175">
        <v>2420.4</v>
      </c>
      <c r="P325" s="175">
        <v>3068.3765245936643</v>
      </c>
      <c r="Q325" s="175">
        <v>694.71</v>
      </c>
      <c r="R325" s="175">
        <v>880.69404040673624</v>
      </c>
      <c r="S325" s="175">
        <v>1255.5</v>
      </c>
      <c r="T325" s="175">
        <v>1591.6157356748245</v>
      </c>
      <c r="U325" s="161">
        <v>468.55970526315792</v>
      </c>
      <c r="V325" s="161">
        <v>594</v>
      </c>
      <c r="W325" s="161">
        <v>1497.9711789473686</v>
      </c>
      <c r="X325" s="161">
        <v>1899</v>
      </c>
      <c r="Y325" s="162"/>
      <c r="Z325" s="162"/>
      <c r="AA325" s="162"/>
      <c r="AB325" s="162"/>
      <c r="AC325" s="163"/>
      <c r="AD325" s="163">
        <v>7.1069172279646988</v>
      </c>
      <c r="AE325" s="163">
        <v>43529.826999999997</v>
      </c>
      <c r="AF325" s="163">
        <v>55183.399143291783</v>
      </c>
      <c r="AG325" s="163"/>
      <c r="AH325" s="163"/>
      <c r="AI325" s="163"/>
      <c r="AJ325" s="163"/>
      <c r="AK325" s="164">
        <v>20.062009210586545</v>
      </c>
      <c r="AL325" s="164">
        <v>25.432902866445886</v>
      </c>
      <c r="AM325" s="164">
        <v>22.973534200249649</v>
      </c>
      <c r="AN325" s="164">
        <v>29.123885732521771</v>
      </c>
      <c r="AO325" s="164"/>
      <c r="AP325" s="164"/>
      <c r="AS325" s="167"/>
      <c r="AT325" s="1170"/>
      <c r="AU325" s="1171"/>
      <c r="AV325" s="1171"/>
      <c r="AW325" s="1172"/>
      <c r="AX325" s="1172"/>
      <c r="AY325" s="1172"/>
      <c r="AZ325" s="1172"/>
      <c r="BA325" s="1243" t="s">
        <v>32</v>
      </c>
      <c r="BB325" s="1244">
        <v>2003</v>
      </c>
      <c r="BC325" s="1243" t="s">
        <v>291</v>
      </c>
      <c r="BD325" s="1243"/>
      <c r="BE325" s="1245">
        <v>20069000</v>
      </c>
      <c r="BF325" s="1239">
        <v>3.4945418352500001E-3</v>
      </c>
      <c r="BG325" s="1236"/>
      <c r="BH325" s="1236" t="s">
        <v>54</v>
      </c>
      <c r="BI325" s="1236" t="s">
        <v>295</v>
      </c>
      <c r="BJ325" s="1236" t="s">
        <v>319</v>
      </c>
      <c r="BK325" s="1236">
        <v>7</v>
      </c>
      <c r="BL325" s="1238">
        <v>29113728</v>
      </c>
      <c r="BM325" s="1239">
        <v>3.3000000000000002E-2</v>
      </c>
      <c r="BN325" s="1236">
        <v>2012</v>
      </c>
      <c r="BO325" s="174"/>
      <c r="BP325" s="174"/>
      <c r="BQ325" s="174"/>
      <c r="BR325" s="174"/>
      <c r="BS325" s="174"/>
      <c r="BT325" s="174"/>
      <c r="BU325" s="174"/>
      <c r="BV325" s="174"/>
      <c r="BW325" s="174"/>
      <c r="BX325" s="174"/>
    </row>
    <row r="326" spans="1:76" s="152" customFormat="1" ht="15" customHeight="1" x14ac:dyDescent="0.25">
      <c r="A326" s="152">
        <f t="shared" si="8"/>
        <v>1997</v>
      </c>
      <c r="B326" s="152" t="str">
        <f t="shared" si="9"/>
        <v>1996-97</v>
      </c>
      <c r="C326" s="173">
        <v>35521</v>
      </c>
      <c r="D326" s="169">
        <v>0.77897142857142854</v>
      </c>
      <c r="E326" s="170">
        <v>189.16542171428571</v>
      </c>
      <c r="F326" s="170">
        <v>242.84</v>
      </c>
      <c r="G326" s="170"/>
      <c r="H326" s="170"/>
      <c r="I326" s="169">
        <v>344.71</v>
      </c>
      <c r="J326" s="169">
        <v>435.09</v>
      </c>
      <c r="K326" s="169"/>
      <c r="L326" s="170"/>
      <c r="M326" s="170">
        <v>7317.9</v>
      </c>
      <c r="N326" s="170">
        <v>9394.3111795774639</v>
      </c>
      <c r="O326" s="170">
        <v>2391.1999999999998</v>
      </c>
      <c r="P326" s="170">
        <v>3069.68896713615</v>
      </c>
      <c r="Q326" s="170">
        <v>642.52</v>
      </c>
      <c r="R326" s="170">
        <v>824.83127934272306</v>
      </c>
      <c r="S326" s="170">
        <v>1240.7</v>
      </c>
      <c r="T326" s="170">
        <v>1592.7413438967137</v>
      </c>
      <c r="U326" s="170">
        <v>453.36137142857143</v>
      </c>
      <c r="V326" s="170">
        <v>582</v>
      </c>
      <c r="W326" s="170">
        <v>1516.6573714285714</v>
      </c>
      <c r="X326" s="170">
        <v>1947</v>
      </c>
      <c r="Y326" s="170"/>
      <c r="Z326" s="170"/>
      <c r="AA326" s="170"/>
      <c r="AB326" s="170"/>
      <c r="AC326" s="170"/>
      <c r="AD326" s="170">
        <v>6.633658591476844</v>
      </c>
      <c r="AE326" s="170">
        <v>51852.191999999995</v>
      </c>
      <c r="AF326" s="170">
        <v>66564.947183098586</v>
      </c>
      <c r="AG326" s="170"/>
      <c r="AH326" s="170"/>
      <c r="AI326" s="170"/>
      <c r="AJ326" s="170"/>
      <c r="AK326" s="170">
        <v>17.469087600708008</v>
      </c>
      <c r="AL326" s="170">
        <v>22.425838689289183</v>
      </c>
      <c r="AM326" s="170">
        <v>20.838093439737957</v>
      </c>
      <c r="AN326" s="170">
        <v>26.750780163982853</v>
      </c>
      <c r="AO326" s="170"/>
      <c r="AP326" s="170"/>
      <c r="AS326" s="167"/>
      <c r="AT326" s="1170"/>
      <c r="AU326" s="1171"/>
      <c r="AV326" s="1171"/>
      <c r="AW326" s="1172"/>
      <c r="AX326" s="1172"/>
      <c r="AY326" s="1172"/>
      <c r="AZ326" s="1172"/>
      <c r="BA326" s="1243" t="s">
        <v>32</v>
      </c>
      <c r="BB326" s="1244">
        <v>2003</v>
      </c>
      <c r="BC326" s="1243" t="s">
        <v>292</v>
      </c>
      <c r="BD326" s="1243"/>
      <c r="BE326" s="1245">
        <v>5742956000</v>
      </c>
      <c r="BF326" s="1239">
        <v>1</v>
      </c>
      <c r="BG326" s="1236"/>
      <c r="BH326" s="1236" t="s">
        <v>54</v>
      </c>
      <c r="BI326" s="1236" t="s">
        <v>295</v>
      </c>
      <c r="BJ326" s="1236" t="s">
        <v>285</v>
      </c>
      <c r="BK326" s="1236">
        <v>8</v>
      </c>
      <c r="BL326" s="1238">
        <v>25055807</v>
      </c>
      <c r="BM326" s="1239">
        <v>2.9000000000000001E-2</v>
      </c>
      <c r="BN326" s="1236">
        <v>2012</v>
      </c>
      <c r="BO326" s="174"/>
      <c r="BP326" s="174"/>
      <c r="BQ326" s="174"/>
      <c r="BR326" s="174"/>
      <c r="BS326" s="174"/>
      <c r="BT326" s="174"/>
      <c r="BU326" s="174"/>
      <c r="BV326" s="174"/>
      <c r="BW326" s="174"/>
      <c r="BX326" s="174"/>
    </row>
    <row r="327" spans="1:76" s="152" customFormat="1" ht="15" customHeight="1" x14ac:dyDescent="0.25">
      <c r="A327" s="152">
        <f t="shared" si="8"/>
        <v>1997</v>
      </c>
      <c r="B327" s="152" t="str">
        <f t="shared" si="9"/>
        <v>1996-97</v>
      </c>
      <c r="C327" s="173">
        <v>35551</v>
      </c>
      <c r="D327" s="154">
        <v>0.77526818181818158</v>
      </c>
      <c r="E327" s="155">
        <v>187.8474804545454</v>
      </c>
      <c r="F327" s="155">
        <v>242.3</v>
      </c>
      <c r="G327" s="155"/>
      <c r="H327" s="155"/>
      <c r="I327" s="156">
        <v>344.1</v>
      </c>
      <c r="J327" s="156">
        <v>451.47</v>
      </c>
      <c r="K327" s="157"/>
      <c r="L327" s="158"/>
      <c r="M327" s="159">
        <v>7472.7</v>
      </c>
      <c r="N327" s="159">
        <v>9638.8581077515719</v>
      </c>
      <c r="O327" s="175">
        <v>2512.3000000000002</v>
      </c>
      <c r="P327" s="175">
        <v>3240.5560539168278</v>
      </c>
      <c r="Q327" s="175">
        <v>618.61</v>
      </c>
      <c r="R327" s="175">
        <v>797.93033495740508</v>
      </c>
      <c r="S327" s="175">
        <v>1309.2</v>
      </c>
      <c r="T327" s="175">
        <v>1688.7059609871076</v>
      </c>
      <c r="U327" s="161">
        <v>451.2060818181817</v>
      </c>
      <c r="V327" s="161">
        <v>582</v>
      </c>
      <c r="W327" s="161">
        <v>1509.4471499999995</v>
      </c>
      <c r="X327" s="161">
        <v>1947</v>
      </c>
      <c r="Y327" s="162"/>
      <c r="Z327" s="162"/>
      <c r="AA327" s="162"/>
      <c r="AB327" s="162"/>
      <c r="AC327" s="163"/>
      <c r="AD327" s="163">
        <v>6.6024723905669784</v>
      </c>
      <c r="AE327" s="163">
        <v>55247.275999999998</v>
      </c>
      <c r="AF327" s="163">
        <v>71262.14811296972</v>
      </c>
      <c r="AG327" s="163"/>
      <c r="AH327" s="163"/>
      <c r="AI327" s="163"/>
      <c r="AJ327" s="163"/>
      <c r="AK327" s="164">
        <v>19.142499065399171</v>
      </c>
      <c r="AL327" s="164">
        <v>24.691454537068221</v>
      </c>
      <c r="AM327" s="164">
        <v>21.204997539520264</v>
      </c>
      <c r="AN327" s="164">
        <v>27.351822294305546</v>
      </c>
      <c r="AO327" s="164"/>
      <c r="AP327" s="164"/>
      <c r="AS327" s="167"/>
      <c r="AT327" s="1170"/>
      <c r="AU327" s="1171"/>
      <c r="AV327" s="1171"/>
      <c r="AW327" s="1172"/>
      <c r="AX327" s="1172"/>
      <c r="AY327" s="1172"/>
      <c r="AZ327" s="1172"/>
      <c r="BA327" s="1246" t="s">
        <v>32</v>
      </c>
      <c r="BB327" s="1247">
        <v>2004</v>
      </c>
      <c r="BC327" s="1246" t="s">
        <v>287</v>
      </c>
      <c r="BD327" s="1246">
        <v>1</v>
      </c>
      <c r="BE327" s="1248">
        <v>2869654000</v>
      </c>
      <c r="BF327" s="1239">
        <v>0.51182475575702835</v>
      </c>
      <c r="BG327" s="1236"/>
      <c r="BH327" s="1236" t="s">
        <v>54</v>
      </c>
      <c r="BI327" s="1236" t="s">
        <v>295</v>
      </c>
      <c r="BJ327" s="1236" t="s">
        <v>283</v>
      </c>
      <c r="BK327" s="1236">
        <v>9</v>
      </c>
      <c r="BL327" s="1238">
        <v>15430241</v>
      </c>
      <c r="BM327" s="1239">
        <v>1.7999999999999999E-2</v>
      </c>
      <c r="BN327" s="1236">
        <v>2012</v>
      </c>
      <c r="BO327" s="174"/>
      <c r="BP327" s="174"/>
      <c r="BQ327" s="174"/>
      <c r="BR327" s="174"/>
      <c r="BS327" s="174"/>
      <c r="BT327" s="174"/>
      <c r="BU327" s="174"/>
      <c r="BV327" s="174"/>
      <c r="BW327" s="174"/>
      <c r="BX327" s="174"/>
    </row>
    <row r="328" spans="1:76" s="152" customFormat="1" ht="15" customHeight="1" x14ac:dyDescent="0.25">
      <c r="A328" s="152">
        <f t="shared" si="8"/>
        <v>1997</v>
      </c>
      <c r="B328" s="152" t="str">
        <f t="shared" si="9"/>
        <v>1996-97</v>
      </c>
      <c r="C328" s="173">
        <v>35582</v>
      </c>
      <c r="D328" s="169">
        <v>0.75343499999999985</v>
      </c>
      <c r="E328" s="170">
        <v>191.20673429999997</v>
      </c>
      <c r="F328" s="170">
        <v>253.78</v>
      </c>
      <c r="G328" s="170"/>
      <c r="H328" s="170"/>
      <c r="I328" s="169">
        <v>340.8</v>
      </c>
      <c r="J328" s="169">
        <v>450.34</v>
      </c>
      <c r="K328" s="169"/>
      <c r="L328" s="170"/>
      <c r="M328" s="170">
        <v>7064.9</v>
      </c>
      <c r="N328" s="170">
        <v>9376.9203713658135</v>
      </c>
      <c r="O328" s="170">
        <v>2162.6</v>
      </c>
      <c r="P328" s="170">
        <v>2870.3205983263324</v>
      </c>
      <c r="Q328" s="170">
        <v>614.91999999999996</v>
      </c>
      <c r="R328" s="170">
        <v>816.15534186757986</v>
      </c>
      <c r="S328" s="170">
        <v>1354.5</v>
      </c>
      <c r="T328" s="170">
        <v>1797.7662306635611</v>
      </c>
      <c r="U328" s="170">
        <v>438.49916999999994</v>
      </c>
      <c r="V328" s="170">
        <v>582</v>
      </c>
      <c r="W328" s="170">
        <v>1466.9379449999997</v>
      </c>
      <c r="X328" s="170">
        <v>1947</v>
      </c>
      <c r="Y328" s="170"/>
      <c r="Z328" s="170"/>
      <c r="AA328" s="170"/>
      <c r="AB328" s="170"/>
      <c r="AC328" s="170"/>
      <c r="AD328" s="170">
        <v>6.789268088800295</v>
      </c>
      <c r="AE328" s="170">
        <v>51367.18</v>
      </c>
      <c r="AF328" s="170">
        <v>68177.321202227147</v>
      </c>
      <c r="AG328" s="170"/>
      <c r="AH328" s="170"/>
      <c r="AI328" s="170"/>
      <c r="AJ328" s="170"/>
      <c r="AK328" s="170">
        <v>17.553808121454146</v>
      </c>
      <c r="AL328" s="170">
        <v>23.298370956292381</v>
      </c>
      <c r="AM328" s="170">
        <v>19.919044312976656</v>
      </c>
      <c r="AN328" s="170">
        <v>26.437641353237716</v>
      </c>
      <c r="AO328" s="170"/>
      <c r="AP328" s="170"/>
      <c r="AS328" s="167"/>
      <c r="AT328" s="1170"/>
      <c r="AU328" s="1171"/>
      <c r="AV328" s="1171"/>
      <c r="AW328" s="1172"/>
      <c r="AX328" s="1172"/>
      <c r="AY328" s="1172"/>
      <c r="AZ328" s="1172"/>
      <c r="BA328" s="1246" t="s">
        <v>32</v>
      </c>
      <c r="BB328" s="1247">
        <v>2004</v>
      </c>
      <c r="BC328" s="1246" t="s">
        <v>314</v>
      </c>
      <c r="BD328" s="1246">
        <v>2</v>
      </c>
      <c r="BE328" s="1248">
        <v>1005103000</v>
      </c>
      <c r="BF328" s="1239">
        <v>0.17926781329235389</v>
      </c>
      <c r="BG328" s="1236"/>
      <c r="BH328" s="1236" t="s">
        <v>54</v>
      </c>
      <c r="BI328" s="1236" t="s">
        <v>295</v>
      </c>
      <c r="BJ328" s="1236" t="s">
        <v>306</v>
      </c>
      <c r="BK328" s="1236">
        <v>10</v>
      </c>
      <c r="BL328" s="1238">
        <v>13544293</v>
      </c>
      <c r="BM328" s="1239">
        <v>1.4999999999999999E-2</v>
      </c>
      <c r="BN328" s="1236">
        <v>2012</v>
      </c>
      <c r="BO328" s="174"/>
      <c r="BP328" s="174"/>
      <c r="BQ328" s="174"/>
      <c r="BR328" s="174"/>
      <c r="BS328" s="174"/>
      <c r="BT328" s="174"/>
      <c r="BU328" s="174"/>
      <c r="BV328" s="174"/>
      <c r="BW328" s="174"/>
      <c r="BX328" s="174"/>
    </row>
    <row r="329" spans="1:76" s="152" customFormat="1" ht="15" customHeight="1" x14ac:dyDescent="0.25">
      <c r="A329" s="152">
        <f t="shared" si="8"/>
        <v>1997</v>
      </c>
      <c r="B329" s="152" t="str">
        <f t="shared" si="9"/>
        <v>1997-98</v>
      </c>
      <c r="C329" s="173">
        <v>35612</v>
      </c>
      <c r="D329" s="154">
        <v>0.74252173913043495</v>
      </c>
      <c r="E329" s="155">
        <v>182.08860608695656</v>
      </c>
      <c r="F329" s="155">
        <v>245.23</v>
      </c>
      <c r="G329" s="155"/>
      <c r="H329" s="155"/>
      <c r="I329" s="156">
        <v>324.05</v>
      </c>
      <c r="J329" s="156">
        <v>438.87</v>
      </c>
      <c r="K329" s="157"/>
      <c r="L329" s="158"/>
      <c r="M329" s="159">
        <v>6838.2</v>
      </c>
      <c r="N329" s="159">
        <v>9209.4273334114041</v>
      </c>
      <c r="O329" s="175">
        <v>2580.8000000000002</v>
      </c>
      <c r="P329" s="175">
        <v>3475.7231525939801</v>
      </c>
      <c r="Q329" s="175">
        <v>634.32000000000005</v>
      </c>
      <c r="R329" s="175">
        <v>854.27801850333753</v>
      </c>
      <c r="S329" s="175">
        <v>1518.8</v>
      </c>
      <c r="T329" s="175">
        <v>2045.4619978920243</v>
      </c>
      <c r="U329" s="161">
        <v>421.75234782608703</v>
      </c>
      <c r="V329" s="161">
        <v>568</v>
      </c>
      <c r="W329" s="161">
        <v>1613.499739130435</v>
      </c>
      <c r="X329" s="161">
        <v>2173</v>
      </c>
      <c r="Y329" s="162"/>
      <c r="Z329" s="162"/>
      <c r="AA329" s="162"/>
      <c r="AB329" s="162"/>
      <c r="AC329" s="163"/>
      <c r="AD329" s="163">
        <v>6.3896346070377934</v>
      </c>
      <c r="AE329" s="163">
        <v>50286.925999999992</v>
      </c>
      <c r="AF329" s="163">
        <v>67724.516805246487</v>
      </c>
      <c r="AG329" s="163"/>
      <c r="AH329" s="163"/>
      <c r="AI329" s="163"/>
      <c r="AJ329" s="163"/>
      <c r="AK329" s="164">
        <v>18.434346738068953</v>
      </c>
      <c r="AL329" s="164">
        <v>24.826676131607087</v>
      </c>
      <c r="AM329" s="164">
        <v>18.970867074054219</v>
      </c>
      <c r="AN329" s="164">
        <v>25.549241287226078</v>
      </c>
      <c r="AO329" s="164"/>
      <c r="AP329" s="164"/>
      <c r="AS329" s="167"/>
      <c r="AT329" s="1170"/>
      <c r="AU329" s="1171"/>
      <c r="AV329" s="1171"/>
      <c r="AW329" s="1172"/>
      <c r="AX329" s="1172"/>
      <c r="AY329" s="1172"/>
      <c r="AZ329" s="1172"/>
      <c r="BA329" s="1246" t="s">
        <v>32</v>
      </c>
      <c r="BB329" s="1247">
        <v>2004</v>
      </c>
      <c r="BC329" s="1246" t="s">
        <v>320</v>
      </c>
      <c r="BD329" s="1246">
        <v>3</v>
      </c>
      <c r="BE329" s="1248">
        <v>598923000</v>
      </c>
      <c r="BF329" s="1239">
        <v>0.10682250131627949</v>
      </c>
      <c r="BG329" s="1236"/>
      <c r="BH329" s="1236" t="s">
        <v>54</v>
      </c>
      <c r="BI329" s="1236" t="s">
        <v>295</v>
      </c>
      <c r="BJ329" s="1236" t="s">
        <v>291</v>
      </c>
      <c r="BK329" s="1236"/>
      <c r="BL329" s="1238">
        <v>77867599</v>
      </c>
      <c r="BM329" s="1239">
        <v>8.8999999999999996E-2</v>
      </c>
      <c r="BN329" s="1236">
        <v>2012</v>
      </c>
      <c r="BO329" s="174"/>
      <c r="BP329" s="174"/>
      <c r="BQ329" s="174"/>
      <c r="BR329" s="174"/>
      <c r="BS329" s="174"/>
      <c r="BT329" s="174"/>
      <c r="BU329" s="174"/>
      <c r="BV329" s="174"/>
      <c r="BW329" s="174"/>
      <c r="BX329" s="174"/>
    </row>
    <row r="330" spans="1:76" s="152" customFormat="1" ht="15" customHeight="1" x14ac:dyDescent="0.25">
      <c r="A330" s="152">
        <f t="shared" si="8"/>
        <v>1997</v>
      </c>
      <c r="B330" s="152" t="str">
        <f t="shared" si="9"/>
        <v>1997-98</v>
      </c>
      <c r="C330" s="173">
        <v>35643</v>
      </c>
      <c r="D330" s="169">
        <v>0.74122380952380951</v>
      </c>
      <c r="E330" s="170">
        <v>188.7155819047619</v>
      </c>
      <c r="F330" s="170">
        <v>254.6</v>
      </c>
      <c r="G330" s="170"/>
      <c r="H330" s="170"/>
      <c r="I330" s="169">
        <v>324.01</v>
      </c>
      <c r="J330" s="169">
        <v>440.53</v>
      </c>
      <c r="K330" s="169"/>
      <c r="L330" s="170"/>
      <c r="M330" s="170">
        <v>6763</v>
      </c>
      <c r="N330" s="170">
        <v>9124.0997834983336</v>
      </c>
      <c r="O330" s="170">
        <v>2251.1999999999998</v>
      </c>
      <c r="P330" s="170">
        <v>3037.1393512659242</v>
      </c>
      <c r="Q330" s="170">
        <v>608.08000000000004</v>
      </c>
      <c r="R330" s="170">
        <v>820.37299960811276</v>
      </c>
      <c r="S330" s="170">
        <v>1654.4</v>
      </c>
      <c r="T330" s="170">
        <v>2231.9844272984833</v>
      </c>
      <c r="U330" s="170">
        <v>421.0151238095238</v>
      </c>
      <c r="V330" s="170">
        <v>568</v>
      </c>
      <c r="W330" s="170">
        <v>1610.6793380952381</v>
      </c>
      <c r="X330" s="170">
        <v>2173</v>
      </c>
      <c r="Y330" s="170"/>
      <c r="Z330" s="170"/>
      <c r="AA330" s="170"/>
      <c r="AB330" s="170"/>
      <c r="AC330" s="170"/>
      <c r="AD330" s="170">
        <v>6.5111643384185065</v>
      </c>
      <c r="AE330" s="170">
        <v>50353.063999999998</v>
      </c>
      <c r="AF330" s="170">
        <v>67932.334813082605</v>
      </c>
      <c r="AG330" s="170"/>
      <c r="AH330" s="170"/>
      <c r="AI330" s="170"/>
      <c r="AJ330" s="170"/>
      <c r="AK330" s="170">
        <v>18.691428229922341</v>
      </c>
      <c r="AL330" s="170">
        <v>25.216983035030172</v>
      </c>
      <c r="AM330" s="170">
        <v>20.137617746988933</v>
      </c>
      <c r="AN330" s="170">
        <v>27.168066497926056</v>
      </c>
      <c r="AO330" s="170"/>
      <c r="AP330" s="170"/>
      <c r="AS330" s="167"/>
      <c r="AT330" s="1170"/>
      <c r="AU330" s="1171"/>
      <c r="AV330" s="1171"/>
      <c r="AW330" s="1172"/>
      <c r="AX330" s="1172"/>
      <c r="AY330" s="1172"/>
      <c r="AZ330" s="1172"/>
      <c r="BA330" s="1246" t="s">
        <v>32</v>
      </c>
      <c r="BB330" s="1247">
        <v>2004</v>
      </c>
      <c r="BC330" s="1246" t="s">
        <v>323</v>
      </c>
      <c r="BD330" s="1246">
        <v>4</v>
      </c>
      <c r="BE330" s="1248">
        <v>494200000</v>
      </c>
      <c r="BF330" s="1239">
        <v>8.8144352697267128E-2</v>
      </c>
      <c r="BG330" s="1236"/>
      <c r="BH330" s="1236" t="s">
        <v>54</v>
      </c>
      <c r="BI330" s="1236" t="s">
        <v>295</v>
      </c>
      <c r="BJ330" s="1236" t="s">
        <v>292</v>
      </c>
      <c r="BK330" s="1236"/>
      <c r="BL330" s="1238">
        <v>878971325</v>
      </c>
      <c r="BM330" s="1239"/>
      <c r="BN330" s="1236">
        <v>2012</v>
      </c>
      <c r="BO330" s="174"/>
      <c r="BP330" s="174"/>
      <c r="BQ330" s="174"/>
      <c r="BR330" s="174"/>
      <c r="BS330" s="174"/>
      <c r="BT330" s="174"/>
      <c r="BU330" s="174"/>
      <c r="BV330" s="174"/>
      <c r="BW330" s="174"/>
      <c r="BX330" s="174"/>
    </row>
    <row r="331" spans="1:76" s="152" customFormat="1" ht="15" customHeight="1" x14ac:dyDescent="0.25">
      <c r="A331" s="152">
        <f t="shared" ref="A331:A394" si="10">YEAR(C331)</f>
        <v>1997</v>
      </c>
      <c r="B331" s="152" t="str">
        <f t="shared" si="9"/>
        <v>1997-98</v>
      </c>
      <c r="C331" s="173">
        <v>35674</v>
      </c>
      <c r="D331" s="154">
        <v>0.72369090909090905</v>
      </c>
      <c r="E331" s="155">
        <v>187.11752145454545</v>
      </c>
      <c r="F331" s="155">
        <v>258.56</v>
      </c>
      <c r="G331" s="155"/>
      <c r="H331" s="155"/>
      <c r="I331" s="156">
        <v>322.82</v>
      </c>
      <c r="J331" s="156">
        <v>457.2</v>
      </c>
      <c r="K331" s="157"/>
      <c r="L331" s="158"/>
      <c r="M331" s="159">
        <v>6506.5</v>
      </c>
      <c r="N331" s="159">
        <v>8990.7167801422002</v>
      </c>
      <c r="O331" s="175">
        <v>2107.3000000000002</v>
      </c>
      <c r="P331" s="175">
        <v>2911.8785016204811</v>
      </c>
      <c r="Q331" s="175">
        <v>634.25</v>
      </c>
      <c r="R331" s="175">
        <v>876.41006959274432</v>
      </c>
      <c r="S331" s="175">
        <v>1641.7</v>
      </c>
      <c r="T331" s="175">
        <v>2268.5099113132178</v>
      </c>
      <c r="U331" s="161">
        <v>411.05643636363635</v>
      </c>
      <c r="V331" s="161">
        <v>568</v>
      </c>
      <c r="W331" s="161">
        <v>1572.5803454545453</v>
      </c>
      <c r="X331" s="161">
        <v>2173</v>
      </c>
      <c r="Y331" s="162"/>
      <c r="Z331" s="162"/>
      <c r="AA331" s="162"/>
      <c r="AB331" s="162"/>
      <c r="AC331" s="163"/>
      <c r="AD331" s="163">
        <v>7.0014628578777307</v>
      </c>
      <c r="AE331" s="163">
        <v>53670.986999999994</v>
      </c>
      <c r="AF331" s="163">
        <v>74162.85920659246</v>
      </c>
      <c r="AG331" s="163"/>
      <c r="AH331" s="163"/>
      <c r="AI331" s="163"/>
      <c r="AJ331" s="163"/>
      <c r="AK331" s="164">
        <v>18.452271027998492</v>
      </c>
      <c r="AL331" s="164">
        <v>25.497447592892925</v>
      </c>
      <c r="AM331" s="164">
        <v>19.379544171420012</v>
      </c>
      <c r="AN331" s="164">
        <v>26.778758621915451</v>
      </c>
      <c r="AO331" s="164"/>
      <c r="AP331" s="164"/>
      <c r="AS331" s="167"/>
      <c r="AT331" s="1170"/>
      <c r="AU331" s="1171"/>
      <c r="AV331" s="1171"/>
      <c r="AW331" s="1172"/>
      <c r="AX331" s="1172"/>
      <c r="AY331" s="1172"/>
      <c r="AZ331" s="1172"/>
      <c r="BA331" s="1246" t="s">
        <v>32</v>
      </c>
      <c r="BB331" s="1247">
        <v>2004</v>
      </c>
      <c r="BC331" s="1246" t="s">
        <v>306</v>
      </c>
      <c r="BD331" s="1246">
        <v>5</v>
      </c>
      <c r="BE331" s="1248">
        <v>268635000</v>
      </c>
      <c r="BF331" s="1239">
        <v>4.7913108431465713E-2</v>
      </c>
      <c r="BG331" s="1236"/>
      <c r="BH331" s="1236" t="s">
        <v>54</v>
      </c>
      <c r="BI331" s="1236" t="s">
        <v>297</v>
      </c>
      <c r="BJ331" s="1236" t="s">
        <v>281</v>
      </c>
      <c r="BK331" s="1236">
        <v>1</v>
      </c>
      <c r="BL331" s="1238">
        <v>354677085.05000013</v>
      </c>
      <c r="BM331" s="1239">
        <v>12475.451461484352</v>
      </c>
      <c r="BN331" s="1236">
        <v>2011</v>
      </c>
      <c r="BO331" s="174"/>
      <c r="BP331" s="174"/>
      <c r="BQ331" s="174"/>
      <c r="BR331" s="174"/>
      <c r="BS331" s="174"/>
      <c r="BT331" s="174"/>
      <c r="BU331" s="174"/>
      <c r="BV331" s="174"/>
      <c r="BW331" s="174"/>
      <c r="BX331" s="174"/>
    </row>
    <row r="332" spans="1:76" s="152" customFormat="1" ht="15" customHeight="1" x14ac:dyDescent="0.25">
      <c r="A332" s="152">
        <f t="shared" si="10"/>
        <v>1997</v>
      </c>
      <c r="B332" s="152" t="str">
        <f t="shared" ref="B332:B395" si="11">IF(MONTH(C332) &gt;= 7, A332 &amp; "-" &amp; RIGHT(A332+1, 2), A332-1 &amp; "-" &amp; RIGHT(A332, 2))</f>
        <v>1997-98</v>
      </c>
      <c r="C332" s="173">
        <v>35704</v>
      </c>
      <c r="D332" s="169">
        <v>0.72123913043478272</v>
      </c>
      <c r="E332" s="170">
        <v>186.51965152173918</v>
      </c>
      <c r="F332" s="170">
        <v>258.61</v>
      </c>
      <c r="G332" s="170"/>
      <c r="H332" s="170"/>
      <c r="I332" s="169">
        <v>324.87</v>
      </c>
      <c r="J332" s="169">
        <v>452.88</v>
      </c>
      <c r="K332" s="169"/>
      <c r="L332" s="170"/>
      <c r="M332" s="170">
        <v>6383.2</v>
      </c>
      <c r="N332" s="170">
        <v>8850.3240196521674</v>
      </c>
      <c r="O332" s="170">
        <v>2052.1999999999998</v>
      </c>
      <c r="P332" s="170">
        <v>2845.3808361214087</v>
      </c>
      <c r="Q332" s="170">
        <v>600.26</v>
      </c>
      <c r="R332" s="170">
        <v>832.26210929258207</v>
      </c>
      <c r="S332" s="170">
        <v>1280.5</v>
      </c>
      <c r="T332" s="170">
        <v>1775.4167043433702</v>
      </c>
      <c r="U332" s="170">
        <v>398.12400000000008</v>
      </c>
      <c r="V332" s="170">
        <v>552</v>
      </c>
      <c r="W332" s="170">
        <v>1798.0491521739134</v>
      </c>
      <c r="X332" s="170">
        <v>2493</v>
      </c>
      <c r="Y332" s="170"/>
      <c r="Z332" s="170"/>
      <c r="AA332" s="170"/>
      <c r="AB332" s="170"/>
      <c r="AC332" s="170"/>
      <c r="AD332" s="170">
        <v>7.5094442747600754</v>
      </c>
      <c r="AE332" s="170">
        <v>51885.260999999999</v>
      </c>
      <c r="AF332" s="170">
        <v>71939.05434487747</v>
      </c>
      <c r="AG332" s="170"/>
      <c r="AH332" s="170"/>
      <c r="AI332" s="170"/>
      <c r="AJ332" s="170"/>
      <c r="AK332" s="170">
        <v>20.051737412162449</v>
      </c>
      <c r="AL332" s="170">
        <v>27.801788014572519</v>
      </c>
      <c r="AM332" s="170">
        <v>21.19782530743143</v>
      </c>
      <c r="AN332" s="170">
        <v>29.39084197310925</v>
      </c>
      <c r="AO332" s="170"/>
      <c r="AP332" s="170"/>
      <c r="AS332" s="167"/>
      <c r="AT332" s="1170"/>
      <c r="AU332" s="1171"/>
      <c r="AV332" s="1171"/>
      <c r="AW332" s="1172"/>
      <c r="AX332" s="1172"/>
      <c r="AY332" s="1172"/>
      <c r="AZ332" s="1172"/>
      <c r="BA332" s="1246" t="s">
        <v>32</v>
      </c>
      <c r="BB332" s="1247">
        <v>2004</v>
      </c>
      <c r="BC332" s="1246" t="s">
        <v>308</v>
      </c>
      <c r="BD332" s="1246">
        <v>6</v>
      </c>
      <c r="BE332" s="1248">
        <v>165666000</v>
      </c>
      <c r="BF332" s="1239">
        <v>2.9547799137890442E-2</v>
      </c>
      <c r="BG332" s="1236"/>
      <c r="BH332" s="1236" t="s">
        <v>54</v>
      </c>
      <c r="BI332" s="1236" t="s">
        <v>297</v>
      </c>
      <c r="BJ332" s="1236" t="s">
        <v>286</v>
      </c>
      <c r="BK332" s="1236">
        <v>2</v>
      </c>
      <c r="BL332" s="1238">
        <v>227760544.41</v>
      </c>
      <c r="BM332" s="1239">
        <v>8011.2748649314108</v>
      </c>
      <c r="BN332" s="1236">
        <v>2011</v>
      </c>
      <c r="BO332" s="174"/>
      <c r="BP332" s="174"/>
      <c r="BQ332" s="174"/>
      <c r="BR332" s="174"/>
      <c r="BS332" s="174"/>
      <c r="BT332" s="174"/>
      <c r="BU332" s="174"/>
      <c r="BV332" s="174"/>
      <c r="BW332" s="174"/>
      <c r="BX332" s="174"/>
    </row>
    <row r="333" spans="1:76" s="152" customFormat="1" ht="15" customHeight="1" x14ac:dyDescent="0.25">
      <c r="A333" s="152">
        <f t="shared" si="10"/>
        <v>1997</v>
      </c>
      <c r="B333" s="152" t="str">
        <f t="shared" si="11"/>
        <v>1997-98</v>
      </c>
      <c r="C333" s="173">
        <v>35735</v>
      </c>
      <c r="D333" s="154">
        <v>0.69540000000000002</v>
      </c>
      <c r="E333" s="155">
        <v>188.73851400000001</v>
      </c>
      <c r="F333" s="155">
        <v>271.41000000000003</v>
      </c>
      <c r="G333" s="155"/>
      <c r="H333" s="155"/>
      <c r="I333" s="156">
        <v>306.04000000000002</v>
      </c>
      <c r="J333" s="156">
        <v>437.59</v>
      </c>
      <c r="K333" s="157"/>
      <c r="L333" s="158"/>
      <c r="M333" s="159">
        <v>6142.2</v>
      </c>
      <c r="N333" s="159">
        <v>8832.6143226919758</v>
      </c>
      <c r="O333" s="175">
        <v>1917.4</v>
      </c>
      <c r="P333" s="175">
        <v>2757.2620074777105</v>
      </c>
      <c r="Q333" s="175">
        <v>563.4</v>
      </c>
      <c r="R333" s="175">
        <v>810.18119068162207</v>
      </c>
      <c r="S333" s="175">
        <v>1173.3</v>
      </c>
      <c r="T333" s="175">
        <v>1687.2303710094909</v>
      </c>
      <c r="U333" s="161">
        <v>383.86079999999998</v>
      </c>
      <c r="V333" s="161">
        <v>552</v>
      </c>
      <c r="W333" s="161">
        <v>1733.6322</v>
      </c>
      <c r="X333" s="161">
        <v>2493</v>
      </c>
      <c r="Y333" s="162"/>
      <c r="Z333" s="162"/>
      <c r="AA333" s="162"/>
      <c r="AB333" s="162"/>
      <c r="AC333" s="163"/>
      <c r="AD333" s="163">
        <v>7.7933351552076138</v>
      </c>
      <c r="AE333" s="163">
        <v>55324.436999999998</v>
      </c>
      <c r="AF333" s="163">
        <v>79557.717860224322</v>
      </c>
      <c r="AG333" s="163"/>
      <c r="AH333" s="163"/>
      <c r="AI333" s="163"/>
      <c r="AJ333" s="163"/>
      <c r="AK333" s="164">
        <v>19.00249719619751</v>
      </c>
      <c r="AL333" s="164">
        <v>27.325995392863831</v>
      </c>
      <c r="AM333" s="164">
        <v>20.809499740600586</v>
      </c>
      <c r="AN333" s="164">
        <v>29.924503509635585</v>
      </c>
      <c r="AO333" s="164"/>
      <c r="AP333" s="164"/>
      <c r="AS333" s="167"/>
      <c r="AT333" s="1170"/>
      <c r="AU333" s="1171"/>
      <c r="AV333" s="1171"/>
      <c r="AW333" s="1172"/>
      <c r="AX333" s="1172"/>
      <c r="AY333" s="1172"/>
      <c r="AZ333" s="1172"/>
      <c r="BA333" s="1246" t="s">
        <v>32</v>
      </c>
      <c r="BB333" s="1247">
        <v>2004</v>
      </c>
      <c r="BC333" s="1246" t="s">
        <v>285</v>
      </c>
      <c r="BD333" s="1246">
        <v>7</v>
      </c>
      <c r="BE333" s="1248">
        <v>68460000</v>
      </c>
      <c r="BF333" s="1239">
        <v>1.2210365005372132E-2</v>
      </c>
      <c r="BG333" s="1236"/>
      <c r="BH333" s="1236" t="s">
        <v>54</v>
      </c>
      <c r="BI333" s="1236" t="s">
        <v>297</v>
      </c>
      <c r="BJ333" s="1236" t="s">
        <v>312</v>
      </c>
      <c r="BK333" s="1236">
        <v>3</v>
      </c>
      <c r="BL333" s="1238">
        <v>147509859.25999999</v>
      </c>
      <c r="BM333" s="1239">
        <v>5188.528289131199</v>
      </c>
      <c r="BN333" s="1236">
        <v>2011</v>
      </c>
      <c r="BO333" s="174"/>
      <c r="BP333" s="174"/>
      <c r="BQ333" s="174"/>
      <c r="BR333" s="174"/>
      <c r="BS333" s="174"/>
      <c r="BT333" s="174"/>
      <c r="BU333" s="174"/>
      <c r="BV333" s="174"/>
      <c r="BW333" s="174"/>
      <c r="BX333" s="174"/>
    </row>
    <row r="334" spans="1:76" s="152" customFormat="1" ht="15" customHeight="1" x14ac:dyDescent="0.25">
      <c r="A334" s="152">
        <f t="shared" si="10"/>
        <v>1997</v>
      </c>
      <c r="B334" s="152" t="str">
        <f t="shared" si="11"/>
        <v>1997-98</v>
      </c>
      <c r="C334" s="173">
        <v>35765</v>
      </c>
      <c r="D334" s="169">
        <v>0.66271904761904765</v>
      </c>
      <c r="E334" s="170">
        <v>187.13197747619049</v>
      </c>
      <c r="F334" s="170">
        <v>282.37</v>
      </c>
      <c r="G334" s="170"/>
      <c r="H334" s="170"/>
      <c r="I334" s="169">
        <v>288.89</v>
      </c>
      <c r="J334" s="169">
        <v>444.79</v>
      </c>
      <c r="K334" s="169"/>
      <c r="L334" s="170"/>
      <c r="M334" s="170">
        <v>5952.5</v>
      </c>
      <c r="N334" s="170">
        <v>8981.9358918165417</v>
      </c>
      <c r="O334" s="170">
        <v>1764.1</v>
      </c>
      <c r="P334" s="170">
        <v>2661.9123236881246</v>
      </c>
      <c r="Q334" s="170">
        <v>526.13</v>
      </c>
      <c r="R334" s="170">
        <v>793.89599844795248</v>
      </c>
      <c r="S334" s="170">
        <v>1103</v>
      </c>
      <c r="T334" s="170">
        <v>1664.3553613899446</v>
      </c>
      <c r="U334" s="170">
        <v>365.82091428571431</v>
      </c>
      <c r="V334" s="170">
        <v>552</v>
      </c>
      <c r="W334" s="170">
        <v>1652.1585857142859</v>
      </c>
      <c r="X334" s="170">
        <v>2493</v>
      </c>
      <c r="Y334" s="170"/>
      <c r="Z334" s="170"/>
      <c r="AA334" s="170"/>
      <c r="AB334" s="170"/>
      <c r="AC334" s="170"/>
      <c r="AD334" s="170">
        <v>9.1526677062066977</v>
      </c>
      <c r="AE334" s="170">
        <v>56129.116000000002</v>
      </c>
      <c r="AF334" s="170">
        <v>84695.190521013719</v>
      </c>
      <c r="AG334" s="170"/>
      <c r="AH334" s="170"/>
      <c r="AI334" s="170"/>
      <c r="AJ334" s="170"/>
      <c r="AK334" s="170">
        <v>17.102379708063033</v>
      </c>
      <c r="AL334" s="170">
        <v>25.806380199130832</v>
      </c>
      <c r="AM334" s="170">
        <v>18.324998682195488</v>
      </c>
      <c r="AN334" s="170">
        <v>27.651232823368751</v>
      </c>
      <c r="AO334" s="170"/>
      <c r="AP334" s="170"/>
      <c r="AS334" s="167"/>
      <c r="AT334" s="1170"/>
      <c r="AU334" s="1171"/>
      <c r="AV334" s="1171"/>
      <c r="AW334" s="1172"/>
      <c r="AX334" s="1172"/>
      <c r="AY334" s="1172"/>
      <c r="AZ334" s="1172"/>
      <c r="BA334" s="1246" t="s">
        <v>32</v>
      </c>
      <c r="BB334" s="1247">
        <v>2004</v>
      </c>
      <c r="BC334" s="1246" t="s">
        <v>329</v>
      </c>
      <c r="BD334" s="1246">
        <v>8</v>
      </c>
      <c r="BE334" s="1248">
        <v>51591000</v>
      </c>
      <c r="BF334" s="1239">
        <v>9.2016497369581309E-3</v>
      </c>
      <c r="BG334" s="1236"/>
      <c r="BH334" s="1236" t="s">
        <v>54</v>
      </c>
      <c r="BI334" s="1236" t="s">
        <v>297</v>
      </c>
      <c r="BJ334" s="1236" t="s">
        <v>322</v>
      </c>
      <c r="BK334" s="1236">
        <v>4</v>
      </c>
      <c r="BL334" s="1238">
        <v>93166319.269999996</v>
      </c>
      <c r="BM334" s="1239">
        <v>3277.0425349982411</v>
      </c>
      <c r="BN334" s="1236">
        <v>2011</v>
      </c>
      <c r="BO334" s="174"/>
      <c r="BP334" s="174"/>
      <c r="BQ334" s="174"/>
      <c r="BR334" s="174"/>
      <c r="BS334" s="174"/>
      <c r="BT334" s="174"/>
      <c r="BU334" s="174"/>
      <c r="BV334" s="174"/>
      <c r="BW334" s="174"/>
      <c r="BX334" s="174"/>
    </row>
    <row r="335" spans="1:76" s="152" customFormat="1" ht="15" customHeight="1" x14ac:dyDescent="0.25">
      <c r="A335" s="152">
        <f t="shared" si="10"/>
        <v>1998</v>
      </c>
      <c r="B335" s="152" t="str">
        <f t="shared" si="11"/>
        <v>1997-98</v>
      </c>
      <c r="C335" s="173">
        <v>35796</v>
      </c>
      <c r="D335" s="154">
        <v>0.65425499999999992</v>
      </c>
      <c r="E335" s="155">
        <v>191.03771016181807</v>
      </c>
      <c r="F335" s="155">
        <v>291.99274008118869</v>
      </c>
      <c r="G335" s="155"/>
      <c r="H335" s="155"/>
      <c r="I335" s="156">
        <v>289.14999999999998</v>
      </c>
      <c r="J335" s="156">
        <v>451.63</v>
      </c>
      <c r="K335" s="157"/>
      <c r="L335" s="158"/>
      <c r="M335" s="159">
        <v>5494.5</v>
      </c>
      <c r="N335" s="159">
        <v>8398.1016576105649</v>
      </c>
      <c r="O335" s="175">
        <v>1688.45</v>
      </c>
      <c r="P335" s="175">
        <v>2580.7215840918302</v>
      </c>
      <c r="Q335" s="175">
        <v>531.58000000000004</v>
      </c>
      <c r="R335" s="175">
        <v>812.49665650243423</v>
      </c>
      <c r="S335" s="175">
        <v>1097.2</v>
      </c>
      <c r="T335" s="175">
        <v>1677.0219562708733</v>
      </c>
      <c r="U335" s="161">
        <v>361.80301499999996</v>
      </c>
      <c r="V335" s="161">
        <v>553</v>
      </c>
      <c r="W335" s="161">
        <v>1721.9991599999998</v>
      </c>
      <c r="X335" s="161">
        <v>2632</v>
      </c>
      <c r="Y335" s="162"/>
      <c r="Z335" s="162"/>
      <c r="AA335" s="162"/>
      <c r="AB335" s="162"/>
      <c r="AC335" s="163">
        <v>5.88</v>
      </c>
      <c r="AD335" s="163">
        <v>9.5535872168726979</v>
      </c>
      <c r="AE335" s="163">
        <v>55115.025000000001</v>
      </c>
      <c r="AF335" s="163">
        <v>84240.892312630414</v>
      </c>
      <c r="AG335" s="163">
        <v>374.16</v>
      </c>
      <c r="AH335" s="163">
        <v>571.88710823761392</v>
      </c>
      <c r="AI335" s="163">
        <v>224.679</v>
      </c>
      <c r="AJ335" s="163">
        <v>343.41197239608414</v>
      </c>
      <c r="AK335" s="164">
        <v>15.092380932399205</v>
      </c>
      <c r="AL335" s="164">
        <v>23.068040645312923</v>
      </c>
      <c r="AM335" s="164">
        <v>15.931817314841531</v>
      </c>
      <c r="AN335" s="164">
        <v>24.351082245976773</v>
      </c>
      <c r="AO335" s="164"/>
      <c r="AP335" s="164"/>
      <c r="AS335" s="167"/>
      <c r="AT335" s="1170"/>
      <c r="AU335" s="1171"/>
      <c r="AV335" s="1171"/>
      <c r="AW335" s="1172"/>
      <c r="AX335" s="1172"/>
      <c r="AY335" s="1172"/>
      <c r="AZ335" s="1172"/>
      <c r="BA335" s="1246" t="s">
        <v>32</v>
      </c>
      <c r="BB335" s="1247">
        <v>2004</v>
      </c>
      <c r="BC335" s="1246" t="s">
        <v>330</v>
      </c>
      <c r="BD335" s="1246">
        <v>9</v>
      </c>
      <c r="BE335" s="1248">
        <v>20993000</v>
      </c>
      <c r="BF335" s="1239">
        <v>3.7442622342649312E-3</v>
      </c>
      <c r="BG335" s="1236"/>
      <c r="BH335" s="1236" t="s">
        <v>54</v>
      </c>
      <c r="BI335" s="1236" t="s">
        <v>297</v>
      </c>
      <c r="BJ335" s="1236" t="s">
        <v>314</v>
      </c>
      <c r="BK335" s="1236">
        <v>5</v>
      </c>
      <c r="BL335" s="1238">
        <v>79586212.359999999</v>
      </c>
      <c r="BM335" s="1239">
        <v>2799.3743355610272</v>
      </c>
      <c r="BN335" s="1236">
        <v>2011</v>
      </c>
      <c r="BO335" s="174"/>
      <c r="BP335" s="174"/>
      <c r="BQ335" s="174"/>
      <c r="BR335" s="174"/>
      <c r="BS335" s="174"/>
      <c r="BT335" s="174"/>
      <c r="BU335" s="174"/>
      <c r="BV335" s="174"/>
      <c r="BW335" s="174"/>
      <c r="BX335" s="174"/>
    </row>
    <row r="336" spans="1:76" s="152" customFormat="1" ht="15" customHeight="1" x14ac:dyDescent="0.25">
      <c r="A336" s="152">
        <f t="shared" si="10"/>
        <v>1998</v>
      </c>
      <c r="B336" s="152" t="str">
        <f t="shared" si="11"/>
        <v>1997-98</v>
      </c>
      <c r="C336" s="173">
        <v>35827</v>
      </c>
      <c r="D336" s="169">
        <v>0.67334500000000008</v>
      </c>
      <c r="E336" s="170">
        <v>188.24460806440825</v>
      </c>
      <c r="F336" s="170">
        <v>279.56635612413879</v>
      </c>
      <c r="G336" s="170"/>
      <c r="H336" s="170"/>
      <c r="I336" s="169">
        <v>297.49</v>
      </c>
      <c r="J336" s="169">
        <v>438.82</v>
      </c>
      <c r="K336" s="169"/>
      <c r="L336" s="170"/>
      <c r="M336" s="170">
        <v>5389.5</v>
      </c>
      <c r="N336" s="170">
        <v>8004.0692364241204</v>
      </c>
      <c r="O336" s="170">
        <v>1664.8</v>
      </c>
      <c r="P336" s="170">
        <v>2472.4324083493598</v>
      </c>
      <c r="Q336" s="170">
        <v>516.38</v>
      </c>
      <c r="R336" s="170">
        <v>766.88770244079922</v>
      </c>
      <c r="S336" s="170">
        <v>1044</v>
      </c>
      <c r="T336" s="170">
        <v>1550.4681849571912</v>
      </c>
      <c r="U336" s="170">
        <v>372.35978500000004</v>
      </c>
      <c r="V336" s="170">
        <v>553</v>
      </c>
      <c r="W336" s="170">
        <v>1772.2440400000003</v>
      </c>
      <c r="X336" s="170">
        <v>2632</v>
      </c>
      <c r="Y336" s="170"/>
      <c r="Z336" s="170"/>
      <c r="AA336" s="170"/>
      <c r="AB336" s="170"/>
      <c r="AC336" s="170">
        <v>6.83</v>
      </c>
      <c r="AD336" s="170">
        <v>10.739948880351086</v>
      </c>
      <c r="AE336" s="170">
        <v>54839.45</v>
      </c>
      <c r="AF336" s="170">
        <v>81443.316576197918</v>
      </c>
      <c r="AG336" s="170">
        <v>386.57499999999999</v>
      </c>
      <c r="AH336" s="170">
        <v>574.11133965500585</v>
      </c>
      <c r="AI336" s="170">
        <v>237.02500000000001</v>
      </c>
      <c r="AJ336" s="170">
        <v>352.01122752823585</v>
      </c>
      <c r="AK336" s="170">
        <v>14.059500026702882</v>
      </c>
      <c r="AL336" s="170">
        <v>20.880083800581989</v>
      </c>
      <c r="AM336" s="170">
        <v>15.017499876022338</v>
      </c>
      <c r="AN336" s="170">
        <v>22.302831202462833</v>
      </c>
      <c r="AO336" s="170"/>
      <c r="AP336" s="170"/>
      <c r="AS336" s="167"/>
      <c r="AT336" s="1170"/>
      <c r="AU336" s="1171"/>
      <c r="AV336" s="1171"/>
      <c r="AW336" s="1172"/>
      <c r="AX336" s="1172"/>
      <c r="AY336" s="1172"/>
      <c r="AZ336" s="1172"/>
      <c r="BA336" s="1246" t="s">
        <v>32</v>
      </c>
      <c r="BB336" s="1247">
        <v>2004</v>
      </c>
      <c r="BC336" s="1246" t="s">
        <v>327</v>
      </c>
      <c r="BD336" s="1246">
        <v>10</v>
      </c>
      <c r="BE336" s="1248">
        <v>18600000</v>
      </c>
      <c r="BF336" s="1239">
        <v>3.317452367804874E-3</v>
      </c>
      <c r="BG336" s="1236"/>
      <c r="BH336" s="1236" t="s">
        <v>54</v>
      </c>
      <c r="BI336" s="1236" t="s">
        <v>297</v>
      </c>
      <c r="BJ336" s="1236" t="s">
        <v>308</v>
      </c>
      <c r="BK336" s="1236">
        <v>6</v>
      </c>
      <c r="BL336" s="1238">
        <v>74762318.540000021</v>
      </c>
      <c r="BM336" s="1239">
        <v>2629.698154766093</v>
      </c>
      <c r="BN336" s="1236">
        <v>2011</v>
      </c>
      <c r="BO336" s="174"/>
      <c r="BP336" s="174"/>
      <c r="BQ336" s="174"/>
      <c r="BR336" s="174"/>
      <c r="BS336" s="174"/>
      <c r="BT336" s="174"/>
      <c r="BU336" s="174"/>
      <c r="BV336" s="174"/>
      <c r="BW336" s="174"/>
      <c r="BX336" s="174"/>
    </row>
    <row r="337" spans="1:76" s="152" customFormat="1" ht="15" customHeight="1" x14ac:dyDescent="0.25">
      <c r="A337" s="152">
        <f t="shared" si="10"/>
        <v>1998</v>
      </c>
      <c r="B337" s="152" t="str">
        <f t="shared" si="11"/>
        <v>1997-98</v>
      </c>
      <c r="C337" s="173">
        <v>35855</v>
      </c>
      <c r="D337" s="154">
        <v>0.66990000000000016</v>
      </c>
      <c r="E337" s="155">
        <v>185.04647700000007</v>
      </c>
      <c r="F337" s="155">
        <v>276.23</v>
      </c>
      <c r="G337" s="155"/>
      <c r="H337" s="155"/>
      <c r="I337" s="156">
        <v>295.94</v>
      </c>
      <c r="J337" s="156">
        <v>455.16</v>
      </c>
      <c r="K337" s="157"/>
      <c r="L337" s="158"/>
      <c r="M337" s="159">
        <v>5398.86</v>
      </c>
      <c r="N337" s="159">
        <v>8059.2028660994156</v>
      </c>
      <c r="O337" s="175">
        <v>1747.98</v>
      </c>
      <c r="P337" s="175">
        <v>2609.3148231079258</v>
      </c>
      <c r="Q337" s="175">
        <v>559.82000000000005</v>
      </c>
      <c r="R337" s="175">
        <v>835.67696671144938</v>
      </c>
      <c r="S337" s="175">
        <v>1047.6400000000001</v>
      </c>
      <c r="T337" s="175">
        <v>1563.8752052545153</v>
      </c>
      <c r="U337" s="161">
        <v>370.45470000000012</v>
      </c>
      <c r="V337" s="161">
        <v>553</v>
      </c>
      <c r="W337" s="161">
        <v>1763.1768000000004</v>
      </c>
      <c r="X337" s="161">
        <v>2632</v>
      </c>
      <c r="Y337" s="162"/>
      <c r="Z337" s="162"/>
      <c r="AA337" s="162"/>
      <c r="AB337" s="162"/>
      <c r="AC337" s="163">
        <v>6.24</v>
      </c>
      <c r="AD337" s="163">
        <v>9.9053161219798405</v>
      </c>
      <c r="AE337" s="163">
        <v>54839.45</v>
      </c>
      <c r="AF337" s="163">
        <v>81862.143603522883</v>
      </c>
      <c r="AG337" s="163">
        <v>398.98899999999998</v>
      </c>
      <c r="AH337" s="163">
        <v>595.59486490520953</v>
      </c>
      <c r="AI337" s="163">
        <v>262.52300000000002</v>
      </c>
      <c r="AJ337" s="163">
        <v>391.88386326317357</v>
      </c>
      <c r="AK337" s="164">
        <v>13.078636386177756</v>
      </c>
      <c r="AL337" s="164">
        <v>19.523266735598973</v>
      </c>
      <c r="AM337" s="164">
        <v>13.290908986871893</v>
      </c>
      <c r="AN337" s="164">
        <v>19.840138807093432</v>
      </c>
      <c r="AO337" s="164"/>
      <c r="AP337" s="164"/>
      <c r="AS337" s="167"/>
      <c r="AT337" s="1170"/>
      <c r="AU337" s="1171"/>
      <c r="AV337" s="1171"/>
      <c r="AW337" s="1172"/>
      <c r="AX337" s="1172"/>
      <c r="AY337" s="1172"/>
      <c r="AZ337" s="1172"/>
      <c r="BA337" s="1246" t="s">
        <v>32</v>
      </c>
      <c r="BB337" s="1247">
        <v>2004</v>
      </c>
      <c r="BC337" s="1246" t="s">
        <v>291</v>
      </c>
      <c r="BD337" s="1246"/>
      <c r="BE337" s="1248">
        <v>44887000</v>
      </c>
      <c r="BF337" s="1239">
        <v>8.0059400233149121E-3</v>
      </c>
      <c r="BG337" s="1236"/>
      <c r="BH337" s="1236" t="s">
        <v>54</v>
      </c>
      <c r="BI337" s="1236" t="s">
        <v>297</v>
      </c>
      <c r="BJ337" s="1236" t="s">
        <v>285</v>
      </c>
      <c r="BK337" s="1236">
        <v>7</v>
      </c>
      <c r="BL337" s="1238">
        <v>60557311.649999991</v>
      </c>
      <c r="BM337" s="1239">
        <v>2130.049653534998</v>
      </c>
      <c r="BN337" s="1236">
        <v>2011</v>
      </c>
      <c r="BO337" s="174"/>
      <c r="BP337" s="174"/>
      <c r="BQ337" s="174"/>
      <c r="BR337" s="174"/>
      <c r="BS337" s="174"/>
      <c r="BT337" s="174"/>
      <c r="BU337" s="174"/>
      <c r="BV337" s="174"/>
      <c r="BW337" s="174"/>
      <c r="BX337" s="174"/>
    </row>
    <row r="338" spans="1:76" s="152" customFormat="1" ht="15" customHeight="1" x14ac:dyDescent="0.25">
      <c r="A338" s="152">
        <f t="shared" si="10"/>
        <v>1998</v>
      </c>
      <c r="B338" s="152" t="str">
        <f t="shared" si="11"/>
        <v>1997-98</v>
      </c>
      <c r="C338" s="173">
        <v>35886</v>
      </c>
      <c r="D338" s="169">
        <v>0.65239000000000003</v>
      </c>
      <c r="E338" s="170">
        <v>184.58722660000001</v>
      </c>
      <c r="F338" s="170">
        <v>282.94</v>
      </c>
      <c r="G338" s="170"/>
      <c r="H338" s="170"/>
      <c r="I338" s="169">
        <v>308.29000000000002</v>
      </c>
      <c r="J338" s="169">
        <v>477.83</v>
      </c>
      <c r="K338" s="169"/>
      <c r="L338" s="170"/>
      <c r="M338" s="170">
        <v>5396.75</v>
      </c>
      <c r="N338" s="170">
        <v>8272.2757859562535</v>
      </c>
      <c r="O338" s="170">
        <v>1800.9</v>
      </c>
      <c r="P338" s="170">
        <v>2760.4653658087955</v>
      </c>
      <c r="Q338" s="170">
        <v>572.65</v>
      </c>
      <c r="R338" s="170">
        <v>877.77249804564747</v>
      </c>
      <c r="S338" s="170">
        <v>1096.95</v>
      </c>
      <c r="T338" s="170">
        <v>1681.4328852373581</v>
      </c>
      <c r="U338" s="170">
        <v>366.64318000000003</v>
      </c>
      <c r="V338" s="170">
        <v>562</v>
      </c>
      <c r="W338" s="170">
        <v>1871.7069100000001</v>
      </c>
      <c r="X338" s="170">
        <v>2869</v>
      </c>
      <c r="Y338" s="170"/>
      <c r="Z338" s="170"/>
      <c r="AA338" s="170"/>
      <c r="AB338" s="170"/>
      <c r="AC338" s="170">
        <v>6.33</v>
      </c>
      <c r="AD338" s="170">
        <v>10.313951806066841</v>
      </c>
      <c r="AE338" s="170">
        <v>54219.4</v>
      </c>
      <c r="AF338" s="170">
        <v>83108.876592222441</v>
      </c>
      <c r="AG338" s="170">
        <v>413.22500000000002</v>
      </c>
      <c r="AH338" s="170">
        <v>633.40179953708673</v>
      </c>
      <c r="AI338" s="170">
        <v>323.625</v>
      </c>
      <c r="AJ338" s="170">
        <v>496.06063857508542</v>
      </c>
      <c r="AK338" s="170">
        <v>13.378999948501587</v>
      </c>
      <c r="AL338" s="170">
        <v>20.507671712475034</v>
      </c>
      <c r="AM338" s="170">
        <v>14.875000043348832</v>
      </c>
      <c r="AN338" s="170">
        <v>22.800778741778434</v>
      </c>
      <c r="AO338" s="170"/>
      <c r="AP338" s="170"/>
      <c r="AS338" s="167"/>
      <c r="AT338" s="1170"/>
      <c r="AU338" s="1171"/>
      <c r="AV338" s="1171"/>
      <c r="AW338" s="1172"/>
      <c r="AX338" s="1172"/>
      <c r="AY338" s="1172"/>
      <c r="AZ338" s="1172"/>
      <c r="BA338" s="1246" t="s">
        <v>32</v>
      </c>
      <c r="BB338" s="1247">
        <v>2004</v>
      </c>
      <c r="BC338" s="1246" t="s">
        <v>292</v>
      </c>
      <c r="BD338" s="1246"/>
      <c r="BE338" s="1248">
        <v>5606712000</v>
      </c>
      <c r="BF338" s="1239">
        <v>1</v>
      </c>
      <c r="BG338" s="1236"/>
      <c r="BH338" s="1236" t="s">
        <v>54</v>
      </c>
      <c r="BI338" s="1236" t="s">
        <v>297</v>
      </c>
      <c r="BJ338" s="1236" t="s">
        <v>319</v>
      </c>
      <c r="BK338" s="1236">
        <v>8</v>
      </c>
      <c r="BL338" s="1238">
        <v>42665001.829999998</v>
      </c>
      <c r="BM338" s="1239">
        <v>1500.7035466056982</v>
      </c>
      <c r="BN338" s="1236">
        <v>2011</v>
      </c>
      <c r="BO338" s="174"/>
      <c r="BP338" s="174"/>
      <c r="BQ338" s="174"/>
      <c r="BR338" s="174"/>
      <c r="BS338" s="174"/>
      <c r="BT338" s="174"/>
      <c r="BU338" s="174"/>
      <c r="BV338" s="174"/>
      <c r="BW338" s="174"/>
      <c r="BX338" s="174"/>
    </row>
    <row r="339" spans="1:76" s="152" customFormat="1" ht="15" customHeight="1" x14ac:dyDescent="0.25">
      <c r="A339" s="152">
        <f t="shared" si="10"/>
        <v>1998</v>
      </c>
      <c r="B339" s="152" t="str">
        <f t="shared" si="11"/>
        <v>1997-98</v>
      </c>
      <c r="C339" s="173">
        <v>35916</v>
      </c>
      <c r="D339" s="154">
        <v>0.63124285714285711</v>
      </c>
      <c r="E339" s="155">
        <v>190.95727671428568</v>
      </c>
      <c r="F339" s="155">
        <v>302.51</v>
      </c>
      <c r="G339" s="155"/>
      <c r="H339" s="155"/>
      <c r="I339" s="156">
        <v>299.10000000000002</v>
      </c>
      <c r="J339" s="156">
        <v>471.39</v>
      </c>
      <c r="K339" s="157"/>
      <c r="L339" s="158"/>
      <c r="M339" s="159">
        <v>5023.16</v>
      </c>
      <c r="N339" s="159">
        <v>7957.5712313576396</v>
      </c>
      <c r="O339" s="175">
        <v>1732.53</v>
      </c>
      <c r="P339" s="175">
        <v>2744.6330368660465</v>
      </c>
      <c r="Q339" s="175">
        <v>543.47</v>
      </c>
      <c r="R339" s="175">
        <v>860.95231629212219</v>
      </c>
      <c r="S339" s="175">
        <v>1061.1099999999999</v>
      </c>
      <c r="T339" s="175">
        <v>1680.9853576843868</v>
      </c>
      <c r="U339" s="161">
        <v>354.75848571428571</v>
      </c>
      <c r="V339" s="161">
        <v>562</v>
      </c>
      <c r="W339" s="161">
        <v>1811.0357571428569</v>
      </c>
      <c r="X339" s="161">
        <v>2869</v>
      </c>
      <c r="Y339" s="162"/>
      <c r="Z339" s="162"/>
      <c r="AA339" s="162"/>
      <c r="AB339" s="162"/>
      <c r="AC339" s="163">
        <v>5.56</v>
      </c>
      <c r="AD339" s="163">
        <v>9.4574565563361048</v>
      </c>
      <c r="AE339" s="163">
        <v>54274.474999999999</v>
      </c>
      <c r="AF339" s="163">
        <v>85980.339240047979</v>
      </c>
      <c r="AG339" s="163">
        <v>389</v>
      </c>
      <c r="AH339" s="163">
        <v>616.24459682712109</v>
      </c>
      <c r="AI339" s="163">
        <v>353.36799999999999</v>
      </c>
      <c r="AJ339" s="163">
        <v>559.79722542829336</v>
      </c>
      <c r="AK339" s="164">
        <v>14.389500045776368</v>
      </c>
      <c r="AL339" s="164">
        <v>22.795505537926218</v>
      </c>
      <c r="AM339" s="164">
        <v>14.492857251848493</v>
      </c>
      <c r="AN339" s="164">
        <v>22.959241578504866</v>
      </c>
      <c r="AO339" s="164"/>
      <c r="AP339" s="164"/>
      <c r="AS339" s="167"/>
      <c r="AT339" s="1170"/>
      <c r="AU339" s="1171"/>
      <c r="AV339" s="1171"/>
      <c r="AW339" s="1172"/>
      <c r="AX339" s="1172"/>
      <c r="AY339" s="1172"/>
      <c r="AZ339" s="1172"/>
      <c r="BA339" s="1249" t="s">
        <v>32</v>
      </c>
      <c r="BB339" s="1250">
        <v>2005</v>
      </c>
      <c r="BC339" s="1249" t="s">
        <v>287</v>
      </c>
      <c r="BD339" s="1249">
        <v>1</v>
      </c>
      <c r="BE339" s="1251">
        <v>2989028000</v>
      </c>
      <c r="BF339" s="1239">
        <v>0.51649752639918711</v>
      </c>
      <c r="BG339" s="1236"/>
      <c r="BH339" s="1236" t="s">
        <v>54</v>
      </c>
      <c r="BI339" s="1236" t="s">
        <v>297</v>
      </c>
      <c r="BJ339" s="1236" t="s">
        <v>306</v>
      </c>
      <c r="BK339" s="1236">
        <v>9</v>
      </c>
      <c r="BL339" s="1238">
        <v>36031278.690000005</v>
      </c>
      <c r="BM339" s="1239">
        <v>1267.3682268730217</v>
      </c>
      <c r="BN339" s="1236">
        <v>2011</v>
      </c>
      <c r="BO339" s="174"/>
      <c r="BP339" s="174"/>
      <c r="BQ339" s="174"/>
      <c r="BR339" s="174"/>
      <c r="BS339" s="174"/>
      <c r="BT339" s="174"/>
      <c r="BU339" s="174"/>
      <c r="BV339" s="174"/>
      <c r="BW339" s="174"/>
      <c r="BX339" s="174"/>
    </row>
    <row r="340" spans="1:76" s="152" customFormat="1" ht="15" customHeight="1" x14ac:dyDescent="0.25">
      <c r="A340" s="152">
        <f t="shared" si="10"/>
        <v>1998</v>
      </c>
      <c r="B340" s="152" t="str">
        <f t="shared" si="11"/>
        <v>1997-98</v>
      </c>
      <c r="C340" s="173">
        <v>35947</v>
      </c>
      <c r="D340" s="169">
        <v>0.6029714285714286</v>
      </c>
      <c r="E340" s="170">
        <v>180.28810251325817</v>
      </c>
      <c r="F340" s="170">
        <v>298.99941186334513</v>
      </c>
      <c r="G340" s="170"/>
      <c r="H340" s="170"/>
      <c r="I340" s="169">
        <v>292.25</v>
      </c>
      <c r="J340" s="169">
        <v>483.85</v>
      </c>
      <c r="K340" s="169"/>
      <c r="L340" s="170"/>
      <c r="M340" s="170">
        <v>4478.6400000000003</v>
      </c>
      <c r="N340" s="170">
        <v>7427.6156178923429</v>
      </c>
      <c r="O340" s="170">
        <v>1660.52</v>
      </c>
      <c r="P340" s="170">
        <v>2753.8949962092493</v>
      </c>
      <c r="Q340" s="170">
        <v>528.32000000000005</v>
      </c>
      <c r="R340" s="170">
        <v>876.19408642911299</v>
      </c>
      <c r="S340" s="170">
        <v>1009.82</v>
      </c>
      <c r="T340" s="170">
        <v>1674.7393858984078</v>
      </c>
      <c r="U340" s="170">
        <v>346.73270248466844</v>
      </c>
      <c r="V340" s="170">
        <v>575.04002023139662</v>
      </c>
      <c r="W340" s="170">
        <v>1812.6306681385281</v>
      </c>
      <c r="X340" s="170">
        <v>3006.1634469696969</v>
      </c>
      <c r="Y340" s="170"/>
      <c r="Z340" s="170"/>
      <c r="AA340" s="170"/>
      <c r="AB340" s="170"/>
      <c r="AC340" s="170">
        <v>5.26</v>
      </c>
      <c r="AD340" s="170">
        <v>9.2748404520391592</v>
      </c>
      <c r="AE340" s="170">
        <v>53151.525000000001</v>
      </c>
      <c r="AF340" s="170">
        <v>88149.325957164518</v>
      </c>
      <c r="AG340" s="170">
        <v>355.20499999999998</v>
      </c>
      <c r="AH340" s="170">
        <v>589.09093062926456</v>
      </c>
      <c r="AI340" s="170">
        <v>286.25</v>
      </c>
      <c r="AJ340" s="170">
        <v>474.73227824109171</v>
      </c>
      <c r="AK340" s="170">
        <v>12.058181806044145</v>
      </c>
      <c r="AL340" s="170">
        <v>19.997932297741897</v>
      </c>
      <c r="AM340" s="170">
        <v>13.701363650235264</v>
      </c>
      <c r="AN340" s="170">
        <v>22.723072770954996</v>
      </c>
      <c r="AO340" s="170"/>
      <c r="AP340" s="170"/>
      <c r="AS340" s="167"/>
      <c r="AT340" s="1170"/>
      <c r="AU340" s="1171"/>
      <c r="AV340" s="1171"/>
      <c r="AW340" s="1172"/>
      <c r="AX340" s="1172"/>
      <c r="AY340" s="1172"/>
      <c r="AZ340" s="1172"/>
      <c r="BA340" s="1249" t="s">
        <v>32</v>
      </c>
      <c r="BB340" s="1250">
        <v>2005</v>
      </c>
      <c r="BC340" s="1249" t="s">
        <v>323</v>
      </c>
      <c r="BD340" s="1249">
        <v>2</v>
      </c>
      <c r="BE340" s="1251">
        <v>1014756000</v>
      </c>
      <c r="BF340" s="1239">
        <v>0.17534762601713116</v>
      </c>
      <c r="BG340" s="1236"/>
      <c r="BH340" s="1236" t="s">
        <v>54</v>
      </c>
      <c r="BI340" s="1236" t="s">
        <v>297</v>
      </c>
      <c r="BJ340" s="1236" t="s">
        <v>290</v>
      </c>
      <c r="BK340" s="1236">
        <v>10</v>
      </c>
      <c r="BL340" s="1238">
        <v>33679942.100000001</v>
      </c>
      <c r="BM340" s="1239">
        <v>1184.6620506507211</v>
      </c>
      <c r="BN340" s="1236">
        <v>2011</v>
      </c>
      <c r="BO340" s="174"/>
      <c r="BP340" s="174"/>
      <c r="BQ340" s="174"/>
      <c r="BR340" s="174"/>
      <c r="BS340" s="174"/>
      <c r="BT340" s="174"/>
      <c r="BU340" s="174"/>
      <c r="BV340" s="174"/>
      <c r="BW340" s="174"/>
      <c r="BX340" s="174"/>
    </row>
    <row r="341" spans="1:76" s="152" customFormat="1" ht="15" customHeight="1" x14ac:dyDescent="0.25">
      <c r="A341" s="152">
        <f t="shared" si="10"/>
        <v>1998</v>
      </c>
      <c r="B341" s="152" t="str">
        <f t="shared" si="11"/>
        <v>1998-99</v>
      </c>
      <c r="C341" s="173">
        <v>35977</v>
      </c>
      <c r="D341" s="154">
        <v>0.61817826086956518</v>
      </c>
      <c r="E341" s="155">
        <v>171.80172021350396</v>
      </c>
      <c r="F341" s="155">
        <v>277.91614666591113</v>
      </c>
      <c r="G341" s="155"/>
      <c r="H341" s="155"/>
      <c r="I341" s="156">
        <v>292.77999999999997</v>
      </c>
      <c r="J341" s="156">
        <v>475.01</v>
      </c>
      <c r="K341" s="157"/>
      <c r="L341" s="158"/>
      <c r="M341" s="159">
        <v>4328.91</v>
      </c>
      <c r="N341" s="159">
        <v>7002.688826214473</v>
      </c>
      <c r="O341" s="175">
        <v>1651.04</v>
      </c>
      <c r="P341" s="175">
        <v>2670.8153691421498</v>
      </c>
      <c r="Q341" s="175">
        <v>546.20000000000005</v>
      </c>
      <c r="R341" s="175">
        <v>883.5639079764527</v>
      </c>
      <c r="S341" s="175">
        <v>1040.26</v>
      </c>
      <c r="T341" s="175">
        <v>1682.7832129468777</v>
      </c>
      <c r="U341" s="161">
        <v>335.27926292461763</v>
      </c>
      <c r="V341" s="161">
        <v>542.3666345901496</v>
      </c>
      <c r="W341" s="161">
        <v>1816.0444655537403</v>
      </c>
      <c r="X341" s="161">
        <v>2937.7358935255788</v>
      </c>
      <c r="Y341" s="162"/>
      <c r="Z341" s="162"/>
      <c r="AA341" s="162"/>
      <c r="AB341" s="162"/>
      <c r="AC341" s="163">
        <v>5.46</v>
      </c>
      <c r="AD341" s="163">
        <v>9.4362370794283592</v>
      </c>
      <c r="AE341" s="163">
        <v>49727.525000000001</v>
      </c>
      <c r="AF341" s="163">
        <v>80442.047460631176</v>
      </c>
      <c r="AG341" s="163">
        <v>378.435</v>
      </c>
      <c r="AH341" s="163">
        <v>612.17778746808654</v>
      </c>
      <c r="AI341" s="163">
        <v>306.21699999999998</v>
      </c>
      <c r="AJ341" s="163">
        <v>495.3538799136312</v>
      </c>
      <c r="AK341" s="164">
        <v>12.018695706906525</v>
      </c>
      <c r="AL341" s="164">
        <v>19.442119640377413</v>
      </c>
      <c r="AM341" s="164">
        <v>13.819130399952764</v>
      </c>
      <c r="AN341" s="164">
        <v>22.354604286009636</v>
      </c>
      <c r="AO341" s="164"/>
      <c r="AP341" s="164"/>
      <c r="AS341" s="167"/>
      <c r="AT341" s="1170"/>
      <c r="AU341" s="1171"/>
      <c r="AV341" s="1171"/>
      <c r="AW341" s="1172"/>
      <c r="AX341" s="1172"/>
      <c r="AY341" s="1172"/>
      <c r="AZ341" s="1172"/>
      <c r="BA341" s="1249" t="s">
        <v>32</v>
      </c>
      <c r="BB341" s="1250">
        <v>2005</v>
      </c>
      <c r="BC341" s="1249" t="s">
        <v>314</v>
      </c>
      <c r="BD341" s="1249">
        <v>3</v>
      </c>
      <c r="BE341" s="1251">
        <v>619169000</v>
      </c>
      <c r="BF341" s="1239">
        <v>0.10699105425678793</v>
      </c>
      <c r="BG341" s="1236"/>
      <c r="BH341" s="1236" t="s">
        <v>54</v>
      </c>
      <c r="BI341" s="1236" t="s">
        <v>297</v>
      </c>
      <c r="BJ341" s="1236" t="s">
        <v>315</v>
      </c>
      <c r="BK341" s="1236">
        <v>11</v>
      </c>
      <c r="BL341" s="1238">
        <v>30709465.75</v>
      </c>
      <c r="BM341" s="1239">
        <v>1080.1781832571228</v>
      </c>
      <c r="BN341" s="1236">
        <v>2011</v>
      </c>
      <c r="BO341" s="174"/>
      <c r="BP341" s="174"/>
      <c r="BQ341" s="174"/>
      <c r="BR341" s="174"/>
      <c r="BS341" s="174"/>
      <c r="BT341" s="174"/>
      <c r="BU341" s="174"/>
      <c r="BV341" s="174"/>
      <c r="BW341" s="174"/>
      <c r="BX341" s="174"/>
    </row>
    <row r="342" spans="1:76" s="152" customFormat="1" ht="15" customHeight="1" x14ac:dyDescent="0.25">
      <c r="A342" s="152">
        <f t="shared" si="10"/>
        <v>1998</v>
      </c>
      <c r="B342" s="152" t="str">
        <f t="shared" si="11"/>
        <v>1998-99</v>
      </c>
      <c r="C342" s="173">
        <v>36008</v>
      </c>
      <c r="D342" s="169">
        <v>0.59028571428571419</v>
      </c>
      <c r="E342" s="170">
        <v>169.34908474729895</v>
      </c>
      <c r="F342" s="170">
        <v>286.89341559319769</v>
      </c>
      <c r="G342" s="170"/>
      <c r="H342" s="170"/>
      <c r="I342" s="169">
        <v>284.14999999999998</v>
      </c>
      <c r="J342" s="169">
        <v>482.45</v>
      </c>
      <c r="K342" s="169"/>
      <c r="L342" s="170"/>
      <c r="M342" s="170">
        <v>4084</v>
      </c>
      <c r="N342" s="170">
        <v>6918.6834462729921</v>
      </c>
      <c r="O342" s="170">
        <v>1620.925</v>
      </c>
      <c r="P342" s="170">
        <v>2746.0007260406587</v>
      </c>
      <c r="Q342" s="170">
        <v>537</v>
      </c>
      <c r="R342" s="170">
        <v>909.7289448209101</v>
      </c>
      <c r="S342" s="170">
        <v>1029.8</v>
      </c>
      <c r="T342" s="170">
        <v>1744.5788964181995</v>
      </c>
      <c r="U342" s="170">
        <v>325.12468104241583</v>
      </c>
      <c r="V342" s="170">
        <v>550.79205404087884</v>
      </c>
      <c r="W342" s="170">
        <v>1752.3331767554478</v>
      </c>
      <c r="X342" s="170">
        <v>2968.6186440677966</v>
      </c>
      <c r="Y342" s="170"/>
      <c r="Z342" s="170"/>
      <c r="AA342" s="170"/>
      <c r="AB342" s="170"/>
      <c r="AC342" s="170">
        <v>5.18</v>
      </c>
      <c r="AD342" s="170">
        <v>9.3741861848345032</v>
      </c>
      <c r="AE342" s="170">
        <v>48170.5</v>
      </c>
      <c r="AF342" s="170">
        <v>81605.396902226537</v>
      </c>
      <c r="AG342" s="170">
        <v>369.43799999999999</v>
      </c>
      <c r="AH342" s="170">
        <v>625.86302032913852</v>
      </c>
      <c r="AI342" s="170">
        <v>286.35000000000002</v>
      </c>
      <c r="AJ342" s="170">
        <v>485.10406582768644</v>
      </c>
      <c r="AK342" s="170">
        <v>11.880476179577055</v>
      </c>
      <c r="AL342" s="170">
        <v>20.126653740813019</v>
      </c>
      <c r="AM342" s="170">
        <v>13.142857233683268</v>
      </c>
      <c r="AN342" s="170">
        <v>22.26524700769189</v>
      </c>
      <c r="AO342" s="170"/>
      <c r="AP342" s="170"/>
      <c r="AS342" s="167"/>
      <c r="AT342" s="1170"/>
      <c r="AU342" s="1171"/>
      <c r="AV342" s="1171"/>
      <c r="AW342" s="1172"/>
      <c r="AX342" s="1172"/>
      <c r="AY342" s="1172"/>
      <c r="AZ342" s="1172"/>
      <c r="BA342" s="1249" t="s">
        <v>32</v>
      </c>
      <c r="BB342" s="1250">
        <v>2005</v>
      </c>
      <c r="BC342" s="1249" t="s">
        <v>308</v>
      </c>
      <c r="BD342" s="1249">
        <v>4</v>
      </c>
      <c r="BE342" s="1251">
        <v>334626000</v>
      </c>
      <c r="BF342" s="1239">
        <v>5.7822643772107322E-2</v>
      </c>
      <c r="BG342" s="1236"/>
      <c r="BH342" s="1236" t="s">
        <v>54</v>
      </c>
      <c r="BI342" s="1236" t="s">
        <v>297</v>
      </c>
      <c r="BJ342" s="1236" t="s">
        <v>287</v>
      </c>
      <c r="BK342" s="1236">
        <v>12</v>
      </c>
      <c r="BL342" s="1238">
        <v>29012713.109999999</v>
      </c>
      <c r="BM342" s="1239">
        <v>1020.4964161097432</v>
      </c>
      <c r="BN342" s="1236">
        <v>2011</v>
      </c>
      <c r="BO342" s="174"/>
      <c r="BP342" s="174"/>
      <c r="BQ342" s="174"/>
      <c r="BR342" s="174"/>
      <c r="BS342" s="174"/>
      <c r="BT342" s="174"/>
      <c r="BU342" s="174"/>
      <c r="BV342" s="174"/>
      <c r="BW342" s="174"/>
      <c r="BX342" s="174"/>
    </row>
    <row r="343" spans="1:76" s="152" customFormat="1" ht="15" customHeight="1" x14ac:dyDescent="0.25">
      <c r="A343" s="152">
        <f t="shared" si="10"/>
        <v>1998</v>
      </c>
      <c r="B343" s="152" t="str">
        <f t="shared" si="11"/>
        <v>1998-99</v>
      </c>
      <c r="C343" s="173">
        <v>36039</v>
      </c>
      <c r="D343" s="154">
        <v>0.58888636363636371</v>
      </c>
      <c r="E343" s="155">
        <v>169.74967659805293</v>
      </c>
      <c r="F343" s="155">
        <v>288.25540389465198</v>
      </c>
      <c r="G343" s="155"/>
      <c r="H343" s="155"/>
      <c r="I343" s="156">
        <v>289.98888888888882</v>
      </c>
      <c r="J343" s="156">
        <v>490.66</v>
      </c>
      <c r="K343" s="157"/>
      <c r="L343" s="158"/>
      <c r="M343" s="159">
        <v>4105.68</v>
      </c>
      <c r="N343" s="159">
        <v>6971.9393307861519</v>
      </c>
      <c r="O343" s="175">
        <v>1647.64</v>
      </c>
      <c r="P343" s="175">
        <v>2797.8912431013855</v>
      </c>
      <c r="Q343" s="175">
        <v>520.16</v>
      </c>
      <c r="R343" s="175">
        <v>883.2943537493727</v>
      </c>
      <c r="S343" s="175">
        <v>1000.36</v>
      </c>
      <c r="T343" s="175">
        <v>1698.7318127436222</v>
      </c>
      <c r="U343" s="161">
        <v>352.53593357182467</v>
      </c>
      <c r="V343" s="161">
        <v>598.64849203659776</v>
      </c>
      <c r="W343" s="161">
        <v>1856.7840084736306</v>
      </c>
      <c r="X343" s="161">
        <v>3153.042969118897</v>
      </c>
      <c r="Y343" s="162"/>
      <c r="Z343" s="162"/>
      <c r="AA343" s="162"/>
      <c r="AB343" s="162"/>
      <c r="AC343" s="163">
        <v>5.0068055555555553</v>
      </c>
      <c r="AD343" s="163">
        <v>9.0099184979182407</v>
      </c>
      <c r="AE343" s="163">
        <v>45538.774999999994</v>
      </c>
      <c r="AF343" s="163">
        <v>77330.326888194177</v>
      </c>
      <c r="AG343" s="163">
        <v>359.80700000000002</v>
      </c>
      <c r="AH343" s="163">
        <v>610.99563891783407</v>
      </c>
      <c r="AI343" s="163">
        <v>283.31799999999998</v>
      </c>
      <c r="AJ343" s="163">
        <v>481.10810080660713</v>
      </c>
      <c r="AK343" s="164">
        <v>13.359090978449041</v>
      </c>
      <c r="AL343" s="164">
        <v>22.685346109828171</v>
      </c>
      <c r="AM343" s="164">
        <v>13.674999930641867</v>
      </c>
      <c r="AN343" s="164">
        <v>23.22179757432141</v>
      </c>
      <c r="AO343" s="164"/>
      <c r="AP343" s="164"/>
      <c r="AS343" s="167"/>
      <c r="AT343" s="1170"/>
      <c r="AU343" s="1171"/>
      <c r="AV343" s="1171"/>
      <c r="AW343" s="1172"/>
      <c r="AX343" s="1172"/>
      <c r="AY343" s="1172"/>
      <c r="AZ343" s="1172"/>
      <c r="BA343" s="1249" t="s">
        <v>32</v>
      </c>
      <c r="BB343" s="1250">
        <v>2005</v>
      </c>
      <c r="BC343" s="1249" t="s">
        <v>306</v>
      </c>
      <c r="BD343" s="1249">
        <v>5</v>
      </c>
      <c r="BE343" s="1251">
        <v>279758000</v>
      </c>
      <c r="BF343" s="1239">
        <v>4.8341572909448759E-2</v>
      </c>
      <c r="BG343" s="1236"/>
      <c r="BH343" s="1236" t="s">
        <v>54</v>
      </c>
      <c r="BI343" s="1236" t="s">
        <v>297</v>
      </c>
      <c r="BJ343" s="1236" t="s">
        <v>321</v>
      </c>
      <c r="BK343" s="1236">
        <v>13</v>
      </c>
      <c r="BL343" s="1238">
        <v>24654951.309999999</v>
      </c>
      <c r="BM343" s="1239">
        <v>867.21601512486802</v>
      </c>
      <c r="BN343" s="1236">
        <v>2011</v>
      </c>
      <c r="BO343" s="174"/>
      <c r="BP343" s="174"/>
      <c r="BQ343" s="174"/>
      <c r="BR343" s="174"/>
      <c r="BS343" s="174"/>
      <c r="BT343" s="174"/>
      <c r="BU343" s="174"/>
      <c r="BV343" s="174"/>
      <c r="BW343" s="174"/>
      <c r="BX343" s="174"/>
    </row>
    <row r="344" spans="1:76" s="152" customFormat="1" ht="15" customHeight="1" x14ac:dyDescent="0.25">
      <c r="A344" s="152">
        <f t="shared" si="10"/>
        <v>1998</v>
      </c>
      <c r="B344" s="152" t="str">
        <f t="shared" si="11"/>
        <v>1998-99</v>
      </c>
      <c r="C344" s="173">
        <v>36069</v>
      </c>
      <c r="D344" s="169">
        <v>0.61792272727272735</v>
      </c>
      <c r="E344" s="170">
        <v>166.11227757659555</v>
      </c>
      <c r="F344" s="170">
        <v>268.82370601539628</v>
      </c>
      <c r="G344" s="170"/>
      <c r="H344" s="170"/>
      <c r="I344" s="169">
        <v>296.31</v>
      </c>
      <c r="J344" s="169">
        <v>472.16</v>
      </c>
      <c r="K344" s="169"/>
      <c r="L344" s="170"/>
      <c r="M344" s="170">
        <v>3875</v>
      </c>
      <c r="N344" s="170">
        <v>6271.0106441670396</v>
      </c>
      <c r="O344" s="170">
        <v>1586.4090000000001</v>
      </c>
      <c r="P344" s="170">
        <v>2567.3258645167457</v>
      </c>
      <c r="Q344" s="170">
        <v>492.81799999999998</v>
      </c>
      <c r="R344" s="170">
        <v>797.53985126119028</v>
      </c>
      <c r="S344" s="170">
        <v>940.45500000000004</v>
      </c>
      <c r="T344" s="170">
        <v>1521.9621458993843</v>
      </c>
      <c r="U344" s="170">
        <v>321.95391287507141</v>
      </c>
      <c r="V344" s="170">
        <v>521.02617150214212</v>
      </c>
      <c r="W344" s="170">
        <v>1851.4180575491</v>
      </c>
      <c r="X344" s="170">
        <v>2996.1967343725087</v>
      </c>
      <c r="Y344" s="170"/>
      <c r="Z344" s="170"/>
      <c r="AA344" s="170"/>
      <c r="AB344" s="170"/>
      <c r="AC344" s="170">
        <v>5</v>
      </c>
      <c r="AD344" s="170">
        <v>8.6761939974600928</v>
      </c>
      <c r="AE344" s="170">
        <v>40619.724999999999</v>
      </c>
      <c r="AF344" s="170">
        <v>65735.929764680768</v>
      </c>
      <c r="AG344" s="170">
        <v>342.30700000000002</v>
      </c>
      <c r="AH344" s="170">
        <v>553.96408788977726</v>
      </c>
      <c r="AI344" s="170">
        <v>278.26100000000002</v>
      </c>
      <c r="AJ344" s="170">
        <v>450.31682396298447</v>
      </c>
      <c r="AK344" s="170">
        <v>12.562272722070867</v>
      </c>
      <c r="AL344" s="170">
        <v>20.329844117428557</v>
      </c>
      <c r="AM344" s="170">
        <v>14.424999973990701</v>
      </c>
      <c r="AN344" s="170">
        <v>23.344342807485152</v>
      </c>
      <c r="AO344" s="170"/>
      <c r="AP344" s="170"/>
      <c r="AS344" s="167"/>
      <c r="AT344" s="1170"/>
      <c r="AU344" s="1171"/>
      <c r="AV344" s="1171"/>
      <c r="AW344" s="1172"/>
      <c r="AX344" s="1172"/>
      <c r="AY344" s="1172"/>
      <c r="AZ344" s="1172"/>
      <c r="BA344" s="1249" t="s">
        <v>32</v>
      </c>
      <c r="BB344" s="1250">
        <v>2005</v>
      </c>
      <c r="BC344" s="1249" t="s">
        <v>320</v>
      </c>
      <c r="BD344" s="1249">
        <v>6</v>
      </c>
      <c r="BE344" s="1251">
        <v>137918000</v>
      </c>
      <c r="BF344" s="1239">
        <v>2.3831929927027481E-2</v>
      </c>
      <c r="BG344" s="1236"/>
      <c r="BH344" s="1236" t="s">
        <v>54</v>
      </c>
      <c r="BI344" s="1236" t="s">
        <v>297</v>
      </c>
      <c r="BJ344" s="1236" t="s">
        <v>291</v>
      </c>
      <c r="BK344" s="1236"/>
      <c r="BL344" s="1238">
        <v>91749656.140000105</v>
      </c>
      <c r="BM344" s="1239">
        <v>3227.2126676046469</v>
      </c>
      <c r="BN344" s="1236">
        <v>2011</v>
      </c>
      <c r="BO344" s="174"/>
      <c r="BP344" s="174"/>
      <c r="BQ344" s="174"/>
      <c r="BR344" s="174"/>
      <c r="BS344" s="174"/>
      <c r="BT344" s="174"/>
      <c r="BU344" s="174"/>
      <c r="BV344" s="174"/>
      <c r="BW344" s="174"/>
      <c r="BX344" s="174"/>
    </row>
    <row r="345" spans="1:76" s="152" customFormat="1" ht="15" customHeight="1" x14ac:dyDescent="0.25">
      <c r="A345" s="152">
        <f t="shared" si="10"/>
        <v>1998</v>
      </c>
      <c r="B345" s="152" t="str">
        <f t="shared" si="11"/>
        <v>1998-99</v>
      </c>
      <c r="C345" s="173">
        <v>36100</v>
      </c>
      <c r="D345" s="154">
        <v>0.63421904761904768</v>
      </c>
      <c r="E345" s="155">
        <v>191.9446600963534</v>
      </c>
      <c r="F345" s="155">
        <v>302.64726487944836</v>
      </c>
      <c r="G345" s="155"/>
      <c r="H345" s="155"/>
      <c r="I345" s="156">
        <v>294.72000000000003</v>
      </c>
      <c r="J345" s="156">
        <v>464.51</v>
      </c>
      <c r="K345" s="157"/>
      <c r="L345" s="158"/>
      <c r="M345" s="159">
        <v>4135.24</v>
      </c>
      <c r="N345" s="159">
        <v>6520.2078296517639</v>
      </c>
      <c r="O345" s="175">
        <v>1573.95</v>
      </c>
      <c r="P345" s="175">
        <v>2481.7135434655293</v>
      </c>
      <c r="Q345" s="175">
        <v>494.17</v>
      </c>
      <c r="R345" s="175">
        <v>779.17874251047397</v>
      </c>
      <c r="S345" s="175">
        <v>967.12</v>
      </c>
      <c r="T345" s="175">
        <v>1524.8990134098176</v>
      </c>
      <c r="U345" s="161">
        <v>344.06029257305454</v>
      </c>
      <c r="V345" s="161">
        <v>542.49441713349336</v>
      </c>
      <c r="W345" s="161">
        <v>1850.4007832304105</v>
      </c>
      <c r="X345" s="161">
        <v>2917.6051873198849</v>
      </c>
      <c r="Y345" s="162"/>
      <c r="Z345" s="162"/>
      <c r="AA345" s="162"/>
      <c r="AB345" s="162"/>
      <c r="AC345" s="163">
        <v>4.9774000000000003</v>
      </c>
      <c r="AD345" s="163">
        <v>8.3736556979118095</v>
      </c>
      <c r="AE345" s="163">
        <v>32779.65</v>
      </c>
      <c r="AF345" s="163">
        <v>51685.06074212004</v>
      </c>
      <c r="AG345" s="163">
        <v>347.17899999999997</v>
      </c>
      <c r="AH345" s="163">
        <v>547.41181505563634</v>
      </c>
      <c r="AI345" s="163">
        <v>277.86900000000003</v>
      </c>
      <c r="AJ345" s="163">
        <v>438.12780622587962</v>
      </c>
      <c r="AK345" s="164">
        <v>10.924761908394951</v>
      </c>
      <c r="AL345" s="164">
        <v>17.225534221036291</v>
      </c>
      <c r="AM345" s="164">
        <v>12.956666673932757</v>
      </c>
      <c r="AN345" s="164">
        <v>20.429324414922579</v>
      </c>
      <c r="AO345" s="164"/>
      <c r="AP345" s="164"/>
      <c r="AS345" s="167"/>
      <c r="AT345" s="1170"/>
      <c r="AU345" s="1171"/>
      <c r="AV345" s="1171"/>
      <c r="AW345" s="1172"/>
      <c r="AX345" s="1172"/>
      <c r="AY345" s="1172"/>
      <c r="AZ345" s="1172"/>
      <c r="BA345" s="1249" t="s">
        <v>32</v>
      </c>
      <c r="BB345" s="1250">
        <v>2005</v>
      </c>
      <c r="BC345" s="1249" t="s">
        <v>330</v>
      </c>
      <c r="BD345" s="1249">
        <v>7</v>
      </c>
      <c r="BE345" s="1251">
        <v>116184000</v>
      </c>
      <c r="BF345" s="1239">
        <v>2.0076342077479086E-2</v>
      </c>
      <c r="BG345" s="1236"/>
      <c r="BH345" s="1236" t="s">
        <v>54</v>
      </c>
      <c r="BI345" s="1236" t="s">
        <v>297</v>
      </c>
      <c r="BJ345" s="1236" t="s">
        <v>292</v>
      </c>
      <c r="BK345" s="1236"/>
      <c r="BL345" s="1238">
        <v>1326522659.47</v>
      </c>
      <c r="BM345" s="1239"/>
      <c r="BN345" s="1236">
        <v>2011</v>
      </c>
      <c r="BO345" s="174"/>
      <c r="BP345" s="174"/>
      <c r="BQ345" s="174"/>
      <c r="BR345" s="174"/>
      <c r="BS345" s="174"/>
      <c r="BT345" s="174"/>
      <c r="BU345" s="174"/>
      <c r="BV345" s="174"/>
      <c r="BW345" s="174"/>
      <c r="BX345" s="174"/>
    </row>
    <row r="346" spans="1:76" s="152" customFormat="1" ht="15" customHeight="1" x14ac:dyDescent="0.25">
      <c r="A346" s="152">
        <f t="shared" si="10"/>
        <v>1998</v>
      </c>
      <c r="B346" s="152" t="str">
        <f t="shared" si="11"/>
        <v>1998-99</v>
      </c>
      <c r="C346" s="173">
        <v>36130</v>
      </c>
      <c r="D346" s="169">
        <v>0.61919523809523813</v>
      </c>
      <c r="E346" s="170">
        <v>170.86679895878035</v>
      </c>
      <c r="F346" s="170">
        <v>275.94979490539851</v>
      </c>
      <c r="G346" s="170"/>
      <c r="H346" s="170"/>
      <c r="I346" s="169">
        <v>291.64999999999998</v>
      </c>
      <c r="J346" s="169">
        <v>471.37</v>
      </c>
      <c r="K346" s="169"/>
      <c r="L346" s="170"/>
      <c r="M346" s="170">
        <v>3881.19</v>
      </c>
      <c r="N346" s="170">
        <v>6268.119909867647</v>
      </c>
      <c r="O346" s="170">
        <v>1473.548</v>
      </c>
      <c r="P346" s="170">
        <v>2379.7792834016504</v>
      </c>
      <c r="Q346" s="170">
        <v>501.262</v>
      </c>
      <c r="R346" s="170">
        <v>809.53787942875158</v>
      </c>
      <c r="S346" s="170">
        <v>959.19</v>
      </c>
      <c r="T346" s="170">
        <v>1549.0913705193377</v>
      </c>
      <c r="U346" s="170">
        <v>343.66580965650968</v>
      </c>
      <c r="V346" s="170">
        <v>555.02011080332409</v>
      </c>
      <c r="W346" s="170">
        <v>1862.3148401821438</v>
      </c>
      <c r="X346" s="170">
        <v>3007.6375359587341</v>
      </c>
      <c r="Y346" s="170"/>
      <c r="Z346" s="170"/>
      <c r="AA346" s="170"/>
      <c r="AB346" s="170"/>
      <c r="AC346" s="170">
        <v>4.87</v>
      </c>
      <c r="AD346" s="170">
        <v>8.3720481617824358</v>
      </c>
      <c r="AE346" s="170">
        <v>25284.05</v>
      </c>
      <c r="AF346" s="170">
        <v>40833.728110988915</v>
      </c>
      <c r="AG346" s="170">
        <v>349.93400000000003</v>
      </c>
      <c r="AH346" s="170">
        <v>565.14323507471295</v>
      </c>
      <c r="AI346" s="170">
        <v>296.67099999999999</v>
      </c>
      <c r="AJ346" s="170">
        <v>479.12351669986384</v>
      </c>
      <c r="AK346" s="170">
        <v>9.7981818806041368</v>
      </c>
      <c r="AL346" s="170">
        <v>15.824058839252706</v>
      </c>
      <c r="AM346" s="170">
        <v>11.108636379241943</v>
      </c>
      <c r="AN346" s="170">
        <v>17.940442199481723</v>
      </c>
      <c r="AO346" s="170"/>
      <c r="AP346" s="170"/>
      <c r="AS346" s="167"/>
      <c r="AT346" s="1170"/>
      <c r="AU346" s="1171"/>
      <c r="AV346" s="1171"/>
      <c r="AW346" s="1172"/>
      <c r="AX346" s="1172"/>
      <c r="AY346" s="1172"/>
      <c r="AZ346" s="1172"/>
      <c r="BA346" s="1249" t="s">
        <v>32</v>
      </c>
      <c r="BB346" s="1250">
        <v>2005</v>
      </c>
      <c r="BC346" s="1249" t="s">
        <v>329</v>
      </c>
      <c r="BD346" s="1249">
        <v>8</v>
      </c>
      <c r="BE346" s="1251">
        <v>103428000</v>
      </c>
      <c r="BF346" s="1239">
        <v>1.7872133068146275E-2</v>
      </c>
      <c r="BG346" s="1236"/>
      <c r="BH346" s="1236" t="s">
        <v>54</v>
      </c>
      <c r="BI346" s="1236" t="s">
        <v>301</v>
      </c>
      <c r="BJ346" s="1236" t="s">
        <v>281</v>
      </c>
      <c r="BK346" s="1236">
        <v>1</v>
      </c>
      <c r="BL346" s="1238">
        <v>220340382.1400001</v>
      </c>
      <c r="BM346" s="1239">
        <v>7620.279513747194</v>
      </c>
      <c r="BN346" s="1236">
        <v>2010</v>
      </c>
      <c r="BO346" s="174"/>
      <c r="BP346" s="174"/>
      <c r="BQ346" s="174"/>
      <c r="BR346" s="174"/>
      <c r="BS346" s="174"/>
      <c r="BT346" s="174"/>
      <c r="BU346" s="174"/>
      <c r="BV346" s="174"/>
      <c r="BW346" s="174"/>
      <c r="BX346" s="174"/>
    </row>
    <row r="347" spans="1:76" s="152" customFormat="1" ht="15" customHeight="1" x14ac:dyDescent="0.25">
      <c r="A347" s="152">
        <f t="shared" si="10"/>
        <v>1999</v>
      </c>
      <c r="B347" s="152" t="str">
        <f t="shared" si="11"/>
        <v>1998-99</v>
      </c>
      <c r="C347" s="173">
        <v>36161</v>
      </c>
      <c r="D347" s="154">
        <v>0.63162105263157908</v>
      </c>
      <c r="E347" s="155">
        <v>157.02730989473687</v>
      </c>
      <c r="F347" s="155">
        <v>248.61</v>
      </c>
      <c r="G347" s="155"/>
      <c r="H347" s="155"/>
      <c r="I347" s="156">
        <v>287.07</v>
      </c>
      <c r="J347" s="156">
        <v>456</v>
      </c>
      <c r="K347" s="157"/>
      <c r="L347" s="158"/>
      <c r="M347" s="159">
        <v>4272</v>
      </c>
      <c r="N347" s="159">
        <v>6763.5490967268834</v>
      </c>
      <c r="O347" s="175">
        <v>1431.175</v>
      </c>
      <c r="P347" s="175">
        <v>2265.8760249316706</v>
      </c>
      <c r="Q347" s="175">
        <v>492.3</v>
      </c>
      <c r="R347" s="175">
        <v>779.42303846410221</v>
      </c>
      <c r="S347" s="175">
        <v>932.75</v>
      </c>
      <c r="T347" s="175">
        <v>1476.7557162855805</v>
      </c>
      <c r="U347" s="161">
        <v>320.04870357894742</v>
      </c>
      <c r="V347" s="161">
        <v>506.71</v>
      </c>
      <c r="W347" s="161">
        <v>1841.1411181246567</v>
      </c>
      <c r="X347" s="161">
        <v>2914.9457739791073</v>
      </c>
      <c r="Y347" s="162"/>
      <c r="Z347" s="162"/>
      <c r="AA347" s="162"/>
      <c r="AB347" s="162"/>
      <c r="AC347" s="163">
        <v>5.15</v>
      </c>
      <c r="AD347" s="163">
        <v>8.6723359107495934</v>
      </c>
      <c r="AE347" s="163">
        <v>25256.474999999999</v>
      </c>
      <c r="AF347" s="163">
        <v>39986.752966468892</v>
      </c>
      <c r="AG347" s="163">
        <v>353.93799999999999</v>
      </c>
      <c r="AH347" s="163">
        <v>560.36447570161977</v>
      </c>
      <c r="AI347" s="163">
        <v>321.81299999999999</v>
      </c>
      <c r="AJ347" s="163">
        <v>509.5032831144589</v>
      </c>
      <c r="AK347" s="164">
        <v>11.063999986648559</v>
      </c>
      <c r="AL347" s="164">
        <v>17.516832190047545</v>
      </c>
      <c r="AM347" s="164">
        <v>12.425263153879266</v>
      </c>
      <c r="AN347" s="164">
        <v>19.672021858851576</v>
      </c>
      <c r="AO347" s="164"/>
      <c r="AP347" s="164"/>
      <c r="AS347" s="167"/>
      <c r="AT347" s="1170"/>
      <c r="AU347" s="1171"/>
      <c r="AV347" s="1171"/>
      <c r="AW347" s="1172"/>
      <c r="AX347" s="1172"/>
      <c r="AY347" s="1172"/>
      <c r="AZ347" s="1172"/>
      <c r="BA347" s="1249" t="s">
        <v>32</v>
      </c>
      <c r="BB347" s="1250">
        <v>2005</v>
      </c>
      <c r="BC347" s="1249" t="s">
        <v>281</v>
      </c>
      <c r="BD347" s="1249">
        <v>9</v>
      </c>
      <c r="BE347" s="1251">
        <v>99045000</v>
      </c>
      <c r="BF347" s="1239">
        <v>1.7114760217103182E-2</v>
      </c>
      <c r="BG347" s="1236"/>
      <c r="BH347" s="1236" t="s">
        <v>54</v>
      </c>
      <c r="BI347" s="1236" t="s">
        <v>301</v>
      </c>
      <c r="BJ347" s="1236" t="s">
        <v>286</v>
      </c>
      <c r="BK347" s="1236">
        <v>2</v>
      </c>
      <c r="BL347" s="1238">
        <v>102368804.53</v>
      </c>
      <c r="BM347" s="1239">
        <v>3540.3356226871865</v>
      </c>
      <c r="BN347" s="1236">
        <v>2010</v>
      </c>
      <c r="BO347" s="174"/>
      <c r="BP347" s="174"/>
      <c r="BQ347" s="174"/>
      <c r="BR347" s="174"/>
      <c r="BS347" s="174"/>
      <c r="BT347" s="174"/>
      <c r="BU347" s="174"/>
      <c r="BV347" s="174"/>
      <c r="BW347" s="174"/>
      <c r="BX347" s="174"/>
    </row>
    <row r="348" spans="1:76" s="152" customFormat="1" ht="15" customHeight="1" x14ac:dyDescent="0.25">
      <c r="A348" s="152">
        <f t="shared" si="10"/>
        <v>1999</v>
      </c>
      <c r="B348" s="152" t="str">
        <f t="shared" si="11"/>
        <v>1998-99</v>
      </c>
      <c r="C348" s="173">
        <v>36192</v>
      </c>
      <c r="D348" s="169">
        <v>0.63993499999999992</v>
      </c>
      <c r="E348" s="170">
        <v>156.80967239999998</v>
      </c>
      <c r="F348" s="170">
        <v>245.04</v>
      </c>
      <c r="G348" s="170"/>
      <c r="H348" s="170"/>
      <c r="I348" s="169">
        <v>287.26</v>
      </c>
      <c r="J348" s="169">
        <v>449.28</v>
      </c>
      <c r="K348" s="169"/>
      <c r="L348" s="170"/>
      <c r="M348" s="170">
        <v>4629.5</v>
      </c>
      <c r="N348" s="170">
        <v>7234.3284864869102</v>
      </c>
      <c r="O348" s="170">
        <v>1410.7249999999999</v>
      </c>
      <c r="P348" s="170">
        <v>2204.4817051731816</v>
      </c>
      <c r="Q348" s="170">
        <v>513.67499999999995</v>
      </c>
      <c r="R348" s="170">
        <v>802.69871158789567</v>
      </c>
      <c r="S348" s="170">
        <v>1017.325</v>
      </c>
      <c r="T348" s="170">
        <v>1589.7317696328537</v>
      </c>
      <c r="U348" s="170">
        <v>307.68714734999998</v>
      </c>
      <c r="V348" s="170">
        <v>480.81</v>
      </c>
      <c r="W348" s="170">
        <v>1831.056574958126</v>
      </c>
      <c r="X348" s="170">
        <v>2861.3165008291876</v>
      </c>
      <c r="Y348" s="170"/>
      <c r="Z348" s="170"/>
      <c r="AA348" s="170"/>
      <c r="AB348" s="170"/>
      <c r="AC348" s="170">
        <v>5.52</v>
      </c>
      <c r="AD348" s="170">
        <v>9.1549182567878216</v>
      </c>
      <c r="AE348" s="170">
        <v>41198.5</v>
      </c>
      <c r="AF348" s="170">
        <v>64379.194761968021</v>
      </c>
      <c r="AG348" s="170">
        <v>364.47500000000002</v>
      </c>
      <c r="AH348" s="170">
        <v>569.5500324251683</v>
      </c>
      <c r="AI348" s="170">
        <v>350.56299999999999</v>
      </c>
      <c r="AJ348" s="170">
        <v>547.81032448608062</v>
      </c>
      <c r="AK348" s="170">
        <v>10.199999952316285</v>
      </c>
      <c r="AL348" s="170">
        <v>15.939118742241455</v>
      </c>
      <c r="AM348" s="170">
        <v>11.445555528004965</v>
      </c>
      <c r="AN348" s="170">
        <v>17.885497008297666</v>
      </c>
      <c r="AO348" s="170"/>
      <c r="AP348" s="170"/>
      <c r="AS348" s="167"/>
      <c r="AT348" s="1170"/>
      <c r="AU348" s="1171"/>
      <c r="AV348" s="1171"/>
      <c r="AW348" s="1172"/>
      <c r="AX348" s="1172"/>
      <c r="AY348" s="1172"/>
      <c r="AZ348" s="1172"/>
      <c r="BA348" s="1249" t="s">
        <v>32</v>
      </c>
      <c r="BB348" s="1250">
        <v>2005</v>
      </c>
      <c r="BC348" s="1249" t="s">
        <v>328</v>
      </c>
      <c r="BD348" s="1249">
        <v>10</v>
      </c>
      <c r="BE348" s="1251">
        <v>25420000</v>
      </c>
      <c r="BF348" s="1239">
        <v>4.3925206191000347E-3</v>
      </c>
      <c r="BG348" s="1236"/>
      <c r="BH348" s="1236" t="s">
        <v>54</v>
      </c>
      <c r="BI348" s="1236" t="s">
        <v>301</v>
      </c>
      <c r="BJ348" s="1236" t="s">
        <v>312</v>
      </c>
      <c r="BK348" s="1236">
        <v>3</v>
      </c>
      <c r="BL348" s="1238">
        <v>68928689.790000007</v>
      </c>
      <c r="BM348" s="1239">
        <v>2383.838484869445</v>
      </c>
      <c r="BN348" s="1236">
        <v>2010</v>
      </c>
      <c r="BO348" s="174"/>
      <c r="BP348" s="174"/>
      <c r="BQ348" s="174"/>
      <c r="BR348" s="174"/>
      <c r="BS348" s="174"/>
      <c r="BT348" s="174"/>
      <c r="BU348" s="174"/>
      <c r="BV348" s="174"/>
      <c r="BW348" s="174"/>
      <c r="BX348" s="174"/>
    </row>
    <row r="349" spans="1:76" s="152" customFormat="1" ht="15" customHeight="1" x14ac:dyDescent="0.25">
      <c r="A349" s="152">
        <f t="shared" si="10"/>
        <v>1999</v>
      </c>
      <c r="B349" s="152" t="str">
        <f t="shared" si="11"/>
        <v>1998-99</v>
      </c>
      <c r="C349" s="173">
        <v>36220</v>
      </c>
      <c r="D349" s="154">
        <v>0.63003478260869561</v>
      </c>
      <c r="E349" s="155">
        <v>162.24655721739128</v>
      </c>
      <c r="F349" s="155">
        <v>257.52</v>
      </c>
      <c r="G349" s="155"/>
      <c r="H349" s="155"/>
      <c r="I349" s="156">
        <v>285.95999999999998</v>
      </c>
      <c r="J349" s="156">
        <v>453.92</v>
      </c>
      <c r="K349" s="157"/>
      <c r="L349" s="158"/>
      <c r="M349" s="159">
        <v>5015.174</v>
      </c>
      <c r="N349" s="159">
        <v>7960.1541667816828</v>
      </c>
      <c r="O349" s="175">
        <v>1378.326</v>
      </c>
      <c r="P349" s="175">
        <v>2187.6982637259503</v>
      </c>
      <c r="Q349" s="175">
        <v>507.82600000000002</v>
      </c>
      <c r="R349" s="175">
        <v>806.02851464377409</v>
      </c>
      <c r="S349" s="175">
        <v>1030</v>
      </c>
      <c r="T349" s="175">
        <v>1634.8303751345682</v>
      </c>
      <c r="U349" s="161">
        <v>282.41939165217389</v>
      </c>
      <c r="V349" s="161">
        <v>448.26</v>
      </c>
      <c r="W349" s="161">
        <v>1827.3537770663781</v>
      </c>
      <c r="X349" s="161">
        <v>2900.4014183155314</v>
      </c>
      <c r="Y349" s="162"/>
      <c r="Z349" s="162"/>
      <c r="AA349" s="162"/>
      <c r="AB349" s="162"/>
      <c r="AC349" s="163">
        <v>5.19</v>
      </c>
      <c r="AD349" s="163">
        <v>8.8179786840709244</v>
      </c>
      <c r="AE349" s="163">
        <v>40247.725000000006</v>
      </c>
      <c r="AF349" s="163">
        <v>63881.750835012572</v>
      </c>
      <c r="AG349" s="163">
        <v>370.14100000000002</v>
      </c>
      <c r="AH349" s="163">
        <v>587.49296105114979</v>
      </c>
      <c r="AI349" s="163">
        <v>352.71699999999998</v>
      </c>
      <c r="AJ349" s="163">
        <v>559.837345074116</v>
      </c>
      <c r="AK349" s="164">
        <v>12.465217465939729</v>
      </c>
      <c r="AL349" s="164">
        <v>19.784967132015748</v>
      </c>
      <c r="AM349" s="164">
        <v>13.443181297995828</v>
      </c>
      <c r="AN349" s="164">
        <v>21.33720497515003</v>
      </c>
      <c r="AO349" s="164"/>
      <c r="AP349" s="164"/>
      <c r="AS349" s="167"/>
      <c r="AT349" s="1170"/>
      <c r="AU349" s="1171"/>
      <c r="AV349" s="1171"/>
      <c r="AW349" s="1172"/>
      <c r="AX349" s="1172"/>
      <c r="AY349" s="1172"/>
      <c r="AZ349" s="1172"/>
      <c r="BA349" s="1249" t="s">
        <v>32</v>
      </c>
      <c r="BB349" s="1250">
        <v>2005</v>
      </c>
      <c r="BC349" s="1249" t="s">
        <v>291</v>
      </c>
      <c r="BD349" s="1249"/>
      <c r="BE349" s="1251">
        <v>67778000</v>
      </c>
      <c r="BF349" s="1239">
        <v>1.1711890736481595E-2</v>
      </c>
      <c r="BG349" s="1236"/>
      <c r="BH349" s="1236" t="s">
        <v>54</v>
      </c>
      <c r="BI349" s="1236" t="s">
        <v>301</v>
      </c>
      <c r="BJ349" s="1236" t="s">
        <v>322</v>
      </c>
      <c r="BK349" s="1236">
        <v>4</v>
      </c>
      <c r="BL349" s="1238">
        <v>45802689.499999993</v>
      </c>
      <c r="BM349" s="1239">
        <v>1584.0459795953655</v>
      </c>
      <c r="BN349" s="1236">
        <v>2010</v>
      </c>
      <c r="BO349" s="174"/>
      <c r="BP349" s="174"/>
      <c r="BQ349" s="174"/>
      <c r="BR349" s="174"/>
      <c r="BS349" s="174"/>
      <c r="BT349" s="174"/>
      <c r="BU349" s="174"/>
      <c r="BV349" s="174"/>
      <c r="BW349" s="174"/>
      <c r="BX349" s="174"/>
    </row>
    <row r="350" spans="1:76" s="152" customFormat="1" ht="15" customHeight="1" x14ac:dyDescent="0.25">
      <c r="A350" s="152">
        <f t="shared" si="10"/>
        <v>1999</v>
      </c>
      <c r="B350" s="152" t="str">
        <f t="shared" si="11"/>
        <v>1998-99</v>
      </c>
      <c r="C350" s="173">
        <v>36251</v>
      </c>
      <c r="D350" s="169">
        <v>0.64183684210526304</v>
      </c>
      <c r="E350" s="170">
        <v>156.16007501388268</v>
      </c>
      <c r="F350" s="170">
        <v>243.30182496484363</v>
      </c>
      <c r="G350" s="170"/>
      <c r="H350" s="170"/>
      <c r="I350" s="169">
        <v>282.89</v>
      </c>
      <c r="J350" s="169">
        <v>441.23</v>
      </c>
      <c r="K350" s="169"/>
      <c r="L350" s="170"/>
      <c r="M350" s="170">
        <v>5105.5</v>
      </c>
      <c r="N350" s="170">
        <v>7954.5137721506544</v>
      </c>
      <c r="O350" s="170">
        <v>1466</v>
      </c>
      <c r="P350" s="170">
        <v>2284.0695700661754</v>
      </c>
      <c r="Q350" s="170">
        <v>519.33000000000004</v>
      </c>
      <c r="R350" s="170">
        <v>809.13086618176476</v>
      </c>
      <c r="S350" s="170">
        <v>1019</v>
      </c>
      <c r="T350" s="170">
        <v>1587.6308948822871</v>
      </c>
      <c r="U350" s="170">
        <v>307.27566817545545</v>
      </c>
      <c r="V350" s="170">
        <v>478.74420416187542</v>
      </c>
      <c r="W350" s="170">
        <v>1822.5849592089648</v>
      </c>
      <c r="X350" s="170">
        <v>2839.6390478782391</v>
      </c>
      <c r="Y350" s="170"/>
      <c r="Z350" s="170"/>
      <c r="AA350" s="170"/>
      <c r="AB350" s="170"/>
      <c r="AC350" s="170">
        <v>5.09</v>
      </c>
      <c r="AD350" s="170">
        <v>8.8179786840709244</v>
      </c>
      <c r="AE350" s="170">
        <v>34874</v>
      </c>
      <c r="AF350" s="170">
        <v>54334.680891192227</v>
      </c>
      <c r="AG350" s="170">
        <v>357.185</v>
      </c>
      <c r="AH350" s="170">
        <v>556.50435837932264</v>
      </c>
      <c r="AI350" s="170">
        <v>359.113</v>
      </c>
      <c r="AJ350" s="170">
        <v>559.50823704991444</v>
      </c>
      <c r="AK350" s="170">
        <v>15.246189526149205</v>
      </c>
      <c r="AL350" s="170">
        <v>23.753995604460467</v>
      </c>
      <c r="AM350" s="170">
        <v>16.338998508453368</v>
      </c>
      <c r="AN350" s="170">
        <v>25.456622986708712</v>
      </c>
      <c r="AO350" s="170"/>
      <c r="AP350" s="170"/>
      <c r="AS350" s="167"/>
      <c r="AT350" s="1170"/>
      <c r="AU350" s="1171"/>
      <c r="AV350" s="1171"/>
      <c r="AW350" s="1172"/>
      <c r="AX350" s="1172"/>
      <c r="AY350" s="1172"/>
      <c r="AZ350" s="1172"/>
      <c r="BA350" s="1249" t="s">
        <v>32</v>
      </c>
      <c r="BB350" s="1250">
        <v>2005</v>
      </c>
      <c r="BC350" s="1249" t="s">
        <v>292</v>
      </c>
      <c r="BD350" s="1249"/>
      <c r="BE350" s="1251">
        <v>5787110000</v>
      </c>
      <c r="BF350" s="1239">
        <v>1</v>
      </c>
      <c r="BG350" s="1236"/>
      <c r="BH350" s="1236" t="s">
        <v>54</v>
      </c>
      <c r="BI350" s="1236" t="s">
        <v>301</v>
      </c>
      <c r="BJ350" s="1236" t="s">
        <v>314</v>
      </c>
      <c r="BK350" s="1236">
        <v>5</v>
      </c>
      <c r="BL350" s="1238">
        <v>35309075.43</v>
      </c>
      <c r="BM350" s="1239">
        <v>1221.1335095970949</v>
      </c>
      <c r="BN350" s="1236">
        <v>2010</v>
      </c>
      <c r="BO350" s="174"/>
      <c r="BP350" s="174"/>
      <c r="BQ350" s="174"/>
      <c r="BR350" s="174"/>
      <c r="BS350" s="174"/>
      <c r="BT350" s="174"/>
      <c r="BU350" s="174"/>
      <c r="BV350" s="174"/>
      <c r="BW350" s="174"/>
      <c r="BX350" s="174"/>
    </row>
    <row r="351" spans="1:76" s="152" customFormat="1" ht="15" customHeight="1" x14ac:dyDescent="0.25">
      <c r="A351" s="152">
        <f t="shared" si="10"/>
        <v>1999</v>
      </c>
      <c r="B351" s="152" t="str">
        <f t="shared" si="11"/>
        <v>1998-99</v>
      </c>
      <c r="C351" s="173">
        <v>36281</v>
      </c>
      <c r="D351" s="154">
        <v>0.66213333333333324</v>
      </c>
      <c r="E351" s="155">
        <v>163.91509782701743</v>
      </c>
      <c r="F351" s="155">
        <v>247.55602772908395</v>
      </c>
      <c r="G351" s="155"/>
      <c r="H351" s="155"/>
      <c r="I351" s="156">
        <v>276.44</v>
      </c>
      <c r="J351" s="156">
        <v>420.26</v>
      </c>
      <c r="K351" s="157"/>
      <c r="L351" s="158"/>
      <c r="M351" s="159">
        <v>5402.89</v>
      </c>
      <c r="N351" s="159">
        <v>8159.8217881594865</v>
      </c>
      <c r="O351" s="175">
        <v>1511.16</v>
      </c>
      <c r="P351" s="175">
        <v>2282.2593636729766</v>
      </c>
      <c r="Q351" s="175">
        <v>541.37</v>
      </c>
      <c r="R351" s="175">
        <v>817.61478050745075</v>
      </c>
      <c r="S351" s="175">
        <v>1040.74</v>
      </c>
      <c r="T351" s="175">
        <v>1571.7982279500607</v>
      </c>
      <c r="U351" s="161">
        <v>315.90899050754456</v>
      </c>
      <c r="V351" s="161">
        <v>477.10781893004116</v>
      </c>
      <c r="W351" s="161">
        <v>1843.5692621108251</v>
      </c>
      <c r="X351" s="161">
        <v>2784.2870450727328</v>
      </c>
      <c r="Y351" s="162"/>
      <c r="Z351" s="162"/>
      <c r="AA351" s="162"/>
      <c r="AB351" s="162"/>
      <c r="AC351" s="163">
        <v>5.28</v>
      </c>
      <c r="AD351" s="163">
        <v>8.4109505361132992</v>
      </c>
      <c r="AE351" s="163">
        <v>34612</v>
      </c>
      <c r="AF351" s="163">
        <v>52273.459524768434</v>
      </c>
      <c r="AG351" s="163">
        <v>355.93400000000003</v>
      </c>
      <c r="AH351" s="163">
        <v>537.55638340716882</v>
      </c>
      <c r="AI351" s="163">
        <v>328.13200000000001</v>
      </c>
      <c r="AJ351" s="163">
        <v>495.56786145791386</v>
      </c>
      <c r="AK351" s="164">
        <v>15.22</v>
      </c>
      <c r="AL351" s="164">
        <v>22.986306886830452</v>
      </c>
      <c r="AM351" s="164">
        <v>16.670000000000002</v>
      </c>
      <c r="AN351" s="164">
        <v>25.176198147402342</v>
      </c>
      <c r="AO351" s="164"/>
      <c r="AP351" s="164"/>
      <c r="AS351" s="167"/>
      <c r="AT351" s="1170"/>
      <c r="AU351" s="1171"/>
      <c r="AV351" s="1171"/>
      <c r="AW351" s="1172"/>
      <c r="AX351" s="1172"/>
      <c r="AY351" s="1172"/>
      <c r="AZ351" s="1172"/>
      <c r="BA351" s="1252" t="s">
        <v>32</v>
      </c>
      <c r="BB351" s="1253">
        <v>2006</v>
      </c>
      <c r="BC351" s="1252" t="s">
        <v>287</v>
      </c>
      <c r="BD351" s="1252">
        <v>1</v>
      </c>
      <c r="BE351" s="1254">
        <v>3497594000</v>
      </c>
      <c r="BF351" s="1239">
        <v>0.38826262832581437</v>
      </c>
      <c r="BG351" s="1236"/>
      <c r="BH351" s="1236" t="s">
        <v>54</v>
      </c>
      <c r="BI351" s="1236" t="s">
        <v>301</v>
      </c>
      <c r="BJ351" s="1236" t="s">
        <v>287</v>
      </c>
      <c r="BK351" s="1236">
        <v>6</v>
      </c>
      <c r="BL351" s="1238">
        <v>25125175.040000003</v>
      </c>
      <c r="BM351" s="1239">
        <v>868.93221649662814</v>
      </c>
      <c r="BN351" s="1236">
        <v>2010</v>
      </c>
      <c r="BO351" s="174"/>
      <c r="BP351" s="174"/>
      <c r="BQ351" s="174"/>
      <c r="BR351" s="174"/>
      <c r="BS351" s="174"/>
      <c r="BT351" s="174"/>
      <c r="BU351" s="174"/>
      <c r="BV351" s="174"/>
      <c r="BW351" s="174"/>
      <c r="BX351" s="174"/>
    </row>
    <row r="352" spans="1:76" s="152" customFormat="1" ht="15" customHeight="1" x14ac:dyDescent="0.25">
      <c r="A352" s="152">
        <f t="shared" si="10"/>
        <v>1999</v>
      </c>
      <c r="B352" s="152" t="str">
        <f t="shared" si="11"/>
        <v>1998-99</v>
      </c>
      <c r="C352" s="173">
        <v>36312</v>
      </c>
      <c r="D352" s="169">
        <v>0.65555714285714284</v>
      </c>
      <c r="E352" s="170">
        <v>158.30037337480914</v>
      </c>
      <c r="F352" s="170">
        <v>241.47456114181264</v>
      </c>
      <c r="G352" s="170"/>
      <c r="H352" s="170"/>
      <c r="I352" s="169">
        <v>261.31</v>
      </c>
      <c r="J352" s="169">
        <v>399.54</v>
      </c>
      <c r="K352" s="169"/>
      <c r="L352" s="170"/>
      <c r="M352" s="170">
        <v>5198.18</v>
      </c>
      <c r="N352" s="170">
        <v>7929.407919109155</v>
      </c>
      <c r="O352" s="170">
        <v>1422.48</v>
      </c>
      <c r="P352" s="170">
        <v>2169.8794918172111</v>
      </c>
      <c r="Q352" s="170">
        <v>496.11</v>
      </c>
      <c r="R352" s="170">
        <v>756.77613371396194</v>
      </c>
      <c r="S352" s="170">
        <v>1000.48</v>
      </c>
      <c r="T352" s="170">
        <v>1526.1522369195234</v>
      </c>
      <c r="U352" s="170">
        <v>325.85095162887762</v>
      </c>
      <c r="V352" s="170">
        <v>497.0595701371011</v>
      </c>
      <c r="W352" s="170">
        <v>1801.3860413648056</v>
      </c>
      <c r="X352" s="170">
        <v>2747.870358812273</v>
      </c>
      <c r="Y352" s="170"/>
      <c r="Z352" s="170"/>
      <c r="AA352" s="170"/>
      <c r="AB352" s="170"/>
      <c r="AC352" s="170">
        <v>5.03</v>
      </c>
      <c r="AD352" s="170">
        <v>7.72</v>
      </c>
      <c r="AE352" s="170">
        <v>47509</v>
      </c>
      <c r="AF352" s="170">
        <v>72471.180457190174</v>
      </c>
      <c r="AG352" s="170">
        <v>356.55700000000002</v>
      </c>
      <c r="AH352" s="170">
        <v>543.89919152738128</v>
      </c>
      <c r="AI352" s="170">
        <v>336.73</v>
      </c>
      <c r="AJ352" s="170">
        <v>513.65468848743717</v>
      </c>
      <c r="AK352" s="170">
        <v>15.77</v>
      </c>
      <c r="AL352" s="170">
        <v>24.055873956721655</v>
      </c>
      <c r="AM352" s="170">
        <v>17.05</v>
      </c>
      <c r="AN352" s="170">
        <v>26.008411601908957</v>
      </c>
      <c r="AO352" s="170"/>
      <c r="AP352" s="170"/>
      <c r="AS352" s="167"/>
      <c r="AT352" s="1170"/>
      <c r="AU352" s="1171"/>
      <c r="AV352" s="1171"/>
      <c r="AW352" s="1172"/>
      <c r="AX352" s="1172"/>
      <c r="AY352" s="1172"/>
      <c r="AZ352" s="1172"/>
      <c r="BA352" s="1252" t="s">
        <v>32</v>
      </c>
      <c r="BB352" s="1253">
        <v>2006</v>
      </c>
      <c r="BC352" s="1252" t="s">
        <v>314</v>
      </c>
      <c r="BD352" s="1252">
        <v>2</v>
      </c>
      <c r="BE352" s="1254">
        <v>2878194000</v>
      </c>
      <c r="BF352" s="1239">
        <v>0.3195039696635999</v>
      </c>
      <c r="BG352" s="1236"/>
      <c r="BH352" s="1236" t="s">
        <v>54</v>
      </c>
      <c r="BI352" s="1236" t="s">
        <v>301</v>
      </c>
      <c r="BJ352" s="1236" t="s">
        <v>315</v>
      </c>
      <c r="BK352" s="1236">
        <v>7</v>
      </c>
      <c r="BL352" s="1238">
        <v>23246329.380000003</v>
      </c>
      <c r="BM352" s="1239">
        <v>803.95398167041333</v>
      </c>
      <c r="BN352" s="1236">
        <v>2010</v>
      </c>
      <c r="BO352" s="174"/>
      <c r="BP352" s="174"/>
      <c r="BQ352" s="174"/>
      <c r="BR352" s="174"/>
      <c r="BS352" s="174"/>
      <c r="BT352" s="174"/>
      <c r="BU352" s="174"/>
      <c r="BV352" s="174"/>
      <c r="BW352" s="174"/>
      <c r="BX352" s="174"/>
    </row>
    <row r="353" spans="1:76" s="152" customFormat="1" ht="15" customHeight="1" x14ac:dyDescent="0.25">
      <c r="A353" s="152">
        <f t="shared" si="10"/>
        <v>1999</v>
      </c>
      <c r="B353" s="152" t="str">
        <f t="shared" si="11"/>
        <v>1999-00</v>
      </c>
      <c r="C353" s="173">
        <v>36342</v>
      </c>
      <c r="D353" s="154">
        <v>0.65777272727272718</v>
      </c>
      <c r="E353" s="155">
        <v>167.56102454545453</v>
      </c>
      <c r="F353" s="155">
        <v>254.74</v>
      </c>
      <c r="G353" s="155"/>
      <c r="H353" s="155"/>
      <c r="I353" s="156">
        <v>256.08</v>
      </c>
      <c r="J353" s="156">
        <v>390.68</v>
      </c>
      <c r="K353" s="157"/>
      <c r="L353" s="158"/>
      <c r="M353" s="159">
        <v>5704.09</v>
      </c>
      <c r="N353" s="159">
        <v>8671.8250293690853</v>
      </c>
      <c r="O353" s="175">
        <v>1640</v>
      </c>
      <c r="P353" s="175">
        <v>2493.2623868426513</v>
      </c>
      <c r="Q353" s="175">
        <v>495</v>
      </c>
      <c r="R353" s="175">
        <v>752.53956188238556</v>
      </c>
      <c r="S353" s="175">
        <v>1072.1099999999999</v>
      </c>
      <c r="T353" s="175">
        <v>1629.9094741206552</v>
      </c>
      <c r="U353" s="161">
        <v>288.10445454545453</v>
      </c>
      <c r="V353" s="161">
        <v>438</v>
      </c>
      <c r="W353" s="161">
        <v>1801.7842099999996</v>
      </c>
      <c r="X353" s="161">
        <v>2739.22</v>
      </c>
      <c r="Y353" s="162"/>
      <c r="Z353" s="162"/>
      <c r="AA353" s="162"/>
      <c r="AB353" s="162"/>
      <c r="AC353" s="163">
        <v>5.17</v>
      </c>
      <c r="AD353" s="163">
        <v>7.91</v>
      </c>
      <c r="AE353" s="163">
        <v>45396.4</v>
      </c>
      <c r="AF353" s="163">
        <v>69015.327206136426</v>
      </c>
      <c r="AG353" s="163">
        <v>349.09100000000001</v>
      </c>
      <c r="AH353" s="163">
        <v>530.71674383249263</v>
      </c>
      <c r="AI353" s="163">
        <v>332.70499999999998</v>
      </c>
      <c r="AJ353" s="163">
        <v>505.80540391127084</v>
      </c>
      <c r="AK353" s="164">
        <v>19.010000000000002</v>
      </c>
      <c r="AL353" s="164">
        <v>28.900559740170003</v>
      </c>
      <c r="AM353" s="164">
        <v>19.73</v>
      </c>
      <c r="AN353" s="164">
        <v>29.995162739271652</v>
      </c>
      <c r="AO353" s="164"/>
      <c r="AP353" s="164"/>
      <c r="AS353" s="167"/>
      <c r="AT353" s="1170"/>
      <c r="AU353" s="1171"/>
      <c r="AV353" s="1171"/>
      <c r="AW353" s="1172"/>
      <c r="AX353" s="1172"/>
      <c r="AY353" s="1172"/>
      <c r="AZ353" s="1172"/>
      <c r="BA353" s="1252" t="s">
        <v>32</v>
      </c>
      <c r="BB353" s="1253">
        <v>2006</v>
      </c>
      <c r="BC353" s="1252" t="s">
        <v>330</v>
      </c>
      <c r="BD353" s="1252">
        <v>3</v>
      </c>
      <c r="BE353" s="1254">
        <v>761667000</v>
      </c>
      <c r="BF353" s="1239">
        <v>8.4551503498987601E-2</v>
      </c>
      <c r="BG353" s="1236"/>
      <c r="BH353" s="1236" t="s">
        <v>54</v>
      </c>
      <c r="BI353" s="1236" t="s">
        <v>301</v>
      </c>
      <c r="BJ353" s="1236" t="s">
        <v>285</v>
      </c>
      <c r="BK353" s="1236">
        <v>8</v>
      </c>
      <c r="BL353" s="1238">
        <v>22224783.140000001</v>
      </c>
      <c r="BM353" s="1239">
        <v>768.62469790766045</v>
      </c>
      <c r="BN353" s="1236">
        <v>2010</v>
      </c>
      <c r="BO353" s="174"/>
      <c r="BP353" s="174"/>
      <c r="BQ353" s="174"/>
      <c r="BR353" s="174"/>
      <c r="BS353" s="174"/>
      <c r="BT353" s="174"/>
      <c r="BU353" s="174"/>
      <c r="BV353" s="174"/>
      <c r="BW353" s="174"/>
      <c r="BX353" s="174"/>
    </row>
    <row r="354" spans="1:76" s="152" customFormat="1" ht="15" customHeight="1" x14ac:dyDescent="0.25">
      <c r="A354" s="152">
        <f t="shared" si="10"/>
        <v>1999</v>
      </c>
      <c r="B354" s="152" t="str">
        <f t="shared" si="11"/>
        <v>1999-00</v>
      </c>
      <c r="C354" s="173">
        <v>36373</v>
      </c>
      <c r="D354" s="169">
        <v>0.64498571428571416</v>
      </c>
      <c r="E354" s="170">
        <v>167.92848057142854</v>
      </c>
      <c r="F354" s="170">
        <v>260.36</v>
      </c>
      <c r="G354" s="170"/>
      <c r="H354" s="170"/>
      <c r="I354" s="169">
        <v>256.77100000000002</v>
      </c>
      <c r="J354" s="169">
        <v>398.59</v>
      </c>
      <c r="K354" s="169"/>
      <c r="L354" s="170"/>
      <c r="M354" s="170">
        <v>6451.67</v>
      </c>
      <c r="N354" s="170">
        <v>10002.810693481586</v>
      </c>
      <c r="O354" s="170">
        <v>1647.62</v>
      </c>
      <c r="P354" s="170">
        <v>2554.5061906133028</v>
      </c>
      <c r="Q354" s="170">
        <v>503.07</v>
      </c>
      <c r="R354" s="170">
        <v>779.97076347205928</v>
      </c>
      <c r="S354" s="170">
        <v>1130.5999999999999</v>
      </c>
      <c r="T354" s="170">
        <v>1752.9070411304792</v>
      </c>
      <c r="U354" s="170">
        <v>289.27609285714283</v>
      </c>
      <c r="V354" s="170">
        <v>448.5</v>
      </c>
      <c r="W354" s="170">
        <v>1798.9296557142852</v>
      </c>
      <c r="X354" s="170">
        <v>2789.1</v>
      </c>
      <c r="Y354" s="170"/>
      <c r="Z354" s="170"/>
      <c r="AA354" s="170"/>
      <c r="AB354" s="170"/>
      <c r="AC354" s="170">
        <v>5.274</v>
      </c>
      <c r="AD354" s="170">
        <v>8.1999999999999993</v>
      </c>
      <c r="AE354" s="170">
        <v>42659</v>
      </c>
      <c r="AF354" s="170">
        <v>66139.449378723788</v>
      </c>
      <c r="AG354" s="170">
        <v>350.08800000000002</v>
      </c>
      <c r="AH354" s="170">
        <v>542.78411481981891</v>
      </c>
      <c r="AI354" s="170">
        <v>340.13099999999997</v>
      </c>
      <c r="AJ354" s="170">
        <v>527.34656360052281</v>
      </c>
      <c r="AK354" s="170">
        <v>20.22</v>
      </c>
      <c r="AL354" s="170">
        <v>31.349531551086407</v>
      </c>
      <c r="AM354" s="170">
        <v>21.71</v>
      </c>
      <c r="AN354" s="170">
        <v>33.659660236107122</v>
      </c>
      <c r="AO354" s="170"/>
      <c r="AP354" s="170"/>
      <c r="AS354" s="167"/>
      <c r="AT354" s="1170"/>
      <c r="AU354" s="1171"/>
      <c r="AV354" s="1171"/>
      <c r="AW354" s="1172"/>
      <c r="AX354" s="1172"/>
      <c r="AY354" s="1172"/>
      <c r="AZ354" s="1172"/>
      <c r="BA354" s="1252" t="s">
        <v>32</v>
      </c>
      <c r="BB354" s="1253">
        <v>2006</v>
      </c>
      <c r="BC354" s="1252" t="s">
        <v>323</v>
      </c>
      <c r="BD354" s="1252">
        <v>4</v>
      </c>
      <c r="BE354" s="1254">
        <v>562242000</v>
      </c>
      <c r="BF354" s="1239">
        <v>6.2413635394835E-2</v>
      </c>
      <c r="BG354" s="1236"/>
      <c r="BH354" s="1236" t="s">
        <v>54</v>
      </c>
      <c r="BI354" s="1236" t="s">
        <v>301</v>
      </c>
      <c r="BJ354" s="1236" t="s">
        <v>306</v>
      </c>
      <c r="BK354" s="1236">
        <v>9</v>
      </c>
      <c r="BL354" s="1238">
        <v>21040902.43</v>
      </c>
      <c r="BM354" s="1239">
        <v>727.68121839875494</v>
      </c>
      <c r="BN354" s="1236">
        <v>2010</v>
      </c>
      <c r="BO354" s="174"/>
      <c r="BP354" s="174"/>
      <c r="BQ354" s="174"/>
      <c r="BR354" s="174"/>
      <c r="BS354" s="174"/>
      <c r="BT354" s="174"/>
      <c r="BU354" s="174"/>
      <c r="BV354" s="174"/>
      <c r="BW354" s="174"/>
      <c r="BX354" s="174"/>
    </row>
    <row r="355" spans="1:76" s="152" customFormat="1" ht="15" customHeight="1" x14ac:dyDescent="0.25">
      <c r="A355" s="152">
        <f t="shared" si="10"/>
        <v>1999</v>
      </c>
      <c r="B355" s="152" t="str">
        <f t="shared" si="11"/>
        <v>1999-00</v>
      </c>
      <c r="C355" s="173">
        <v>36404</v>
      </c>
      <c r="D355" s="154">
        <v>0.64893636363636353</v>
      </c>
      <c r="E355" s="155">
        <v>170.46909336363635</v>
      </c>
      <c r="F355" s="155">
        <v>262.69</v>
      </c>
      <c r="G355" s="155"/>
      <c r="H355" s="155"/>
      <c r="I355" s="156">
        <v>264.81099999999998</v>
      </c>
      <c r="J355" s="156">
        <v>406.46</v>
      </c>
      <c r="K355" s="157"/>
      <c r="L355" s="158"/>
      <c r="M355" s="159">
        <v>7031.36</v>
      </c>
      <c r="N355" s="159">
        <v>10835.207262233305</v>
      </c>
      <c r="O355" s="175">
        <v>1750.34</v>
      </c>
      <c r="P355" s="175">
        <v>2697.244441953967</v>
      </c>
      <c r="Q355" s="175">
        <v>507.32</v>
      </c>
      <c r="R355" s="175">
        <v>781.77157026182715</v>
      </c>
      <c r="S355" s="175">
        <v>1193.75</v>
      </c>
      <c r="T355" s="175">
        <v>1839.5486320272337</v>
      </c>
      <c r="U355" s="161">
        <v>404.46256736363631</v>
      </c>
      <c r="V355" s="161">
        <v>623.27</v>
      </c>
      <c r="W355" s="161">
        <v>1840.4873570909087</v>
      </c>
      <c r="X355" s="161">
        <v>2836.16</v>
      </c>
      <c r="Y355" s="162"/>
      <c r="Z355" s="162"/>
      <c r="AA355" s="162"/>
      <c r="AB355" s="162"/>
      <c r="AC355" s="163">
        <v>5.2309999999999999</v>
      </c>
      <c r="AD355" s="163">
        <v>8.09</v>
      </c>
      <c r="AE355" s="163">
        <v>40592.199999999997</v>
      </c>
      <c r="AF355" s="163">
        <v>62551.896109718007</v>
      </c>
      <c r="AG355" s="163">
        <v>370.88600000000002</v>
      </c>
      <c r="AH355" s="163">
        <v>571.52907555020113</v>
      </c>
      <c r="AI355" s="163">
        <v>361.625</v>
      </c>
      <c r="AJ355" s="163">
        <v>557.25803062353793</v>
      </c>
      <c r="AK355" s="164">
        <v>22.4</v>
      </c>
      <c r="AL355" s="164">
        <v>34.51802249835395</v>
      </c>
      <c r="AM355" s="164">
        <v>23.79</v>
      </c>
      <c r="AN355" s="164">
        <v>36.659989073028598</v>
      </c>
      <c r="AO355" s="164"/>
      <c r="AP355" s="164"/>
      <c r="AS355" s="167"/>
      <c r="AT355" s="1170"/>
      <c r="AU355" s="1171"/>
      <c r="AV355" s="1171"/>
      <c r="AW355" s="1172"/>
      <c r="AX355" s="1172"/>
      <c r="AY355" s="1172"/>
      <c r="AZ355" s="1172"/>
      <c r="BA355" s="1252" t="s">
        <v>32</v>
      </c>
      <c r="BB355" s="1253">
        <v>2006</v>
      </c>
      <c r="BC355" s="1252" t="s">
        <v>306</v>
      </c>
      <c r="BD355" s="1252">
        <v>5</v>
      </c>
      <c r="BE355" s="1254">
        <v>383393000</v>
      </c>
      <c r="BF355" s="1239">
        <v>4.2559877979467871E-2</v>
      </c>
      <c r="BG355" s="1236"/>
      <c r="BH355" s="1236" t="s">
        <v>54</v>
      </c>
      <c r="BI355" s="1236" t="s">
        <v>301</v>
      </c>
      <c r="BJ355" s="1236" t="s">
        <v>324</v>
      </c>
      <c r="BK355" s="1236">
        <v>10</v>
      </c>
      <c r="BL355" s="1238">
        <v>20433783.539999999</v>
      </c>
      <c r="BM355" s="1239">
        <v>706.68454227909388</v>
      </c>
      <c r="BN355" s="1236">
        <v>2010</v>
      </c>
      <c r="BO355" s="174"/>
      <c r="BP355" s="174"/>
      <c r="BQ355" s="174"/>
      <c r="BR355" s="174"/>
      <c r="BS355" s="174"/>
      <c r="BT355" s="174"/>
      <c r="BU355" s="174"/>
      <c r="BV355" s="174"/>
      <c r="BW355" s="174"/>
      <c r="BX355" s="174"/>
    </row>
    <row r="356" spans="1:76" s="152" customFormat="1" ht="15" customHeight="1" x14ac:dyDescent="0.25">
      <c r="A356" s="152">
        <f t="shared" si="10"/>
        <v>1999</v>
      </c>
      <c r="B356" s="152" t="str">
        <f t="shared" si="11"/>
        <v>1999-00</v>
      </c>
      <c r="C356" s="173">
        <v>36434</v>
      </c>
      <c r="D356" s="169">
        <v>0.65146000000000004</v>
      </c>
      <c r="E356" s="170">
        <v>181.78991300000001</v>
      </c>
      <c r="F356" s="170">
        <v>279.05</v>
      </c>
      <c r="G356" s="170"/>
      <c r="H356" s="170"/>
      <c r="I356" s="169">
        <v>310.71899999999999</v>
      </c>
      <c r="J356" s="169">
        <v>479.01</v>
      </c>
      <c r="K356" s="169"/>
      <c r="L356" s="170"/>
      <c r="M356" s="170">
        <v>7324.76</v>
      </c>
      <c r="N356" s="170">
        <v>11243.606668099346</v>
      </c>
      <c r="O356" s="170">
        <v>1724.12</v>
      </c>
      <c r="P356" s="170">
        <v>2646.5477542750127</v>
      </c>
      <c r="Q356" s="170">
        <v>497.1</v>
      </c>
      <c r="R356" s="170">
        <v>763.05529119209154</v>
      </c>
      <c r="S356" s="170">
        <v>1148.74</v>
      </c>
      <c r="T356" s="170">
        <v>1763.3315936511833</v>
      </c>
      <c r="U356" s="170">
        <v>371.66444460000002</v>
      </c>
      <c r="V356" s="170">
        <v>570.51</v>
      </c>
      <c r="W356" s="170">
        <v>1856.4785912</v>
      </c>
      <c r="X356" s="170">
        <v>2849.72</v>
      </c>
      <c r="Y356" s="170"/>
      <c r="Z356" s="170"/>
      <c r="AA356" s="170"/>
      <c r="AB356" s="170"/>
      <c r="AC356" s="170">
        <v>5.4089999999999998</v>
      </c>
      <c r="AD356" s="170">
        <v>8.32</v>
      </c>
      <c r="AE356" s="170">
        <v>34612</v>
      </c>
      <c r="AF356" s="170">
        <v>53129.892856046419</v>
      </c>
      <c r="AG356" s="170">
        <v>421.286</v>
      </c>
      <c r="AH356" s="170">
        <v>646.67976544991245</v>
      </c>
      <c r="AI356" s="170">
        <v>386.64299999999997</v>
      </c>
      <c r="AJ356" s="170">
        <v>593.50228717035577</v>
      </c>
      <c r="AK356" s="170">
        <v>21.95</v>
      </c>
      <c r="AL356" s="170">
        <v>33.693549872593863</v>
      </c>
      <c r="AM356" s="170">
        <v>23.6</v>
      </c>
      <c r="AN356" s="170">
        <v>36.22632241426949</v>
      </c>
      <c r="AO356" s="170"/>
      <c r="AP356" s="170"/>
      <c r="AS356" s="167"/>
      <c r="AT356" s="1170"/>
      <c r="AU356" s="1171"/>
      <c r="AV356" s="1171"/>
      <c r="AW356" s="1172"/>
      <c r="AX356" s="1172"/>
      <c r="AY356" s="1172"/>
      <c r="AZ356" s="1172"/>
      <c r="BA356" s="1252" t="s">
        <v>32</v>
      </c>
      <c r="BB356" s="1253">
        <v>2006</v>
      </c>
      <c r="BC356" s="1252" t="s">
        <v>308</v>
      </c>
      <c r="BD356" s="1252">
        <v>6</v>
      </c>
      <c r="BE356" s="1254">
        <v>285130000</v>
      </c>
      <c r="BF356" s="1239">
        <v>3.1651850733544103E-2</v>
      </c>
      <c r="BG356" s="1236"/>
      <c r="BH356" s="1236" t="s">
        <v>54</v>
      </c>
      <c r="BI356" s="1236" t="s">
        <v>301</v>
      </c>
      <c r="BJ356" s="1236" t="s">
        <v>308</v>
      </c>
      <c r="BK356" s="1236">
        <v>11</v>
      </c>
      <c r="BL356" s="1238">
        <v>20409669.099999998</v>
      </c>
      <c r="BM356" s="1239">
        <v>705.85056545045813</v>
      </c>
      <c r="BN356" s="1236">
        <v>2010</v>
      </c>
      <c r="BO356" s="174"/>
      <c r="BP356" s="174"/>
      <c r="BQ356" s="174"/>
      <c r="BR356" s="174"/>
      <c r="BS356" s="174"/>
      <c r="BT356" s="174"/>
      <c r="BU356" s="174"/>
      <c r="BV356" s="174"/>
      <c r="BW356" s="174"/>
      <c r="BX356" s="174"/>
    </row>
    <row r="357" spans="1:76" s="152" customFormat="1" ht="15" customHeight="1" x14ac:dyDescent="0.25">
      <c r="A357" s="152">
        <f t="shared" si="10"/>
        <v>1999</v>
      </c>
      <c r="B357" s="152" t="str">
        <f t="shared" si="11"/>
        <v>1999-00</v>
      </c>
      <c r="C357" s="173">
        <v>36465</v>
      </c>
      <c r="D357" s="154">
        <v>0.63953636363636368</v>
      </c>
      <c r="E357" s="155">
        <v>184.08414690909092</v>
      </c>
      <c r="F357" s="155">
        <v>287.83999999999997</v>
      </c>
      <c r="G357" s="155"/>
      <c r="H357" s="155"/>
      <c r="I357" s="156">
        <v>293.18400000000003</v>
      </c>
      <c r="J357" s="156">
        <v>461.13</v>
      </c>
      <c r="K357" s="157"/>
      <c r="L357" s="158"/>
      <c r="M357" s="159">
        <v>7952.73</v>
      </c>
      <c r="N357" s="159">
        <v>12435.149042630313</v>
      </c>
      <c r="O357" s="175">
        <v>1727.55</v>
      </c>
      <c r="P357" s="175">
        <v>2701.2537491648777</v>
      </c>
      <c r="Q357" s="175">
        <v>478.32</v>
      </c>
      <c r="R357" s="175">
        <v>747.91681473794927</v>
      </c>
      <c r="S357" s="175">
        <v>1147.1600000000001</v>
      </c>
      <c r="T357" s="175">
        <v>1793.7369401128658</v>
      </c>
      <c r="U357" s="161">
        <v>351.48918545454552</v>
      </c>
      <c r="V357" s="161">
        <v>549.6</v>
      </c>
      <c r="W357" s="161">
        <v>1854.5339426363637</v>
      </c>
      <c r="X357" s="161">
        <v>2899.81</v>
      </c>
      <c r="Y357" s="162"/>
      <c r="Z357" s="162"/>
      <c r="AA357" s="162"/>
      <c r="AB357" s="162"/>
      <c r="AC357" s="163">
        <v>5.1559999999999997</v>
      </c>
      <c r="AD357" s="163">
        <v>8.11</v>
      </c>
      <c r="AE357" s="163">
        <v>31489</v>
      </c>
      <c r="AF357" s="163">
        <v>49237.231517150205</v>
      </c>
      <c r="AG357" s="163">
        <v>434.02300000000002</v>
      </c>
      <c r="AH357" s="163">
        <v>678.65257501883468</v>
      </c>
      <c r="AI357" s="163">
        <v>400.84100000000001</v>
      </c>
      <c r="AJ357" s="163">
        <v>626.76811326387008</v>
      </c>
      <c r="AK357" s="164">
        <v>24.59</v>
      </c>
      <c r="AL357" s="164">
        <v>38.449729207238192</v>
      </c>
      <c r="AM357" s="164">
        <v>24.89</v>
      </c>
      <c r="AN357" s="164">
        <v>38.91881903083199</v>
      </c>
      <c r="AO357" s="164"/>
      <c r="AP357" s="164"/>
      <c r="AS357" s="167"/>
      <c r="AT357" s="1170"/>
      <c r="AU357" s="1171"/>
      <c r="AV357" s="1171"/>
      <c r="AW357" s="1172"/>
      <c r="AX357" s="1172"/>
      <c r="AY357" s="1172"/>
      <c r="AZ357" s="1172"/>
      <c r="BA357" s="1252" t="s">
        <v>32</v>
      </c>
      <c r="BB357" s="1253">
        <v>2006</v>
      </c>
      <c r="BC357" s="1252" t="s">
        <v>328</v>
      </c>
      <c r="BD357" s="1252">
        <v>7</v>
      </c>
      <c r="BE357" s="1254">
        <v>205756000</v>
      </c>
      <c r="BF357" s="1239">
        <v>2.2840662853895067E-2</v>
      </c>
      <c r="BG357" s="1236"/>
      <c r="BH357" s="1236" t="s">
        <v>54</v>
      </c>
      <c r="BI357" s="1236" t="s">
        <v>301</v>
      </c>
      <c r="BJ357" s="1236" t="s">
        <v>291</v>
      </c>
      <c r="BK357" s="1236"/>
      <c r="BL357" s="1238">
        <v>90066413.050000072</v>
      </c>
      <c r="BM357" s="1239">
        <v>3114.8681670413307</v>
      </c>
      <c r="BN357" s="1236">
        <v>2010</v>
      </c>
      <c r="BO357" s="174"/>
      <c r="BP357" s="174"/>
      <c r="BQ357" s="174"/>
      <c r="BR357" s="174"/>
      <c r="BS357" s="174"/>
      <c r="BT357" s="174"/>
      <c r="BU357" s="174"/>
      <c r="BV357" s="174"/>
      <c r="BW357" s="174"/>
      <c r="BX357" s="174"/>
    </row>
    <row r="358" spans="1:76" s="152" customFormat="1" ht="15" customHeight="1" x14ac:dyDescent="0.25">
      <c r="A358" s="152">
        <f t="shared" si="10"/>
        <v>1999</v>
      </c>
      <c r="B358" s="152" t="str">
        <f t="shared" si="11"/>
        <v>1999-00</v>
      </c>
      <c r="C358" s="173">
        <v>36495</v>
      </c>
      <c r="D358" s="169">
        <v>0.64011904761904759</v>
      </c>
      <c r="E358" s="170">
        <v>185.17363809523806</v>
      </c>
      <c r="F358" s="170">
        <v>289.27999999999997</v>
      </c>
      <c r="G358" s="170"/>
      <c r="H358" s="170"/>
      <c r="I358" s="169">
        <v>283.22300000000001</v>
      </c>
      <c r="J358" s="169">
        <v>445.3</v>
      </c>
      <c r="K358" s="169"/>
      <c r="L358" s="170"/>
      <c r="M358" s="170">
        <v>8087.25</v>
      </c>
      <c r="N358" s="170">
        <v>12633.978054677331</v>
      </c>
      <c r="O358" s="170">
        <v>1764.75</v>
      </c>
      <c r="P358" s="170">
        <v>2756.9090570950348</v>
      </c>
      <c r="Q358" s="170">
        <v>479.05</v>
      </c>
      <c r="R358" s="170">
        <v>748.3764180769947</v>
      </c>
      <c r="S358" s="170">
        <v>1183.75</v>
      </c>
      <c r="T358" s="170">
        <v>1849.265389622466</v>
      </c>
      <c r="U358" s="170">
        <v>395.04947023809518</v>
      </c>
      <c r="V358" s="170">
        <v>617.15</v>
      </c>
      <c r="W358" s="170">
        <v>1886.1491809523809</v>
      </c>
      <c r="X358" s="170">
        <v>2946.56</v>
      </c>
      <c r="Y358" s="170"/>
      <c r="Z358" s="170"/>
      <c r="AA358" s="170"/>
      <c r="AB358" s="170"/>
      <c r="AC358" s="170">
        <v>5.16</v>
      </c>
      <c r="AD358" s="170">
        <v>8.14</v>
      </c>
      <c r="AE358" s="170">
        <v>32283.599999999999</v>
      </c>
      <c r="AF358" s="170">
        <v>50433.743723265761</v>
      </c>
      <c r="AG358" s="170">
        <v>438.85</v>
      </c>
      <c r="AH358" s="170">
        <v>685.57559977682729</v>
      </c>
      <c r="AI358" s="170">
        <v>424.55</v>
      </c>
      <c r="AJ358" s="170">
        <v>663.23600520736477</v>
      </c>
      <c r="AK358" s="170">
        <v>25.59</v>
      </c>
      <c r="AL358" s="170">
        <v>39.976938813464756</v>
      </c>
      <c r="AM358" s="170">
        <v>25.19</v>
      </c>
      <c r="AN358" s="170">
        <v>39.35205504928399</v>
      </c>
      <c r="AO358" s="170"/>
      <c r="AP358" s="170"/>
      <c r="AS358" s="167"/>
      <c r="AT358" s="1170"/>
      <c r="AU358" s="1171"/>
      <c r="AV358" s="1171"/>
      <c r="AW358" s="1172"/>
      <c r="AX358" s="1172"/>
      <c r="AY358" s="1172"/>
      <c r="AZ358" s="1172"/>
      <c r="BA358" s="1252" t="s">
        <v>32</v>
      </c>
      <c r="BB358" s="1253">
        <v>2006</v>
      </c>
      <c r="BC358" s="1252" t="s">
        <v>279</v>
      </c>
      <c r="BD358" s="1252">
        <v>8</v>
      </c>
      <c r="BE358" s="1254">
        <v>200634000</v>
      </c>
      <c r="BF358" s="1239">
        <v>2.2272077368477142E-2</v>
      </c>
      <c r="BG358" s="1236"/>
      <c r="BH358" s="1236" t="s">
        <v>54</v>
      </c>
      <c r="BI358" s="1236" t="s">
        <v>301</v>
      </c>
      <c r="BJ358" s="1236" t="s">
        <v>292</v>
      </c>
      <c r="BK358" s="1236"/>
      <c r="BL358" s="1238">
        <v>695296697.07000005</v>
      </c>
      <c r="BM358" s="1239"/>
      <c r="BN358" s="1236">
        <v>2010</v>
      </c>
      <c r="BO358" s="174"/>
      <c r="BP358" s="174"/>
      <c r="BQ358" s="174"/>
      <c r="BR358" s="174"/>
      <c r="BS358" s="174"/>
      <c r="BT358" s="174"/>
      <c r="BU358" s="174"/>
      <c r="BV358" s="174"/>
      <c r="BW358" s="174"/>
      <c r="BX358" s="174"/>
    </row>
    <row r="359" spans="1:76" s="152" customFormat="1" ht="15" customHeight="1" x14ac:dyDescent="0.25">
      <c r="A359" s="152">
        <f t="shared" si="10"/>
        <v>2000</v>
      </c>
      <c r="B359" s="152" t="str">
        <f t="shared" si="11"/>
        <v>1999-00</v>
      </c>
      <c r="C359" s="173">
        <v>36526</v>
      </c>
      <c r="D359" s="154">
        <v>0.65793157894736842</v>
      </c>
      <c r="E359" s="155">
        <v>192.02391063157896</v>
      </c>
      <c r="F359" s="155">
        <v>291.86</v>
      </c>
      <c r="G359" s="155"/>
      <c r="H359" s="155"/>
      <c r="I359" s="156">
        <v>284.315</v>
      </c>
      <c r="J359" s="156">
        <v>434.08</v>
      </c>
      <c r="K359" s="157"/>
      <c r="L359" s="158"/>
      <c r="M359" s="159">
        <v>8313.75</v>
      </c>
      <c r="N359" s="159">
        <v>12636.192373227099</v>
      </c>
      <c r="O359" s="175">
        <v>1843.98</v>
      </c>
      <c r="P359" s="175">
        <v>2802.692649211644</v>
      </c>
      <c r="Q359" s="175">
        <v>472.08</v>
      </c>
      <c r="R359" s="175">
        <v>717.52141880054717</v>
      </c>
      <c r="S359" s="175">
        <v>1178.8</v>
      </c>
      <c r="T359" s="175">
        <v>1791.6756661626948</v>
      </c>
      <c r="U359" s="161">
        <v>361.05969189473683</v>
      </c>
      <c r="V359" s="161">
        <v>548.78</v>
      </c>
      <c r="W359" s="161">
        <v>1877.9406851052631</v>
      </c>
      <c r="X359" s="161">
        <v>2854.31</v>
      </c>
      <c r="Y359" s="162"/>
      <c r="Z359" s="162"/>
      <c r="AA359" s="162"/>
      <c r="AB359" s="162"/>
      <c r="AC359" s="163">
        <v>5.1870000000000003</v>
      </c>
      <c r="AD359" s="163">
        <v>7.93</v>
      </c>
      <c r="AE359" s="163">
        <v>32283.599999999999</v>
      </c>
      <c r="AF359" s="163">
        <v>49068.32417384626</v>
      </c>
      <c r="AG359" s="163">
        <v>441.7</v>
      </c>
      <c r="AH359" s="163">
        <v>671.34640460134233</v>
      </c>
      <c r="AI359" s="163">
        <v>452.35</v>
      </c>
      <c r="AJ359" s="163">
        <v>687.53349812410511</v>
      </c>
      <c r="AK359" s="164">
        <v>25.4</v>
      </c>
      <c r="AL359" s="164">
        <v>38.605838073067908</v>
      </c>
      <c r="AM359" s="164">
        <v>27.26</v>
      </c>
      <c r="AN359" s="164">
        <v>41.432879758733513</v>
      </c>
      <c r="AO359" s="164"/>
      <c r="AP359" s="164"/>
      <c r="AS359" s="167"/>
      <c r="AT359" s="1170"/>
      <c r="AU359" s="1171"/>
      <c r="AV359" s="1171"/>
      <c r="AW359" s="1172"/>
      <c r="AX359" s="1172"/>
      <c r="AY359" s="1172"/>
      <c r="AZ359" s="1172"/>
      <c r="BA359" s="1252" t="s">
        <v>32</v>
      </c>
      <c r="BB359" s="1253">
        <v>2006</v>
      </c>
      <c r="BC359" s="1252" t="s">
        <v>320</v>
      </c>
      <c r="BD359" s="1252">
        <v>9</v>
      </c>
      <c r="BE359" s="1254">
        <v>160018000</v>
      </c>
      <c r="BF359" s="1239">
        <v>1.7763356541508294E-2</v>
      </c>
      <c r="BG359" s="1236"/>
      <c r="BH359" s="1236" t="s">
        <v>54</v>
      </c>
      <c r="BI359" s="1236" t="s">
        <v>302</v>
      </c>
      <c r="BJ359" s="1236" t="s">
        <v>281</v>
      </c>
      <c r="BK359" s="1236">
        <v>1</v>
      </c>
      <c r="BL359" s="1238">
        <v>215957965</v>
      </c>
      <c r="BM359" s="1239">
        <v>0.29299999999999998</v>
      </c>
      <c r="BN359" s="1236">
        <v>2009</v>
      </c>
      <c r="BO359" s="174"/>
      <c r="BP359" s="174"/>
      <c r="BQ359" s="174"/>
      <c r="BR359" s="174"/>
      <c r="BS359" s="174"/>
      <c r="BT359" s="174"/>
      <c r="BU359" s="174"/>
      <c r="BV359" s="174"/>
      <c r="BW359" s="174"/>
      <c r="BX359" s="174"/>
    </row>
    <row r="360" spans="1:76" s="152" customFormat="1" ht="15" customHeight="1" x14ac:dyDescent="0.25">
      <c r="A360" s="152">
        <f t="shared" si="10"/>
        <v>2000</v>
      </c>
      <c r="B360" s="152" t="str">
        <f t="shared" si="11"/>
        <v>1999-00</v>
      </c>
      <c r="C360" s="173">
        <v>36557</v>
      </c>
      <c r="D360" s="169">
        <v>0.62911904761904758</v>
      </c>
      <c r="E360" s="170">
        <v>203.66470928571428</v>
      </c>
      <c r="F360" s="170">
        <v>323.73</v>
      </c>
      <c r="G360" s="170"/>
      <c r="H360" s="170"/>
      <c r="I360" s="169">
        <v>300.06</v>
      </c>
      <c r="J360" s="169">
        <v>478.41</v>
      </c>
      <c r="K360" s="169"/>
      <c r="L360" s="170"/>
      <c r="M360" s="170">
        <v>9657.6200000000008</v>
      </c>
      <c r="N360" s="170">
        <v>15351.021458577756</v>
      </c>
      <c r="O360" s="170">
        <v>1800.83</v>
      </c>
      <c r="P360" s="170">
        <v>2862.4630057147183</v>
      </c>
      <c r="Q360" s="170">
        <v>452.38</v>
      </c>
      <c r="R360" s="170">
        <v>719.06899292283242</v>
      </c>
      <c r="S360" s="170">
        <v>1094.8800000000001</v>
      </c>
      <c r="T360" s="170">
        <v>1740.3383415963367</v>
      </c>
      <c r="U360" s="170">
        <v>323.85161214285711</v>
      </c>
      <c r="V360" s="170">
        <v>514.77</v>
      </c>
      <c r="W360" s="170">
        <v>1886.8035180952379</v>
      </c>
      <c r="X360" s="170">
        <v>2999.12</v>
      </c>
      <c r="Y360" s="170"/>
      <c r="Z360" s="170"/>
      <c r="AA360" s="170"/>
      <c r="AB360" s="170"/>
      <c r="AC360" s="170">
        <v>5.25</v>
      </c>
      <c r="AD360" s="170">
        <v>8.3699999999999992</v>
      </c>
      <c r="AE360" s="170">
        <v>31305.3</v>
      </c>
      <c r="AF360" s="170">
        <v>49760.534382923972</v>
      </c>
      <c r="AG360" s="170">
        <v>515.42899999999997</v>
      </c>
      <c r="AH360" s="170">
        <v>819.28690913219543</v>
      </c>
      <c r="AI360" s="170">
        <v>635.09500000000003</v>
      </c>
      <c r="AJ360" s="170">
        <v>1009.49892139424</v>
      </c>
      <c r="AK360" s="170">
        <v>27.77</v>
      </c>
      <c r="AL360" s="170">
        <v>44.141089202588653</v>
      </c>
      <c r="AM360" s="170">
        <v>27.59</v>
      </c>
      <c r="AN360" s="170">
        <v>43.854974832532264</v>
      </c>
      <c r="AO360" s="170"/>
      <c r="AP360" s="170"/>
      <c r="AS360" s="167"/>
      <c r="AT360" s="1170"/>
      <c r="AU360" s="1171"/>
      <c r="AV360" s="1171"/>
      <c r="AW360" s="1172"/>
      <c r="AX360" s="1172"/>
      <c r="AY360" s="1172"/>
      <c r="AZ360" s="1172"/>
      <c r="BA360" s="1252" t="s">
        <v>32</v>
      </c>
      <c r="BB360" s="1253">
        <v>2006</v>
      </c>
      <c r="BC360" s="1252" t="s">
        <v>329</v>
      </c>
      <c r="BD360" s="1252">
        <v>10</v>
      </c>
      <c r="BE360" s="1254">
        <v>47630000</v>
      </c>
      <c r="BF360" s="1239">
        <v>5.2873343753330254E-3</v>
      </c>
      <c r="BG360" s="1236"/>
      <c r="BH360" s="1236" t="s">
        <v>54</v>
      </c>
      <c r="BI360" s="1236" t="s">
        <v>302</v>
      </c>
      <c r="BJ360" s="1236" t="s">
        <v>286</v>
      </c>
      <c r="BK360" s="1236">
        <v>2</v>
      </c>
      <c r="BL360" s="1238">
        <v>116067615</v>
      </c>
      <c r="BM360" s="1239">
        <v>0.157</v>
      </c>
      <c r="BN360" s="1236">
        <v>2009</v>
      </c>
      <c r="BO360" s="174"/>
      <c r="BP360" s="174"/>
      <c r="BQ360" s="174"/>
      <c r="BR360" s="174"/>
      <c r="BS360" s="174"/>
      <c r="BT360" s="174"/>
      <c r="BU360" s="174"/>
      <c r="BV360" s="174"/>
      <c r="BW360" s="174"/>
      <c r="BX360" s="174"/>
    </row>
    <row r="361" spans="1:76" s="152" customFormat="1" ht="15" customHeight="1" x14ac:dyDescent="0.25">
      <c r="A361" s="152">
        <f t="shared" si="10"/>
        <v>2000</v>
      </c>
      <c r="B361" s="152" t="str">
        <f t="shared" si="11"/>
        <v>1999-00</v>
      </c>
      <c r="C361" s="173">
        <v>36586</v>
      </c>
      <c r="D361" s="154">
        <v>0.60961304347826084</v>
      </c>
      <c r="E361" s="155">
        <v>199.89821308695653</v>
      </c>
      <c r="F361" s="155">
        <v>327.91</v>
      </c>
      <c r="G361" s="155"/>
      <c r="H361" s="155"/>
      <c r="I361" s="156">
        <v>286.38900000000001</v>
      </c>
      <c r="J361" s="156">
        <v>470.93</v>
      </c>
      <c r="K361" s="157"/>
      <c r="L361" s="158"/>
      <c r="M361" s="159">
        <v>10284.35</v>
      </c>
      <c r="N361" s="159">
        <v>16870.291917181963</v>
      </c>
      <c r="O361" s="175">
        <v>1739.39</v>
      </c>
      <c r="P361" s="175">
        <v>2853.2690017188384</v>
      </c>
      <c r="Q361" s="175">
        <v>441.3</v>
      </c>
      <c r="R361" s="175">
        <v>723.90183366497638</v>
      </c>
      <c r="S361" s="175">
        <v>1116.3699999999999</v>
      </c>
      <c r="T361" s="175">
        <v>1831.2764333754126</v>
      </c>
      <c r="U361" s="161">
        <v>356.46513104347827</v>
      </c>
      <c r="V361" s="161">
        <v>584.74</v>
      </c>
      <c r="W361" s="161">
        <v>1885.3746440869563</v>
      </c>
      <c r="X361" s="161">
        <v>3092.74</v>
      </c>
      <c r="Y361" s="162"/>
      <c r="Z361" s="162"/>
      <c r="AA361" s="162"/>
      <c r="AB361" s="162"/>
      <c r="AC361" s="163">
        <v>5.0609999999999999</v>
      </c>
      <c r="AD361" s="163">
        <v>8.35</v>
      </c>
      <c r="AE361" s="163">
        <v>33744.199999999997</v>
      </c>
      <c r="AF361" s="163">
        <v>55353.474406430309</v>
      </c>
      <c r="AG361" s="163">
        <v>478.89100000000002</v>
      </c>
      <c r="AH361" s="163">
        <v>785.56554050680768</v>
      </c>
      <c r="AI361" s="163">
        <v>664.43499999999995</v>
      </c>
      <c r="AJ361" s="163">
        <v>1089.9291068461105</v>
      </c>
      <c r="AK361" s="164">
        <v>27.42</v>
      </c>
      <c r="AL361" s="164">
        <v>44.979352547232388</v>
      </c>
      <c r="AM361" s="164">
        <v>28.42</v>
      </c>
      <c r="AN361" s="164">
        <v>46.619737395782074</v>
      </c>
      <c r="AO361" s="164"/>
      <c r="AP361" s="164"/>
      <c r="AS361" s="167"/>
      <c r="AT361" s="1170"/>
      <c r="AU361" s="1171"/>
      <c r="AV361" s="1171"/>
      <c r="AW361" s="1172"/>
      <c r="AX361" s="1172"/>
      <c r="AY361" s="1172"/>
      <c r="AZ361" s="1172"/>
      <c r="BA361" s="1252" t="s">
        <v>32</v>
      </c>
      <c r="BB361" s="1253">
        <v>2006</v>
      </c>
      <c r="BC361" s="1252" t="s">
        <v>291</v>
      </c>
      <c r="BD361" s="1252"/>
      <c r="BE361" s="1254">
        <v>26062000</v>
      </c>
      <c r="BF361" s="1239">
        <v>2.8931032645376719E-3</v>
      </c>
      <c r="BG361" s="1236"/>
      <c r="BH361" s="1236" t="s">
        <v>54</v>
      </c>
      <c r="BI361" s="1236" t="s">
        <v>302</v>
      </c>
      <c r="BJ361" s="1236" t="s">
        <v>312</v>
      </c>
      <c r="BK361" s="1236">
        <v>3</v>
      </c>
      <c r="BL361" s="1238">
        <v>57472757</v>
      </c>
      <c r="BM361" s="1239">
        <v>7.8E-2</v>
      </c>
      <c r="BN361" s="1236">
        <v>2009</v>
      </c>
      <c r="BO361" s="174"/>
      <c r="BP361" s="174"/>
      <c r="BQ361" s="174"/>
      <c r="BR361" s="174"/>
      <c r="BS361" s="174"/>
      <c r="BT361" s="174"/>
      <c r="BU361" s="174"/>
      <c r="BV361" s="174"/>
      <c r="BW361" s="174"/>
      <c r="BX361" s="174"/>
    </row>
    <row r="362" spans="1:76" s="152" customFormat="1" ht="15" customHeight="1" x14ac:dyDescent="0.25">
      <c r="A362" s="152">
        <f t="shared" si="10"/>
        <v>2000</v>
      </c>
      <c r="B362" s="152" t="str">
        <f t="shared" si="11"/>
        <v>1999-00</v>
      </c>
      <c r="C362" s="173">
        <v>36617</v>
      </c>
      <c r="D362" s="169">
        <v>0.59809411764705878</v>
      </c>
      <c r="E362" s="170">
        <v>210.11046352941176</v>
      </c>
      <c r="F362" s="170">
        <v>351.3</v>
      </c>
      <c r="G362" s="170"/>
      <c r="H362" s="170"/>
      <c r="I362" s="169">
        <v>279.69400000000002</v>
      </c>
      <c r="J362" s="169">
        <v>470.05</v>
      </c>
      <c r="K362" s="169"/>
      <c r="L362" s="170"/>
      <c r="M362" s="170">
        <v>9731.39</v>
      </c>
      <c r="N362" s="170">
        <v>16270.666627326016</v>
      </c>
      <c r="O362" s="170">
        <v>1678.75</v>
      </c>
      <c r="P362" s="170">
        <v>2806.8324875093435</v>
      </c>
      <c r="Q362" s="170">
        <v>421.14</v>
      </c>
      <c r="R362" s="170">
        <v>704.13666942051225</v>
      </c>
      <c r="S362" s="170">
        <v>1127.6400000000001</v>
      </c>
      <c r="T362" s="170">
        <v>1885.388882332114</v>
      </c>
      <c r="U362" s="170">
        <v>362.34934023529411</v>
      </c>
      <c r="V362" s="170">
        <v>605.84</v>
      </c>
      <c r="W362" s="170">
        <v>1881.478494352941</v>
      </c>
      <c r="X362" s="170">
        <v>3145.79</v>
      </c>
      <c r="Y362" s="170"/>
      <c r="Z362" s="170"/>
      <c r="AA362" s="170"/>
      <c r="AB362" s="170"/>
      <c r="AC362" s="170">
        <v>5.0609999999999999</v>
      </c>
      <c r="AD362" s="170">
        <v>8.5299999999999994</v>
      </c>
      <c r="AE362" s="170">
        <v>37092.400000000001</v>
      </c>
      <c r="AF362" s="170">
        <v>62017.663952161776</v>
      </c>
      <c r="AG362" s="170">
        <v>498.88900000000001</v>
      </c>
      <c r="AH362" s="170">
        <v>834.13126008104177</v>
      </c>
      <c r="AI362" s="170">
        <v>573.62800000000004</v>
      </c>
      <c r="AJ362" s="170">
        <v>959.09319800149513</v>
      </c>
      <c r="AK362" s="170">
        <v>22.62</v>
      </c>
      <c r="AL362" s="170">
        <v>37.820134545025383</v>
      </c>
      <c r="AM362" s="170">
        <v>25.46</v>
      </c>
      <c r="AN362" s="170">
        <v>42.568551083834933</v>
      </c>
      <c r="AO362" s="170"/>
      <c r="AP362" s="170"/>
      <c r="AS362" s="167"/>
      <c r="AT362" s="1170"/>
      <c r="AU362" s="1171"/>
      <c r="AV362" s="1171"/>
      <c r="AW362" s="1172"/>
      <c r="AX362" s="1172"/>
      <c r="AY362" s="1172"/>
      <c r="AZ362" s="1172"/>
      <c r="BA362" s="1252" t="s">
        <v>32</v>
      </c>
      <c r="BB362" s="1253">
        <v>2006</v>
      </c>
      <c r="BC362" s="1252" t="s">
        <v>292</v>
      </c>
      <c r="BD362" s="1252"/>
      <c r="BE362" s="1254">
        <v>9008320000</v>
      </c>
      <c r="BF362" s="1239">
        <v>1</v>
      </c>
      <c r="BG362" s="1236"/>
      <c r="BH362" s="1236" t="s">
        <v>54</v>
      </c>
      <c r="BI362" s="1236" t="s">
        <v>302</v>
      </c>
      <c r="BJ362" s="1236" t="s">
        <v>315</v>
      </c>
      <c r="BK362" s="1236">
        <v>4</v>
      </c>
      <c r="BL362" s="1238">
        <v>50650036</v>
      </c>
      <c r="BM362" s="1239">
        <v>6.9000000000000006E-2</v>
      </c>
      <c r="BN362" s="1236">
        <v>2009</v>
      </c>
      <c r="BO362" s="174"/>
      <c r="BP362" s="174"/>
      <c r="BQ362" s="174"/>
      <c r="BR362" s="174"/>
      <c r="BS362" s="174"/>
      <c r="BT362" s="174"/>
      <c r="BU362" s="174"/>
      <c r="BV362" s="174"/>
      <c r="BW362" s="174"/>
      <c r="BX362" s="174"/>
    </row>
    <row r="363" spans="1:76" s="152" customFormat="1" ht="15" customHeight="1" x14ac:dyDescent="0.25">
      <c r="A363" s="152">
        <f t="shared" si="10"/>
        <v>2000</v>
      </c>
      <c r="B363" s="152" t="str">
        <f t="shared" si="11"/>
        <v>1999-00</v>
      </c>
      <c r="C363" s="173">
        <v>36647</v>
      </c>
      <c r="D363" s="154">
        <v>0.57845217391304349</v>
      </c>
      <c r="E363" s="155">
        <v>197.00924139130433</v>
      </c>
      <c r="F363" s="155">
        <v>340.58</v>
      </c>
      <c r="G363" s="155"/>
      <c r="H363" s="155"/>
      <c r="I363" s="156">
        <v>275.20699999999999</v>
      </c>
      <c r="J363" s="156">
        <v>476.7</v>
      </c>
      <c r="K363" s="157"/>
      <c r="L363" s="158"/>
      <c r="M363" s="159">
        <v>10134.290000000001</v>
      </c>
      <c r="N363" s="159">
        <v>17519.667929406813</v>
      </c>
      <c r="O363" s="175">
        <v>1785.62</v>
      </c>
      <c r="P363" s="175">
        <v>3086.8930579357202</v>
      </c>
      <c r="Q363" s="175">
        <v>412.12</v>
      </c>
      <c r="R363" s="175">
        <v>712.45302306004032</v>
      </c>
      <c r="S363" s="175">
        <v>1156.8800000000001</v>
      </c>
      <c r="T363" s="175">
        <v>1999.9579086617962</v>
      </c>
      <c r="U363" s="161">
        <v>377.90280521739129</v>
      </c>
      <c r="V363" s="161">
        <v>653.29999999999995</v>
      </c>
      <c r="W363" s="161">
        <v>1905.2594942608696</v>
      </c>
      <c r="X363" s="161">
        <v>3293.72</v>
      </c>
      <c r="Y363" s="162"/>
      <c r="Z363" s="162"/>
      <c r="AA363" s="162"/>
      <c r="AB363" s="162"/>
      <c r="AC363" s="163">
        <v>4.9859999999999998</v>
      </c>
      <c r="AD363" s="163">
        <v>8.68</v>
      </c>
      <c r="AE363" s="163">
        <v>36720.400000000001</v>
      </c>
      <c r="AF363" s="163">
        <v>63480.442560355972</v>
      </c>
      <c r="AG363" s="163">
        <v>525.42899999999997</v>
      </c>
      <c r="AH363" s="163">
        <v>908.33611436817887</v>
      </c>
      <c r="AI363" s="163">
        <v>571.42899999999997</v>
      </c>
      <c r="AJ363" s="163">
        <v>987.85867833198029</v>
      </c>
      <c r="AK363" s="164">
        <v>27.13</v>
      </c>
      <c r="AL363" s="164">
        <v>46.90102522473768</v>
      </c>
      <c r="AM363" s="164">
        <v>28.78</v>
      </c>
      <c r="AN363" s="164">
        <v>49.753465019091429</v>
      </c>
      <c r="AO363" s="164"/>
      <c r="AP363" s="164"/>
      <c r="AS363" s="167"/>
      <c r="AT363" s="1170"/>
      <c r="AU363" s="1171"/>
      <c r="AV363" s="1171"/>
      <c r="AW363" s="1172"/>
      <c r="AX363" s="1172"/>
      <c r="AY363" s="1172"/>
      <c r="AZ363" s="1172"/>
      <c r="BA363" s="1255" t="s">
        <v>32</v>
      </c>
      <c r="BB363" s="1256">
        <v>2007</v>
      </c>
      <c r="BC363" s="1255" t="s">
        <v>287</v>
      </c>
      <c r="BD363" s="1255">
        <v>1</v>
      </c>
      <c r="BE363" s="1257">
        <v>4143081000</v>
      </c>
      <c r="BF363" s="1239">
        <v>0.36679472211925473</v>
      </c>
      <c r="BG363" s="1236"/>
      <c r="BH363" s="1236" t="s">
        <v>54</v>
      </c>
      <c r="BI363" s="1236" t="s">
        <v>302</v>
      </c>
      <c r="BJ363" s="1236" t="s">
        <v>314</v>
      </c>
      <c r="BK363" s="1236">
        <v>5</v>
      </c>
      <c r="BL363" s="1238">
        <v>39822260</v>
      </c>
      <c r="BM363" s="1239">
        <v>5.3999999999999999E-2</v>
      </c>
      <c r="BN363" s="1236">
        <v>2009</v>
      </c>
      <c r="BO363" s="174"/>
      <c r="BP363" s="174"/>
      <c r="BQ363" s="174"/>
      <c r="BR363" s="174"/>
      <c r="BS363" s="174"/>
      <c r="BT363" s="174"/>
      <c r="BU363" s="174"/>
      <c r="BV363" s="174"/>
      <c r="BW363" s="174"/>
      <c r="BX363" s="174"/>
    </row>
    <row r="364" spans="1:76" s="152" customFormat="1" ht="15" customHeight="1" x14ac:dyDescent="0.25">
      <c r="A364" s="152">
        <f t="shared" si="10"/>
        <v>2000</v>
      </c>
      <c r="B364" s="152" t="str">
        <f t="shared" si="11"/>
        <v>1999-00</v>
      </c>
      <c r="C364" s="173">
        <v>36678</v>
      </c>
      <c r="D364" s="169">
        <v>0.59400476190476181</v>
      </c>
      <c r="E364" s="170">
        <v>196.74625723809521</v>
      </c>
      <c r="F364" s="170">
        <v>331.22</v>
      </c>
      <c r="G364" s="170"/>
      <c r="H364" s="170"/>
      <c r="I364" s="169">
        <v>285.71600000000001</v>
      </c>
      <c r="J364" s="169">
        <v>481.74</v>
      </c>
      <c r="K364" s="169"/>
      <c r="L364" s="170"/>
      <c r="M364" s="170">
        <v>8415.4500000000007</v>
      </c>
      <c r="N364" s="170">
        <v>14167.310667703485</v>
      </c>
      <c r="O364" s="170">
        <v>1753.18</v>
      </c>
      <c r="P364" s="170">
        <v>2951.4578206042925</v>
      </c>
      <c r="Q364" s="170">
        <v>419.59</v>
      </c>
      <c r="R364" s="170">
        <v>706.37480860342635</v>
      </c>
      <c r="S364" s="170">
        <v>1117.93</v>
      </c>
      <c r="T364" s="170">
        <v>1882.0219494793216</v>
      </c>
      <c r="U364" s="170">
        <v>371.95984185714281</v>
      </c>
      <c r="V364" s="170">
        <v>626.19000000000005</v>
      </c>
      <c r="W364" s="170">
        <v>1905.329674285714</v>
      </c>
      <c r="X364" s="170">
        <v>3207.6</v>
      </c>
      <c r="Y364" s="170"/>
      <c r="Z364" s="170"/>
      <c r="AA364" s="170"/>
      <c r="AB364" s="170"/>
      <c r="AC364" s="170">
        <v>4.9960000000000004</v>
      </c>
      <c r="AD364" s="170">
        <v>8.4700000000000006</v>
      </c>
      <c r="AE364" s="170">
        <v>35071.5</v>
      </c>
      <c r="AF364" s="170">
        <v>59042.455968767295</v>
      </c>
      <c r="AG364" s="170">
        <v>558.06799999999998</v>
      </c>
      <c r="AH364" s="170">
        <v>939.50088583545119</v>
      </c>
      <c r="AI364" s="170">
        <v>647.54499999999996</v>
      </c>
      <c r="AJ364" s="170">
        <v>1090.1343583905855</v>
      </c>
      <c r="AK364" s="170">
        <v>29.65</v>
      </c>
      <c r="AL364" s="170">
        <v>49.915424760102937</v>
      </c>
      <c r="AM364" s="170">
        <v>30.66</v>
      </c>
      <c r="AN364" s="170">
        <v>51.615747829502737</v>
      </c>
      <c r="AO364" s="170"/>
      <c r="AP364" s="170"/>
      <c r="AS364" s="167"/>
      <c r="AT364" s="1170"/>
      <c r="AU364" s="1171"/>
      <c r="AV364" s="1171"/>
      <c r="AW364" s="1172"/>
      <c r="AX364" s="1172"/>
      <c r="AY364" s="1172"/>
      <c r="AZ364" s="1172"/>
      <c r="BA364" s="1255" t="s">
        <v>32</v>
      </c>
      <c r="BB364" s="1256">
        <v>2007</v>
      </c>
      <c r="BC364" s="1255" t="s">
        <v>314</v>
      </c>
      <c r="BD364" s="1255">
        <v>2</v>
      </c>
      <c r="BE364" s="1257">
        <v>2745002000</v>
      </c>
      <c r="BF364" s="1239">
        <v>0.24302016924284089</v>
      </c>
      <c r="BG364" s="1236"/>
      <c r="BH364" s="1236" t="s">
        <v>54</v>
      </c>
      <c r="BI364" s="1236" t="s">
        <v>302</v>
      </c>
      <c r="BJ364" s="1236" t="s">
        <v>285</v>
      </c>
      <c r="BK364" s="1236">
        <v>6</v>
      </c>
      <c r="BL364" s="1238">
        <v>37139119</v>
      </c>
      <c r="BM364" s="1239">
        <v>0.05</v>
      </c>
      <c r="BN364" s="1236">
        <v>2009</v>
      </c>
      <c r="BO364" s="174"/>
      <c r="BP364" s="174"/>
      <c r="BQ364" s="174"/>
      <c r="BR364" s="174"/>
      <c r="BS364" s="174"/>
      <c r="BT364" s="174"/>
      <c r="BU364" s="174"/>
      <c r="BV364" s="174"/>
      <c r="BW364" s="174"/>
      <c r="BX364" s="174"/>
    </row>
    <row r="365" spans="1:76" s="152" customFormat="1" ht="15" customHeight="1" x14ac:dyDescent="0.25">
      <c r="A365" s="152">
        <f t="shared" si="10"/>
        <v>2000</v>
      </c>
      <c r="B365" s="152" t="str">
        <f t="shared" si="11"/>
        <v>2000-01</v>
      </c>
      <c r="C365" s="173">
        <v>36708</v>
      </c>
      <c r="D365" s="154">
        <v>0.58870476190476195</v>
      </c>
      <c r="E365" s="155">
        <v>198.91156495238096</v>
      </c>
      <c r="F365" s="155">
        <v>337.88</v>
      </c>
      <c r="G365" s="155"/>
      <c r="H365" s="155"/>
      <c r="I365" s="156">
        <v>281.58600000000001</v>
      </c>
      <c r="J365" s="156">
        <v>480.72</v>
      </c>
      <c r="K365" s="157"/>
      <c r="L365" s="158"/>
      <c r="M365" s="159">
        <v>8167.86</v>
      </c>
      <c r="N365" s="159">
        <v>13874.288996020317</v>
      </c>
      <c r="O365" s="175">
        <v>1799.36</v>
      </c>
      <c r="P365" s="175">
        <v>3056.4726437376644</v>
      </c>
      <c r="Q365" s="175">
        <v>452.12</v>
      </c>
      <c r="R365" s="175">
        <v>767.99106998414595</v>
      </c>
      <c r="S365" s="175">
        <v>1136.21</v>
      </c>
      <c r="T365" s="175">
        <v>1930.0166628919014</v>
      </c>
      <c r="U365" s="161">
        <v>380.86254571428577</v>
      </c>
      <c r="V365" s="161">
        <v>646.95000000000005</v>
      </c>
      <c r="W365" s="161">
        <v>1946.7583419047621</v>
      </c>
      <c r="X365" s="161">
        <v>3306.85</v>
      </c>
      <c r="Y365" s="162"/>
      <c r="Z365" s="162"/>
      <c r="AA365" s="162"/>
      <c r="AB365" s="162"/>
      <c r="AC365" s="163">
        <v>4.9690000000000003</v>
      </c>
      <c r="AD365" s="163">
        <v>8.5</v>
      </c>
      <c r="AE365" s="163">
        <v>29872.3</v>
      </c>
      <c r="AF365" s="163">
        <v>50742.412722037072</v>
      </c>
      <c r="AG365" s="163">
        <v>560.80999999999995</v>
      </c>
      <c r="AH365" s="163">
        <v>952.61672113113514</v>
      </c>
      <c r="AI365" s="163">
        <v>704.90499999999997</v>
      </c>
      <c r="AJ365" s="163">
        <v>1197.3828744297407</v>
      </c>
      <c r="AK365" s="164">
        <v>28.51</v>
      </c>
      <c r="AL365" s="164">
        <v>48.428349564823499</v>
      </c>
      <c r="AM365" s="164">
        <v>30.91</v>
      </c>
      <c r="AN365" s="164">
        <v>52.505095932960167</v>
      </c>
      <c r="AO365" s="164"/>
      <c r="AP365" s="164"/>
      <c r="AS365" s="167"/>
      <c r="AT365" s="1170"/>
      <c r="AU365" s="1171"/>
      <c r="AV365" s="1171"/>
      <c r="AW365" s="1172"/>
      <c r="AX365" s="1172"/>
      <c r="AY365" s="1172"/>
      <c r="AZ365" s="1172"/>
      <c r="BA365" s="1255" t="s">
        <v>32</v>
      </c>
      <c r="BB365" s="1256">
        <v>2007</v>
      </c>
      <c r="BC365" s="1255" t="s">
        <v>328</v>
      </c>
      <c r="BD365" s="1255">
        <v>3</v>
      </c>
      <c r="BE365" s="1257">
        <v>1477179000</v>
      </c>
      <c r="BF365" s="1239">
        <v>0.13077742405359649</v>
      </c>
      <c r="BG365" s="1236"/>
      <c r="BH365" s="1236" t="s">
        <v>54</v>
      </c>
      <c r="BI365" s="1236" t="s">
        <v>302</v>
      </c>
      <c r="BJ365" s="1236" t="s">
        <v>290</v>
      </c>
      <c r="BK365" s="1236">
        <v>7</v>
      </c>
      <c r="BL365" s="1238">
        <v>35348964</v>
      </c>
      <c r="BM365" s="1239">
        <v>4.8000000000000001E-2</v>
      </c>
      <c r="BN365" s="1236">
        <v>2009</v>
      </c>
      <c r="BO365" s="174"/>
      <c r="BP365" s="174"/>
      <c r="BQ365" s="174"/>
      <c r="BR365" s="174"/>
      <c r="BS365" s="174"/>
      <c r="BT365" s="174"/>
      <c r="BU365" s="174"/>
      <c r="BV365" s="174"/>
      <c r="BW365" s="174"/>
      <c r="BX365" s="174"/>
    </row>
    <row r="366" spans="1:76" s="152" customFormat="1" ht="15" customHeight="1" x14ac:dyDescent="0.25">
      <c r="A366" s="152">
        <f t="shared" si="10"/>
        <v>2000</v>
      </c>
      <c r="B366" s="152" t="str">
        <f t="shared" si="11"/>
        <v>2000-01</v>
      </c>
      <c r="C366" s="173">
        <v>36739</v>
      </c>
      <c r="D366" s="169">
        <v>0.58145000000000013</v>
      </c>
      <c r="E366" s="170">
        <v>198.13490200000004</v>
      </c>
      <c r="F366" s="170">
        <v>340.76</v>
      </c>
      <c r="G366" s="170"/>
      <c r="H366" s="170"/>
      <c r="I366" s="169">
        <v>274.49099999999999</v>
      </c>
      <c r="J366" s="169">
        <v>473.36</v>
      </c>
      <c r="K366" s="169"/>
      <c r="L366" s="170"/>
      <c r="M366" s="170">
        <v>8010.45</v>
      </c>
      <c r="N366" s="170">
        <v>13776.678992174731</v>
      </c>
      <c r="O366" s="170">
        <v>1855.86</v>
      </c>
      <c r="P366" s="170">
        <v>3191.7791727577601</v>
      </c>
      <c r="Q366" s="170">
        <v>473.09</v>
      </c>
      <c r="R366" s="170">
        <v>813.63831799810794</v>
      </c>
      <c r="S366" s="170">
        <v>1169.21</v>
      </c>
      <c r="T366" s="170">
        <v>2010.8521798950894</v>
      </c>
      <c r="U366" s="170">
        <v>373.08157800000009</v>
      </c>
      <c r="V366" s="170">
        <v>641.64</v>
      </c>
      <c r="W366" s="170">
        <v>1933.1293715000004</v>
      </c>
      <c r="X366" s="170">
        <v>3324.67</v>
      </c>
      <c r="Y366" s="170"/>
      <c r="Z366" s="170"/>
      <c r="AA366" s="170"/>
      <c r="AB366" s="170"/>
      <c r="AC366" s="170">
        <v>4.8840000000000003</v>
      </c>
      <c r="AD366" s="170">
        <v>8.4600000000000009</v>
      </c>
      <c r="AE366" s="170">
        <v>32380</v>
      </c>
      <c r="AF366" s="170">
        <v>55688.365293662384</v>
      </c>
      <c r="AG366" s="170">
        <v>577.63599999999997</v>
      </c>
      <c r="AH366" s="170">
        <v>993.44053658956034</v>
      </c>
      <c r="AI366" s="170">
        <v>761.04499999999996</v>
      </c>
      <c r="AJ366" s="170">
        <v>1308.8743658096134</v>
      </c>
      <c r="AK366" s="170">
        <v>30.03</v>
      </c>
      <c r="AL366" s="170">
        <v>51.64674520595063</v>
      </c>
      <c r="AM366" s="170">
        <v>32.119999999999997</v>
      </c>
      <c r="AN366" s="170">
        <v>55.241207326511294</v>
      </c>
      <c r="AO366" s="170"/>
      <c r="AP366" s="170"/>
      <c r="AS366" s="167"/>
      <c r="AT366" s="1170"/>
      <c r="AU366" s="1171"/>
      <c r="AV366" s="1171"/>
      <c r="AW366" s="1172"/>
      <c r="AX366" s="1172"/>
      <c r="AY366" s="1172"/>
      <c r="AZ366" s="1172"/>
      <c r="BA366" s="1255" t="s">
        <v>32</v>
      </c>
      <c r="BB366" s="1256">
        <v>2007</v>
      </c>
      <c r="BC366" s="1255" t="s">
        <v>279</v>
      </c>
      <c r="BD366" s="1255">
        <v>4</v>
      </c>
      <c r="BE366" s="1257">
        <v>1064866000</v>
      </c>
      <c r="BF366" s="1239">
        <v>9.4274581782070474E-2</v>
      </c>
      <c r="BG366" s="1236"/>
      <c r="BH366" s="1236" t="s">
        <v>54</v>
      </c>
      <c r="BI366" s="1236" t="s">
        <v>302</v>
      </c>
      <c r="BJ366" s="1236" t="s">
        <v>324</v>
      </c>
      <c r="BK366" s="1236">
        <v>8</v>
      </c>
      <c r="BL366" s="1238">
        <v>31647484</v>
      </c>
      <c r="BM366" s="1239">
        <v>4.2999999999999997E-2</v>
      </c>
      <c r="BN366" s="1236">
        <v>2009</v>
      </c>
      <c r="BO366" s="174"/>
      <c r="BP366" s="174"/>
      <c r="BQ366" s="174"/>
      <c r="BR366" s="174"/>
      <c r="BS366" s="174"/>
      <c r="BT366" s="174"/>
      <c r="BU366" s="174"/>
      <c r="BV366" s="174"/>
      <c r="BW366" s="174"/>
      <c r="BX366" s="174"/>
    </row>
    <row r="367" spans="1:76" s="152" customFormat="1" ht="15" customHeight="1" x14ac:dyDescent="0.25">
      <c r="A367" s="152">
        <f t="shared" si="10"/>
        <v>2000</v>
      </c>
      <c r="B367" s="152" t="str">
        <f t="shared" si="11"/>
        <v>2000-01</v>
      </c>
      <c r="C367" s="173">
        <v>36770</v>
      </c>
      <c r="D367" s="154">
        <v>0.55410952380952383</v>
      </c>
      <c r="E367" s="155">
        <v>199.72877785714286</v>
      </c>
      <c r="F367" s="155">
        <v>360.45</v>
      </c>
      <c r="G367" s="155"/>
      <c r="H367" s="155"/>
      <c r="I367" s="156">
        <v>273.70699999999999</v>
      </c>
      <c r="J367" s="156">
        <v>494.74</v>
      </c>
      <c r="K367" s="157"/>
      <c r="L367" s="158"/>
      <c r="M367" s="159">
        <v>8642.14</v>
      </c>
      <c r="N367" s="159">
        <v>15596.447324321303</v>
      </c>
      <c r="O367" s="175">
        <v>1960.4</v>
      </c>
      <c r="P367" s="175">
        <v>3537.9287230477044</v>
      </c>
      <c r="Q367" s="175">
        <v>487.05</v>
      </c>
      <c r="R367" s="175">
        <v>878.97785378513788</v>
      </c>
      <c r="S367" s="175">
        <v>1224.4000000000001</v>
      </c>
      <c r="T367" s="175">
        <v>2209.6714591407922</v>
      </c>
      <c r="U367" s="161">
        <v>371.02619604761907</v>
      </c>
      <c r="V367" s="161">
        <v>669.59</v>
      </c>
      <c r="W367" s="161">
        <v>1898.7671052380952</v>
      </c>
      <c r="X367" s="161">
        <v>3426.7</v>
      </c>
      <c r="Y367" s="162"/>
      <c r="Z367" s="162"/>
      <c r="AA367" s="162"/>
      <c r="AB367" s="162"/>
      <c r="AC367" s="163">
        <v>4.8899999999999997</v>
      </c>
      <c r="AD367" s="163">
        <v>8.8800000000000008</v>
      </c>
      <c r="AE367" s="163">
        <v>35284.620000000003</v>
      </c>
      <c r="AF367" s="163">
        <v>63678.060895645525</v>
      </c>
      <c r="AG367" s="163">
        <v>592.524</v>
      </c>
      <c r="AH367" s="163">
        <v>1069.3265041293193</v>
      </c>
      <c r="AI367" s="163">
        <v>728.524</v>
      </c>
      <c r="AJ367" s="163">
        <v>1314.765346372988</v>
      </c>
      <c r="AK367" s="164">
        <v>32.78</v>
      </c>
      <c r="AL367" s="164">
        <v>59.157979770201869</v>
      </c>
      <c r="AM367" s="164">
        <v>34.36</v>
      </c>
      <c r="AN367" s="164">
        <v>62.009401613915074</v>
      </c>
      <c r="AO367" s="164"/>
      <c r="AP367" s="164"/>
      <c r="AS367" s="167"/>
      <c r="AT367" s="1170"/>
      <c r="AU367" s="1171"/>
      <c r="AV367" s="1171"/>
      <c r="AW367" s="1172"/>
      <c r="AX367" s="1172"/>
      <c r="AY367" s="1172"/>
      <c r="AZ367" s="1172"/>
      <c r="BA367" s="1255" t="s">
        <v>32</v>
      </c>
      <c r="BB367" s="1256">
        <v>2007</v>
      </c>
      <c r="BC367" s="1255" t="s">
        <v>323</v>
      </c>
      <c r="BD367" s="1255">
        <v>5</v>
      </c>
      <c r="BE367" s="1257">
        <v>537729000</v>
      </c>
      <c r="BF367" s="1239">
        <v>4.7606155691975301E-2</v>
      </c>
      <c r="BG367" s="1236"/>
      <c r="BH367" s="1236" t="s">
        <v>54</v>
      </c>
      <c r="BI367" s="1236" t="s">
        <v>302</v>
      </c>
      <c r="BJ367" s="1236" t="s">
        <v>287</v>
      </c>
      <c r="BK367" s="1236">
        <v>9</v>
      </c>
      <c r="BL367" s="1238">
        <v>30620002</v>
      </c>
      <c r="BM367" s="1239">
        <v>4.1000000000000002E-2</v>
      </c>
      <c r="BN367" s="1236">
        <v>2009</v>
      </c>
      <c r="BO367" s="174"/>
      <c r="BP367" s="174"/>
      <c r="BQ367" s="174"/>
      <c r="BR367" s="174"/>
      <c r="BS367" s="174"/>
      <c r="BT367" s="174"/>
      <c r="BU367" s="174"/>
      <c r="BV367" s="174"/>
      <c r="BW367" s="174"/>
      <c r="BX367" s="174"/>
    </row>
    <row r="368" spans="1:76" s="152" customFormat="1" ht="15" customHeight="1" x14ac:dyDescent="0.25">
      <c r="A368" s="152">
        <f t="shared" si="10"/>
        <v>2000</v>
      </c>
      <c r="B368" s="152" t="str">
        <f t="shared" si="11"/>
        <v>2000-01</v>
      </c>
      <c r="C368" s="173">
        <v>36800</v>
      </c>
      <c r="D368" s="169">
        <v>0.52770476190476201</v>
      </c>
      <c r="E368" s="170">
        <v>195.32991761904765</v>
      </c>
      <c r="F368" s="170">
        <v>370.15</v>
      </c>
      <c r="G368" s="170"/>
      <c r="H368" s="170"/>
      <c r="I368" s="169">
        <v>269.98</v>
      </c>
      <c r="J368" s="169">
        <v>488.3</v>
      </c>
      <c r="K368" s="169"/>
      <c r="L368" s="170"/>
      <c r="M368" s="170">
        <v>7682.5</v>
      </c>
      <c r="N368" s="170">
        <v>14558.329874208159</v>
      </c>
      <c r="O368" s="170">
        <v>1898.59</v>
      </c>
      <c r="P368" s="170">
        <v>3597.8261654243888</v>
      </c>
      <c r="Q368" s="170">
        <v>486.14</v>
      </c>
      <c r="R368" s="170">
        <v>921.23481744842877</v>
      </c>
      <c r="S368" s="170">
        <v>1095.8599999999999</v>
      </c>
      <c r="T368" s="170">
        <v>2076.6536122290595</v>
      </c>
      <c r="U368" s="170">
        <v>376.81813933333342</v>
      </c>
      <c r="V368" s="170">
        <v>714.07</v>
      </c>
      <c r="W368" s="170">
        <v>1933.8954720952386</v>
      </c>
      <c r="X368" s="170">
        <v>3664.73</v>
      </c>
      <c r="Y368" s="170"/>
      <c r="Z368" s="170"/>
      <c r="AA368" s="170"/>
      <c r="AB368" s="170"/>
      <c r="AC368" s="170">
        <v>4.83</v>
      </c>
      <c r="AD368" s="170">
        <v>9.19</v>
      </c>
      <c r="AE368" s="170">
        <v>38304.9</v>
      </c>
      <c r="AF368" s="170">
        <v>72587.74747784654</v>
      </c>
      <c r="AG368" s="170">
        <v>579.59100000000001</v>
      </c>
      <c r="AH368" s="170">
        <v>1098.3243696872348</v>
      </c>
      <c r="AI368" s="170">
        <v>739.86400000000003</v>
      </c>
      <c r="AJ368" s="170">
        <v>1402.0415455972854</v>
      </c>
      <c r="AK368" s="170">
        <v>30.93</v>
      </c>
      <c r="AL368" s="170">
        <v>58.612319298308925</v>
      </c>
      <c r="AM368" s="170">
        <v>31.6</v>
      </c>
      <c r="AN368" s="170">
        <v>59.881968633254516</v>
      </c>
      <c r="AO368" s="170"/>
      <c r="AP368" s="170"/>
      <c r="AS368" s="167"/>
      <c r="AT368" s="1170"/>
      <c r="AU368" s="1171"/>
      <c r="AV368" s="1171"/>
      <c r="AW368" s="1172"/>
      <c r="AX368" s="1172"/>
      <c r="AY368" s="1172"/>
      <c r="AZ368" s="1172"/>
      <c r="BA368" s="1255" t="s">
        <v>32</v>
      </c>
      <c r="BB368" s="1256">
        <v>2007</v>
      </c>
      <c r="BC368" s="1255" t="s">
        <v>306</v>
      </c>
      <c r="BD368" s="1255">
        <v>6</v>
      </c>
      <c r="BE368" s="1257">
        <v>457223000</v>
      </c>
      <c r="BF368" s="1239">
        <v>4.0478808700947923E-2</v>
      </c>
      <c r="BG368" s="1236"/>
      <c r="BH368" s="1236" t="s">
        <v>54</v>
      </c>
      <c r="BI368" s="1236" t="s">
        <v>302</v>
      </c>
      <c r="BJ368" s="1236" t="s">
        <v>308</v>
      </c>
      <c r="BK368" s="1236">
        <v>10</v>
      </c>
      <c r="BL368" s="1238">
        <v>26078352</v>
      </c>
      <c r="BM368" s="1239">
        <v>3.5000000000000003E-2</v>
      </c>
      <c r="BN368" s="1236">
        <v>2009</v>
      </c>
      <c r="BO368" s="174"/>
      <c r="BP368" s="174"/>
      <c r="BQ368" s="174"/>
      <c r="BR368" s="174"/>
      <c r="BS368" s="174"/>
      <c r="BT368" s="174"/>
      <c r="BU368" s="174"/>
      <c r="BV368" s="174"/>
      <c r="BW368" s="174"/>
      <c r="BX368" s="174"/>
    </row>
    <row r="369" spans="1:76" s="152" customFormat="1" ht="15" customHeight="1" x14ac:dyDescent="0.25">
      <c r="A369" s="152">
        <f t="shared" si="10"/>
        <v>2000</v>
      </c>
      <c r="B369" s="152" t="str">
        <f t="shared" si="11"/>
        <v>2000-01</v>
      </c>
      <c r="C369" s="173">
        <v>36831</v>
      </c>
      <c r="D369" s="154">
        <v>0.5222681818181818</v>
      </c>
      <c r="E369" s="155">
        <v>197.38603663636363</v>
      </c>
      <c r="F369" s="155">
        <v>377.94</v>
      </c>
      <c r="G369" s="155"/>
      <c r="H369" s="155"/>
      <c r="I369" s="156">
        <v>266.05200000000002</v>
      </c>
      <c r="J369" s="156">
        <v>510.71</v>
      </c>
      <c r="K369" s="157"/>
      <c r="L369" s="158"/>
      <c r="M369" s="159">
        <v>7344.09</v>
      </c>
      <c r="N369" s="159">
        <v>14061.913506644967</v>
      </c>
      <c r="O369" s="175">
        <v>1795.11</v>
      </c>
      <c r="P369" s="175">
        <v>3437.1421857457417</v>
      </c>
      <c r="Q369" s="175">
        <v>467.98</v>
      </c>
      <c r="R369" s="175">
        <v>896.05305529203918</v>
      </c>
      <c r="S369" s="175">
        <v>1059.05</v>
      </c>
      <c r="T369" s="175">
        <v>2027.7896239305826</v>
      </c>
      <c r="U369" s="161">
        <v>352.98017336363637</v>
      </c>
      <c r="V369" s="161">
        <v>675.86</v>
      </c>
      <c r="W369" s="161">
        <v>1921.9939132272727</v>
      </c>
      <c r="X369" s="161">
        <v>3680.09</v>
      </c>
      <c r="Y369" s="162"/>
      <c r="Z369" s="162"/>
      <c r="AA369" s="162"/>
      <c r="AB369" s="162"/>
      <c r="AC369" s="163">
        <v>4.6790000000000003</v>
      </c>
      <c r="AD369" s="163">
        <v>9.0299999999999994</v>
      </c>
      <c r="AE369" s="163">
        <v>32311</v>
      </c>
      <c r="AF369" s="163">
        <v>61866.682912819088</v>
      </c>
      <c r="AG369" s="163">
        <v>593.29499999999996</v>
      </c>
      <c r="AH369" s="163">
        <v>1135.9968320002786</v>
      </c>
      <c r="AI369" s="163">
        <v>783.27300000000002</v>
      </c>
      <c r="AJ369" s="163">
        <v>1499.7524782635185</v>
      </c>
      <c r="AK369" s="164">
        <v>32.520000000000003</v>
      </c>
      <c r="AL369" s="164">
        <v>62.266860460056229</v>
      </c>
      <c r="AM369" s="164">
        <v>32.630000000000003</v>
      </c>
      <c r="AN369" s="164">
        <v>62.47748022175999</v>
      </c>
      <c r="AO369" s="164"/>
      <c r="AP369" s="164"/>
      <c r="AS369" s="167"/>
      <c r="AT369" s="1170"/>
      <c r="AU369" s="1171"/>
      <c r="AV369" s="1171"/>
      <c r="AW369" s="1172"/>
      <c r="AX369" s="1172"/>
      <c r="AY369" s="1172"/>
      <c r="AZ369" s="1172"/>
      <c r="BA369" s="1255" t="s">
        <v>32</v>
      </c>
      <c r="BB369" s="1256">
        <v>2007</v>
      </c>
      <c r="BC369" s="1255" t="s">
        <v>330</v>
      </c>
      <c r="BD369" s="1255">
        <v>7</v>
      </c>
      <c r="BE369" s="1257">
        <v>380827000</v>
      </c>
      <c r="BF369" s="1239">
        <v>3.3715327709139507E-2</v>
      </c>
      <c r="BG369" s="1236"/>
      <c r="BH369" s="1236" t="s">
        <v>54</v>
      </c>
      <c r="BI369" s="1236" t="s">
        <v>302</v>
      </c>
      <c r="BJ369" s="1236" t="s">
        <v>291</v>
      </c>
      <c r="BK369" s="1236"/>
      <c r="BL369" s="1238">
        <v>97194344</v>
      </c>
      <c r="BM369" s="1239">
        <v>0.13200000000000001</v>
      </c>
      <c r="BN369" s="1236">
        <v>2009</v>
      </c>
      <c r="BO369" s="174"/>
      <c r="BP369" s="174"/>
      <c r="BQ369" s="174"/>
      <c r="BR369" s="174"/>
      <c r="BS369" s="174"/>
      <c r="BT369" s="174"/>
      <c r="BU369" s="174"/>
      <c r="BV369" s="174"/>
      <c r="BW369" s="174"/>
      <c r="BX369" s="174"/>
    </row>
    <row r="370" spans="1:76" s="152" customFormat="1" ht="15" customHeight="1" x14ac:dyDescent="0.25">
      <c r="A370" s="152">
        <f t="shared" si="10"/>
        <v>2000</v>
      </c>
      <c r="B370" s="152" t="str">
        <f t="shared" si="11"/>
        <v>2000-01</v>
      </c>
      <c r="C370" s="173">
        <v>36861</v>
      </c>
      <c r="D370" s="169">
        <v>0.54667894736842104</v>
      </c>
      <c r="E370" s="170">
        <v>194.02729200000002</v>
      </c>
      <c r="F370" s="170">
        <v>354.92</v>
      </c>
      <c r="G370" s="170"/>
      <c r="H370" s="170"/>
      <c r="I370" s="169">
        <v>271.64499999999998</v>
      </c>
      <c r="J370" s="169">
        <v>499.46</v>
      </c>
      <c r="K370" s="169"/>
      <c r="L370" s="170"/>
      <c r="M370" s="170">
        <v>7318.68</v>
      </c>
      <c r="N370" s="170">
        <v>13387.528521503047</v>
      </c>
      <c r="O370" s="170">
        <v>1850.55</v>
      </c>
      <c r="P370" s="170">
        <v>3385.0763943043639</v>
      </c>
      <c r="Q370" s="170">
        <v>462.34</v>
      </c>
      <c r="R370" s="170">
        <v>845.72490348419637</v>
      </c>
      <c r="S370" s="170">
        <v>1059.79</v>
      </c>
      <c r="T370" s="170">
        <v>1938.5966939125244</v>
      </c>
      <c r="U370" s="170">
        <v>369.7627064210526</v>
      </c>
      <c r="V370" s="170">
        <v>676.38</v>
      </c>
      <c r="W370" s="170">
        <v>1908.9646166842103</v>
      </c>
      <c r="X370" s="170">
        <v>3491.93</v>
      </c>
      <c r="Y370" s="170"/>
      <c r="Z370" s="170"/>
      <c r="AA370" s="170"/>
      <c r="AB370" s="170"/>
      <c r="AC370" s="170">
        <v>4.641</v>
      </c>
      <c r="AD370" s="170">
        <v>8.57</v>
      </c>
      <c r="AE370" s="170">
        <v>31456.9</v>
      </c>
      <c r="AF370" s="170">
        <v>57541.817096535066</v>
      </c>
      <c r="AG370" s="170">
        <v>609.97400000000005</v>
      </c>
      <c r="AH370" s="170">
        <v>1115.781031876691</v>
      </c>
      <c r="AI370" s="170">
        <v>915.36800000000005</v>
      </c>
      <c r="AJ370" s="170">
        <v>1674.4160432852923</v>
      </c>
      <c r="AK370" s="170">
        <v>25.12</v>
      </c>
      <c r="AL370" s="170">
        <v>45.950187255100175</v>
      </c>
      <c r="AM370" s="170">
        <v>27.84</v>
      </c>
      <c r="AN370" s="170">
        <v>50.925685238136502</v>
      </c>
      <c r="AO370" s="170"/>
      <c r="AP370" s="170"/>
      <c r="AS370" s="167"/>
      <c r="AT370" s="1170"/>
      <c r="AU370" s="1171"/>
      <c r="AV370" s="1171"/>
      <c r="AW370" s="1172"/>
      <c r="AX370" s="1172"/>
      <c r="AY370" s="1172"/>
      <c r="AZ370" s="1172"/>
      <c r="BA370" s="1255" t="s">
        <v>32</v>
      </c>
      <c r="BB370" s="1256">
        <v>2007</v>
      </c>
      <c r="BC370" s="1255" t="s">
        <v>320</v>
      </c>
      <c r="BD370" s="1255">
        <v>8</v>
      </c>
      <c r="BE370" s="1257">
        <v>173979000</v>
      </c>
      <c r="BF370" s="1239">
        <v>1.5402686782996958E-2</v>
      </c>
      <c r="BG370" s="1236"/>
      <c r="BH370" s="1236" t="s">
        <v>54</v>
      </c>
      <c r="BI370" s="1236" t="s">
        <v>302</v>
      </c>
      <c r="BJ370" s="1236" t="s">
        <v>331</v>
      </c>
      <c r="BK370" s="1236"/>
      <c r="BL370" s="1238">
        <v>737998898</v>
      </c>
      <c r="BM370" s="1239">
        <v>1</v>
      </c>
      <c r="BN370" s="1236">
        <v>2009</v>
      </c>
      <c r="BO370" s="174"/>
      <c r="BP370" s="174"/>
      <c r="BQ370" s="174"/>
      <c r="BR370" s="174"/>
      <c r="BS370" s="174"/>
      <c r="BT370" s="174"/>
      <c r="BU370" s="174"/>
      <c r="BV370" s="174"/>
      <c r="BW370" s="174"/>
      <c r="BX370" s="174"/>
    </row>
    <row r="371" spans="1:76" s="152" customFormat="1" ht="15" customHeight="1" x14ac:dyDescent="0.25">
      <c r="A371" s="152">
        <f t="shared" si="10"/>
        <v>2001</v>
      </c>
      <c r="B371" s="152" t="str">
        <f t="shared" si="11"/>
        <v>2000-01</v>
      </c>
      <c r="C371" s="173">
        <v>36892</v>
      </c>
      <c r="D371" s="154">
        <v>0.55630476190476186</v>
      </c>
      <c r="E371" s="155">
        <v>190.11158933333331</v>
      </c>
      <c r="F371" s="155">
        <v>341.74</v>
      </c>
      <c r="G371" s="155"/>
      <c r="H371" s="155"/>
      <c r="I371" s="156">
        <v>265.48599999999999</v>
      </c>
      <c r="J371" s="156">
        <v>479.64</v>
      </c>
      <c r="K371" s="157"/>
      <c r="L371" s="158"/>
      <c r="M371" s="159">
        <v>6999.09</v>
      </c>
      <c r="N371" s="159">
        <v>12581.395090049991</v>
      </c>
      <c r="O371" s="175">
        <v>1787.5</v>
      </c>
      <c r="P371" s="175">
        <v>3213.166815038006</v>
      </c>
      <c r="Q371" s="175">
        <v>478.05</v>
      </c>
      <c r="R371" s="175">
        <v>859.33113058960498</v>
      </c>
      <c r="S371" s="175">
        <v>1033.3599999999999</v>
      </c>
      <c r="T371" s="175">
        <v>1857.5429706224747</v>
      </c>
      <c r="U371" s="161">
        <v>400.53386552380948</v>
      </c>
      <c r="V371" s="161">
        <v>719.99</v>
      </c>
      <c r="W371" s="161">
        <v>1872.9946876190475</v>
      </c>
      <c r="X371" s="161">
        <v>3366.85</v>
      </c>
      <c r="Y371" s="162"/>
      <c r="Z371" s="162"/>
      <c r="AA371" s="162"/>
      <c r="AB371" s="162"/>
      <c r="AC371" s="163">
        <v>4.6630000000000003</v>
      </c>
      <c r="AD371" s="163">
        <v>8.43</v>
      </c>
      <c r="AE371" s="163">
        <v>29775.875</v>
      </c>
      <c r="AF371" s="163">
        <v>53524.393532150934</v>
      </c>
      <c r="AG371" s="163">
        <v>620.88599999999997</v>
      </c>
      <c r="AH371" s="163">
        <v>1116.0896733547902</v>
      </c>
      <c r="AI371" s="163">
        <v>1041.5450000000001</v>
      </c>
      <c r="AJ371" s="163">
        <v>1872.2561288776283</v>
      </c>
      <c r="AK371" s="164">
        <v>25.4</v>
      </c>
      <c r="AL371" s="164">
        <v>45.658426350749849</v>
      </c>
      <c r="AM371" s="164">
        <v>25.82</v>
      </c>
      <c r="AN371" s="164">
        <v>46.413408203793743</v>
      </c>
      <c r="AO371" s="164"/>
      <c r="AP371" s="164"/>
      <c r="AS371" s="167"/>
      <c r="AT371" s="1170"/>
      <c r="AU371" s="1171"/>
      <c r="AV371" s="1171"/>
      <c r="AW371" s="1172"/>
      <c r="AX371" s="1172"/>
      <c r="AY371" s="1172"/>
      <c r="AZ371" s="1172"/>
      <c r="BA371" s="1255" t="s">
        <v>32</v>
      </c>
      <c r="BB371" s="1256">
        <v>2007</v>
      </c>
      <c r="BC371" s="1255" t="s">
        <v>308</v>
      </c>
      <c r="BD371" s="1255">
        <v>9</v>
      </c>
      <c r="BE371" s="1257">
        <v>173557000</v>
      </c>
      <c r="BF371" s="1239">
        <v>1.5365326332468879E-2</v>
      </c>
      <c r="BG371" s="1236"/>
      <c r="BH371" s="1236" t="s">
        <v>54</v>
      </c>
      <c r="BI371" s="1236" t="s">
        <v>303</v>
      </c>
      <c r="BJ371" s="1236" t="s">
        <v>281</v>
      </c>
      <c r="BK371" s="1236">
        <v>1</v>
      </c>
      <c r="BL371" s="1238">
        <v>140393135</v>
      </c>
      <c r="BM371" s="1239">
        <v>0.18</v>
      </c>
      <c r="BN371" s="1236">
        <v>2008</v>
      </c>
      <c r="BO371" s="174"/>
      <c r="BP371" s="174"/>
      <c r="BQ371" s="174"/>
      <c r="BR371" s="174"/>
      <c r="BS371" s="174"/>
      <c r="BT371" s="174"/>
      <c r="BU371" s="174"/>
      <c r="BV371" s="174"/>
      <c r="BW371" s="174"/>
      <c r="BX371" s="174"/>
    </row>
    <row r="372" spans="1:76" s="152" customFormat="1" ht="15" customHeight="1" x14ac:dyDescent="0.25">
      <c r="A372" s="152">
        <f t="shared" si="10"/>
        <v>2001</v>
      </c>
      <c r="B372" s="152" t="str">
        <f t="shared" si="11"/>
        <v>2000-01</v>
      </c>
      <c r="C372" s="173">
        <v>36923</v>
      </c>
      <c r="D372" s="169">
        <v>0.53512000000000015</v>
      </c>
      <c r="E372" s="170">
        <v>185.57426480000007</v>
      </c>
      <c r="F372" s="170">
        <v>346.79</v>
      </c>
      <c r="G372" s="170"/>
      <c r="H372" s="170"/>
      <c r="I372" s="169">
        <v>261.76499999999999</v>
      </c>
      <c r="J372" s="169">
        <v>491.19</v>
      </c>
      <c r="K372" s="169"/>
      <c r="L372" s="170"/>
      <c r="M372" s="170">
        <v>6528</v>
      </c>
      <c r="N372" s="170">
        <v>12199.13290476902</v>
      </c>
      <c r="O372" s="170">
        <v>1765.65</v>
      </c>
      <c r="P372" s="170">
        <v>3299.5402900284039</v>
      </c>
      <c r="Q372" s="170">
        <v>501.8</v>
      </c>
      <c r="R372" s="170">
        <v>937.73359246524114</v>
      </c>
      <c r="S372" s="170">
        <v>1033.3599999999999</v>
      </c>
      <c r="T372" s="170">
        <v>1931.0808790551644</v>
      </c>
      <c r="U372" s="170">
        <v>369.60203280000013</v>
      </c>
      <c r="V372" s="170">
        <v>690.69</v>
      </c>
      <c r="W372" s="170">
        <v>1906.9108224000006</v>
      </c>
      <c r="X372" s="170">
        <v>3563.52</v>
      </c>
      <c r="Y372" s="170"/>
      <c r="Z372" s="170"/>
      <c r="AA372" s="170"/>
      <c r="AB372" s="170"/>
      <c r="AC372" s="170">
        <v>4.5510000000000002</v>
      </c>
      <c r="AD372" s="170">
        <v>8.57</v>
      </c>
      <c r="AE372" s="170">
        <v>30850.625</v>
      </c>
      <c r="AF372" s="170">
        <v>57651.788383913874</v>
      </c>
      <c r="AG372" s="170">
        <v>600.82500000000005</v>
      </c>
      <c r="AH372" s="170">
        <v>1122.7855434295109</v>
      </c>
      <c r="AI372" s="170">
        <v>971.9</v>
      </c>
      <c r="AJ372" s="170">
        <v>1816.2281357452528</v>
      </c>
      <c r="AK372" s="170">
        <v>22.41</v>
      </c>
      <c r="AL372" s="170">
        <v>41.878457168485561</v>
      </c>
      <c r="AM372" s="170">
        <v>27.93</v>
      </c>
      <c r="AN372" s="170">
        <v>52.193900433547597</v>
      </c>
      <c r="AO372" s="170"/>
      <c r="AP372" s="170"/>
      <c r="AS372" s="167"/>
      <c r="AT372" s="1170"/>
      <c r="AU372" s="1171"/>
      <c r="AV372" s="1171"/>
      <c r="AW372" s="1172"/>
      <c r="AX372" s="1172"/>
      <c r="AY372" s="1172"/>
      <c r="AZ372" s="1172"/>
      <c r="BA372" s="1255" t="s">
        <v>32</v>
      </c>
      <c r="BB372" s="1256">
        <v>2007</v>
      </c>
      <c r="BC372" s="1255" t="s">
        <v>329</v>
      </c>
      <c r="BD372" s="1255">
        <v>10</v>
      </c>
      <c r="BE372" s="1257">
        <v>69154000</v>
      </c>
      <c r="BF372" s="1239">
        <v>6.1223331654473908E-3</v>
      </c>
      <c r="BG372" s="1236"/>
      <c r="BH372" s="1236" t="s">
        <v>54</v>
      </c>
      <c r="BI372" s="1236" t="s">
        <v>303</v>
      </c>
      <c r="BJ372" s="1236" t="s">
        <v>286</v>
      </c>
      <c r="BK372" s="1236">
        <v>2</v>
      </c>
      <c r="BL372" s="1238">
        <v>112475605</v>
      </c>
      <c r="BM372" s="1239">
        <v>0.14399999999999999</v>
      </c>
      <c r="BN372" s="1236">
        <v>2008</v>
      </c>
      <c r="BO372" s="174"/>
      <c r="BP372" s="174"/>
      <c r="BQ372" s="174"/>
      <c r="BR372" s="174"/>
      <c r="BS372" s="174"/>
      <c r="BT372" s="174"/>
      <c r="BU372" s="174"/>
      <c r="BV372" s="174"/>
      <c r="BW372" s="174"/>
      <c r="BX372" s="174"/>
    </row>
    <row r="373" spans="1:76" s="152" customFormat="1" ht="15" customHeight="1" x14ac:dyDescent="0.25">
      <c r="A373" s="152">
        <f t="shared" si="10"/>
        <v>2001</v>
      </c>
      <c r="B373" s="152" t="str">
        <f t="shared" si="11"/>
        <v>2000-01</v>
      </c>
      <c r="C373" s="173">
        <v>36951</v>
      </c>
      <c r="D373" s="154">
        <v>0.50482272727272715</v>
      </c>
      <c r="E373" s="155">
        <v>189.17726881818177</v>
      </c>
      <c r="F373" s="155">
        <v>374.74</v>
      </c>
      <c r="G373" s="155"/>
      <c r="H373" s="155"/>
      <c r="I373" s="156">
        <v>263.02699999999999</v>
      </c>
      <c r="J373" s="156">
        <v>524.17999999999995</v>
      </c>
      <c r="K373" s="157"/>
      <c r="L373" s="158"/>
      <c r="M373" s="159">
        <v>6137.73</v>
      </c>
      <c r="N373" s="159">
        <v>12158.188743123152</v>
      </c>
      <c r="O373" s="175">
        <v>1738.77</v>
      </c>
      <c r="P373" s="175">
        <v>3444.3179874123239</v>
      </c>
      <c r="Q373" s="175">
        <v>498.39</v>
      </c>
      <c r="R373" s="175">
        <v>987.25745311135347</v>
      </c>
      <c r="S373" s="175">
        <v>1004.73</v>
      </c>
      <c r="T373" s="175">
        <v>1990.2630086168867</v>
      </c>
      <c r="U373" s="161">
        <v>405.30197481818175</v>
      </c>
      <c r="V373" s="161">
        <v>802.86</v>
      </c>
      <c r="W373" s="161">
        <v>1914.9490995909086</v>
      </c>
      <c r="X373" s="161">
        <v>3793.31</v>
      </c>
      <c r="Y373" s="162"/>
      <c r="Z373" s="162"/>
      <c r="AA373" s="162"/>
      <c r="AB373" s="162"/>
      <c r="AC373" s="163">
        <v>4.4000000000000004</v>
      </c>
      <c r="AD373" s="163">
        <v>8.7799999999999994</v>
      </c>
      <c r="AE373" s="163">
        <v>31305.3</v>
      </c>
      <c r="AF373" s="163">
        <v>62012.461620190719</v>
      </c>
      <c r="AG373" s="163">
        <v>584.22699999999998</v>
      </c>
      <c r="AH373" s="163">
        <v>1157.291398420688</v>
      </c>
      <c r="AI373" s="163">
        <v>779.40899999999999</v>
      </c>
      <c r="AJ373" s="163">
        <v>1543.9261306849394</v>
      </c>
      <c r="AK373" s="164">
        <v>24.4</v>
      </c>
      <c r="AL373" s="164">
        <v>48.333798543142969</v>
      </c>
      <c r="AM373" s="164">
        <v>26.84</v>
      </c>
      <c r="AN373" s="164">
        <v>53.167178397457263</v>
      </c>
      <c r="AO373" s="164"/>
      <c r="AP373" s="164"/>
      <c r="AS373" s="167"/>
      <c r="AT373" s="1170"/>
      <c r="AU373" s="1171"/>
      <c r="AV373" s="1171"/>
      <c r="AW373" s="1172"/>
      <c r="AX373" s="1172"/>
      <c r="AY373" s="1172"/>
      <c r="AZ373" s="1172"/>
      <c r="BA373" s="1255" t="s">
        <v>32</v>
      </c>
      <c r="BB373" s="1256">
        <v>2007</v>
      </c>
      <c r="BC373" s="1255" t="s">
        <v>291</v>
      </c>
      <c r="BD373" s="1255"/>
      <c r="BE373" s="1257">
        <v>72770000</v>
      </c>
      <c r="BF373" s="1239">
        <v>6.4424644192614547E-3</v>
      </c>
      <c r="BG373" s="1236"/>
      <c r="BH373" s="1236" t="s">
        <v>54</v>
      </c>
      <c r="BI373" s="1236" t="s">
        <v>303</v>
      </c>
      <c r="BJ373" s="1236" t="s">
        <v>314</v>
      </c>
      <c r="BK373" s="1236">
        <v>3</v>
      </c>
      <c r="BL373" s="1238">
        <v>72241297</v>
      </c>
      <c r="BM373" s="1239">
        <v>9.2999999999999999E-2</v>
      </c>
      <c r="BN373" s="1236">
        <v>2008</v>
      </c>
      <c r="BO373" s="174"/>
      <c r="BP373" s="174"/>
      <c r="BQ373" s="174"/>
      <c r="BR373" s="174"/>
      <c r="BS373" s="174"/>
      <c r="BT373" s="174"/>
      <c r="BU373" s="174"/>
      <c r="BV373" s="174"/>
      <c r="BW373" s="174"/>
      <c r="BX373" s="174"/>
    </row>
    <row r="374" spans="1:76" s="152" customFormat="1" ht="15" customHeight="1" x14ac:dyDescent="0.25">
      <c r="A374" s="152">
        <f t="shared" si="10"/>
        <v>2001</v>
      </c>
      <c r="B374" s="152" t="str">
        <f t="shared" si="11"/>
        <v>2000-01</v>
      </c>
      <c r="C374" s="173">
        <v>36982</v>
      </c>
      <c r="D374" s="169">
        <v>0.50022222222222235</v>
      </c>
      <c r="E374" s="170">
        <v>187.04809555555562</v>
      </c>
      <c r="F374" s="170">
        <v>373.93</v>
      </c>
      <c r="G374" s="170"/>
      <c r="H374" s="170"/>
      <c r="I374" s="169">
        <v>260.47899999999998</v>
      </c>
      <c r="J374" s="169">
        <v>522.22</v>
      </c>
      <c r="K374" s="169"/>
      <c r="L374" s="170"/>
      <c r="M374" s="170">
        <v>6333.68</v>
      </c>
      <c r="N374" s="170">
        <v>12661.732563305195</v>
      </c>
      <c r="O374" s="170">
        <v>1664.16</v>
      </c>
      <c r="P374" s="170">
        <v>3326.8414038205237</v>
      </c>
      <c r="Q374" s="170">
        <v>477.5</v>
      </c>
      <c r="R374" s="170">
        <v>954.57574411372696</v>
      </c>
      <c r="S374" s="170">
        <v>969.45</v>
      </c>
      <c r="T374" s="170">
        <v>1938.0386494891156</v>
      </c>
      <c r="U374" s="170">
        <v>405.920328888889</v>
      </c>
      <c r="V374" s="170">
        <v>811.48</v>
      </c>
      <c r="W374" s="170">
        <v>1859.2609711111115</v>
      </c>
      <c r="X374" s="170">
        <v>3716.87</v>
      </c>
      <c r="Y374" s="170"/>
      <c r="Z374" s="170"/>
      <c r="AA374" s="170"/>
      <c r="AB374" s="170"/>
      <c r="AC374" s="170">
        <v>4.367</v>
      </c>
      <c r="AD374" s="170">
        <v>8.8000000000000007</v>
      </c>
      <c r="AE374" s="170">
        <v>26978.799999999999</v>
      </c>
      <c r="AF374" s="170">
        <v>53933.629498000875</v>
      </c>
      <c r="AG374" s="170">
        <v>594.73699999999997</v>
      </c>
      <c r="AH374" s="170">
        <v>1188.9455797423363</v>
      </c>
      <c r="AI374" s="170">
        <v>698.21100000000001</v>
      </c>
      <c r="AJ374" s="170">
        <v>1395.8016437139047</v>
      </c>
      <c r="AK374" s="170">
        <v>25.64</v>
      </c>
      <c r="AL374" s="170">
        <v>51.257219013771646</v>
      </c>
      <c r="AM374" s="170">
        <v>27.88</v>
      </c>
      <c r="AN374" s="170">
        <v>55.735228787205671</v>
      </c>
      <c r="AO374" s="170"/>
      <c r="AP374" s="170"/>
      <c r="AS374" s="167"/>
      <c r="AT374" s="1170"/>
      <c r="AU374" s="1171"/>
      <c r="AV374" s="1171"/>
      <c r="AW374" s="1172"/>
      <c r="AX374" s="1172"/>
      <c r="AY374" s="1172"/>
      <c r="AZ374" s="1172"/>
      <c r="BA374" s="1255" t="s">
        <v>32</v>
      </c>
      <c r="BB374" s="1256">
        <v>2007</v>
      </c>
      <c r="BC374" s="1255" t="s">
        <v>292</v>
      </c>
      <c r="BD374" s="1255"/>
      <c r="BE374" s="1257">
        <v>11295367000</v>
      </c>
      <c r="BF374" s="1239">
        <v>1</v>
      </c>
      <c r="BG374" s="1236"/>
      <c r="BH374" s="1236" t="s">
        <v>54</v>
      </c>
      <c r="BI374" s="1236" t="s">
        <v>303</v>
      </c>
      <c r="BJ374" s="1236" t="s">
        <v>290</v>
      </c>
      <c r="BK374" s="1236">
        <v>4</v>
      </c>
      <c r="BL374" s="1238">
        <v>71893378</v>
      </c>
      <c r="BM374" s="1239">
        <v>9.1999999999999998E-2</v>
      </c>
      <c r="BN374" s="1236">
        <v>2008</v>
      </c>
      <c r="BO374" s="174"/>
      <c r="BP374" s="174"/>
      <c r="BQ374" s="174"/>
      <c r="BR374" s="174"/>
      <c r="BS374" s="174"/>
      <c r="BT374" s="174"/>
      <c r="BU374" s="174"/>
      <c r="BV374" s="174"/>
      <c r="BW374" s="174"/>
      <c r="BX374" s="174"/>
    </row>
    <row r="375" spans="1:76" s="152" customFormat="1" ht="15" customHeight="1" x14ac:dyDescent="0.25">
      <c r="A375" s="152">
        <f t="shared" si="10"/>
        <v>2001</v>
      </c>
      <c r="B375" s="152" t="str">
        <f t="shared" si="11"/>
        <v>2000-01</v>
      </c>
      <c r="C375" s="173">
        <v>37012</v>
      </c>
      <c r="D375" s="154">
        <v>0.52007391304347816</v>
      </c>
      <c r="E375" s="155">
        <v>182.09347917391301</v>
      </c>
      <c r="F375" s="155">
        <v>350.13</v>
      </c>
      <c r="G375" s="155"/>
      <c r="H375" s="155"/>
      <c r="I375" s="156">
        <v>272.35500000000002</v>
      </c>
      <c r="J375" s="156">
        <v>524.45000000000005</v>
      </c>
      <c r="K375" s="157"/>
      <c r="L375" s="158"/>
      <c r="M375" s="159">
        <v>7064.76</v>
      </c>
      <c r="N375" s="159">
        <v>13584.146066194608</v>
      </c>
      <c r="O375" s="175">
        <v>1682.21</v>
      </c>
      <c r="P375" s="175">
        <v>3234.5594689718023</v>
      </c>
      <c r="Q375" s="175">
        <v>466.69</v>
      </c>
      <c r="R375" s="175">
        <v>897.3532190240519</v>
      </c>
      <c r="S375" s="175">
        <v>937.95</v>
      </c>
      <c r="T375" s="175">
        <v>1803.4936505680635</v>
      </c>
      <c r="U375" s="161">
        <v>401.73629486956514</v>
      </c>
      <c r="V375" s="161">
        <v>772.46</v>
      </c>
      <c r="W375" s="161">
        <v>1878.2105317826083</v>
      </c>
      <c r="X375" s="161">
        <v>3611.43</v>
      </c>
      <c r="Y375" s="162"/>
      <c r="Z375" s="162"/>
      <c r="AA375" s="162"/>
      <c r="AB375" s="162"/>
      <c r="AC375" s="163">
        <v>4.4290000000000003</v>
      </c>
      <c r="AD375" s="163">
        <v>8.58</v>
      </c>
      <c r="AE375" s="163">
        <v>27557.5</v>
      </c>
      <c r="AF375" s="163">
        <v>52987.660616801972</v>
      </c>
      <c r="AG375" s="163">
        <v>610.048</v>
      </c>
      <c r="AH375" s="163">
        <v>1173.0024996446996</v>
      </c>
      <c r="AI375" s="163">
        <v>654.476</v>
      </c>
      <c r="AJ375" s="163">
        <v>1258.4288186461793</v>
      </c>
      <c r="AK375" s="164">
        <v>28.41</v>
      </c>
      <c r="AL375" s="164">
        <v>54.626850698479323</v>
      </c>
      <c r="AM375" s="164">
        <v>28.92</v>
      </c>
      <c r="AN375" s="164">
        <v>55.607480542063435</v>
      </c>
      <c r="AO375" s="164"/>
      <c r="AP375" s="164"/>
      <c r="AS375" s="167"/>
      <c r="AT375" s="1170"/>
      <c r="AU375" s="1171"/>
      <c r="AV375" s="1171"/>
      <c r="AW375" s="1172"/>
      <c r="AX375" s="1172"/>
      <c r="AY375" s="1172"/>
      <c r="AZ375" s="1172"/>
      <c r="BA375" s="1258" t="s">
        <v>32</v>
      </c>
      <c r="BB375" s="1259">
        <v>2008</v>
      </c>
      <c r="BC375" s="1258" t="s">
        <v>287</v>
      </c>
      <c r="BD375" s="1258">
        <v>1</v>
      </c>
      <c r="BE375" s="1260">
        <v>5008483000</v>
      </c>
      <c r="BF375" s="1239">
        <v>0.35101159453015762</v>
      </c>
      <c r="BG375" s="1236"/>
      <c r="BH375" s="1236" t="s">
        <v>54</v>
      </c>
      <c r="BI375" s="1236" t="s">
        <v>303</v>
      </c>
      <c r="BJ375" s="1236" t="s">
        <v>308</v>
      </c>
      <c r="BK375" s="1236">
        <v>5</v>
      </c>
      <c r="BL375" s="1238">
        <v>58021004</v>
      </c>
      <c r="BM375" s="1239">
        <v>7.3999999999999996E-2</v>
      </c>
      <c r="BN375" s="1236">
        <v>2008</v>
      </c>
      <c r="BO375" s="174"/>
      <c r="BP375" s="174"/>
      <c r="BQ375" s="174"/>
      <c r="BR375" s="174"/>
      <c r="BS375" s="174"/>
      <c r="BT375" s="174"/>
      <c r="BU375" s="174"/>
      <c r="BV375" s="174"/>
      <c r="BW375" s="174"/>
      <c r="BX375" s="174"/>
    </row>
    <row r="376" spans="1:76" s="152" customFormat="1" ht="15" customHeight="1" x14ac:dyDescent="0.25">
      <c r="A376" s="152">
        <f t="shared" si="10"/>
        <v>2001</v>
      </c>
      <c r="B376" s="152" t="str">
        <f t="shared" si="11"/>
        <v>2000-01</v>
      </c>
      <c r="C376" s="173">
        <v>37043</v>
      </c>
      <c r="D376" s="169">
        <v>0.51794499999999999</v>
      </c>
      <c r="E376" s="170">
        <v>184.4505734</v>
      </c>
      <c r="F376" s="170">
        <v>356.12</v>
      </c>
      <c r="G376" s="170"/>
      <c r="H376" s="170"/>
      <c r="I376" s="169">
        <v>270.23099999999999</v>
      </c>
      <c r="J376" s="169">
        <v>524.19000000000005</v>
      </c>
      <c r="K376" s="169"/>
      <c r="L376" s="170"/>
      <c r="M376" s="170">
        <v>6644.76</v>
      </c>
      <c r="N376" s="170">
        <v>12829.084169168542</v>
      </c>
      <c r="O376" s="170">
        <v>1608.45</v>
      </c>
      <c r="P376" s="170">
        <v>3105.4455588913884</v>
      </c>
      <c r="Q376" s="170">
        <v>444.14</v>
      </c>
      <c r="R376" s="170">
        <v>857.50417515373249</v>
      </c>
      <c r="S376" s="170">
        <v>894.93</v>
      </c>
      <c r="T376" s="170">
        <v>1727.8475513809381</v>
      </c>
      <c r="U376" s="170">
        <v>412.09258034999999</v>
      </c>
      <c r="V376" s="170">
        <v>795.63</v>
      </c>
      <c r="W376" s="170">
        <v>1864.1099522500001</v>
      </c>
      <c r="X376" s="170">
        <v>3599.05</v>
      </c>
      <c r="Y376" s="170"/>
      <c r="Z376" s="170"/>
      <c r="AA376" s="170"/>
      <c r="AB376" s="170"/>
      <c r="AC376" s="170">
        <v>4.3630000000000004</v>
      </c>
      <c r="AD376" s="170">
        <v>8.49</v>
      </c>
      <c r="AE376" s="170">
        <v>24415.9</v>
      </c>
      <c r="AF376" s="170">
        <v>47139.947291700861</v>
      </c>
      <c r="AG376" s="170">
        <v>579.38099999999997</v>
      </c>
      <c r="AH376" s="170">
        <v>1118.6149108496074</v>
      </c>
      <c r="AI376" s="170">
        <v>613.71400000000006</v>
      </c>
      <c r="AJ376" s="170">
        <v>1184.9018718203672</v>
      </c>
      <c r="AK376" s="170">
        <v>27.71</v>
      </c>
      <c r="AL376" s="170">
        <v>53.499888984351621</v>
      </c>
      <c r="AM376" s="170">
        <v>28.12</v>
      </c>
      <c r="AN376" s="170">
        <v>54.291478824971769</v>
      </c>
      <c r="AO376" s="170"/>
      <c r="AP376" s="170"/>
      <c r="AS376" s="167"/>
      <c r="AT376" s="1170"/>
      <c r="AU376" s="1171"/>
      <c r="AV376" s="1171"/>
      <c r="AW376" s="1172"/>
      <c r="AX376" s="1172"/>
      <c r="AY376" s="1172"/>
      <c r="AZ376" s="1172"/>
      <c r="BA376" s="1258" t="s">
        <v>32</v>
      </c>
      <c r="BB376" s="1259">
        <v>2008</v>
      </c>
      <c r="BC376" s="1258" t="s">
        <v>314</v>
      </c>
      <c r="BD376" s="1258">
        <v>2</v>
      </c>
      <c r="BE376" s="1260">
        <v>4826735000</v>
      </c>
      <c r="BF376" s="1239">
        <v>0.33827407395103876</v>
      </c>
      <c r="BG376" s="1236"/>
      <c r="BH376" s="1236" t="s">
        <v>54</v>
      </c>
      <c r="BI376" s="1236" t="s">
        <v>303</v>
      </c>
      <c r="BJ376" s="1236" t="s">
        <v>324</v>
      </c>
      <c r="BK376" s="1236">
        <v>6</v>
      </c>
      <c r="BL376" s="1238">
        <v>53337255</v>
      </c>
      <c r="BM376" s="1239">
        <v>6.8000000000000005E-2</v>
      </c>
      <c r="BN376" s="1236">
        <v>2008</v>
      </c>
      <c r="BO376" s="174"/>
      <c r="BP376" s="174"/>
      <c r="BQ376" s="174"/>
      <c r="BR376" s="174"/>
      <c r="BS376" s="174"/>
      <c r="BT376" s="174"/>
      <c r="BU376" s="174"/>
      <c r="BV376" s="174"/>
      <c r="BW376" s="174"/>
      <c r="BX376" s="174"/>
    </row>
    <row r="377" spans="1:76" s="152" customFormat="1" ht="15" customHeight="1" x14ac:dyDescent="0.25">
      <c r="A377" s="152">
        <f t="shared" si="10"/>
        <v>2001</v>
      </c>
      <c r="B377" s="152" t="str">
        <f t="shared" si="11"/>
        <v>2001-02</v>
      </c>
      <c r="C377" s="173">
        <v>37073</v>
      </c>
      <c r="D377" s="154">
        <v>0.51013181818181819</v>
      </c>
      <c r="E377" s="155">
        <v>176.66374995454547</v>
      </c>
      <c r="F377" s="155">
        <v>346.31</v>
      </c>
      <c r="G377" s="155"/>
      <c r="H377" s="155"/>
      <c r="I377" s="156">
        <v>267.57299999999998</v>
      </c>
      <c r="J377" s="156">
        <v>526.83000000000004</v>
      </c>
      <c r="K377" s="157"/>
      <c r="L377" s="158"/>
      <c r="M377" s="159">
        <v>5952.86</v>
      </c>
      <c r="N377" s="159">
        <v>11669.25839132488</v>
      </c>
      <c r="O377" s="175">
        <v>1527.88</v>
      </c>
      <c r="P377" s="175">
        <v>2995.0690106835132</v>
      </c>
      <c r="Q377" s="175">
        <v>460.36</v>
      </c>
      <c r="R377" s="175">
        <v>902.43341738766276</v>
      </c>
      <c r="S377" s="175">
        <v>853.14</v>
      </c>
      <c r="T377" s="175">
        <v>1672.3912714182609</v>
      </c>
      <c r="U377" s="161">
        <v>395.04097868181816</v>
      </c>
      <c r="V377" s="161">
        <v>774.39</v>
      </c>
      <c r="W377" s="161">
        <v>1815.9264358181817</v>
      </c>
      <c r="X377" s="161">
        <v>3559.72</v>
      </c>
      <c r="Y377" s="162"/>
      <c r="Z377" s="162"/>
      <c r="AA377" s="162"/>
      <c r="AB377" s="162"/>
      <c r="AC377" s="163">
        <v>4.2549999999999999</v>
      </c>
      <c r="AD377" s="163">
        <v>8.41</v>
      </c>
      <c r="AE377" s="163">
        <v>21053.9</v>
      </c>
      <c r="AF377" s="163">
        <v>41271.489543700831</v>
      </c>
      <c r="AG377" s="163">
        <v>530.70500000000004</v>
      </c>
      <c r="AH377" s="163">
        <v>1040.3291484375698</v>
      </c>
      <c r="AI377" s="163">
        <v>524.54499999999996</v>
      </c>
      <c r="AJ377" s="163">
        <v>1028.2538381345285</v>
      </c>
      <c r="AK377" s="164">
        <v>24.54</v>
      </c>
      <c r="AL377" s="164">
        <v>48.105213447504653</v>
      </c>
      <c r="AM377" s="164">
        <v>25.96</v>
      </c>
      <c r="AN377" s="164">
        <v>50.888807705673223</v>
      </c>
      <c r="AO377" s="164"/>
      <c r="AP377" s="164"/>
      <c r="AS377" s="167"/>
      <c r="AT377" s="1170"/>
      <c r="AU377" s="1171"/>
      <c r="AV377" s="1171"/>
      <c r="AW377" s="1172"/>
      <c r="AX377" s="1172"/>
      <c r="AY377" s="1172"/>
      <c r="AZ377" s="1172"/>
      <c r="BA377" s="1258" t="s">
        <v>32</v>
      </c>
      <c r="BB377" s="1259">
        <v>2008</v>
      </c>
      <c r="BC377" s="1258" t="s">
        <v>279</v>
      </c>
      <c r="BD377" s="1258">
        <v>3</v>
      </c>
      <c r="BE377" s="1260">
        <v>1535923000</v>
      </c>
      <c r="BF377" s="1239">
        <v>0.10764272960605901</v>
      </c>
      <c r="BG377" s="1236"/>
      <c r="BH377" s="1236" t="s">
        <v>54</v>
      </c>
      <c r="BI377" s="1236" t="s">
        <v>303</v>
      </c>
      <c r="BJ377" s="1236" t="s">
        <v>312</v>
      </c>
      <c r="BK377" s="1236">
        <v>7</v>
      </c>
      <c r="BL377" s="1238">
        <v>36995195</v>
      </c>
      <c r="BM377" s="1239">
        <v>4.7E-2</v>
      </c>
      <c r="BN377" s="1236">
        <v>2008</v>
      </c>
      <c r="BO377" s="174"/>
      <c r="BP377" s="174"/>
      <c r="BQ377" s="174"/>
      <c r="BR377" s="174"/>
      <c r="BS377" s="174"/>
      <c r="BT377" s="174"/>
      <c r="BU377" s="174"/>
      <c r="BV377" s="174"/>
      <c r="BW377" s="174"/>
      <c r="BX377" s="174"/>
    </row>
    <row r="378" spans="1:76" s="152" customFormat="1" ht="15" customHeight="1" x14ac:dyDescent="0.25">
      <c r="A378" s="152">
        <f t="shared" si="10"/>
        <v>2001</v>
      </c>
      <c r="B378" s="152" t="str">
        <f t="shared" si="11"/>
        <v>2001-02</v>
      </c>
      <c r="C378" s="173">
        <v>37104</v>
      </c>
      <c r="D378" s="169">
        <v>0.52510454545454555</v>
      </c>
      <c r="E378" s="170">
        <v>178.67732368181819</v>
      </c>
      <c r="F378" s="170">
        <v>340.27</v>
      </c>
      <c r="G378" s="170"/>
      <c r="H378" s="170"/>
      <c r="I378" s="169">
        <v>272.38600000000002</v>
      </c>
      <c r="J378" s="169">
        <v>521.45000000000005</v>
      </c>
      <c r="K378" s="169"/>
      <c r="L378" s="170"/>
      <c r="M378" s="170">
        <v>5524.55</v>
      </c>
      <c r="N378" s="170">
        <v>10520.857318456063</v>
      </c>
      <c r="O378" s="170">
        <v>1464.43</v>
      </c>
      <c r="P378" s="170">
        <v>2788.8351237415923</v>
      </c>
      <c r="Q378" s="170">
        <v>482.95</v>
      </c>
      <c r="R378" s="170">
        <v>919.72161387775577</v>
      </c>
      <c r="S378" s="170">
        <v>828.07</v>
      </c>
      <c r="T378" s="170">
        <v>1576.962163378721</v>
      </c>
      <c r="U378" s="170">
        <v>434.79706572727281</v>
      </c>
      <c r="V378" s="170">
        <v>828.02</v>
      </c>
      <c r="W378" s="170">
        <v>1803.5923354090912</v>
      </c>
      <c r="X378" s="170">
        <v>3434.73</v>
      </c>
      <c r="Y378" s="170"/>
      <c r="Z378" s="170"/>
      <c r="AA378" s="170"/>
      <c r="AB378" s="170"/>
      <c r="AC378" s="170">
        <v>4.2</v>
      </c>
      <c r="AD378" s="170">
        <v>8.08</v>
      </c>
      <c r="AE378" s="170">
        <v>22001.9</v>
      </c>
      <c r="AF378" s="170">
        <v>41900.03722202505</v>
      </c>
      <c r="AG378" s="170">
        <v>451.60199999999998</v>
      </c>
      <c r="AH378" s="170">
        <v>860.02302571782218</v>
      </c>
      <c r="AI378" s="170">
        <v>455.22699999999998</v>
      </c>
      <c r="AJ378" s="170">
        <v>866.92641292210192</v>
      </c>
      <c r="AK378" s="170">
        <v>25.7</v>
      </c>
      <c r="AL378" s="170">
        <v>48.942634799996526</v>
      </c>
      <c r="AM378" s="170">
        <v>25.4</v>
      </c>
      <c r="AN378" s="170">
        <v>48.371319996883727</v>
      </c>
      <c r="AO378" s="170"/>
      <c r="AP378" s="170"/>
      <c r="AS378" s="167"/>
      <c r="AT378" s="1170"/>
      <c r="AU378" s="1171"/>
      <c r="AV378" s="1171"/>
      <c r="AW378" s="1172"/>
      <c r="AX378" s="1172"/>
      <c r="AY378" s="1172"/>
      <c r="AZ378" s="1172"/>
      <c r="BA378" s="1258" t="s">
        <v>32</v>
      </c>
      <c r="BB378" s="1259">
        <v>2008</v>
      </c>
      <c r="BC378" s="1258" t="s">
        <v>323</v>
      </c>
      <c r="BD378" s="1258">
        <v>4</v>
      </c>
      <c r="BE378" s="1260">
        <v>1131318000</v>
      </c>
      <c r="BF378" s="1239">
        <v>7.9286629324821278E-2</v>
      </c>
      <c r="BG378" s="1236"/>
      <c r="BH378" s="1236" t="s">
        <v>54</v>
      </c>
      <c r="BI378" s="1236" t="s">
        <v>303</v>
      </c>
      <c r="BJ378" s="1236" t="s">
        <v>321</v>
      </c>
      <c r="BK378" s="1236">
        <v>8</v>
      </c>
      <c r="BL378" s="1238">
        <v>35298620</v>
      </c>
      <c r="BM378" s="1239">
        <v>4.4999999999999998E-2</v>
      </c>
      <c r="BN378" s="1236">
        <v>2008</v>
      </c>
      <c r="BO378" s="174"/>
      <c r="BP378" s="174"/>
      <c r="BQ378" s="174"/>
      <c r="BR378" s="174"/>
      <c r="BS378" s="174"/>
      <c r="BT378" s="174"/>
      <c r="BU378" s="174"/>
      <c r="BV378" s="174"/>
      <c r="BW378" s="174"/>
      <c r="BX378" s="174"/>
    </row>
    <row r="379" spans="1:76" s="152" customFormat="1" ht="15" customHeight="1" x14ac:dyDescent="0.25">
      <c r="A379" s="152">
        <f t="shared" si="10"/>
        <v>2001</v>
      </c>
      <c r="B379" s="152" t="str">
        <f t="shared" si="11"/>
        <v>2001-02</v>
      </c>
      <c r="C379" s="173">
        <v>37135</v>
      </c>
      <c r="D379" s="154">
        <v>0.5062549999999999</v>
      </c>
      <c r="E379" s="155">
        <v>172.66839284999998</v>
      </c>
      <c r="F379" s="155">
        <v>341.07</v>
      </c>
      <c r="G379" s="155"/>
      <c r="H379" s="155"/>
      <c r="I379" s="156">
        <v>283.40300000000002</v>
      </c>
      <c r="J379" s="156">
        <v>560.6</v>
      </c>
      <c r="K379" s="157"/>
      <c r="L379" s="158"/>
      <c r="M379" s="159">
        <v>5030.25</v>
      </c>
      <c r="N379" s="159">
        <v>9936.1981610058192</v>
      </c>
      <c r="O379" s="175">
        <v>1426.33</v>
      </c>
      <c r="P379" s="175">
        <v>2817.4141489960598</v>
      </c>
      <c r="Q379" s="175">
        <v>464.8</v>
      </c>
      <c r="R379" s="175">
        <v>918.1143889936892</v>
      </c>
      <c r="S379" s="175">
        <v>798.55</v>
      </c>
      <c r="T379" s="175">
        <v>1577.3671371146954</v>
      </c>
      <c r="U379" s="161">
        <v>430.55468984999993</v>
      </c>
      <c r="V379" s="161">
        <v>850.47</v>
      </c>
      <c r="W379" s="161">
        <v>1784.9402101149997</v>
      </c>
      <c r="X379" s="161">
        <v>3525.7730000000001</v>
      </c>
      <c r="Y379" s="162"/>
      <c r="Z379" s="162"/>
      <c r="AA379" s="162"/>
      <c r="AB379" s="162"/>
      <c r="AC379" s="163">
        <v>4.3520000000000003</v>
      </c>
      <c r="AD379" s="163">
        <v>8.68</v>
      </c>
      <c r="AE379" s="163">
        <v>21384.6</v>
      </c>
      <c r="AF379" s="163">
        <v>42240.767992414898</v>
      </c>
      <c r="AG379" s="163">
        <v>458.35</v>
      </c>
      <c r="AH379" s="163">
        <v>905.37377408618204</v>
      </c>
      <c r="AI379" s="163">
        <v>443.1</v>
      </c>
      <c r="AJ379" s="163">
        <v>875.25061480874285</v>
      </c>
      <c r="AK379" s="164">
        <v>25.53</v>
      </c>
      <c r="AL379" s="164">
        <v>50.42913156413271</v>
      </c>
      <c r="AM379" s="164">
        <v>25.9</v>
      </c>
      <c r="AN379" s="164">
        <v>51.159988543323038</v>
      </c>
      <c r="AO379" s="164"/>
      <c r="AP379" s="164"/>
      <c r="AS379" s="167"/>
      <c r="AT379" s="1170"/>
      <c r="AU379" s="1171"/>
      <c r="AV379" s="1171"/>
      <c r="AW379" s="1172"/>
      <c r="AX379" s="1172"/>
      <c r="AY379" s="1172"/>
      <c r="AZ379" s="1172"/>
      <c r="BA379" s="1258" t="s">
        <v>32</v>
      </c>
      <c r="BB379" s="1259">
        <v>2008</v>
      </c>
      <c r="BC379" s="1258" t="s">
        <v>306</v>
      </c>
      <c r="BD379" s="1258">
        <v>5</v>
      </c>
      <c r="BE379" s="1260">
        <v>719732000</v>
      </c>
      <c r="BF379" s="1239">
        <v>5.0441276720791385E-2</v>
      </c>
      <c r="BG379" s="1236"/>
      <c r="BH379" s="1236" t="s">
        <v>54</v>
      </c>
      <c r="BI379" s="1236" t="s">
        <v>303</v>
      </c>
      <c r="BJ379" s="1236" t="s">
        <v>315</v>
      </c>
      <c r="BK379" s="1236">
        <v>9</v>
      </c>
      <c r="BL379" s="1238">
        <v>34438406</v>
      </c>
      <c r="BM379" s="1239">
        <v>4.3999999999999997E-2</v>
      </c>
      <c r="BN379" s="1236">
        <v>2008</v>
      </c>
      <c r="BO379" s="174"/>
      <c r="BP379" s="174"/>
      <c r="BQ379" s="174"/>
      <c r="BR379" s="174"/>
      <c r="BS379" s="174"/>
      <c r="BT379" s="174"/>
      <c r="BU379" s="174"/>
      <c r="BV379" s="174"/>
      <c r="BW379" s="174"/>
      <c r="BX379" s="174"/>
    </row>
    <row r="380" spans="1:76" s="152" customFormat="1" ht="15" customHeight="1" x14ac:dyDescent="0.25">
      <c r="A380" s="152">
        <f t="shared" si="10"/>
        <v>2001</v>
      </c>
      <c r="B380" s="152" t="str">
        <f t="shared" si="11"/>
        <v>2001-02</v>
      </c>
      <c r="C380" s="173">
        <v>37165</v>
      </c>
      <c r="D380" s="169">
        <v>0.50542272727272719</v>
      </c>
      <c r="E380" s="170">
        <v>165.4450755454545</v>
      </c>
      <c r="F380" s="170">
        <v>327.33999999999997</v>
      </c>
      <c r="G380" s="170"/>
      <c r="H380" s="170"/>
      <c r="I380" s="169">
        <v>283.08699999999999</v>
      </c>
      <c r="J380" s="169">
        <v>562.38</v>
      </c>
      <c r="K380" s="169"/>
      <c r="L380" s="170"/>
      <c r="M380" s="170">
        <v>4828.4799999999996</v>
      </c>
      <c r="N380" s="170">
        <v>9553.3495813585396</v>
      </c>
      <c r="O380" s="170">
        <v>1377.28</v>
      </c>
      <c r="P380" s="170">
        <v>2725.0060705260225</v>
      </c>
      <c r="Q380" s="170">
        <v>468.11</v>
      </c>
      <c r="R380" s="170">
        <v>926.17520887106218</v>
      </c>
      <c r="S380" s="170">
        <v>761.5</v>
      </c>
      <c r="T380" s="170">
        <v>1506.6595918807841</v>
      </c>
      <c r="U380" s="170">
        <v>457.52886963636354</v>
      </c>
      <c r="V380" s="170">
        <v>905.24</v>
      </c>
      <c r="W380" s="170">
        <v>1737.1429678636362</v>
      </c>
      <c r="X380" s="170">
        <v>3437.01</v>
      </c>
      <c r="Y380" s="170"/>
      <c r="Z380" s="170"/>
      <c r="AA380" s="170"/>
      <c r="AB380" s="170"/>
      <c r="AC380" s="170">
        <v>4.4029999999999996</v>
      </c>
      <c r="AD380" s="170">
        <v>8.77</v>
      </c>
      <c r="AE380" s="170">
        <v>17747</v>
      </c>
      <c r="AF380" s="170">
        <v>35113.181585171733</v>
      </c>
      <c r="AG380" s="170">
        <v>431.21699999999998</v>
      </c>
      <c r="AH380" s="170">
        <v>853.18086570197772</v>
      </c>
      <c r="AI380" s="170">
        <v>335.21699999999998</v>
      </c>
      <c r="AJ380" s="170">
        <v>663.24085149245013</v>
      </c>
      <c r="AK380" s="170">
        <v>20.48</v>
      </c>
      <c r="AL380" s="170">
        <v>40.520536364699225</v>
      </c>
      <c r="AM380" s="170">
        <v>21.55</v>
      </c>
      <c r="AN380" s="170">
        <v>42.637576106409583</v>
      </c>
      <c r="AO380" s="170"/>
      <c r="AP380" s="170"/>
      <c r="AS380" s="167"/>
      <c r="AT380" s="1170"/>
      <c r="AU380" s="1171"/>
      <c r="AV380" s="1171"/>
      <c r="AW380" s="1172"/>
      <c r="AX380" s="1172"/>
      <c r="AY380" s="1172"/>
      <c r="AZ380" s="1172"/>
      <c r="BA380" s="1258" t="s">
        <v>32</v>
      </c>
      <c r="BB380" s="1259">
        <v>2008</v>
      </c>
      <c r="BC380" s="1258" t="s">
        <v>330</v>
      </c>
      <c r="BD380" s="1258">
        <v>6</v>
      </c>
      <c r="BE380" s="1260">
        <v>413689000</v>
      </c>
      <c r="BF380" s="1239">
        <v>2.8992738026581377E-2</v>
      </c>
      <c r="BG380" s="1236"/>
      <c r="BH380" s="1236" t="s">
        <v>54</v>
      </c>
      <c r="BI380" s="1236" t="s">
        <v>303</v>
      </c>
      <c r="BJ380" s="1236" t="s">
        <v>319</v>
      </c>
      <c r="BK380" s="1236">
        <v>10</v>
      </c>
      <c r="BL380" s="1238">
        <v>25806488</v>
      </c>
      <c r="BM380" s="1239">
        <v>3.3000000000000002E-2</v>
      </c>
      <c r="BN380" s="1236">
        <v>2008</v>
      </c>
      <c r="BO380" s="174"/>
      <c r="BP380" s="174"/>
      <c r="BQ380" s="174"/>
      <c r="BR380" s="174"/>
      <c r="BS380" s="174"/>
      <c r="BT380" s="174"/>
      <c r="BU380" s="174"/>
      <c r="BV380" s="174"/>
      <c r="BW380" s="174"/>
      <c r="BX380" s="174"/>
    </row>
    <row r="381" spans="1:76" s="152" customFormat="1" ht="15" customHeight="1" x14ac:dyDescent="0.25">
      <c r="A381" s="152">
        <f t="shared" si="10"/>
        <v>2001</v>
      </c>
      <c r="B381" s="152" t="str">
        <f t="shared" si="11"/>
        <v>2001-02</v>
      </c>
      <c r="C381" s="173">
        <v>37196</v>
      </c>
      <c r="D381" s="154">
        <v>0.51684545454545461</v>
      </c>
      <c r="E381" s="155">
        <v>159.95849972727274</v>
      </c>
      <c r="F381" s="155">
        <v>309.49</v>
      </c>
      <c r="G381" s="155"/>
      <c r="H381" s="155"/>
      <c r="I381" s="156">
        <v>276.173</v>
      </c>
      <c r="J381" s="156">
        <v>536.12</v>
      </c>
      <c r="K381" s="157"/>
      <c r="L381" s="158"/>
      <c r="M381" s="159">
        <v>5081.82</v>
      </c>
      <c r="N381" s="159">
        <v>9832.3782386153744</v>
      </c>
      <c r="O381" s="175">
        <v>1427.73</v>
      </c>
      <c r="P381" s="175">
        <v>2762.3924858846494</v>
      </c>
      <c r="Q381" s="175">
        <v>486.48</v>
      </c>
      <c r="R381" s="175">
        <v>941.24848292966067</v>
      </c>
      <c r="S381" s="175">
        <v>772.91</v>
      </c>
      <c r="T381" s="175">
        <v>1495.4373559882501</v>
      </c>
      <c r="U381" s="161">
        <v>425.11055481818187</v>
      </c>
      <c r="V381" s="161">
        <v>822.51</v>
      </c>
      <c r="W381" s="161">
        <v>1720.8214355454547</v>
      </c>
      <c r="X381" s="161">
        <v>3329.47</v>
      </c>
      <c r="Y381" s="162"/>
      <c r="Z381" s="162"/>
      <c r="AA381" s="162"/>
      <c r="AB381" s="162"/>
      <c r="AC381" s="163">
        <v>4.1230000000000002</v>
      </c>
      <c r="AD381" s="163">
        <v>8.0500000000000007</v>
      </c>
      <c r="AE381" s="163">
        <v>15983.4</v>
      </c>
      <c r="AF381" s="163">
        <v>30924.911614162836</v>
      </c>
      <c r="AG381" s="163">
        <v>429.61399999999998</v>
      </c>
      <c r="AH381" s="163">
        <v>831.22333034316557</v>
      </c>
      <c r="AI381" s="163">
        <v>328.90899999999999</v>
      </c>
      <c r="AJ381" s="163">
        <v>636.37785165250727</v>
      </c>
      <c r="AK381" s="164">
        <v>18.940000000000001</v>
      </c>
      <c r="AL381" s="164">
        <v>36.645383708863207</v>
      </c>
      <c r="AM381" s="164">
        <v>19.920000000000002</v>
      </c>
      <c r="AN381" s="164">
        <v>38.541501767716738</v>
      </c>
      <c r="AO381" s="164"/>
      <c r="AP381" s="164"/>
      <c r="AS381" s="167"/>
      <c r="AT381" s="1170"/>
      <c r="AU381" s="1171"/>
      <c r="AV381" s="1171"/>
      <c r="AW381" s="1172"/>
      <c r="AX381" s="1172"/>
      <c r="AY381" s="1172"/>
      <c r="AZ381" s="1172"/>
      <c r="BA381" s="1258" t="s">
        <v>32</v>
      </c>
      <c r="BB381" s="1259">
        <v>2008</v>
      </c>
      <c r="BC381" s="1258" t="s">
        <v>328</v>
      </c>
      <c r="BD381" s="1258">
        <v>7</v>
      </c>
      <c r="BE381" s="1260">
        <v>207399000</v>
      </c>
      <c r="BF381" s="1239">
        <v>1.4535230267120836E-2</v>
      </c>
      <c r="BG381" s="1236"/>
      <c r="BH381" s="1236" t="s">
        <v>54</v>
      </c>
      <c r="BI381" s="1236" t="s">
        <v>303</v>
      </c>
      <c r="BJ381" s="1236" t="s">
        <v>291</v>
      </c>
      <c r="BK381" s="1236"/>
      <c r="BL381" s="1238">
        <v>139649770</v>
      </c>
      <c r="BM381" s="1239">
        <v>0.17899999999999999</v>
      </c>
      <c r="BN381" s="1236">
        <v>2008</v>
      </c>
      <c r="BO381" s="174"/>
      <c r="BP381" s="174"/>
      <c r="BQ381" s="174"/>
      <c r="BR381" s="174"/>
      <c r="BS381" s="174"/>
      <c r="BT381" s="174"/>
      <c r="BU381" s="174"/>
      <c r="BV381" s="174"/>
      <c r="BW381" s="174"/>
      <c r="BX381" s="174"/>
    </row>
    <row r="382" spans="1:76" s="152" customFormat="1" ht="15" customHeight="1" x14ac:dyDescent="0.25">
      <c r="A382" s="152">
        <f t="shared" si="10"/>
        <v>2001</v>
      </c>
      <c r="B382" s="152" t="str">
        <f t="shared" si="11"/>
        <v>2001-02</v>
      </c>
      <c r="C382" s="173">
        <v>37226</v>
      </c>
      <c r="D382" s="169">
        <v>0.51462105263157887</v>
      </c>
      <c r="E382" s="170">
        <v>161.42633178947366</v>
      </c>
      <c r="F382" s="170">
        <v>313.68</v>
      </c>
      <c r="G382" s="170"/>
      <c r="H382" s="170"/>
      <c r="I382" s="169">
        <v>275.84699999999998</v>
      </c>
      <c r="J382" s="169">
        <v>537.72</v>
      </c>
      <c r="K382" s="169"/>
      <c r="L382" s="170"/>
      <c r="M382" s="170">
        <v>5267.94</v>
      </c>
      <c r="N382" s="170">
        <v>10236.541962404632</v>
      </c>
      <c r="O382" s="170">
        <v>1471.74</v>
      </c>
      <c r="P382" s="170">
        <v>2859.8519094274789</v>
      </c>
      <c r="Q382" s="170">
        <v>483.26</v>
      </c>
      <c r="R382" s="170">
        <v>939.05991122747457</v>
      </c>
      <c r="S382" s="170">
        <v>754.68</v>
      </c>
      <c r="T382" s="170">
        <v>1466.4771216429056</v>
      </c>
      <c r="U382" s="170">
        <v>442.30650231578943</v>
      </c>
      <c r="V382" s="170">
        <v>859.48</v>
      </c>
      <c r="W382" s="170">
        <v>1659.4007304210525</v>
      </c>
      <c r="X382" s="170">
        <v>3224.51</v>
      </c>
      <c r="Y382" s="170"/>
      <c r="Z382" s="170"/>
      <c r="AA382" s="170"/>
      <c r="AB382" s="170"/>
      <c r="AC382" s="170">
        <v>4.3339999999999996</v>
      </c>
      <c r="AD382" s="170">
        <v>8.52</v>
      </c>
      <c r="AE382" s="170">
        <v>16231.4</v>
      </c>
      <c r="AF382" s="170">
        <v>31540.489680705276</v>
      </c>
      <c r="AG382" s="170">
        <v>460.60300000000001</v>
      </c>
      <c r="AH382" s="170">
        <v>895.0333408333164</v>
      </c>
      <c r="AI382" s="170">
        <v>398.89699999999999</v>
      </c>
      <c r="AJ382" s="170">
        <v>775.12763607355453</v>
      </c>
      <c r="AK382" s="170">
        <v>18.600000000000001</v>
      </c>
      <c r="AL382" s="170">
        <v>36.143099674773474</v>
      </c>
      <c r="AM382" s="170">
        <v>19.59</v>
      </c>
      <c r="AN382" s="170">
        <v>38.066845302624316</v>
      </c>
      <c r="AO382" s="170"/>
      <c r="AP382" s="170"/>
      <c r="AS382" s="167"/>
      <c r="AT382" s="1170"/>
      <c r="AU382" s="1171"/>
      <c r="AV382" s="1171"/>
      <c r="AW382" s="1172"/>
      <c r="AX382" s="1172"/>
      <c r="AY382" s="1172"/>
      <c r="AZ382" s="1172"/>
      <c r="BA382" s="1258" t="s">
        <v>32</v>
      </c>
      <c r="BB382" s="1259">
        <v>2008</v>
      </c>
      <c r="BC382" s="1258" t="s">
        <v>320</v>
      </c>
      <c r="BD382" s="1258">
        <v>8</v>
      </c>
      <c r="BE382" s="1260">
        <v>205301000</v>
      </c>
      <c r="BF382" s="1239">
        <v>1.438819526164627E-2</v>
      </c>
      <c r="BG382" s="1236"/>
      <c r="BH382" s="1236" t="s">
        <v>54</v>
      </c>
      <c r="BI382" s="1236" t="s">
        <v>303</v>
      </c>
      <c r="BJ382" s="1236" t="s">
        <v>331</v>
      </c>
      <c r="BK382" s="1236"/>
      <c r="BL382" s="1238">
        <v>780550154</v>
      </c>
      <c r="BM382" s="1239">
        <v>1</v>
      </c>
      <c r="BN382" s="1236">
        <v>2008</v>
      </c>
      <c r="BO382" s="174"/>
      <c r="BP382" s="174"/>
      <c r="BQ382" s="174"/>
      <c r="BR382" s="174"/>
      <c r="BS382" s="174"/>
      <c r="BT382" s="174"/>
      <c r="BU382" s="174"/>
      <c r="BV382" s="174"/>
      <c r="BW382" s="174"/>
      <c r="BX382" s="174"/>
    </row>
    <row r="383" spans="1:76" s="152" customFormat="1" ht="15" customHeight="1" x14ac:dyDescent="0.25">
      <c r="A383" s="152">
        <f t="shared" si="10"/>
        <v>2002</v>
      </c>
      <c r="B383" s="152" t="str">
        <f t="shared" si="11"/>
        <v>2001-02</v>
      </c>
      <c r="C383" s="173">
        <v>37257</v>
      </c>
      <c r="D383" s="154">
        <v>0.51686666666666659</v>
      </c>
      <c r="E383" s="155">
        <v>158.68840399999996</v>
      </c>
      <c r="F383" s="155">
        <v>307.02</v>
      </c>
      <c r="G383" s="155"/>
      <c r="H383" s="155"/>
      <c r="I383" s="156">
        <v>281.51100000000002</v>
      </c>
      <c r="J383" s="156">
        <v>546.54</v>
      </c>
      <c r="K383" s="157"/>
      <c r="L383" s="158"/>
      <c r="M383" s="159">
        <v>6047.27</v>
      </c>
      <c r="N383" s="159">
        <v>11699.864568554111</v>
      </c>
      <c r="O383" s="175">
        <v>1503.95</v>
      </c>
      <c r="P383" s="175">
        <v>2909.7446149877474</v>
      </c>
      <c r="Q383" s="175">
        <v>513.07000000000005</v>
      </c>
      <c r="R383" s="175">
        <v>992.65445633948173</v>
      </c>
      <c r="S383" s="175">
        <v>793.23</v>
      </c>
      <c r="T383" s="175">
        <v>1534.689797497743</v>
      </c>
      <c r="U383" s="161">
        <v>456.57416999999992</v>
      </c>
      <c r="V383" s="161">
        <v>883.35</v>
      </c>
      <c r="W383" s="161">
        <v>1651.2132653333331</v>
      </c>
      <c r="X383" s="161">
        <v>3194.66</v>
      </c>
      <c r="Y383" s="162"/>
      <c r="Z383" s="162"/>
      <c r="AA383" s="162"/>
      <c r="AB383" s="162"/>
      <c r="AC383" s="163">
        <v>4.5140000000000002</v>
      </c>
      <c r="AD383" s="163">
        <v>8.81</v>
      </c>
      <c r="AE383" s="163">
        <v>16534.5</v>
      </c>
      <c r="AF383" s="163">
        <v>31989.874887140468</v>
      </c>
      <c r="AG383" s="163">
        <v>471.97699999999998</v>
      </c>
      <c r="AH383" s="163">
        <v>913.15039339610485</v>
      </c>
      <c r="AI383" s="163">
        <v>409.59100000000001</v>
      </c>
      <c r="AJ383" s="163">
        <v>792.45001934734955</v>
      </c>
      <c r="AK383" s="164">
        <v>19.48</v>
      </c>
      <c r="AL383" s="164">
        <v>37.68863665677803</v>
      </c>
      <c r="AM383" s="164">
        <v>20.2</v>
      </c>
      <c r="AN383" s="164">
        <v>39.081645814523412</v>
      </c>
      <c r="AO383" s="164"/>
      <c r="AP383" s="164"/>
      <c r="AS383" s="167"/>
      <c r="AT383" s="1170"/>
      <c r="AU383" s="1171"/>
      <c r="AV383" s="1171"/>
      <c r="AW383" s="1172"/>
      <c r="AX383" s="1172"/>
      <c r="AY383" s="1172"/>
      <c r="AZ383" s="1172"/>
      <c r="BA383" s="1258" t="s">
        <v>32</v>
      </c>
      <c r="BB383" s="1259">
        <v>2008</v>
      </c>
      <c r="BC383" s="1258" t="s">
        <v>327</v>
      </c>
      <c r="BD383" s="1258">
        <v>9</v>
      </c>
      <c r="BE383" s="1260">
        <v>65019000</v>
      </c>
      <c r="BF383" s="1239">
        <v>4.5567535848192592E-3</v>
      </c>
      <c r="BG383" s="1236"/>
      <c r="BH383" s="1236" t="s">
        <v>54</v>
      </c>
      <c r="BI383" s="1236" t="s">
        <v>307</v>
      </c>
      <c r="BJ383" s="1236" t="s">
        <v>286</v>
      </c>
      <c r="BK383" s="1236">
        <v>1</v>
      </c>
      <c r="BL383" s="1238">
        <v>140054952.82999998</v>
      </c>
      <c r="BM383" s="1239">
        <v>0.45121652867565121</v>
      </c>
      <c r="BN383" s="1236">
        <v>2007</v>
      </c>
      <c r="BO383" s="174"/>
      <c r="BP383" s="174"/>
      <c r="BQ383" s="174"/>
      <c r="BR383" s="174"/>
      <c r="BS383" s="174"/>
      <c r="BT383" s="174"/>
      <c r="BU383" s="174"/>
      <c r="BV383" s="174"/>
      <c r="BW383" s="174"/>
      <c r="BX383" s="174"/>
    </row>
    <row r="384" spans="1:76" s="152" customFormat="1" ht="15" customHeight="1" x14ac:dyDescent="0.25">
      <c r="A384" s="152">
        <f t="shared" si="10"/>
        <v>2002</v>
      </c>
      <c r="B384" s="152" t="str">
        <f t="shared" si="11"/>
        <v>2001-02</v>
      </c>
      <c r="C384" s="173">
        <v>37288</v>
      </c>
      <c r="D384" s="169">
        <v>0.51304499999999997</v>
      </c>
      <c r="E384" s="170">
        <v>161.6707404</v>
      </c>
      <c r="F384" s="170">
        <v>315.12</v>
      </c>
      <c r="G384" s="170"/>
      <c r="H384" s="170"/>
      <c r="I384" s="169">
        <v>295.495</v>
      </c>
      <c r="J384" s="169">
        <v>577.78</v>
      </c>
      <c r="K384" s="169"/>
      <c r="L384" s="170"/>
      <c r="M384" s="170">
        <v>6032.5</v>
      </c>
      <c r="N384" s="170">
        <v>11758.227835764894</v>
      </c>
      <c r="O384" s="170">
        <v>1561.9</v>
      </c>
      <c r="P384" s="170">
        <v>3044.3723260142874</v>
      </c>
      <c r="Q384" s="170">
        <v>479.95</v>
      </c>
      <c r="R384" s="170">
        <v>935.49298794452727</v>
      </c>
      <c r="S384" s="170">
        <v>771.25</v>
      </c>
      <c r="T384" s="170">
        <v>1503.2794394253915</v>
      </c>
      <c r="U384" s="170">
        <v>444.80488455</v>
      </c>
      <c r="V384" s="170">
        <v>866.99</v>
      </c>
      <c r="W384" s="170">
        <v>1582.78999905</v>
      </c>
      <c r="X384" s="170">
        <v>3085.09</v>
      </c>
      <c r="Y384" s="170"/>
      <c r="Z384" s="170"/>
      <c r="AA384" s="170"/>
      <c r="AB384" s="170"/>
      <c r="AC384" s="170">
        <v>4.4219999999999997</v>
      </c>
      <c r="AD384" s="170">
        <v>8.68</v>
      </c>
      <c r="AE384" s="170">
        <v>15804.2</v>
      </c>
      <c r="AF384" s="170">
        <v>30804.70524028107</v>
      </c>
      <c r="AG384" s="170">
        <v>471.15</v>
      </c>
      <c r="AH384" s="170">
        <v>918.34049644768004</v>
      </c>
      <c r="AI384" s="170">
        <v>374.15</v>
      </c>
      <c r="AJ384" s="170">
        <v>729.27326063015914</v>
      </c>
      <c r="AK384" s="170">
        <v>20.29</v>
      </c>
      <c r="AL384" s="170">
        <v>39.548187780798955</v>
      </c>
      <c r="AM384" s="170">
        <v>20.29</v>
      </c>
      <c r="AN384" s="170">
        <v>39.548187780798955</v>
      </c>
      <c r="AO384" s="170"/>
      <c r="AP384" s="170"/>
      <c r="AS384" s="167"/>
      <c r="AT384" s="1170"/>
      <c r="AU384" s="1171"/>
      <c r="AV384" s="1171"/>
      <c r="AW384" s="1172"/>
      <c r="AX384" s="1172"/>
      <c r="AY384" s="1172"/>
      <c r="AZ384" s="1172"/>
      <c r="BA384" s="1258" t="s">
        <v>32</v>
      </c>
      <c r="BB384" s="1259">
        <v>2008</v>
      </c>
      <c r="BC384" s="1258" t="s">
        <v>332</v>
      </c>
      <c r="BD384" s="1258">
        <v>10</v>
      </c>
      <c r="BE384" s="1260">
        <v>36565000</v>
      </c>
      <c r="BF384" s="1239">
        <v>2.5626000834973813E-3</v>
      </c>
      <c r="BG384" s="1236"/>
      <c r="BH384" s="1236" t="s">
        <v>54</v>
      </c>
      <c r="BI384" s="1236" t="s">
        <v>307</v>
      </c>
      <c r="BJ384" s="1236" t="s">
        <v>281</v>
      </c>
      <c r="BK384" s="1236">
        <v>2</v>
      </c>
      <c r="BL384" s="1238">
        <v>115981906.39999998</v>
      </c>
      <c r="BM384" s="1239">
        <v>0.37366013937768067</v>
      </c>
      <c r="BN384" s="1236">
        <v>2007</v>
      </c>
      <c r="BO384" s="174"/>
      <c r="BP384" s="174"/>
      <c r="BQ384" s="174"/>
      <c r="BR384" s="174"/>
      <c r="BS384" s="174"/>
      <c r="BT384" s="174"/>
      <c r="BU384" s="174"/>
      <c r="BV384" s="174"/>
      <c r="BW384" s="174"/>
      <c r="BX384" s="174"/>
    </row>
    <row r="385" spans="1:76" s="152" customFormat="1" ht="15" customHeight="1" x14ac:dyDescent="0.25">
      <c r="A385" s="152">
        <f t="shared" si="10"/>
        <v>2002</v>
      </c>
      <c r="B385" s="152" t="str">
        <f t="shared" si="11"/>
        <v>2001-02</v>
      </c>
      <c r="C385" s="173">
        <v>37316</v>
      </c>
      <c r="D385" s="154">
        <v>0.524335</v>
      </c>
      <c r="E385" s="155">
        <v>158.73193455000001</v>
      </c>
      <c r="F385" s="155">
        <v>302.73</v>
      </c>
      <c r="G385" s="155"/>
      <c r="H385" s="155"/>
      <c r="I385" s="156">
        <v>294.05500000000001</v>
      </c>
      <c r="J385" s="156">
        <v>561.91999999999996</v>
      </c>
      <c r="K385" s="157"/>
      <c r="L385" s="158"/>
      <c r="M385" s="159">
        <v>6541</v>
      </c>
      <c r="N385" s="159">
        <v>12474.849094567404</v>
      </c>
      <c r="O385" s="175">
        <v>1604.88</v>
      </c>
      <c r="P385" s="175">
        <v>3060.791288012435</v>
      </c>
      <c r="Q385" s="175">
        <v>480.15</v>
      </c>
      <c r="R385" s="175">
        <v>915.73135495437077</v>
      </c>
      <c r="S385" s="175">
        <v>819.3</v>
      </c>
      <c r="T385" s="175">
        <v>1562.5506594066769</v>
      </c>
      <c r="U385" s="161">
        <v>443.24659224999999</v>
      </c>
      <c r="V385" s="161">
        <v>845.35</v>
      </c>
      <c r="W385" s="161">
        <v>1575.4693745</v>
      </c>
      <c r="X385" s="161">
        <v>3004.7</v>
      </c>
      <c r="Y385" s="162"/>
      <c r="Z385" s="162"/>
      <c r="AA385" s="162"/>
      <c r="AB385" s="162"/>
      <c r="AC385" s="163">
        <v>4.532</v>
      </c>
      <c r="AD385" s="163">
        <v>8.6999999999999993</v>
      </c>
      <c r="AE385" s="163">
        <v>15189.68</v>
      </c>
      <c r="AF385" s="163">
        <v>28969.418406171626</v>
      </c>
      <c r="AG385" s="163">
        <v>511.95</v>
      </c>
      <c r="AH385" s="163">
        <v>976.37960464207038</v>
      </c>
      <c r="AI385" s="163">
        <v>374.7</v>
      </c>
      <c r="AJ385" s="163">
        <v>714.61947037676293</v>
      </c>
      <c r="AK385" s="164">
        <v>23.69</v>
      </c>
      <c r="AL385" s="164">
        <v>45.181038839673114</v>
      </c>
      <c r="AM385" s="164">
        <v>23.6</v>
      </c>
      <c r="AN385" s="164">
        <v>45.009392849990945</v>
      </c>
      <c r="AO385" s="164"/>
      <c r="AP385" s="164"/>
      <c r="AS385" s="167"/>
      <c r="AT385" s="1170"/>
      <c r="AU385" s="1171"/>
      <c r="AV385" s="1171"/>
      <c r="AW385" s="1172"/>
      <c r="AX385" s="1172"/>
      <c r="AY385" s="1172"/>
      <c r="AZ385" s="1172"/>
      <c r="BA385" s="1258" t="s">
        <v>32</v>
      </c>
      <c r="BB385" s="1259">
        <v>2008</v>
      </c>
      <c r="BC385" s="1258" t="s">
        <v>291</v>
      </c>
      <c r="BD385" s="1258"/>
      <c r="BE385" s="1260">
        <v>118547000</v>
      </c>
      <c r="BF385" s="1239">
        <v>8.308178643466814E-3</v>
      </c>
      <c r="BG385" s="1236"/>
      <c r="BH385" s="1236" t="s">
        <v>54</v>
      </c>
      <c r="BI385" s="1236" t="s">
        <v>307</v>
      </c>
      <c r="BJ385" s="1236" t="s">
        <v>308</v>
      </c>
      <c r="BK385" s="1236">
        <v>3</v>
      </c>
      <c r="BL385" s="1238">
        <v>73841134.730000004</v>
      </c>
      <c r="BM385" s="1239">
        <v>0.23789476782576754</v>
      </c>
      <c r="BN385" s="1236">
        <v>2007</v>
      </c>
      <c r="BO385" s="174"/>
      <c r="BP385" s="174"/>
      <c r="BQ385" s="174"/>
      <c r="BR385" s="174"/>
      <c r="BS385" s="174"/>
      <c r="BT385" s="174"/>
      <c r="BU385" s="174"/>
      <c r="BV385" s="174"/>
      <c r="BW385" s="174"/>
      <c r="BX385" s="174"/>
    </row>
    <row r="386" spans="1:76" s="152" customFormat="1" ht="15" customHeight="1" x14ac:dyDescent="0.25">
      <c r="A386" s="152">
        <f t="shared" si="10"/>
        <v>2002</v>
      </c>
      <c r="B386" s="152" t="str">
        <f t="shared" si="11"/>
        <v>2001-02</v>
      </c>
      <c r="C386" s="173">
        <v>37347</v>
      </c>
      <c r="D386" s="169">
        <v>0.53539500000000007</v>
      </c>
      <c r="E386" s="170">
        <v>160.54354470000004</v>
      </c>
      <c r="F386" s="170">
        <v>299.86</v>
      </c>
      <c r="G386" s="170"/>
      <c r="H386" s="170"/>
      <c r="I386" s="169">
        <v>302.68299999999999</v>
      </c>
      <c r="J386" s="169">
        <v>566.61</v>
      </c>
      <c r="K386" s="169"/>
      <c r="L386" s="170"/>
      <c r="M386" s="170">
        <v>6958.3</v>
      </c>
      <c r="N386" s="170">
        <v>12996.57262395054</v>
      </c>
      <c r="O386" s="170">
        <v>1589.9</v>
      </c>
      <c r="P386" s="170">
        <v>2969.5832049234677</v>
      </c>
      <c r="Q386" s="170">
        <v>472.8</v>
      </c>
      <c r="R386" s="170">
        <v>883.08631944639001</v>
      </c>
      <c r="S386" s="170">
        <v>808.1</v>
      </c>
      <c r="T386" s="170">
        <v>1509.3529076663024</v>
      </c>
      <c r="U386" s="170">
        <v>462.67765110000005</v>
      </c>
      <c r="V386" s="170">
        <v>864.18</v>
      </c>
      <c r="W386" s="170">
        <v>1564.1564925000002</v>
      </c>
      <c r="X386" s="170">
        <v>2921.5</v>
      </c>
      <c r="Y386" s="170"/>
      <c r="Z386" s="170"/>
      <c r="AA386" s="170"/>
      <c r="AB386" s="170"/>
      <c r="AC386" s="170">
        <v>4.5709999999999997</v>
      </c>
      <c r="AD386" s="170">
        <v>8.6</v>
      </c>
      <c r="AE386" s="170">
        <v>15776.68</v>
      </c>
      <c r="AF386" s="170">
        <v>29467.365216335598</v>
      </c>
      <c r="AG386" s="170">
        <v>540.40499999999997</v>
      </c>
      <c r="AH386" s="170">
        <v>1009.3575771159609</v>
      </c>
      <c r="AI386" s="170">
        <v>369.524</v>
      </c>
      <c r="AJ386" s="170">
        <v>690.18948626714848</v>
      </c>
      <c r="AK386" s="170">
        <v>25.65</v>
      </c>
      <c r="AL386" s="170">
        <v>47.908553497884732</v>
      </c>
      <c r="AM386" s="170">
        <v>26.09</v>
      </c>
      <c r="AN386" s="170">
        <v>48.730376637809464</v>
      </c>
      <c r="AO386" s="170"/>
      <c r="AP386" s="170"/>
      <c r="AS386" s="167"/>
      <c r="AT386" s="1170"/>
      <c r="AU386" s="1171"/>
      <c r="AV386" s="1171"/>
      <c r="AW386" s="1172"/>
      <c r="AX386" s="1172"/>
      <c r="AY386" s="1172"/>
      <c r="AZ386" s="1172"/>
      <c r="BA386" s="1258" t="s">
        <v>32</v>
      </c>
      <c r="BB386" s="1259">
        <v>2008</v>
      </c>
      <c r="BC386" s="1258" t="s">
        <v>292</v>
      </c>
      <c r="BD386" s="1258"/>
      <c r="BE386" s="1260">
        <v>14268711000</v>
      </c>
      <c r="BF386" s="1239">
        <v>1</v>
      </c>
      <c r="BG386" s="1236"/>
      <c r="BH386" s="1236" t="s">
        <v>54</v>
      </c>
      <c r="BI386" s="1236" t="s">
        <v>307</v>
      </c>
      <c r="BJ386" s="1236" t="s">
        <v>314</v>
      </c>
      <c r="BK386" s="1236">
        <v>4</v>
      </c>
      <c r="BL386" s="1238">
        <v>71899286.060000002</v>
      </c>
      <c r="BM386" s="1239">
        <v>0.23163869334652823</v>
      </c>
      <c r="BN386" s="1236">
        <v>2007</v>
      </c>
      <c r="BO386" s="174"/>
      <c r="BP386" s="174"/>
      <c r="BQ386" s="174"/>
      <c r="BR386" s="174"/>
      <c r="BS386" s="174"/>
      <c r="BT386" s="174"/>
      <c r="BU386" s="174"/>
      <c r="BV386" s="174"/>
      <c r="BW386" s="174"/>
      <c r="BX386" s="174"/>
    </row>
    <row r="387" spans="1:76" s="152" customFormat="1" ht="15" customHeight="1" x14ac:dyDescent="0.25">
      <c r="A387" s="152">
        <f t="shared" si="10"/>
        <v>2002</v>
      </c>
      <c r="B387" s="152" t="str">
        <f t="shared" si="11"/>
        <v>2001-02</v>
      </c>
      <c r="C387" s="173">
        <v>37377</v>
      </c>
      <c r="D387" s="154">
        <v>0.54973478260869568</v>
      </c>
      <c r="E387" s="155">
        <v>160.2421917826087</v>
      </c>
      <c r="F387" s="155">
        <v>291.49</v>
      </c>
      <c r="G387" s="155"/>
      <c r="H387" s="155"/>
      <c r="I387" s="156">
        <v>314.31700000000001</v>
      </c>
      <c r="J387" s="156">
        <v>573</v>
      </c>
      <c r="K387" s="157"/>
      <c r="L387" s="158"/>
      <c r="M387" s="159">
        <v>6964.3</v>
      </c>
      <c r="N387" s="159">
        <v>12668.472544072636</v>
      </c>
      <c r="O387" s="175">
        <v>1595.7</v>
      </c>
      <c r="P387" s="175">
        <v>2902.6724349290962</v>
      </c>
      <c r="Q387" s="175">
        <v>451.9</v>
      </c>
      <c r="R387" s="175">
        <v>822.03275887977588</v>
      </c>
      <c r="S387" s="175">
        <v>769.5</v>
      </c>
      <c r="T387" s="175">
        <v>1399.7658950165692</v>
      </c>
      <c r="U387" s="161">
        <v>464.16856369565221</v>
      </c>
      <c r="V387" s="161">
        <v>844.35</v>
      </c>
      <c r="W387" s="161">
        <v>1600.9211418695654</v>
      </c>
      <c r="X387" s="161">
        <v>2912.17</v>
      </c>
      <c r="Y387" s="162"/>
      <c r="Z387" s="162"/>
      <c r="AA387" s="162"/>
      <c r="AB387" s="162"/>
      <c r="AC387" s="163">
        <v>4.702</v>
      </c>
      <c r="AD387" s="163">
        <v>8.6199999999999992</v>
      </c>
      <c r="AE387" s="163">
        <v>18706.04</v>
      </c>
      <c r="AF387" s="163">
        <v>34027.390283061395</v>
      </c>
      <c r="AG387" s="163">
        <v>533.84799999999996</v>
      </c>
      <c r="AH387" s="163">
        <v>971.10100522781727</v>
      </c>
      <c r="AI387" s="163">
        <v>356.26100000000002</v>
      </c>
      <c r="AJ387" s="163">
        <v>648.05977586029633</v>
      </c>
      <c r="AK387" s="164">
        <v>25.43</v>
      </c>
      <c r="AL387" s="164">
        <v>46.258670188786688</v>
      </c>
      <c r="AM387" s="164">
        <v>25.98</v>
      </c>
      <c r="AN387" s="164">
        <v>47.259152634867405</v>
      </c>
      <c r="AO387" s="164"/>
      <c r="AP387" s="164"/>
      <c r="AS387" s="167"/>
      <c r="AT387" s="1170"/>
      <c r="AU387" s="1171"/>
      <c r="AV387" s="1171"/>
      <c r="AW387" s="1172"/>
      <c r="AX387" s="1172"/>
      <c r="AY387" s="1172"/>
      <c r="AZ387" s="1172"/>
      <c r="BA387" s="1261" t="s">
        <v>32</v>
      </c>
      <c r="BB387" s="1262">
        <v>2009</v>
      </c>
      <c r="BC387" s="1261" t="s">
        <v>287</v>
      </c>
      <c r="BD387" s="1261">
        <v>1</v>
      </c>
      <c r="BE387" s="1263">
        <v>6715194000</v>
      </c>
      <c r="BF387" s="1239">
        <v>0.44851326655899543</v>
      </c>
      <c r="BG387" s="1236"/>
      <c r="BH387" s="1236" t="s">
        <v>54</v>
      </c>
      <c r="BI387" s="1236" t="s">
        <v>307</v>
      </c>
      <c r="BJ387" s="1236" t="s">
        <v>333</v>
      </c>
      <c r="BK387" s="1236">
        <v>5</v>
      </c>
      <c r="BL387" s="1238">
        <v>70542693.929999992</v>
      </c>
      <c r="BM387" s="1239">
        <v>0.22726814607662693</v>
      </c>
      <c r="BN387" s="1236">
        <v>2007</v>
      </c>
      <c r="BO387" s="174"/>
      <c r="BP387" s="174"/>
      <c r="BQ387" s="174"/>
      <c r="BR387" s="174"/>
      <c r="BS387" s="174"/>
      <c r="BT387" s="174"/>
      <c r="BU387" s="174"/>
      <c r="BV387" s="174"/>
      <c r="BW387" s="174"/>
      <c r="BX387" s="174"/>
    </row>
    <row r="388" spans="1:76" s="152" customFormat="1" ht="15" customHeight="1" x14ac:dyDescent="0.25">
      <c r="A388" s="152">
        <f t="shared" si="10"/>
        <v>2002</v>
      </c>
      <c r="B388" s="152" t="str">
        <f t="shared" si="11"/>
        <v>2001-02</v>
      </c>
      <c r="C388" s="173">
        <v>37408</v>
      </c>
      <c r="D388" s="169">
        <v>0.56938421052631583</v>
      </c>
      <c r="E388" s="170">
        <v>160.85673331578948</v>
      </c>
      <c r="F388" s="170">
        <v>282.51</v>
      </c>
      <c r="G388" s="170"/>
      <c r="H388" s="170"/>
      <c r="I388" s="169">
        <v>321.72000000000003</v>
      </c>
      <c r="J388" s="169">
        <v>566.91</v>
      </c>
      <c r="K388" s="169"/>
      <c r="L388" s="170"/>
      <c r="M388" s="170">
        <v>7125.6</v>
      </c>
      <c r="N388" s="170">
        <v>12514.572529879926</v>
      </c>
      <c r="O388" s="170">
        <v>1647.1</v>
      </c>
      <c r="P388" s="170">
        <v>2892.7742806171022</v>
      </c>
      <c r="Q388" s="170">
        <v>439.6</v>
      </c>
      <c r="R388" s="170">
        <v>772.06215394285607</v>
      </c>
      <c r="S388" s="170">
        <v>765.4</v>
      </c>
      <c r="T388" s="170">
        <v>1344.2592643945904</v>
      </c>
      <c r="U388" s="170">
        <v>471.84300142105269</v>
      </c>
      <c r="V388" s="170">
        <v>828.69</v>
      </c>
      <c r="W388" s="170">
        <v>1605.7944320526317</v>
      </c>
      <c r="X388" s="170">
        <v>2820.23</v>
      </c>
      <c r="Y388" s="170"/>
      <c r="Z388" s="170"/>
      <c r="AA388" s="170"/>
      <c r="AB388" s="170"/>
      <c r="AC388" s="170">
        <v>4.9089999999999998</v>
      </c>
      <c r="AD388" s="170">
        <v>8.67</v>
      </c>
      <c r="AE388" s="170">
        <v>17581.669999999998</v>
      </c>
      <c r="AF388" s="170">
        <v>30878.394017544342</v>
      </c>
      <c r="AG388" s="170">
        <v>554.70000000000005</v>
      </c>
      <c r="AH388" s="170">
        <v>974.21036576911342</v>
      </c>
      <c r="AI388" s="170">
        <v>336.15</v>
      </c>
      <c r="AJ388" s="170">
        <v>590.37464296608516</v>
      </c>
      <c r="AK388" s="170">
        <v>24.13</v>
      </c>
      <c r="AL388" s="170">
        <v>42.379116866790525</v>
      </c>
      <c r="AM388" s="170">
        <v>24.92</v>
      </c>
      <c r="AN388" s="170">
        <v>43.766580701219233</v>
      </c>
      <c r="AO388" s="170"/>
      <c r="AP388" s="170"/>
      <c r="AS388" s="167"/>
      <c r="AT388" s="1170"/>
      <c r="AU388" s="1171"/>
      <c r="AV388" s="1171"/>
      <c r="AW388" s="1172"/>
      <c r="AX388" s="1172"/>
      <c r="AY388" s="1172"/>
      <c r="AZ388" s="1172"/>
      <c r="BA388" s="1261" t="s">
        <v>32</v>
      </c>
      <c r="BB388" s="1262">
        <v>2009</v>
      </c>
      <c r="BC388" s="1261" t="s">
        <v>314</v>
      </c>
      <c r="BD388" s="1261">
        <v>2</v>
      </c>
      <c r="BE388" s="1263">
        <v>5594390000</v>
      </c>
      <c r="BF388" s="1239">
        <v>0.37365385621100128</v>
      </c>
      <c r="BG388" s="1236"/>
      <c r="BH388" s="1236" t="s">
        <v>54</v>
      </c>
      <c r="BI388" s="1236" t="s">
        <v>307</v>
      </c>
      <c r="BJ388" s="1236" t="s">
        <v>312</v>
      </c>
      <c r="BK388" s="1236">
        <v>6</v>
      </c>
      <c r="BL388" s="1238">
        <v>54781947.75</v>
      </c>
      <c r="BM388" s="1239">
        <v>0.17649158275644472</v>
      </c>
      <c r="BN388" s="1236">
        <v>2007</v>
      </c>
      <c r="BO388" s="174"/>
      <c r="BP388" s="174"/>
      <c r="BQ388" s="174"/>
      <c r="BR388" s="174"/>
      <c r="BS388" s="174"/>
      <c r="BT388" s="174"/>
      <c r="BU388" s="174"/>
      <c r="BV388" s="174"/>
      <c r="BW388" s="174"/>
      <c r="BX388" s="174"/>
    </row>
    <row r="389" spans="1:76" s="152" customFormat="1" ht="15" customHeight="1" x14ac:dyDescent="0.25">
      <c r="A389" s="152">
        <f t="shared" si="10"/>
        <v>2002</v>
      </c>
      <c r="B389" s="152" t="str">
        <f t="shared" si="11"/>
        <v>2002-03</v>
      </c>
      <c r="C389" s="173">
        <v>37438</v>
      </c>
      <c r="D389" s="154">
        <v>0.55435652173913053</v>
      </c>
      <c r="E389" s="155">
        <v>158.8896662608696</v>
      </c>
      <c r="F389" s="155">
        <v>286.62</v>
      </c>
      <c r="G389" s="155"/>
      <c r="H389" s="155"/>
      <c r="I389" s="156">
        <v>313.291</v>
      </c>
      <c r="J389" s="156">
        <v>568.16999999999996</v>
      </c>
      <c r="K389" s="157"/>
      <c r="L389" s="158"/>
      <c r="M389" s="159">
        <v>7161.59</v>
      </c>
      <c r="N389" s="159">
        <v>12918.744019701649</v>
      </c>
      <c r="O389" s="175">
        <v>1593.05</v>
      </c>
      <c r="P389" s="175">
        <v>2873.6921773776094</v>
      </c>
      <c r="Q389" s="175">
        <v>446.86</v>
      </c>
      <c r="R389" s="175">
        <v>806.08774764317411</v>
      </c>
      <c r="S389" s="175">
        <v>796.57</v>
      </c>
      <c r="T389" s="175">
        <v>1436.9272638860566</v>
      </c>
      <c r="U389" s="161">
        <v>435.43596069565223</v>
      </c>
      <c r="V389" s="161">
        <v>785.48</v>
      </c>
      <c r="W389" s="161">
        <v>1635.3517391304351</v>
      </c>
      <c r="X389" s="161">
        <v>2950</v>
      </c>
      <c r="Y389" s="162"/>
      <c r="Z389" s="162"/>
      <c r="AA389" s="162"/>
      <c r="AB389" s="162"/>
      <c r="AC389" s="163">
        <v>4.9189999999999996</v>
      </c>
      <c r="AD389" s="163">
        <v>8.94</v>
      </c>
      <c r="AE389" s="163">
        <v>15597.55</v>
      </c>
      <c r="AF389" s="163">
        <v>28136.315508776326</v>
      </c>
      <c r="AG389" s="163">
        <v>526.19600000000003</v>
      </c>
      <c r="AH389" s="163">
        <v>949.20142429138355</v>
      </c>
      <c r="AI389" s="163">
        <v>322.73899999999998</v>
      </c>
      <c r="AJ389" s="163">
        <v>582.18671079669321</v>
      </c>
      <c r="AK389" s="164">
        <v>25.77</v>
      </c>
      <c r="AL389" s="164">
        <v>46.486329626201936</v>
      </c>
      <c r="AM389" s="164">
        <v>26.38</v>
      </c>
      <c r="AN389" s="164">
        <v>47.586704522281991</v>
      </c>
      <c r="AO389" s="164"/>
      <c r="AP389" s="164"/>
      <c r="AS389" s="167"/>
      <c r="AT389" s="1170"/>
      <c r="AU389" s="1171"/>
      <c r="AV389" s="1171"/>
      <c r="AW389" s="1172"/>
      <c r="AX389" s="1172"/>
      <c r="AY389" s="1172"/>
      <c r="AZ389" s="1172"/>
      <c r="BA389" s="1261" t="s">
        <v>32</v>
      </c>
      <c r="BB389" s="1262">
        <v>2009</v>
      </c>
      <c r="BC389" s="1261" t="s">
        <v>323</v>
      </c>
      <c r="BD389" s="1261">
        <v>3</v>
      </c>
      <c r="BE389" s="1263">
        <v>1191251000</v>
      </c>
      <c r="BF389" s="1239">
        <v>7.9564622749792466E-2</v>
      </c>
      <c r="BG389" s="1236"/>
      <c r="BH389" s="1236" t="s">
        <v>54</v>
      </c>
      <c r="BI389" s="1236" t="s">
        <v>307</v>
      </c>
      <c r="BJ389" s="1236" t="s">
        <v>315</v>
      </c>
      <c r="BK389" s="1236">
        <v>7</v>
      </c>
      <c r="BL389" s="1238">
        <v>51427691.280000001</v>
      </c>
      <c r="BM389" s="1239">
        <v>0.16568513907059848</v>
      </c>
      <c r="BN389" s="1236">
        <v>2007</v>
      </c>
      <c r="BO389" s="174"/>
      <c r="BP389" s="174"/>
      <c r="BQ389" s="174"/>
      <c r="BR389" s="174"/>
      <c r="BS389" s="174"/>
      <c r="BT389" s="174"/>
      <c r="BU389" s="174"/>
      <c r="BV389" s="174"/>
      <c r="BW389" s="174"/>
      <c r="BX389" s="174"/>
    </row>
    <row r="390" spans="1:76" s="152" customFormat="1" ht="15" customHeight="1" x14ac:dyDescent="0.25">
      <c r="A390" s="152">
        <f t="shared" si="10"/>
        <v>2002</v>
      </c>
      <c r="B390" s="152" t="str">
        <f t="shared" si="11"/>
        <v>2002-03</v>
      </c>
      <c r="C390" s="173">
        <v>37469</v>
      </c>
      <c r="D390" s="169">
        <v>0.54216666666666669</v>
      </c>
      <c r="E390" s="170">
        <v>159.75483000000003</v>
      </c>
      <c r="F390" s="170">
        <v>294.66000000000003</v>
      </c>
      <c r="G390" s="170"/>
      <c r="H390" s="170"/>
      <c r="I390" s="169">
        <v>310.08199999999999</v>
      </c>
      <c r="J390" s="169">
        <v>573.91999999999996</v>
      </c>
      <c r="K390" s="169"/>
      <c r="L390" s="170"/>
      <c r="M390" s="170">
        <v>6720.24</v>
      </c>
      <c r="N390" s="170">
        <v>12395.155241315708</v>
      </c>
      <c r="O390" s="170">
        <v>1479.55</v>
      </c>
      <c r="P390" s="170">
        <v>2728.9578850292037</v>
      </c>
      <c r="Q390" s="170">
        <v>423.24</v>
      </c>
      <c r="R390" s="170">
        <v>780.64555794651085</v>
      </c>
      <c r="S390" s="170">
        <v>747.6</v>
      </c>
      <c r="T390" s="170">
        <v>1378.9117737473102</v>
      </c>
      <c r="U390" s="170">
        <v>436.11886666666669</v>
      </c>
      <c r="V390" s="170">
        <v>804.4</v>
      </c>
      <c r="W390" s="170">
        <v>1622.3090516666666</v>
      </c>
      <c r="X390" s="170">
        <v>2992.27</v>
      </c>
      <c r="Y390" s="170"/>
      <c r="Z390" s="170"/>
      <c r="AA390" s="170"/>
      <c r="AB390" s="170"/>
      <c r="AC390" s="170">
        <v>4.548</v>
      </c>
      <c r="AD390" s="170">
        <v>8.44</v>
      </c>
      <c r="AE390" s="170">
        <v>15255.9</v>
      </c>
      <c r="AF390" s="170">
        <v>28138.76421764525</v>
      </c>
      <c r="AG390" s="170">
        <v>545.5</v>
      </c>
      <c r="AH390" s="170">
        <v>1006.1481709191515</v>
      </c>
      <c r="AI390" s="170">
        <v>324.77300000000002</v>
      </c>
      <c r="AJ390" s="170">
        <v>599.02797417768215</v>
      </c>
      <c r="AK390" s="170">
        <v>26.66</v>
      </c>
      <c r="AL390" s="170">
        <v>49.173071011374113</v>
      </c>
      <c r="AM390" s="170">
        <v>27.35</v>
      </c>
      <c r="AN390" s="170">
        <v>50.44574239163849</v>
      </c>
      <c r="AO390" s="170"/>
      <c r="AP390" s="170"/>
      <c r="AS390" s="167"/>
      <c r="AT390" s="1170"/>
      <c r="AU390" s="1171"/>
      <c r="AV390" s="1171"/>
      <c r="AW390" s="1172"/>
      <c r="AX390" s="1172"/>
      <c r="AY390" s="1172"/>
      <c r="AZ390" s="1172"/>
      <c r="BA390" s="1261" t="s">
        <v>32</v>
      </c>
      <c r="BB390" s="1262">
        <v>2009</v>
      </c>
      <c r="BC390" s="1261" t="s">
        <v>306</v>
      </c>
      <c r="BD390" s="1261">
        <v>4</v>
      </c>
      <c r="BE390" s="1263">
        <v>616096000</v>
      </c>
      <c r="BF390" s="1239">
        <v>4.1149552711944114E-2</v>
      </c>
      <c r="BG390" s="1236"/>
      <c r="BH390" s="1236" t="s">
        <v>54</v>
      </c>
      <c r="BI390" s="1236" t="s">
        <v>307</v>
      </c>
      <c r="BJ390" s="1236" t="s">
        <v>290</v>
      </c>
      <c r="BK390" s="1236">
        <v>8</v>
      </c>
      <c r="BL390" s="1238">
        <v>50189431.959999993</v>
      </c>
      <c r="BM390" s="1239">
        <v>0.16169582587116557</v>
      </c>
      <c r="BN390" s="1236">
        <v>2007</v>
      </c>
      <c r="BO390" s="174"/>
      <c r="BP390" s="174"/>
      <c r="BQ390" s="174"/>
      <c r="BR390" s="174"/>
      <c r="BS390" s="174"/>
      <c r="BT390" s="174"/>
      <c r="BU390" s="174"/>
      <c r="BV390" s="174"/>
      <c r="BW390" s="174"/>
      <c r="BX390" s="174"/>
    </row>
    <row r="391" spans="1:76" s="152" customFormat="1" ht="15" customHeight="1" x14ac:dyDescent="0.25">
      <c r="A391" s="152">
        <f t="shared" si="10"/>
        <v>2002</v>
      </c>
      <c r="B391" s="152" t="str">
        <f t="shared" si="11"/>
        <v>2002-03</v>
      </c>
      <c r="C391" s="173">
        <v>37500</v>
      </c>
      <c r="D391" s="154">
        <v>0.54701428571428556</v>
      </c>
      <c r="E391" s="155">
        <v>158.71072485714279</v>
      </c>
      <c r="F391" s="155">
        <v>290.14</v>
      </c>
      <c r="G391" s="155"/>
      <c r="H391" s="155"/>
      <c r="I391" s="156">
        <v>319.13600000000002</v>
      </c>
      <c r="J391" s="156">
        <v>583.26</v>
      </c>
      <c r="K391" s="157"/>
      <c r="L391" s="158"/>
      <c r="M391" s="159">
        <v>6643.81</v>
      </c>
      <c r="N391" s="159">
        <v>12145.587736021524</v>
      </c>
      <c r="O391" s="175">
        <v>1478.71</v>
      </c>
      <c r="P391" s="175">
        <v>2703.2383588832895</v>
      </c>
      <c r="Q391" s="175">
        <v>421.26</v>
      </c>
      <c r="R391" s="175">
        <v>770.10785824345169</v>
      </c>
      <c r="S391" s="175">
        <v>756.24</v>
      </c>
      <c r="T391" s="175">
        <v>1382.4867462327966</v>
      </c>
      <c r="U391" s="161">
        <v>449.5746309999999</v>
      </c>
      <c r="V391" s="161">
        <v>821.87</v>
      </c>
      <c r="W391" s="161">
        <v>1645.2493969999996</v>
      </c>
      <c r="X391" s="161">
        <v>3007.69</v>
      </c>
      <c r="Y391" s="162"/>
      <c r="Z391" s="162"/>
      <c r="AA391" s="162"/>
      <c r="AB391" s="162"/>
      <c r="AC391" s="163">
        <v>4.5529999999999999</v>
      </c>
      <c r="AD391" s="163">
        <v>9.3800000000000008</v>
      </c>
      <c r="AE391" s="163">
        <v>15064.8</v>
      </c>
      <c r="AF391" s="163">
        <v>27540.048575383255</v>
      </c>
      <c r="AG391" s="163">
        <v>556.38099999999997</v>
      </c>
      <c r="AH391" s="163">
        <v>1017.1233449113371</v>
      </c>
      <c r="AI391" s="163">
        <v>328.09500000000003</v>
      </c>
      <c r="AJ391" s="163">
        <v>599.79237941030556</v>
      </c>
      <c r="AK391" s="164">
        <v>28.34</v>
      </c>
      <c r="AL391" s="164">
        <v>51.808518973126858</v>
      </c>
      <c r="AM391" s="164">
        <v>28.01</v>
      </c>
      <c r="AN391" s="164">
        <v>51.205244052127149</v>
      </c>
      <c r="AO391" s="164"/>
      <c r="AP391" s="164"/>
      <c r="AS391" s="167"/>
      <c r="AT391" s="1170"/>
      <c r="AU391" s="1171"/>
      <c r="AV391" s="1171"/>
      <c r="AW391" s="1172"/>
      <c r="AX391" s="1172"/>
      <c r="AY391" s="1172"/>
      <c r="AZ391" s="1172"/>
      <c r="BA391" s="1261" t="s">
        <v>32</v>
      </c>
      <c r="BB391" s="1262">
        <v>2009</v>
      </c>
      <c r="BC391" s="1261" t="s">
        <v>320</v>
      </c>
      <c r="BD391" s="1261">
        <v>5</v>
      </c>
      <c r="BE391" s="1263">
        <v>359668000</v>
      </c>
      <c r="BF391" s="1239">
        <v>2.4022518121850352E-2</v>
      </c>
      <c r="BG391" s="1236"/>
      <c r="BH391" s="1236" t="s">
        <v>54</v>
      </c>
      <c r="BI391" s="1236" t="s">
        <v>307</v>
      </c>
      <c r="BJ391" s="1236" t="s">
        <v>325</v>
      </c>
      <c r="BK391" s="1236">
        <v>9</v>
      </c>
      <c r="BL391" s="1238">
        <v>47892877.800000004</v>
      </c>
      <c r="BM391" s="1239">
        <v>0.15429699294842969</v>
      </c>
      <c r="BN391" s="1236">
        <v>2007</v>
      </c>
      <c r="BO391" s="174"/>
      <c r="BP391" s="174"/>
      <c r="BQ391" s="174"/>
      <c r="BR391" s="174"/>
      <c r="BS391" s="174"/>
      <c r="BT391" s="174"/>
      <c r="BU391" s="174"/>
      <c r="BV391" s="174"/>
      <c r="BW391" s="174"/>
      <c r="BX391" s="174"/>
    </row>
    <row r="392" spans="1:76" s="152" customFormat="1" ht="15" customHeight="1" x14ac:dyDescent="0.25">
      <c r="A392" s="152">
        <f t="shared" si="10"/>
        <v>2002</v>
      </c>
      <c r="B392" s="152" t="str">
        <f t="shared" si="11"/>
        <v>2002-03</v>
      </c>
      <c r="C392" s="173">
        <v>37530</v>
      </c>
      <c r="D392" s="169">
        <v>0.54981363636363634</v>
      </c>
      <c r="E392" s="170">
        <v>156.44947022727271</v>
      </c>
      <c r="F392" s="170">
        <v>284.55</v>
      </c>
      <c r="G392" s="170"/>
      <c r="H392" s="170"/>
      <c r="I392" s="169">
        <v>316.66300000000001</v>
      </c>
      <c r="J392" s="169">
        <v>577.46</v>
      </c>
      <c r="K392" s="169"/>
      <c r="L392" s="170"/>
      <c r="M392" s="170">
        <v>6808.04</v>
      </c>
      <c r="N392" s="170">
        <v>12382.450251738193</v>
      </c>
      <c r="O392" s="170">
        <v>1483.76</v>
      </c>
      <c r="P392" s="170">
        <v>2698.6598764870741</v>
      </c>
      <c r="Q392" s="170">
        <v>418.15</v>
      </c>
      <c r="R392" s="170">
        <v>760.53042766557257</v>
      </c>
      <c r="S392" s="170">
        <v>754.67</v>
      </c>
      <c r="T392" s="170">
        <v>1372.592366008317</v>
      </c>
      <c r="U392" s="170">
        <v>447.45483168181818</v>
      </c>
      <c r="V392" s="170">
        <v>813.83</v>
      </c>
      <c r="W392" s="170">
        <v>1648.2368172272727</v>
      </c>
      <c r="X392" s="170">
        <v>2997.81</v>
      </c>
      <c r="Y392" s="170"/>
      <c r="Z392" s="170"/>
      <c r="AA392" s="170"/>
      <c r="AB392" s="170"/>
      <c r="AC392" s="170">
        <v>4.4089999999999998</v>
      </c>
      <c r="AD392" s="170">
        <v>8.02</v>
      </c>
      <c r="AE392" s="170">
        <v>14594.4</v>
      </c>
      <c r="AF392" s="170">
        <v>26544.267065699947</v>
      </c>
      <c r="AG392" s="170">
        <v>579.15200000000004</v>
      </c>
      <c r="AH392" s="170">
        <v>1053.3605601898166</v>
      </c>
      <c r="AI392" s="170">
        <v>316.60899999999998</v>
      </c>
      <c r="AJ392" s="170">
        <v>575.84784927124065</v>
      </c>
      <c r="AK392" s="170">
        <v>27.55</v>
      </c>
      <c r="AL392" s="170">
        <v>50.107887796691443</v>
      </c>
      <c r="AM392" s="170">
        <v>27.78</v>
      </c>
      <c r="AN392" s="170">
        <v>50.526211360874349</v>
      </c>
      <c r="AO392" s="170"/>
      <c r="AP392" s="170"/>
      <c r="AS392" s="167"/>
      <c r="AT392" s="1170"/>
      <c r="AU392" s="1171"/>
      <c r="AV392" s="1171"/>
      <c r="AW392" s="1172"/>
      <c r="AX392" s="1172"/>
      <c r="AY392" s="1172"/>
      <c r="AZ392" s="1172"/>
      <c r="BA392" s="1261" t="s">
        <v>32</v>
      </c>
      <c r="BB392" s="1262">
        <v>2009</v>
      </c>
      <c r="BC392" s="1261" t="s">
        <v>328</v>
      </c>
      <c r="BD392" s="1261">
        <v>6</v>
      </c>
      <c r="BE392" s="1263">
        <v>197867000</v>
      </c>
      <c r="BF392" s="1239">
        <v>1.3215697791341359E-2</v>
      </c>
      <c r="BG392" s="1236"/>
      <c r="BH392" s="1236" t="s">
        <v>54</v>
      </c>
      <c r="BI392" s="1236" t="s">
        <v>307</v>
      </c>
      <c r="BJ392" s="1236" t="s">
        <v>321</v>
      </c>
      <c r="BK392" s="1236">
        <v>10</v>
      </c>
      <c r="BL392" s="1238">
        <v>37628339.5</v>
      </c>
      <c r="BM392" s="1239">
        <v>0.12122762091553868</v>
      </c>
      <c r="BN392" s="1236">
        <v>2007</v>
      </c>
      <c r="BO392" s="174"/>
      <c r="BP392" s="174"/>
      <c r="BQ392" s="174"/>
      <c r="BR392" s="174"/>
      <c r="BS392" s="174"/>
      <c r="BT392" s="174"/>
      <c r="BU392" s="174"/>
      <c r="BV392" s="174"/>
      <c r="BW392" s="174"/>
      <c r="BX392" s="174"/>
    </row>
    <row r="393" spans="1:76" s="152" customFormat="1" ht="15" customHeight="1" x14ac:dyDescent="0.25">
      <c r="A393" s="152">
        <f t="shared" si="10"/>
        <v>2002</v>
      </c>
      <c r="B393" s="152" t="str">
        <f t="shared" si="11"/>
        <v>2002-03</v>
      </c>
      <c r="C393" s="173">
        <v>37561</v>
      </c>
      <c r="D393" s="154">
        <v>0.56112857142857142</v>
      </c>
      <c r="E393" s="155">
        <v>158.17653299999998</v>
      </c>
      <c r="F393" s="155">
        <v>281.89</v>
      </c>
      <c r="G393" s="155"/>
      <c r="H393" s="155"/>
      <c r="I393" s="156">
        <v>319.06700000000001</v>
      </c>
      <c r="J393" s="156">
        <v>569.72</v>
      </c>
      <c r="K393" s="157"/>
      <c r="L393" s="158"/>
      <c r="M393" s="159">
        <v>7317.38</v>
      </c>
      <c r="N393" s="159">
        <v>13040.469462053516</v>
      </c>
      <c r="O393" s="175">
        <v>1582.29</v>
      </c>
      <c r="P393" s="175">
        <v>2819.8350263499578</v>
      </c>
      <c r="Q393" s="175">
        <v>442.17</v>
      </c>
      <c r="R393" s="175">
        <v>788.00122202703744</v>
      </c>
      <c r="S393" s="175">
        <v>765.26</v>
      </c>
      <c r="T393" s="175">
        <v>1363.787265459915</v>
      </c>
      <c r="U393" s="161">
        <v>437.42777785714281</v>
      </c>
      <c r="V393" s="161">
        <v>779.55</v>
      </c>
      <c r="W393" s="161">
        <v>1701.8300104285713</v>
      </c>
      <c r="X393" s="161">
        <v>3032.87</v>
      </c>
      <c r="Y393" s="162"/>
      <c r="Z393" s="162"/>
      <c r="AA393" s="162"/>
      <c r="AB393" s="162"/>
      <c r="AC393" s="163">
        <v>4.5110000000000001</v>
      </c>
      <c r="AD393" s="163">
        <v>8.09</v>
      </c>
      <c r="AE393" s="163">
        <v>15564.5</v>
      </c>
      <c r="AF393" s="163">
        <v>27737.849741592199</v>
      </c>
      <c r="AG393" s="163">
        <v>587.952</v>
      </c>
      <c r="AH393" s="163">
        <v>1047.8026426334682</v>
      </c>
      <c r="AI393" s="163">
        <v>285.38099999999997</v>
      </c>
      <c r="AJ393" s="163">
        <v>508.58397617047274</v>
      </c>
      <c r="AK393" s="164">
        <v>24.18</v>
      </c>
      <c r="AL393" s="164">
        <v>43.091728404490951</v>
      </c>
      <c r="AM393" s="164">
        <v>26.99</v>
      </c>
      <c r="AN393" s="164">
        <v>48.099493367957429</v>
      </c>
      <c r="AO393" s="164"/>
      <c r="AP393" s="164"/>
      <c r="AS393" s="167"/>
      <c r="AT393" s="1170"/>
      <c r="AU393" s="1171"/>
      <c r="AV393" s="1171"/>
      <c r="AW393" s="1172"/>
      <c r="AX393" s="1172"/>
      <c r="AY393" s="1172"/>
      <c r="AZ393" s="1172"/>
      <c r="BA393" s="1261" t="s">
        <v>32</v>
      </c>
      <c r="BB393" s="1262">
        <v>2009</v>
      </c>
      <c r="BC393" s="1261" t="s">
        <v>279</v>
      </c>
      <c r="BD393" s="1261">
        <v>7</v>
      </c>
      <c r="BE393" s="1263">
        <v>166148000</v>
      </c>
      <c r="BF393" s="1239">
        <v>1.1097159994520482E-2</v>
      </c>
      <c r="BG393" s="1236"/>
      <c r="BH393" s="1236" t="s">
        <v>54</v>
      </c>
      <c r="BI393" s="1236" t="s">
        <v>307</v>
      </c>
      <c r="BJ393" s="1236" t="s">
        <v>322</v>
      </c>
      <c r="BK393" s="1236">
        <v>11</v>
      </c>
      <c r="BL393" s="1238">
        <v>33495076.539999999</v>
      </c>
      <c r="BM393" s="1239">
        <v>0.10791144374914745</v>
      </c>
      <c r="BN393" s="1236">
        <v>2007</v>
      </c>
      <c r="BO393" s="174"/>
      <c r="BP393" s="174"/>
      <c r="BQ393" s="174"/>
      <c r="BR393" s="174"/>
      <c r="BS393" s="174"/>
      <c r="BT393" s="174"/>
      <c r="BU393" s="174"/>
      <c r="BV393" s="174"/>
      <c r="BW393" s="174"/>
      <c r="BX393" s="174"/>
    </row>
    <row r="394" spans="1:76" s="152" customFormat="1" ht="15" customHeight="1" x14ac:dyDescent="0.25">
      <c r="A394" s="152">
        <f t="shared" si="10"/>
        <v>2002</v>
      </c>
      <c r="B394" s="152" t="str">
        <f t="shared" si="11"/>
        <v>2002-03</v>
      </c>
      <c r="C394" s="173">
        <v>37591</v>
      </c>
      <c r="D394" s="169">
        <v>0.56332499999999996</v>
      </c>
      <c r="E394" s="170">
        <v>153.01596974999998</v>
      </c>
      <c r="F394" s="170">
        <v>271.63</v>
      </c>
      <c r="G394" s="170"/>
      <c r="H394" s="170"/>
      <c r="I394" s="169">
        <v>330.89699999999999</v>
      </c>
      <c r="J394" s="169">
        <v>592.69000000000005</v>
      </c>
      <c r="K394" s="169"/>
      <c r="L394" s="170"/>
      <c r="M394" s="170">
        <v>7196.58</v>
      </c>
      <c r="N394" s="170">
        <v>12775.183064838238</v>
      </c>
      <c r="O394" s="170">
        <v>1595.68</v>
      </c>
      <c r="P394" s="170">
        <v>2832.6099498513295</v>
      </c>
      <c r="Q394" s="170">
        <v>443.61</v>
      </c>
      <c r="R394" s="170">
        <v>787.48502196778065</v>
      </c>
      <c r="S394" s="170">
        <v>797.74</v>
      </c>
      <c r="T394" s="170">
        <v>1416.127457506768</v>
      </c>
      <c r="U394" s="170">
        <v>442.48052100000001</v>
      </c>
      <c r="V394" s="170">
        <v>785.48</v>
      </c>
      <c r="W394" s="170">
        <v>1699.2698624999998</v>
      </c>
      <c r="X394" s="170">
        <v>3016.5</v>
      </c>
      <c r="Y394" s="170"/>
      <c r="Z394" s="170"/>
      <c r="AA394" s="170"/>
      <c r="AB394" s="170"/>
      <c r="AC394" s="170">
        <v>4.63</v>
      </c>
      <c r="AD394" s="170">
        <v>8.27</v>
      </c>
      <c r="AE394" s="170">
        <v>15101.5</v>
      </c>
      <c r="AF394" s="170">
        <v>26807.793014689567</v>
      </c>
      <c r="AG394" s="170">
        <v>596.35299999999995</v>
      </c>
      <c r="AH394" s="170">
        <v>1058.6304531132116</v>
      </c>
      <c r="AI394" s="170">
        <v>243</v>
      </c>
      <c r="AJ394" s="170">
        <v>431.36732791905206</v>
      </c>
      <c r="AK394" s="170">
        <v>28.52</v>
      </c>
      <c r="AL394" s="170">
        <v>50.627967869347181</v>
      </c>
      <c r="AM394" s="170">
        <v>30.55</v>
      </c>
      <c r="AN394" s="170">
        <v>54.23157147295079</v>
      </c>
      <c r="AO394" s="170"/>
      <c r="AP394" s="170"/>
      <c r="AS394" s="167"/>
      <c r="AT394" s="1170"/>
      <c r="AU394" s="1171"/>
      <c r="AV394" s="1171"/>
      <c r="AW394" s="1172"/>
      <c r="AX394" s="1172"/>
      <c r="AY394" s="1172"/>
      <c r="AZ394" s="1172"/>
      <c r="BA394" s="1261" t="s">
        <v>32</v>
      </c>
      <c r="BB394" s="1262">
        <v>2009</v>
      </c>
      <c r="BC394" s="1261" t="s">
        <v>334</v>
      </c>
      <c r="BD394" s="1261">
        <v>8</v>
      </c>
      <c r="BE394" s="1263">
        <v>47306000</v>
      </c>
      <c r="BF394" s="1239">
        <v>3.1596061986950545E-3</v>
      </c>
      <c r="BG394" s="1236"/>
      <c r="BH394" s="1236" t="s">
        <v>54</v>
      </c>
      <c r="BI394" s="1236" t="s">
        <v>307</v>
      </c>
      <c r="BJ394" s="1236" t="s">
        <v>326</v>
      </c>
      <c r="BK394" s="1236">
        <v>12</v>
      </c>
      <c r="BL394" s="1238">
        <v>29373214.029999997</v>
      </c>
      <c r="BM394" s="1239">
        <v>9.4631995533574417E-2</v>
      </c>
      <c r="BN394" s="1236">
        <v>2007</v>
      </c>
      <c r="BO394" s="174"/>
      <c r="BP394" s="174"/>
      <c r="BQ394" s="174"/>
      <c r="BR394" s="174"/>
      <c r="BS394" s="174"/>
      <c r="BT394" s="174"/>
      <c r="BU394" s="174"/>
      <c r="BV394" s="174"/>
      <c r="BW394" s="174"/>
      <c r="BX394" s="174"/>
    </row>
    <row r="395" spans="1:76" s="152" customFormat="1" ht="15" customHeight="1" x14ac:dyDescent="0.25">
      <c r="A395" s="152">
        <f t="shared" ref="A395:A459" si="12">YEAR(C395)</f>
        <v>2003</v>
      </c>
      <c r="B395" s="152" t="str">
        <f t="shared" si="11"/>
        <v>2002-03</v>
      </c>
      <c r="C395" s="173">
        <v>37622</v>
      </c>
      <c r="D395" s="154">
        <v>0.58254285714285703</v>
      </c>
      <c r="E395" s="155">
        <v>158.16621114285709</v>
      </c>
      <c r="F395" s="155">
        <v>271.51</v>
      </c>
      <c r="G395" s="155"/>
      <c r="H395" s="155"/>
      <c r="I395" s="156">
        <v>356.85899999999998</v>
      </c>
      <c r="J395" s="156">
        <v>612.9</v>
      </c>
      <c r="K395" s="157"/>
      <c r="L395" s="158"/>
      <c r="M395" s="159">
        <v>8030</v>
      </c>
      <c r="N395" s="159">
        <v>13784.393545539264</v>
      </c>
      <c r="O395" s="175">
        <v>1647.66</v>
      </c>
      <c r="P395" s="175">
        <v>2828.3927608023942</v>
      </c>
      <c r="Q395" s="175">
        <v>444.66</v>
      </c>
      <c r="R395" s="175">
        <v>763.30864681936362</v>
      </c>
      <c r="S395" s="175">
        <v>781.41</v>
      </c>
      <c r="T395" s="175">
        <v>1341.3777036637405</v>
      </c>
      <c r="U395" s="161">
        <v>434.66435285714277</v>
      </c>
      <c r="V395" s="161">
        <v>746.15</v>
      </c>
      <c r="W395" s="161">
        <v>1715.7518262857141</v>
      </c>
      <c r="X395" s="161">
        <v>2945.28</v>
      </c>
      <c r="Y395" s="162"/>
      <c r="Z395" s="162"/>
      <c r="AA395" s="162"/>
      <c r="AB395" s="162"/>
      <c r="AC395" s="163">
        <v>4.8099999999999996</v>
      </c>
      <c r="AD395" s="163">
        <v>8.33</v>
      </c>
      <c r="AE395" s="163">
        <v>17626</v>
      </c>
      <c r="AF395" s="163">
        <v>30257.001324243469</v>
      </c>
      <c r="AG395" s="163">
        <v>629.65899999999999</v>
      </c>
      <c r="AH395" s="163">
        <v>1080.8801314434256</v>
      </c>
      <c r="AI395" s="163">
        <v>255.31800000000001</v>
      </c>
      <c r="AJ395" s="163">
        <v>438.28191671979999</v>
      </c>
      <c r="AK395" s="164">
        <v>31.29</v>
      </c>
      <c r="AL395" s="164">
        <v>53.712786306341663</v>
      </c>
      <c r="AM395" s="164">
        <v>31.82</v>
      </c>
      <c r="AN395" s="164">
        <v>54.622590612585228</v>
      </c>
      <c r="AO395" s="164"/>
      <c r="AP395" s="164"/>
      <c r="AS395" s="167"/>
      <c r="AT395" s="1170"/>
      <c r="AU395" s="1171"/>
      <c r="AV395" s="1171"/>
      <c r="AW395" s="1172"/>
      <c r="AX395" s="1172"/>
      <c r="AY395" s="1172"/>
      <c r="AZ395" s="1172"/>
      <c r="BA395" s="1261" t="s">
        <v>32</v>
      </c>
      <c r="BB395" s="1262">
        <v>2009</v>
      </c>
      <c r="BC395" s="1261" t="s">
        <v>327</v>
      </c>
      <c r="BD395" s="1261">
        <v>9</v>
      </c>
      <c r="BE395" s="1263">
        <v>41034000</v>
      </c>
      <c r="BF395" s="1239">
        <v>2.7406942197026351E-3</v>
      </c>
      <c r="BG395" s="1236"/>
      <c r="BH395" s="1236" t="s">
        <v>54</v>
      </c>
      <c r="BI395" s="1236" t="s">
        <v>307</v>
      </c>
      <c r="BJ395" s="1236" t="s">
        <v>285</v>
      </c>
      <c r="BK395" s="1236"/>
      <c r="BL395" s="1238">
        <v>29104850.5</v>
      </c>
      <c r="BM395" s="1239">
        <v>9.3767405899413306E-2</v>
      </c>
      <c r="BN395" s="1236">
        <v>2007</v>
      </c>
      <c r="BO395" s="174"/>
      <c r="BP395" s="174"/>
      <c r="BQ395" s="174"/>
      <c r="BR395" s="174"/>
      <c r="BS395" s="174"/>
      <c r="BT395" s="174"/>
      <c r="BU395" s="174"/>
      <c r="BV395" s="174"/>
      <c r="BW395" s="174"/>
      <c r="BX395" s="174"/>
    </row>
    <row r="396" spans="1:76" s="152" customFormat="1" ht="15" customHeight="1" x14ac:dyDescent="0.25">
      <c r="A396" s="152">
        <f t="shared" si="12"/>
        <v>2003</v>
      </c>
      <c r="B396" s="152" t="str">
        <f t="shared" ref="B396:B459" si="13">IF(MONTH(C396) &gt;= 7, A396 &amp; "-" &amp; RIGHT(A396+1, 2), A396-1 &amp; "-" &amp; RIGHT(A396, 2))</f>
        <v>2002-03</v>
      </c>
      <c r="C396" s="173">
        <v>37653</v>
      </c>
      <c r="D396" s="169">
        <v>0.5946499999999999</v>
      </c>
      <c r="E396" s="170">
        <v>165.19971649999997</v>
      </c>
      <c r="F396" s="170">
        <v>277.81</v>
      </c>
      <c r="G396" s="170"/>
      <c r="H396" s="170"/>
      <c r="I396" s="169">
        <v>358.97</v>
      </c>
      <c r="J396" s="169">
        <v>604.77</v>
      </c>
      <c r="K396" s="169"/>
      <c r="L396" s="170"/>
      <c r="M396" s="170">
        <v>8626.5</v>
      </c>
      <c r="N396" s="170">
        <v>14506.852770537293</v>
      </c>
      <c r="O396" s="170">
        <v>1683.8</v>
      </c>
      <c r="P396" s="170">
        <v>2831.5816026233924</v>
      </c>
      <c r="Q396" s="170">
        <v>475.83</v>
      </c>
      <c r="R396" s="170">
        <v>800.18498276296987</v>
      </c>
      <c r="S396" s="170">
        <v>785.15</v>
      </c>
      <c r="T396" s="170">
        <v>1320.3565122340874</v>
      </c>
      <c r="U396" s="170">
        <v>448.41961849999996</v>
      </c>
      <c r="V396" s="170">
        <v>754.09</v>
      </c>
      <c r="W396" s="170">
        <v>1719.8110509999997</v>
      </c>
      <c r="X396" s="170">
        <v>2892.14</v>
      </c>
      <c r="Y396" s="170"/>
      <c r="Z396" s="170"/>
      <c r="AA396" s="170"/>
      <c r="AB396" s="170"/>
      <c r="AC396" s="170">
        <v>4.6520000000000001</v>
      </c>
      <c r="AD396" s="170">
        <v>7.88</v>
      </c>
      <c r="AE396" s="170">
        <v>17085.900000000001</v>
      </c>
      <c r="AF396" s="170">
        <v>28732.699907508624</v>
      </c>
      <c r="AG396" s="170">
        <v>682.13</v>
      </c>
      <c r="AH396" s="170">
        <v>1147.1117464054487</v>
      </c>
      <c r="AI396" s="170">
        <v>253.2</v>
      </c>
      <c r="AJ396" s="170">
        <v>425.79668712688141</v>
      </c>
      <c r="AK396" s="170">
        <v>32.65</v>
      </c>
      <c r="AL396" s="170">
        <v>54.906247372403939</v>
      </c>
      <c r="AM396" s="170">
        <v>33.880000000000003</v>
      </c>
      <c r="AN396" s="170">
        <v>56.974690994702783</v>
      </c>
      <c r="AO396" s="170"/>
      <c r="AP396" s="170"/>
      <c r="AS396" s="167"/>
      <c r="AT396" s="1170"/>
      <c r="AU396" s="1171"/>
      <c r="AV396" s="1171"/>
      <c r="AW396" s="1172"/>
      <c r="AX396" s="1172"/>
      <c r="AY396" s="1172"/>
      <c r="AZ396" s="1172"/>
      <c r="BA396" s="1261" t="s">
        <v>32</v>
      </c>
      <c r="BB396" s="1262">
        <v>2009</v>
      </c>
      <c r="BC396" s="1261" t="s">
        <v>330</v>
      </c>
      <c r="BD396" s="1261">
        <v>10</v>
      </c>
      <c r="BE396" s="1263">
        <v>19093000</v>
      </c>
      <c r="BF396" s="1239">
        <v>1.2752369921719164E-3</v>
      </c>
      <c r="BG396" s="1236"/>
      <c r="BH396" s="1236" t="s">
        <v>54</v>
      </c>
      <c r="BI396" s="1236" t="s">
        <v>307</v>
      </c>
      <c r="BJ396" s="1236" t="s">
        <v>292</v>
      </c>
      <c r="BK396" s="1236"/>
      <c r="BL396" s="1238">
        <v>806213403.55999982</v>
      </c>
      <c r="BM396" s="1239"/>
      <c r="BN396" s="1236">
        <v>2007</v>
      </c>
      <c r="BO396" s="174"/>
      <c r="BP396" s="174"/>
      <c r="BQ396" s="174"/>
      <c r="BR396" s="174"/>
      <c r="BS396" s="174"/>
      <c r="BT396" s="174"/>
      <c r="BU396" s="174"/>
      <c r="BV396" s="174"/>
      <c r="BW396" s="174"/>
      <c r="BX396" s="174"/>
    </row>
    <row r="397" spans="1:76" s="152" customFormat="1" ht="15" customHeight="1" x14ac:dyDescent="0.25">
      <c r="A397" s="152">
        <f t="shared" si="12"/>
        <v>2003</v>
      </c>
      <c r="B397" s="152" t="str">
        <f t="shared" si="13"/>
        <v>2002-03</v>
      </c>
      <c r="C397" s="173">
        <v>37681</v>
      </c>
      <c r="D397" s="154">
        <v>0.60232380952380937</v>
      </c>
      <c r="E397" s="155">
        <v>168.09050552380947</v>
      </c>
      <c r="F397" s="155">
        <v>279.07</v>
      </c>
      <c r="G397" s="155"/>
      <c r="H397" s="155"/>
      <c r="I397" s="156">
        <v>340.55</v>
      </c>
      <c r="J397" s="156">
        <v>567.21</v>
      </c>
      <c r="K397" s="157"/>
      <c r="L397" s="158"/>
      <c r="M397" s="159">
        <v>8382.3799999999992</v>
      </c>
      <c r="N397" s="159">
        <v>13916.733603187657</v>
      </c>
      <c r="O397" s="175">
        <v>1658.98</v>
      </c>
      <c r="P397" s="175">
        <v>2754.2992220605915</v>
      </c>
      <c r="Q397" s="175">
        <v>456.67</v>
      </c>
      <c r="R397" s="175">
        <v>758.18022262981492</v>
      </c>
      <c r="S397" s="175">
        <v>790.95</v>
      </c>
      <c r="T397" s="175">
        <v>1313.1640946176717</v>
      </c>
      <c r="U397" s="161">
        <v>443.59341599999988</v>
      </c>
      <c r="V397" s="161">
        <v>736.47</v>
      </c>
      <c r="W397" s="161">
        <v>1785.2456087619041</v>
      </c>
      <c r="X397" s="161">
        <v>2963.93</v>
      </c>
      <c r="Y397" s="162"/>
      <c r="Z397" s="162"/>
      <c r="AA397" s="162"/>
      <c r="AB397" s="162"/>
      <c r="AC397" s="163">
        <v>4.5279999999999996</v>
      </c>
      <c r="AD397" s="163">
        <v>7.85</v>
      </c>
      <c r="AE397" s="163">
        <v>21040.38</v>
      </c>
      <c r="AF397" s="163">
        <v>34932.007779394102</v>
      </c>
      <c r="AG397" s="163">
        <v>675</v>
      </c>
      <c r="AH397" s="163">
        <v>1120.6596673202205</v>
      </c>
      <c r="AI397" s="163">
        <v>223.833</v>
      </c>
      <c r="AJ397" s="163">
        <v>371.61572639301761</v>
      </c>
      <c r="AK397" s="164">
        <v>30.34</v>
      </c>
      <c r="AL397" s="164">
        <v>50.37157675036368</v>
      </c>
      <c r="AM397" s="164">
        <v>31.26</v>
      </c>
      <c r="AN397" s="164">
        <v>51.898994371007539</v>
      </c>
      <c r="AO397" s="164"/>
      <c r="AP397" s="164"/>
      <c r="AS397" s="167"/>
      <c r="AT397" s="1170"/>
      <c r="AU397" s="1171"/>
      <c r="AV397" s="1171"/>
      <c r="AW397" s="1172"/>
      <c r="AX397" s="1172"/>
      <c r="AY397" s="1172"/>
      <c r="AZ397" s="1172"/>
      <c r="BA397" s="1261" t="s">
        <v>32</v>
      </c>
      <c r="BB397" s="1262">
        <v>2009</v>
      </c>
      <c r="BC397" s="1261" t="s">
        <v>291</v>
      </c>
      <c r="BD397" s="1261"/>
      <c r="BE397" s="1263">
        <v>24072000</v>
      </c>
      <c r="BF397" s="1239">
        <v>1.6077884499849354E-3</v>
      </c>
      <c r="BG397" s="1236"/>
      <c r="BH397" s="1236" t="s">
        <v>54</v>
      </c>
      <c r="BI397" s="1236" t="s">
        <v>313</v>
      </c>
      <c r="BJ397" s="1236" t="s">
        <v>281</v>
      </c>
      <c r="BK397" s="1236">
        <v>1</v>
      </c>
      <c r="BL397" s="1238">
        <v>310394109.98765945</v>
      </c>
      <c r="BM397" s="1239">
        <v>2.0534176722264399</v>
      </c>
      <c r="BN397" s="1236">
        <v>2006</v>
      </c>
      <c r="BO397" s="174"/>
      <c r="BP397" s="174"/>
      <c r="BQ397" s="174"/>
      <c r="BR397" s="174"/>
      <c r="BS397" s="174"/>
      <c r="BT397" s="174"/>
      <c r="BU397" s="174"/>
      <c r="BV397" s="174"/>
      <c r="BW397" s="174"/>
      <c r="BX397" s="174"/>
    </row>
    <row r="398" spans="1:76" s="152" customFormat="1" ht="15" customHeight="1" x14ac:dyDescent="0.25">
      <c r="A398" s="152">
        <f t="shared" si="12"/>
        <v>2003</v>
      </c>
      <c r="B398" s="152" t="str">
        <f t="shared" si="13"/>
        <v>2002-03</v>
      </c>
      <c r="C398" s="173">
        <v>37712</v>
      </c>
      <c r="D398" s="169">
        <v>0.60902631578947364</v>
      </c>
      <c r="E398" s="170">
        <v>172.44580131578945</v>
      </c>
      <c r="F398" s="170">
        <v>283.14999999999998</v>
      </c>
      <c r="G398" s="170"/>
      <c r="H398" s="170"/>
      <c r="I398" s="169">
        <v>327.82600000000002</v>
      </c>
      <c r="J398" s="169">
        <v>541.45000000000005</v>
      </c>
      <c r="K398" s="169"/>
      <c r="L398" s="170"/>
      <c r="M398" s="170">
        <v>7913.75</v>
      </c>
      <c r="N398" s="170">
        <v>12994.101888259949</v>
      </c>
      <c r="O398" s="170">
        <v>1587.48</v>
      </c>
      <c r="P398" s="170">
        <v>2606.5868729205376</v>
      </c>
      <c r="Q398" s="170">
        <v>437.38</v>
      </c>
      <c r="R398" s="170">
        <v>718.16272739057172</v>
      </c>
      <c r="S398" s="170">
        <v>754.65</v>
      </c>
      <c r="T398" s="170">
        <v>1239.1090178455688</v>
      </c>
      <c r="U398" s="170">
        <v>444.14462131578944</v>
      </c>
      <c r="V398" s="170">
        <v>729.27</v>
      </c>
      <c r="W398" s="170">
        <v>1771.0972484210524</v>
      </c>
      <c r="X398" s="170">
        <v>2908.08</v>
      </c>
      <c r="Y398" s="170"/>
      <c r="Z398" s="170"/>
      <c r="AA398" s="170"/>
      <c r="AB398" s="170"/>
      <c r="AC398" s="170">
        <v>4.4909999999999997</v>
      </c>
      <c r="AD398" s="170">
        <v>7.44</v>
      </c>
      <c r="AE398" s="170">
        <v>21040.38</v>
      </c>
      <c r="AF398" s="170">
        <v>34547.571187832182</v>
      </c>
      <c r="AG398" s="170">
        <v>623.26300000000003</v>
      </c>
      <c r="AH398" s="170">
        <v>1023.3761396534591</v>
      </c>
      <c r="AI398" s="170">
        <v>162.52600000000001</v>
      </c>
      <c r="AJ398" s="170">
        <v>266.86203171585362</v>
      </c>
      <c r="AK398" s="170">
        <v>25.02</v>
      </c>
      <c r="AL398" s="170">
        <v>41.081968629823272</v>
      </c>
      <c r="AM398" s="170">
        <v>27.62</v>
      </c>
      <c r="AN398" s="170">
        <v>45.351078079764946</v>
      </c>
      <c r="AO398" s="170"/>
      <c r="AP398" s="170"/>
      <c r="AS398" s="167"/>
      <c r="AT398" s="1170"/>
      <c r="AU398" s="1171"/>
      <c r="AV398" s="1171"/>
      <c r="AW398" s="1172"/>
      <c r="AX398" s="1172"/>
      <c r="AY398" s="1172"/>
      <c r="AZ398" s="1172"/>
      <c r="BA398" s="1261" t="s">
        <v>32</v>
      </c>
      <c r="BB398" s="1262">
        <v>2009</v>
      </c>
      <c r="BC398" s="1261" t="s">
        <v>292</v>
      </c>
      <c r="BD398" s="1261"/>
      <c r="BE398" s="1263">
        <v>14972119000</v>
      </c>
      <c r="BF398" s="1239">
        <v>1</v>
      </c>
      <c r="BG398" s="1236"/>
      <c r="BH398" s="1236" t="s">
        <v>54</v>
      </c>
      <c r="BI398" s="1236" t="s">
        <v>313</v>
      </c>
      <c r="BJ398" s="1236" t="s">
        <v>333</v>
      </c>
      <c r="BK398" s="1236">
        <v>2</v>
      </c>
      <c r="BL398" s="1238">
        <v>218404553.71602443</v>
      </c>
      <c r="BM398" s="1239">
        <v>1.4448591512031064</v>
      </c>
      <c r="BN398" s="1236">
        <v>2006</v>
      </c>
      <c r="BO398" s="174"/>
      <c r="BP398" s="174"/>
      <c r="BQ398" s="174"/>
      <c r="BR398" s="174"/>
      <c r="BS398" s="174"/>
      <c r="BT398" s="174"/>
      <c r="BU398" s="174"/>
      <c r="BV398" s="174"/>
      <c r="BW398" s="174"/>
      <c r="BX398" s="174"/>
    </row>
    <row r="399" spans="1:76" s="152" customFormat="1" ht="15" customHeight="1" x14ac:dyDescent="0.25">
      <c r="A399" s="152">
        <f t="shared" si="12"/>
        <v>2003</v>
      </c>
      <c r="B399" s="152" t="str">
        <f t="shared" si="13"/>
        <v>2002-03</v>
      </c>
      <c r="C399" s="173">
        <v>37742</v>
      </c>
      <c r="D399" s="154">
        <v>0.6469954545454546</v>
      </c>
      <c r="E399" s="155">
        <v>180.97756854545457</v>
      </c>
      <c r="F399" s="155">
        <v>279.72000000000003</v>
      </c>
      <c r="G399" s="155"/>
      <c r="H399" s="155"/>
      <c r="I399" s="156">
        <v>354.96</v>
      </c>
      <c r="J399" s="156">
        <v>550.19000000000005</v>
      </c>
      <c r="K399" s="157"/>
      <c r="L399" s="158"/>
      <c r="M399" s="159">
        <v>8333.75</v>
      </c>
      <c r="N399" s="159">
        <v>12880.693274506635</v>
      </c>
      <c r="O399" s="175">
        <v>1648.28</v>
      </c>
      <c r="P399" s="175">
        <v>2547.5913136947706</v>
      </c>
      <c r="Q399" s="175">
        <v>463.5</v>
      </c>
      <c r="R399" s="175">
        <v>716.38834051103345</v>
      </c>
      <c r="S399" s="175">
        <v>775.65</v>
      </c>
      <c r="T399" s="175">
        <v>1198.8492261432214</v>
      </c>
      <c r="U399" s="161">
        <v>456.50058286363645</v>
      </c>
      <c r="V399" s="161">
        <v>705.57</v>
      </c>
      <c r="W399" s="161">
        <v>1809.7886253636364</v>
      </c>
      <c r="X399" s="161">
        <v>2797.22</v>
      </c>
      <c r="Y399" s="162"/>
      <c r="Z399" s="162"/>
      <c r="AA399" s="162"/>
      <c r="AB399" s="162"/>
      <c r="AC399" s="163">
        <v>4.7409999999999997</v>
      </c>
      <c r="AD399" s="163">
        <v>7.37</v>
      </c>
      <c r="AE399" s="163">
        <v>22906</v>
      </c>
      <c r="AF399" s="163">
        <v>35403.649035050126</v>
      </c>
      <c r="AG399" s="163">
        <v>649.476</v>
      </c>
      <c r="AH399" s="163">
        <v>1003.8339457211305</v>
      </c>
      <c r="AI399" s="163">
        <v>166.238</v>
      </c>
      <c r="AJ399" s="163">
        <v>256.93843570630673</v>
      </c>
      <c r="AK399" s="164">
        <v>25.81</v>
      </c>
      <c r="AL399" s="164">
        <v>39.892088605371676</v>
      </c>
      <c r="AM399" s="164">
        <v>26.79</v>
      </c>
      <c r="AN399" s="164">
        <v>41.406782399763941</v>
      </c>
      <c r="AO399" s="164"/>
      <c r="AP399" s="164"/>
      <c r="AS399" s="167"/>
      <c r="AT399" s="1170"/>
      <c r="AU399" s="1171"/>
      <c r="AV399" s="1171"/>
      <c r="AW399" s="1172"/>
      <c r="AX399" s="1172"/>
      <c r="AY399" s="1172"/>
      <c r="AZ399" s="1172"/>
      <c r="BA399" s="1264" t="s">
        <v>32</v>
      </c>
      <c r="BB399" s="1265">
        <v>2010</v>
      </c>
      <c r="BC399" s="1264" t="s">
        <v>287</v>
      </c>
      <c r="BD399" s="1264">
        <v>1</v>
      </c>
      <c r="BE399" s="1266">
        <v>5307039000</v>
      </c>
      <c r="BF399" s="1239">
        <v>0.3723641589466164</v>
      </c>
      <c r="BG399" s="1236"/>
      <c r="BH399" s="1236" t="s">
        <v>54</v>
      </c>
      <c r="BI399" s="1236" t="s">
        <v>313</v>
      </c>
      <c r="BJ399" s="1236" t="s">
        <v>326</v>
      </c>
      <c r="BK399" s="1236">
        <v>3</v>
      </c>
      <c r="BL399" s="1238">
        <v>178580050.71683997</v>
      </c>
      <c r="BM399" s="1239">
        <v>1.1813994539510824</v>
      </c>
      <c r="BN399" s="1236">
        <v>2006</v>
      </c>
      <c r="BO399" s="174"/>
      <c r="BP399" s="174"/>
      <c r="BQ399" s="174"/>
      <c r="BR399" s="174"/>
      <c r="BS399" s="174"/>
      <c r="BT399" s="174"/>
      <c r="BU399" s="174"/>
      <c r="BV399" s="174"/>
      <c r="BW399" s="174"/>
      <c r="BX399" s="174"/>
    </row>
    <row r="400" spans="1:76" s="152" customFormat="1" ht="15" customHeight="1" x14ac:dyDescent="0.25">
      <c r="A400" s="152">
        <f t="shared" si="12"/>
        <v>2003</v>
      </c>
      <c r="B400" s="152" t="str">
        <f t="shared" si="13"/>
        <v>2002-03</v>
      </c>
      <c r="C400" s="173">
        <v>37773</v>
      </c>
      <c r="D400" s="169">
        <v>0.66425500000000004</v>
      </c>
      <c r="E400" s="170">
        <v>172.61330430000001</v>
      </c>
      <c r="F400" s="170">
        <v>259.86</v>
      </c>
      <c r="G400" s="170"/>
      <c r="H400" s="170"/>
      <c r="I400" s="169">
        <v>356.35199999999998</v>
      </c>
      <c r="J400" s="169">
        <v>538.96</v>
      </c>
      <c r="K400" s="169"/>
      <c r="L400" s="170"/>
      <c r="M400" s="170">
        <v>8877.86</v>
      </c>
      <c r="N400" s="170">
        <v>13365.138388119021</v>
      </c>
      <c r="O400" s="170">
        <v>1686.5</v>
      </c>
      <c r="P400" s="170">
        <v>2538.9345959006705</v>
      </c>
      <c r="Q400" s="170">
        <v>468.02</v>
      </c>
      <c r="R400" s="170">
        <v>704.57881385913538</v>
      </c>
      <c r="S400" s="170">
        <v>790.69</v>
      </c>
      <c r="T400" s="170">
        <v>1190.3410587801372</v>
      </c>
      <c r="U400" s="170">
        <v>467.61559235000004</v>
      </c>
      <c r="V400" s="170">
        <v>703.97</v>
      </c>
      <c r="W400" s="170">
        <v>1743.4700984999999</v>
      </c>
      <c r="X400" s="170">
        <v>2624.7</v>
      </c>
      <c r="Y400" s="170"/>
      <c r="Z400" s="170"/>
      <c r="AA400" s="170"/>
      <c r="AB400" s="170"/>
      <c r="AC400" s="170">
        <v>4.5259999999999998</v>
      </c>
      <c r="AD400" s="170">
        <v>6.87</v>
      </c>
      <c r="AE400" s="170">
        <v>25022.5</v>
      </c>
      <c r="AF400" s="170">
        <v>37670.021302060202</v>
      </c>
      <c r="AG400" s="170">
        <v>661.23800000000006</v>
      </c>
      <c r="AH400" s="170">
        <v>995.4580695666574</v>
      </c>
      <c r="AI400" s="170">
        <v>179.476</v>
      </c>
      <c r="AJ400" s="170">
        <v>270.19141745263488</v>
      </c>
      <c r="AK400" s="170">
        <v>27.55</v>
      </c>
      <c r="AL400" s="170">
        <v>41.475035942522069</v>
      </c>
      <c r="AM400" s="170">
        <v>27.2</v>
      </c>
      <c r="AN400" s="170">
        <v>40.948129859767704</v>
      </c>
      <c r="AO400" s="170"/>
      <c r="AP400" s="170"/>
      <c r="AS400" s="167"/>
      <c r="AT400" s="1170"/>
      <c r="AU400" s="1171"/>
      <c r="AV400" s="1171"/>
      <c r="AW400" s="1172"/>
      <c r="AX400" s="1172"/>
      <c r="AY400" s="1172"/>
      <c r="AZ400" s="1172"/>
      <c r="BA400" s="1264" t="s">
        <v>32</v>
      </c>
      <c r="BB400" s="1265">
        <v>2010</v>
      </c>
      <c r="BC400" s="1264" t="s">
        <v>314</v>
      </c>
      <c r="BD400" s="1264">
        <v>2</v>
      </c>
      <c r="BE400" s="1266">
        <v>5166965000</v>
      </c>
      <c r="BF400" s="1239">
        <v>0.36253597844892488</v>
      </c>
      <c r="BG400" s="1236"/>
      <c r="BH400" s="1236" t="s">
        <v>54</v>
      </c>
      <c r="BI400" s="1236" t="s">
        <v>313</v>
      </c>
      <c r="BJ400" s="1236" t="s">
        <v>325</v>
      </c>
      <c r="BK400" s="1236">
        <v>4</v>
      </c>
      <c r="BL400" s="1238">
        <v>129193633.13769048</v>
      </c>
      <c r="BM400" s="1239">
        <v>0.85468274328601235</v>
      </c>
      <c r="BN400" s="1236">
        <v>2006</v>
      </c>
      <c r="BO400" s="174"/>
      <c r="BP400" s="174"/>
      <c r="BQ400" s="174"/>
      <c r="BR400" s="174"/>
      <c r="BS400" s="174"/>
      <c r="BT400" s="174"/>
      <c r="BU400" s="174"/>
      <c r="BV400" s="174"/>
      <c r="BW400" s="174"/>
      <c r="BX400" s="174"/>
    </row>
    <row r="401" spans="1:76" s="152" customFormat="1" ht="15" customHeight="1" x14ac:dyDescent="0.25">
      <c r="A401" s="152">
        <f t="shared" si="12"/>
        <v>2003</v>
      </c>
      <c r="B401" s="152" t="str">
        <f t="shared" si="13"/>
        <v>2003-04</v>
      </c>
      <c r="C401" s="173">
        <v>37803</v>
      </c>
      <c r="D401" s="154">
        <v>0.66213913043478267</v>
      </c>
      <c r="E401" s="155">
        <v>170.60014695652174</v>
      </c>
      <c r="F401" s="155">
        <v>257.64999999999998</v>
      </c>
      <c r="G401" s="155"/>
      <c r="H401" s="155"/>
      <c r="I401" s="156">
        <v>351.02</v>
      </c>
      <c r="J401" s="156">
        <v>530.99</v>
      </c>
      <c r="K401" s="157"/>
      <c r="L401" s="158"/>
      <c r="M401" s="159">
        <v>8801.2999999999993</v>
      </c>
      <c r="N401" s="159">
        <v>13292.221521813357</v>
      </c>
      <c r="O401" s="175">
        <v>1710</v>
      </c>
      <c r="P401" s="175">
        <v>2582.5388070286026</v>
      </c>
      <c r="Q401" s="175">
        <v>514.78</v>
      </c>
      <c r="R401" s="175">
        <v>777.44989887847021</v>
      </c>
      <c r="S401" s="175">
        <v>827.54</v>
      </c>
      <c r="T401" s="175">
        <v>1249.7977569406139</v>
      </c>
      <c r="U401" s="161">
        <v>457.4984107826088</v>
      </c>
      <c r="V401" s="161">
        <v>690.94</v>
      </c>
      <c r="W401" s="161">
        <v>1722.7271040000003</v>
      </c>
      <c r="X401" s="161">
        <v>2601.7600000000002</v>
      </c>
      <c r="Y401" s="162"/>
      <c r="Z401" s="162"/>
      <c r="AA401" s="162"/>
      <c r="AB401" s="162"/>
      <c r="AC401" s="163">
        <v>4.7960000000000003</v>
      </c>
      <c r="AD401" s="163">
        <v>7.3</v>
      </c>
      <c r="AE401" s="163">
        <v>23851.3</v>
      </c>
      <c r="AF401" s="163">
        <v>36021.583536889651</v>
      </c>
      <c r="AG401" s="163">
        <v>681.67399999999998</v>
      </c>
      <c r="AH401" s="163">
        <v>1029.5026659312373</v>
      </c>
      <c r="AI401" s="163">
        <v>173.21700000000001</v>
      </c>
      <c r="AJ401" s="163">
        <v>261.60211961232369</v>
      </c>
      <c r="AK401" s="164">
        <v>28.4</v>
      </c>
      <c r="AL401" s="164">
        <v>42.891287789246967</v>
      </c>
      <c r="AM401" s="164">
        <v>28.56</v>
      </c>
      <c r="AN401" s="164">
        <v>43.132928847214558</v>
      </c>
      <c r="AO401" s="164"/>
      <c r="AP401" s="164"/>
      <c r="AS401" s="167"/>
      <c r="AT401" s="1170"/>
      <c r="AU401" s="1171"/>
      <c r="AV401" s="1171"/>
      <c r="AW401" s="1172"/>
      <c r="AX401" s="1172"/>
      <c r="AY401" s="1172"/>
      <c r="AZ401" s="1172"/>
      <c r="BA401" s="1264" t="s">
        <v>32</v>
      </c>
      <c r="BB401" s="1265">
        <v>2010</v>
      </c>
      <c r="BC401" s="1264" t="s">
        <v>323</v>
      </c>
      <c r="BD401" s="1264">
        <v>3</v>
      </c>
      <c r="BE401" s="1266">
        <v>1614868000</v>
      </c>
      <c r="BF401" s="1239">
        <v>0.11330592532480062</v>
      </c>
      <c r="BG401" s="1236"/>
      <c r="BH401" s="1236" t="s">
        <v>54</v>
      </c>
      <c r="BI401" s="1236" t="s">
        <v>313</v>
      </c>
      <c r="BJ401" s="1236" t="s">
        <v>308</v>
      </c>
      <c r="BK401" s="1236">
        <v>5</v>
      </c>
      <c r="BL401" s="1238">
        <v>111479920.73463026</v>
      </c>
      <c r="BM401" s="1239">
        <v>0.737497368567959</v>
      </c>
      <c r="BN401" s="1236">
        <v>2006</v>
      </c>
      <c r="BO401" s="174"/>
      <c r="BP401" s="174"/>
      <c r="BQ401" s="174"/>
      <c r="BR401" s="174"/>
      <c r="BS401" s="174"/>
      <c r="BT401" s="174"/>
      <c r="BU401" s="174"/>
      <c r="BV401" s="174"/>
      <c r="BW401" s="174"/>
      <c r="BX401" s="174"/>
    </row>
    <row r="402" spans="1:76" s="152" customFormat="1" ht="15" customHeight="1" x14ac:dyDescent="0.25">
      <c r="A402" s="152">
        <f t="shared" si="12"/>
        <v>2003</v>
      </c>
      <c r="B402" s="152" t="str">
        <f t="shared" si="13"/>
        <v>2003-04</v>
      </c>
      <c r="C402" s="173">
        <v>37834</v>
      </c>
      <c r="D402" s="169">
        <v>0.65117999999999987</v>
      </c>
      <c r="E402" s="170">
        <v>178.60565039999994</v>
      </c>
      <c r="F402" s="170">
        <v>274.27999999999997</v>
      </c>
      <c r="G402" s="170"/>
      <c r="H402" s="170"/>
      <c r="I402" s="169">
        <v>359.76799999999997</v>
      </c>
      <c r="J402" s="169">
        <v>553.16999999999996</v>
      </c>
      <c r="K402" s="169"/>
      <c r="L402" s="170"/>
      <c r="M402" s="170">
        <v>9355</v>
      </c>
      <c r="N402" s="170">
        <v>14366.227463988454</v>
      </c>
      <c r="O402" s="170">
        <v>1760.28</v>
      </c>
      <c r="P402" s="170">
        <v>2703.2157007279097</v>
      </c>
      <c r="Q402" s="170">
        <v>496.53</v>
      </c>
      <c r="R402" s="170">
        <v>762.50806228692534</v>
      </c>
      <c r="S402" s="170">
        <v>817.88</v>
      </c>
      <c r="T402" s="170">
        <v>1255.9968057987041</v>
      </c>
      <c r="U402" s="170">
        <v>471.20687159999989</v>
      </c>
      <c r="V402" s="170">
        <v>723.62</v>
      </c>
      <c r="W402" s="170">
        <v>1738.7547887999995</v>
      </c>
      <c r="X402" s="170">
        <v>2670.16</v>
      </c>
      <c r="Y402" s="170"/>
      <c r="Z402" s="170"/>
      <c r="AA402" s="170"/>
      <c r="AB402" s="170"/>
      <c r="AC402" s="170">
        <v>4.9909999999999997</v>
      </c>
      <c r="AD402" s="170">
        <v>7.72</v>
      </c>
      <c r="AE402" s="170">
        <v>23865</v>
      </c>
      <c r="AF402" s="170">
        <v>36648.852851746065</v>
      </c>
      <c r="AG402" s="170">
        <v>692.2</v>
      </c>
      <c r="AH402" s="170">
        <v>1062.993335176142</v>
      </c>
      <c r="AI402" s="170">
        <v>181.92500000000001</v>
      </c>
      <c r="AJ402" s="170">
        <v>279.3774378819989</v>
      </c>
      <c r="AK402" s="170">
        <v>29.83</v>
      </c>
      <c r="AL402" s="170">
        <v>45.809146472557515</v>
      </c>
      <c r="AM402" s="170">
        <v>30.64</v>
      </c>
      <c r="AN402" s="170">
        <v>47.053042169599813</v>
      </c>
      <c r="AO402" s="170"/>
      <c r="AP402" s="170"/>
      <c r="AS402" s="167"/>
      <c r="AT402" s="1170"/>
      <c r="AU402" s="1171"/>
      <c r="AV402" s="1171"/>
      <c r="AW402" s="1172"/>
      <c r="AX402" s="1172"/>
      <c r="AY402" s="1172"/>
      <c r="AZ402" s="1172"/>
      <c r="BA402" s="1264" t="s">
        <v>32</v>
      </c>
      <c r="BB402" s="1265">
        <v>2010</v>
      </c>
      <c r="BC402" s="1264" t="s">
        <v>306</v>
      </c>
      <c r="BD402" s="1264">
        <v>4</v>
      </c>
      <c r="BE402" s="1266">
        <v>705352000</v>
      </c>
      <c r="BF402" s="1239">
        <v>4.94904605451955E-2</v>
      </c>
      <c r="BG402" s="1236"/>
      <c r="BH402" s="1236" t="s">
        <v>54</v>
      </c>
      <c r="BI402" s="1236" t="s">
        <v>313</v>
      </c>
      <c r="BJ402" s="1236" t="s">
        <v>312</v>
      </c>
      <c r="BK402" s="1236">
        <v>6</v>
      </c>
      <c r="BL402" s="1238">
        <v>79607369.788687542</v>
      </c>
      <c r="BM402" s="1239">
        <v>0.52664394942950188</v>
      </c>
      <c r="BN402" s="1236">
        <v>2006</v>
      </c>
      <c r="BO402" s="174"/>
      <c r="BP402" s="174"/>
      <c r="BQ402" s="174"/>
      <c r="BR402" s="174"/>
      <c r="BS402" s="174"/>
      <c r="BT402" s="174"/>
      <c r="BU402" s="174"/>
      <c r="BV402" s="174"/>
      <c r="BW402" s="174"/>
      <c r="BX402" s="174"/>
    </row>
    <row r="403" spans="1:76" s="152" customFormat="1" ht="15" customHeight="1" x14ac:dyDescent="0.25">
      <c r="A403" s="152">
        <f t="shared" si="12"/>
        <v>2003</v>
      </c>
      <c r="B403" s="152" t="str">
        <f t="shared" si="13"/>
        <v>2003-04</v>
      </c>
      <c r="C403" s="173">
        <v>37865</v>
      </c>
      <c r="D403" s="154">
        <v>0.66141363636363637</v>
      </c>
      <c r="E403" s="155">
        <v>184.21031186363635</v>
      </c>
      <c r="F403" s="155">
        <v>278.51</v>
      </c>
      <c r="G403" s="155"/>
      <c r="H403" s="155"/>
      <c r="I403" s="156">
        <v>378.94499999999999</v>
      </c>
      <c r="J403" s="156">
        <v>574.98</v>
      </c>
      <c r="K403" s="157"/>
      <c r="L403" s="158"/>
      <c r="M403" s="159">
        <v>9968</v>
      </c>
      <c r="N403" s="159">
        <v>15070.750664898187</v>
      </c>
      <c r="O403" s="175">
        <v>1789.52</v>
      </c>
      <c r="P403" s="175">
        <v>2705.5988894310394</v>
      </c>
      <c r="Q403" s="175">
        <v>521</v>
      </c>
      <c r="R403" s="175">
        <v>787.70677130938554</v>
      </c>
      <c r="S403" s="175">
        <v>818.18</v>
      </c>
      <c r="T403" s="175">
        <v>1237.0171327253609</v>
      </c>
      <c r="U403" s="161">
        <v>448.29954859090907</v>
      </c>
      <c r="V403" s="161">
        <v>677.79</v>
      </c>
      <c r="W403" s="161">
        <v>1711.3151861818183</v>
      </c>
      <c r="X403" s="161">
        <v>2587.36</v>
      </c>
      <c r="Y403" s="162"/>
      <c r="Z403" s="162"/>
      <c r="AA403" s="162"/>
      <c r="AB403" s="162"/>
      <c r="AC403" s="163">
        <v>5.1769999999999996</v>
      </c>
      <c r="AD403" s="163">
        <v>7.89</v>
      </c>
      <c r="AE403" s="163">
        <v>23258.799999999999</v>
      </c>
      <c r="AF403" s="163">
        <v>35165.286473187596</v>
      </c>
      <c r="AG403" s="163">
        <v>705.34100000000001</v>
      </c>
      <c r="AH403" s="163">
        <v>1066.4143604263595</v>
      </c>
      <c r="AI403" s="163">
        <v>210.90899999999999</v>
      </c>
      <c r="AJ403" s="163">
        <v>318.87609871418653</v>
      </c>
      <c r="AK403" s="164">
        <v>27.1</v>
      </c>
      <c r="AL403" s="164">
        <v>40.972847413597599</v>
      </c>
      <c r="AM403" s="164">
        <v>29.42</v>
      </c>
      <c r="AN403" s="164">
        <v>44.480486011366843</v>
      </c>
      <c r="AO403" s="164"/>
      <c r="AP403" s="164"/>
      <c r="AS403" s="167"/>
      <c r="AT403" s="1170"/>
      <c r="AU403" s="1171"/>
      <c r="AV403" s="1171"/>
      <c r="AW403" s="1172"/>
      <c r="AX403" s="1172"/>
      <c r="AY403" s="1172"/>
      <c r="AZ403" s="1172"/>
      <c r="BA403" s="1264" t="s">
        <v>32</v>
      </c>
      <c r="BB403" s="1265">
        <v>2010</v>
      </c>
      <c r="BC403" s="1264" t="s">
        <v>327</v>
      </c>
      <c r="BD403" s="1264">
        <v>5</v>
      </c>
      <c r="BE403" s="1266">
        <v>501813000</v>
      </c>
      <c r="BF403" s="1239">
        <v>3.5209308937333685E-2</v>
      </c>
      <c r="BG403" s="1236"/>
      <c r="BH403" s="1236" t="s">
        <v>54</v>
      </c>
      <c r="BI403" s="1236" t="s">
        <v>313</v>
      </c>
      <c r="BJ403" s="1236" t="s">
        <v>320</v>
      </c>
      <c r="BK403" s="1236">
        <v>7</v>
      </c>
      <c r="BL403" s="1238">
        <v>76776845.556884617</v>
      </c>
      <c r="BM403" s="1239">
        <v>0.50791856678780045</v>
      </c>
      <c r="BN403" s="1236">
        <v>2006</v>
      </c>
      <c r="BO403" s="174"/>
      <c r="BP403" s="174"/>
      <c r="BQ403" s="174"/>
      <c r="BR403" s="174"/>
      <c r="BS403" s="174"/>
      <c r="BT403" s="174"/>
      <c r="BU403" s="174"/>
      <c r="BV403" s="174"/>
      <c r="BW403" s="174"/>
      <c r="BX403" s="174"/>
    </row>
    <row r="404" spans="1:76" s="152" customFormat="1" ht="15" customHeight="1" x14ac:dyDescent="0.25">
      <c r="A404" s="152">
        <f t="shared" si="12"/>
        <v>2003</v>
      </c>
      <c r="B404" s="152" t="str">
        <f t="shared" si="13"/>
        <v>2003-04</v>
      </c>
      <c r="C404" s="173">
        <v>37895</v>
      </c>
      <c r="D404" s="169">
        <v>0.69406363636363622</v>
      </c>
      <c r="E404" s="170">
        <v>185.91882627272724</v>
      </c>
      <c r="F404" s="170">
        <v>267.87</v>
      </c>
      <c r="G404" s="170"/>
      <c r="H404" s="170"/>
      <c r="I404" s="169">
        <v>378.82400000000001</v>
      </c>
      <c r="J404" s="169">
        <v>547.51</v>
      </c>
      <c r="K404" s="169"/>
      <c r="L404" s="170"/>
      <c r="M404" s="170">
        <v>11051.52</v>
      </c>
      <c r="N404" s="170">
        <v>15922.920350504935</v>
      </c>
      <c r="O404" s="170">
        <v>1920.54</v>
      </c>
      <c r="P404" s="170">
        <v>2767.0949742622506</v>
      </c>
      <c r="Q404" s="170">
        <v>587.33000000000004</v>
      </c>
      <c r="R404" s="170">
        <v>846.21923585733578</v>
      </c>
      <c r="S404" s="170">
        <v>897.96</v>
      </c>
      <c r="T404" s="170">
        <v>1293.7718574403714</v>
      </c>
      <c r="U404" s="170">
        <v>475.13514354545447</v>
      </c>
      <c r="V404" s="170">
        <v>684.57</v>
      </c>
      <c r="W404" s="170">
        <v>1732.077448363636</v>
      </c>
      <c r="X404" s="170">
        <v>2495.56</v>
      </c>
      <c r="Y404" s="170"/>
      <c r="Z404" s="170"/>
      <c r="AA404" s="170"/>
      <c r="AB404" s="170"/>
      <c r="AC404" s="170">
        <v>5.0019999999999998</v>
      </c>
      <c r="AD404" s="170">
        <v>7.26</v>
      </c>
      <c r="AE404" s="170">
        <v>24526.400000000001</v>
      </c>
      <c r="AF404" s="170">
        <v>35337.393741731838</v>
      </c>
      <c r="AG404" s="170">
        <v>732.47799999999995</v>
      </c>
      <c r="AH404" s="170">
        <v>1055.3470339371554</v>
      </c>
      <c r="AI404" s="170">
        <v>201.39099999999999</v>
      </c>
      <c r="AJ404" s="170">
        <v>290.16215437410773</v>
      </c>
      <c r="AK404" s="170">
        <v>29.59</v>
      </c>
      <c r="AL404" s="170">
        <v>42.632978375050762</v>
      </c>
      <c r="AM404" s="170">
        <v>31.72</v>
      </c>
      <c r="AN404" s="170">
        <v>45.701861238817514</v>
      </c>
      <c r="AO404" s="170"/>
      <c r="AP404" s="170"/>
      <c r="AS404" s="167"/>
      <c r="AT404" s="1170"/>
      <c r="AU404" s="1171"/>
      <c r="AV404" s="1171"/>
      <c r="AW404" s="1172"/>
      <c r="AX404" s="1172"/>
      <c r="AY404" s="1172"/>
      <c r="AZ404" s="1172"/>
      <c r="BA404" s="1264" t="s">
        <v>32</v>
      </c>
      <c r="BB404" s="1265">
        <v>2010</v>
      </c>
      <c r="BC404" s="1264" t="s">
        <v>320</v>
      </c>
      <c r="BD404" s="1264">
        <v>6</v>
      </c>
      <c r="BE404" s="1266">
        <v>465929000</v>
      </c>
      <c r="BF404" s="1239">
        <v>3.2691536695667406E-2</v>
      </c>
      <c r="BG404" s="1236"/>
      <c r="BH404" s="1236" t="s">
        <v>54</v>
      </c>
      <c r="BI404" s="1236" t="s">
        <v>313</v>
      </c>
      <c r="BJ404" s="1236" t="s">
        <v>322</v>
      </c>
      <c r="BK404" s="1236">
        <v>8</v>
      </c>
      <c r="BL404" s="1238">
        <v>70589148.458777606</v>
      </c>
      <c r="BM404" s="1239">
        <v>0.46698374823682232</v>
      </c>
      <c r="BN404" s="1236">
        <v>2006</v>
      </c>
      <c r="BO404" s="174"/>
      <c r="BP404" s="174"/>
      <c r="BQ404" s="174"/>
      <c r="BR404" s="174"/>
      <c r="BS404" s="174"/>
      <c r="BT404" s="174"/>
      <c r="BU404" s="174"/>
      <c r="BV404" s="174"/>
      <c r="BW404" s="174"/>
      <c r="BX404" s="174"/>
    </row>
    <row r="405" spans="1:76" s="152" customFormat="1" ht="15" customHeight="1" x14ac:dyDescent="0.25">
      <c r="A405" s="152">
        <f t="shared" si="12"/>
        <v>2003</v>
      </c>
      <c r="B405" s="152" t="str">
        <f t="shared" si="13"/>
        <v>2003-04</v>
      </c>
      <c r="C405" s="173">
        <v>37926</v>
      </c>
      <c r="D405" s="154">
        <v>0.7158650000000002</v>
      </c>
      <c r="E405" s="155">
        <v>189.99057100000005</v>
      </c>
      <c r="F405" s="155">
        <v>265.39999999999998</v>
      </c>
      <c r="G405" s="155"/>
      <c r="H405" s="155"/>
      <c r="I405" s="156">
        <v>389.91199999999998</v>
      </c>
      <c r="J405" s="156">
        <v>545.57000000000005</v>
      </c>
      <c r="K405" s="157"/>
      <c r="L405" s="158"/>
      <c r="M405" s="159">
        <v>12090.75</v>
      </c>
      <c r="N405" s="159">
        <v>16889.706858136655</v>
      </c>
      <c r="O405" s="175">
        <v>2055.4299999999998</v>
      </c>
      <c r="P405" s="175">
        <v>2871.2536581618033</v>
      </c>
      <c r="Q405" s="175">
        <v>622.33000000000004</v>
      </c>
      <c r="R405" s="175">
        <v>869.3398895043058</v>
      </c>
      <c r="S405" s="175">
        <v>914.53</v>
      </c>
      <c r="T405" s="175">
        <v>1277.5174090086814</v>
      </c>
      <c r="U405" s="161">
        <v>452.19760320000006</v>
      </c>
      <c r="V405" s="161">
        <v>631.67999999999995</v>
      </c>
      <c r="W405" s="161">
        <v>1728.3271868000006</v>
      </c>
      <c r="X405" s="161">
        <v>2414.3200000000002</v>
      </c>
      <c r="Y405" s="162"/>
      <c r="Z405" s="162"/>
      <c r="AA405" s="162"/>
      <c r="AB405" s="162"/>
      <c r="AC405" s="163">
        <v>5.1779999999999999</v>
      </c>
      <c r="AD405" s="163">
        <v>7.29</v>
      </c>
      <c r="AE405" s="163">
        <v>34102.800000000003</v>
      </c>
      <c r="AF405" s="163">
        <v>47638.59107513287</v>
      </c>
      <c r="AG405" s="163">
        <v>760.125</v>
      </c>
      <c r="AH405" s="163">
        <v>1061.8272998400535</v>
      </c>
      <c r="AI405" s="163">
        <v>196.75</v>
      </c>
      <c r="AJ405" s="163">
        <v>274.84232362247064</v>
      </c>
      <c r="AK405" s="164">
        <v>28.77</v>
      </c>
      <c r="AL405" s="164">
        <v>40.189141807463685</v>
      </c>
      <c r="AM405" s="164">
        <v>30.7</v>
      </c>
      <c r="AN405" s="164">
        <v>42.885180865107237</v>
      </c>
      <c r="AO405" s="164"/>
      <c r="AP405" s="164"/>
      <c r="AS405" s="167"/>
      <c r="AT405" s="1170"/>
      <c r="AU405" s="1171"/>
      <c r="AV405" s="1171"/>
      <c r="AW405" s="1172"/>
      <c r="AX405" s="1172"/>
      <c r="AY405" s="1172"/>
      <c r="AZ405" s="1172"/>
      <c r="BA405" s="1264" t="s">
        <v>32</v>
      </c>
      <c r="BB405" s="1265">
        <v>2010</v>
      </c>
      <c r="BC405" s="1264" t="s">
        <v>281</v>
      </c>
      <c r="BD405" s="1264">
        <v>7</v>
      </c>
      <c r="BE405" s="1266">
        <v>219233000</v>
      </c>
      <c r="BF405" s="1239">
        <v>1.5382308601527811E-2</v>
      </c>
      <c r="BG405" s="1236"/>
      <c r="BH405" s="1236" t="s">
        <v>54</v>
      </c>
      <c r="BI405" s="1236" t="s">
        <v>313</v>
      </c>
      <c r="BJ405" s="1236" t="s">
        <v>315</v>
      </c>
      <c r="BK405" s="1236">
        <v>9</v>
      </c>
      <c r="BL405" s="1238">
        <v>70087631.639891893</v>
      </c>
      <c r="BM405" s="1239">
        <v>0.46366595493571988</v>
      </c>
      <c r="BN405" s="1236">
        <v>2006</v>
      </c>
      <c r="BO405" s="174"/>
      <c r="BP405" s="174"/>
      <c r="BQ405" s="174"/>
      <c r="BR405" s="174"/>
      <c r="BS405" s="174"/>
      <c r="BT405" s="174"/>
      <c r="BU405" s="174"/>
      <c r="BV405" s="174"/>
      <c r="BW405" s="174"/>
      <c r="BX405" s="174"/>
    </row>
    <row r="406" spans="1:76" s="152" customFormat="1" ht="15" customHeight="1" x14ac:dyDescent="0.25">
      <c r="A406" s="152">
        <f t="shared" si="12"/>
        <v>2003</v>
      </c>
      <c r="B406" s="152" t="str">
        <f t="shared" si="13"/>
        <v>2003-04</v>
      </c>
      <c r="C406" s="173">
        <v>37956</v>
      </c>
      <c r="D406" s="169">
        <v>0.73832380952380949</v>
      </c>
      <c r="E406" s="170">
        <v>196.90357676190476</v>
      </c>
      <c r="F406" s="170">
        <v>266.69</v>
      </c>
      <c r="G406" s="170"/>
      <c r="H406" s="170"/>
      <c r="I406" s="169">
        <v>406.95699999999999</v>
      </c>
      <c r="J406" s="169">
        <v>558.87</v>
      </c>
      <c r="K406" s="169"/>
      <c r="L406" s="170"/>
      <c r="M406" s="170">
        <v>14169.52</v>
      </c>
      <c r="N406" s="170">
        <v>19191.471028326712</v>
      </c>
      <c r="O406" s="170">
        <v>2201.29</v>
      </c>
      <c r="P406" s="170">
        <v>2981.4696094112792</v>
      </c>
      <c r="Q406" s="170">
        <v>692.07</v>
      </c>
      <c r="R406" s="170">
        <v>937.35294876425371</v>
      </c>
      <c r="S406" s="170">
        <v>977.76</v>
      </c>
      <c r="T406" s="170">
        <v>1324.2969918992828</v>
      </c>
      <c r="U406" s="170">
        <v>463.23174133333328</v>
      </c>
      <c r="V406" s="170">
        <v>627.41</v>
      </c>
      <c r="W406" s="170">
        <v>1691.8099436190475</v>
      </c>
      <c r="X406" s="170">
        <v>2291.42</v>
      </c>
      <c r="Y406" s="170"/>
      <c r="Z406" s="170"/>
      <c r="AA406" s="170"/>
      <c r="AB406" s="170"/>
      <c r="AC406" s="170">
        <v>5.601</v>
      </c>
      <c r="AD406" s="170">
        <v>7.64</v>
      </c>
      <c r="AE406" s="170">
        <v>44148</v>
      </c>
      <c r="AF406" s="170">
        <v>59794.902223827463</v>
      </c>
      <c r="AG406" s="170">
        <v>807.19</v>
      </c>
      <c r="AH406" s="170">
        <v>1093.2736958877251</v>
      </c>
      <c r="AI406" s="170">
        <v>198.655</v>
      </c>
      <c r="AJ406" s="170">
        <v>269.06216139518085</v>
      </c>
      <c r="AK406" s="170">
        <v>29.88</v>
      </c>
      <c r="AL406" s="170">
        <v>40.470047985140084</v>
      </c>
      <c r="AM406" s="170">
        <v>31.32</v>
      </c>
      <c r="AN406" s="170">
        <v>42.420411743460093</v>
      </c>
      <c r="AO406" s="170"/>
      <c r="AP406" s="170"/>
      <c r="AS406" s="167"/>
      <c r="AT406" s="1170"/>
      <c r="AU406" s="1171"/>
      <c r="AV406" s="1171"/>
      <c r="AW406" s="1172"/>
      <c r="AX406" s="1172"/>
      <c r="AY406" s="1172"/>
      <c r="AZ406" s="1172"/>
      <c r="BA406" s="1264" t="s">
        <v>32</v>
      </c>
      <c r="BB406" s="1265">
        <v>2010</v>
      </c>
      <c r="BC406" s="1264" t="s">
        <v>286</v>
      </c>
      <c r="BD406" s="1264">
        <v>8</v>
      </c>
      <c r="BE406" s="1266">
        <v>153003000</v>
      </c>
      <c r="BF406" s="1239">
        <v>1.0735333471510036E-2</v>
      </c>
      <c r="BG406" s="1236"/>
      <c r="BH406" s="1236" t="s">
        <v>54</v>
      </c>
      <c r="BI406" s="1236" t="s">
        <v>313</v>
      </c>
      <c r="BJ406" s="1236" t="s">
        <v>314</v>
      </c>
      <c r="BK406" s="1236">
        <v>10</v>
      </c>
      <c r="BL406" s="1238">
        <v>54329488.910289481</v>
      </c>
      <c r="BM406" s="1239">
        <v>0.35941768565084631</v>
      </c>
      <c r="BN406" s="1236">
        <v>2006</v>
      </c>
      <c r="BO406" s="174"/>
      <c r="BP406" s="174"/>
      <c r="BQ406" s="174"/>
      <c r="BR406" s="174"/>
      <c r="BS406" s="174"/>
      <c r="BT406" s="174"/>
      <c r="BU406" s="174"/>
      <c r="BV406" s="174"/>
      <c r="BW406" s="174"/>
      <c r="BX406" s="174"/>
    </row>
    <row r="407" spans="1:76" s="152" customFormat="1" ht="15" customHeight="1" x14ac:dyDescent="0.25">
      <c r="A407" s="152">
        <f t="shared" si="12"/>
        <v>2004</v>
      </c>
      <c r="B407" s="152" t="str">
        <f t="shared" si="13"/>
        <v>2003-04</v>
      </c>
      <c r="C407" s="173">
        <v>37987</v>
      </c>
      <c r="D407" s="154">
        <v>0.76946999999999988</v>
      </c>
      <c r="E407" s="155">
        <v>199.60051799999994</v>
      </c>
      <c r="F407" s="155">
        <v>259.39999999999998</v>
      </c>
      <c r="G407" s="155"/>
      <c r="H407" s="155"/>
      <c r="I407" s="156">
        <v>413.786</v>
      </c>
      <c r="J407" s="156">
        <v>539.39</v>
      </c>
      <c r="K407" s="157"/>
      <c r="L407" s="158"/>
      <c r="M407" s="159">
        <v>15337.14</v>
      </c>
      <c r="N407" s="159">
        <v>19932.083122149015</v>
      </c>
      <c r="O407" s="175">
        <v>2423.5700000000002</v>
      </c>
      <c r="P407" s="175">
        <v>3149.6614552874062</v>
      </c>
      <c r="Q407" s="175">
        <v>758.38</v>
      </c>
      <c r="R407" s="175">
        <v>985.58748229300704</v>
      </c>
      <c r="S407" s="175">
        <v>1017</v>
      </c>
      <c r="T407" s="175">
        <v>1321.6889547350777</v>
      </c>
      <c r="U407" s="161">
        <v>522.53938229999994</v>
      </c>
      <c r="V407" s="161">
        <v>679.09</v>
      </c>
      <c r="W407" s="161">
        <v>1740.1640997</v>
      </c>
      <c r="X407" s="161">
        <v>2261.5100000000002</v>
      </c>
      <c r="Y407" s="162"/>
      <c r="Z407" s="162"/>
      <c r="AA407" s="162"/>
      <c r="AB407" s="162"/>
      <c r="AC407" s="163">
        <v>6.3159999999999998</v>
      </c>
      <c r="AD407" s="163">
        <v>8.15</v>
      </c>
      <c r="AE407" s="163">
        <v>58789</v>
      </c>
      <c r="AF407" s="163">
        <v>76401.938996971949</v>
      </c>
      <c r="AG407" s="163">
        <v>851.66700000000003</v>
      </c>
      <c r="AH407" s="163">
        <v>1106.8228780849158</v>
      </c>
      <c r="AI407" s="163">
        <v>216.988</v>
      </c>
      <c r="AJ407" s="163">
        <v>281.99669902660276</v>
      </c>
      <c r="AK407" s="164">
        <v>31.18</v>
      </c>
      <c r="AL407" s="164">
        <v>40.52139784527013</v>
      </c>
      <c r="AM407" s="164">
        <v>33.46</v>
      </c>
      <c r="AN407" s="164">
        <v>43.484476327862041</v>
      </c>
      <c r="AO407" s="164"/>
      <c r="AP407" s="164"/>
      <c r="AS407" s="167"/>
      <c r="AT407" s="1170"/>
      <c r="AU407" s="1171"/>
      <c r="AV407" s="1171"/>
      <c r="AW407" s="1172"/>
      <c r="AX407" s="1172"/>
      <c r="AY407" s="1172"/>
      <c r="AZ407" s="1172"/>
      <c r="BA407" s="1264" t="s">
        <v>32</v>
      </c>
      <c r="BB407" s="1265">
        <v>2010</v>
      </c>
      <c r="BC407" s="1264" t="s">
        <v>335</v>
      </c>
      <c r="BD407" s="1264">
        <v>9</v>
      </c>
      <c r="BE407" s="1266">
        <v>29706000</v>
      </c>
      <c r="BF407" s="1239">
        <v>2.0842977987665413E-3</v>
      </c>
      <c r="BG407" s="1236"/>
      <c r="BH407" s="1236" t="s">
        <v>54</v>
      </c>
      <c r="BI407" s="1236" t="s">
        <v>313</v>
      </c>
      <c r="BJ407" s="1236" t="s">
        <v>336</v>
      </c>
      <c r="BK407" s="1236">
        <v>11</v>
      </c>
      <c r="BL407" s="1238">
        <v>47146821.050734408</v>
      </c>
      <c r="BM407" s="1239">
        <v>0.31190062059722906</v>
      </c>
      <c r="BN407" s="1236">
        <v>2006</v>
      </c>
      <c r="BO407" s="174"/>
      <c r="BP407" s="174"/>
      <c r="BQ407" s="174"/>
      <c r="BR407" s="174"/>
      <c r="BS407" s="174"/>
      <c r="BT407" s="174"/>
      <c r="BU407" s="174"/>
      <c r="BV407" s="174"/>
      <c r="BW407" s="174"/>
      <c r="BX407" s="174"/>
    </row>
    <row r="408" spans="1:76" s="152" customFormat="1" ht="15" customHeight="1" x14ac:dyDescent="0.25">
      <c r="A408" s="152">
        <f t="shared" si="12"/>
        <v>2004</v>
      </c>
      <c r="B408" s="152" t="str">
        <f t="shared" si="13"/>
        <v>2003-04</v>
      </c>
      <c r="C408" s="173">
        <v>38018</v>
      </c>
      <c r="D408" s="169">
        <v>0.77771499999999993</v>
      </c>
      <c r="E408" s="170">
        <v>210.02971289999999</v>
      </c>
      <c r="F408" s="170">
        <v>270.06</v>
      </c>
      <c r="G408" s="170"/>
      <c r="H408" s="170"/>
      <c r="I408" s="169">
        <v>404.87799999999999</v>
      </c>
      <c r="J408" s="169">
        <v>521.34</v>
      </c>
      <c r="K408" s="169"/>
      <c r="L408" s="170"/>
      <c r="M408" s="170">
        <v>15152.5</v>
      </c>
      <c r="N408" s="170">
        <v>19483.358299634187</v>
      </c>
      <c r="O408" s="170">
        <v>2759.53</v>
      </c>
      <c r="P408" s="170">
        <v>3548.2535376069645</v>
      </c>
      <c r="Q408" s="170">
        <v>888.48</v>
      </c>
      <c r="R408" s="170">
        <v>1142.4236384793917</v>
      </c>
      <c r="S408" s="170">
        <v>1087.68</v>
      </c>
      <c r="T408" s="170">
        <v>1398.558597943977</v>
      </c>
      <c r="U408" s="170">
        <v>580.33093299999996</v>
      </c>
      <c r="V408" s="170">
        <v>746.2</v>
      </c>
      <c r="W408" s="170">
        <v>1726.3173169499998</v>
      </c>
      <c r="X408" s="170">
        <v>2219.73</v>
      </c>
      <c r="Y408" s="170"/>
      <c r="Z408" s="170"/>
      <c r="AA408" s="170"/>
      <c r="AB408" s="170"/>
      <c r="AC408" s="170">
        <v>6.4409999999999998</v>
      </c>
      <c r="AD408" s="170">
        <v>8.33</v>
      </c>
      <c r="AE408" s="170">
        <v>66689.8</v>
      </c>
      <c r="AF408" s="170">
        <v>85750.94989809893</v>
      </c>
      <c r="AG408" s="170">
        <v>846.32500000000005</v>
      </c>
      <c r="AH408" s="170">
        <v>1088.2199777553476</v>
      </c>
      <c r="AI408" s="170">
        <v>235.43799999999999</v>
      </c>
      <c r="AJ408" s="170">
        <v>302.73043467079845</v>
      </c>
      <c r="AK408" s="170">
        <v>31.02</v>
      </c>
      <c r="AL408" s="170">
        <v>39.886076519033324</v>
      </c>
      <c r="AM408" s="170">
        <v>34.31</v>
      </c>
      <c r="AN408" s="170">
        <v>44.116417968021715</v>
      </c>
      <c r="AO408" s="170"/>
      <c r="AP408" s="170"/>
      <c r="AS408" s="167"/>
      <c r="AT408" s="1170"/>
      <c r="AU408" s="1171"/>
      <c r="AV408" s="1171"/>
      <c r="AW408" s="1172"/>
      <c r="AX408" s="1172"/>
      <c r="AY408" s="1172"/>
      <c r="AZ408" s="1172"/>
      <c r="BA408" s="1264" t="s">
        <v>32</v>
      </c>
      <c r="BB408" s="1265">
        <v>2010</v>
      </c>
      <c r="BC408" s="1264" t="s">
        <v>330</v>
      </c>
      <c r="BD408" s="1264">
        <v>10</v>
      </c>
      <c r="BE408" s="1266">
        <v>27416000</v>
      </c>
      <c r="BF408" s="1239">
        <v>1.9236217750953847E-3</v>
      </c>
      <c r="BG408" s="1236"/>
      <c r="BH408" s="1236" t="s">
        <v>54</v>
      </c>
      <c r="BI408" s="1236" t="s">
        <v>313</v>
      </c>
      <c r="BJ408" s="1236" t="s">
        <v>321</v>
      </c>
      <c r="BK408" s="1236">
        <v>12</v>
      </c>
      <c r="BL408" s="1238">
        <v>44366943.154053465</v>
      </c>
      <c r="BM408" s="1239">
        <v>0.29351028967276899</v>
      </c>
      <c r="BN408" s="1236">
        <v>2006</v>
      </c>
      <c r="BO408" s="174"/>
      <c r="BP408" s="174"/>
      <c r="BQ408" s="174"/>
      <c r="BR408" s="174"/>
      <c r="BS408" s="174"/>
      <c r="BT408" s="174"/>
      <c r="BU408" s="174"/>
      <c r="BV408" s="174"/>
      <c r="BW408" s="174"/>
      <c r="BX408" s="174"/>
    </row>
    <row r="409" spans="1:76" s="152" customFormat="1" ht="15" customHeight="1" x14ac:dyDescent="0.25">
      <c r="A409" s="152">
        <f t="shared" si="12"/>
        <v>2004</v>
      </c>
      <c r="B409" s="152" t="str">
        <f t="shared" si="13"/>
        <v>2003-04</v>
      </c>
      <c r="C409" s="173">
        <v>38047</v>
      </c>
      <c r="D409" s="154">
        <v>0.74978260869565216</v>
      </c>
      <c r="E409" s="155">
        <v>220.42109130434784</v>
      </c>
      <c r="F409" s="155">
        <v>293.98</v>
      </c>
      <c r="G409" s="155"/>
      <c r="H409" s="155"/>
      <c r="I409" s="156">
        <v>406.66699999999997</v>
      </c>
      <c r="J409" s="156">
        <v>543.39</v>
      </c>
      <c r="K409" s="157"/>
      <c r="L409" s="158"/>
      <c r="M409" s="159">
        <v>13722.61</v>
      </c>
      <c r="N409" s="159">
        <v>18302.118295158019</v>
      </c>
      <c r="O409" s="175">
        <v>3008.72</v>
      </c>
      <c r="P409" s="175">
        <v>4012.7897941432298</v>
      </c>
      <c r="Q409" s="175">
        <v>886.48</v>
      </c>
      <c r="R409" s="175">
        <v>1182.3160336329372</v>
      </c>
      <c r="S409" s="175">
        <v>1105.78</v>
      </c>
      <c r="T409" s="175">
        <v>1474.8008118295159</v>
      </c>
      <c r="U409" s="161">
        <v>525.97249999999997</v>
      </c>
      <c r="V409" s="161">
        <v>701.5</v>
      </c>
      <c r="W409" s="161">
        <v>1730.2808239130434</v>
      </c>
      <c r="X409" s="161">
        <v>2307.71</v>
      </c>
      <c r="Y409" s="162"/>
      <c r="Z409" s="162"/>
      <c r="AA409" s="162"/>
      <c r="AB409" s="162"/>
      <c r="AC409" s="163">
        <v>7.2249999999999996</v>
      </c>
      <c r="AD409" s="163">
        <v>9.7200000000000006</v>
      </c>
      <c r="AE409" s="163">
        <v>66689.8</v>
      </c>
      <c r="AF409" s="163">
        <v>88945.514641925198</v>
      </c>
      <c r="AG409" s="163">
        <v>899.76099999999997</v>
      </c>
      <c r="AH409" s="163">
        <v>1200.0291678747462</v>
      </c>
      <c r="AI409" s="163">
        <v>269.66300000000001</v>
      </c>
      <c r="AJ409" s="163">
        <v>359.65491446796176</v>
      </c>
      <c r="AK409" s="164">
        <v>33.799999999999997</v>
      </c>
      <c r="AL409" s="164">
        <v>45.079733256016233</v>
      </c>
      <c r="AM409" s="164">
        <v>35.79</v>
      </c>
      <c r="AN409" s="164">
        <v>47.73383589446216</v>
      </c>
      <c r="AO409" s="164"/>
      <c r="AP409" s="164"/>
      <c r="AS409" s="167"/>
      <c r="AT409" s="1170"/>
      <c r="AU409" s="1171"/>
      <c r="AV409" s="1171"/>
      <c r="AW409" s="1172"/>
      <c r="AX409" s="1172"/>
      <c r="AY409" s="1172"/>
      <c r="AZ409" s="1172"/>
      <c r="BA409" s="1264" t="s">
        <v>32</v>
      </c>
      <c r="BB409" s="1265">
        <v>2010</v>
      </c>
      <c r="BC409" s="1264" t="s">
        <v>291</v>
      </c>
      <c r="BD409" s="1264"/>
      <c r="BE409" s="1266">
        <v>60958000</v>
      </c>
      <c r="BF409" s="1239">
        <v>4.2770694545617325E-3</v>
      </c>
      <c r="BG409" s="1236"/>
      <c r="BH409" s="1236" t="s">
        <v>54</v>
      </c>
      <c r="BI409" s="1236" t="s">
        <v>313</v>
      </c>
      <c r="BJ409" s="1236" t="s">
        <v>291</v>
      </c>
      <c r="BK409" s="1236"/>
      <c r="BL409" s="1238">
        <v>17694484.203707457</v>
      </c>
      <c r="BM409" s="1239">
        <v>0.11705817022838814</v>
      </c>
      <c r="BN409" s="1236">
        <v>2006</v>
      </c>
      <c r="BO409" s="174"/>
      <c r="BP409" s="174"/>
      <c r="BQ409" s="174"/>
      <c r="BR409" s="174"/>
      <c r="BS409" s="174"/>
      <c r="BT409" s="174"/>
      <c r="BU409" s="174"/>
      <c r="BV409" s="174"/>
      <c r="BW409" s="174"/>
      <c r="BX409" s="174"/>
    </row>
    <row r="410" spans="1:76" s="152" customFormat="1" ht="15" customHeight="1" x14ac:dyDescent="0.25">
      <c r="A410" s="152">
        <f t="shared" si="12"/>
        <v>2004</v>
      </c>
      <c r="B410" s="152" t="str">
        <f t="shared" si="13"/>
        <v>2003-04</v>
      </c>
      <c r="C410" s="173">
        <v>38078</v>
      </c>
      <c r="D410" s="169">
        <v>0.74420000000000008</v>
      </c>
      <c r="E410" s="170">
        <v>209.16485200000002</v>
      </c>
      <c r="F410" s="170">
        <v>281.06</v>
      </c>
      <c r="G410" s="170"/>
      <c r="H410" s="170"/>
      <c r="I410" s="169">
        <v>403.26</v>
      </c>
      <c r="J410" s="169">
        <v>545.07000000000005</v>
      </c>
      <c r="K410" s="169"/>
      <c r="L410" s="170"/>
      <c r="M410" s="170">
        <v>12853.25</v>
      </c>
      <c r="N410" s="170">
        <v>17271.230851921526</v>
      </c>
      <c r="O410" s="170">
        <v>2948.73</v>
      </c>
      <c r="P410" s="170">
        <v>3962.2816447191612</v>
      </c>
      <c r="Q410" s="170">
        <v>753.68</v>
      </c>
      <c r="R410" s="170">
        <v>1012.7385111529157</v>
      </c>
      <c r="S410" s="170">
        <v>1032.73</v>
      </c>
      <c r="T410" s="170">
        <v>1387.7049180327867</v>
      </c>
      <c r="U410" s="170">
        <v>548.319118</v>
      </c>
      <c r="V410" s="170">
        <v>736.79</v>
      </c>
      <c r="W410" s="170">
        <v>1713.2228200000002</v>
      </c>
      <c r="X410" s="170">
        <v>2302.1</v>
      </c>
      <c r="Y410" s="170"/>
      <c r="Z410" s="170"/>
      <c r="AA410" s="170"/>
      <c r="AB410" s="170"/>
      <c r="AC410" s="170">
        <v>7.0549999999999997</v>
      </c>
      <c r="AD410" s="170">
        <v>9.61</v>
      </c>
      <c r="AE410" s="170">
        <v>65256.82</v>
      </c>
      <c r="AF410" s="170">
        <v>87687.207739854872</v>
      </c>
      <c r="AG410" s="170">
        <v>879.45</v>
      </c>
      <c r="AH410" s="170">
        <v>1181.7387798978768</v>
      </c>
      <c r="AI410" s="170">
        <v>294.625</v>
      </c>
      <c r="AJ410" s="170">
        <v>395.89492072023643</v>
      </c>
      <c r="AK410" s="170">
        <v>33.36</v>
      </c>
      <c r="AL410" s="170">
        <v>44.826659500134369</v>
      </c>
      <c r="AM410" s="170">
        <v>35.11</v>
      </c>
      <c r="AN410" s="170">
        <v>47.178177909164198</v>
      </c>
      <c r="AO410" s="170"/>
      <c r="AP410" s="170"/>
      <c r="AS410" s="167"/>
      <c r="AT410" s="1170"/>
      <c r="AU410" s="1171"/>
      <c r="AV410" s="1171"/>
      <c r="AW410" s="1172"/>
      <c r="AX410" s="1172"/>
      <c r="AY410" s="1172"/>
      <c r="AZ410" s="1172"/>
      <c r="BA410" s="1264" t="s">
        <v>32</v>
      </c>
      <c r="BB410" s="1265">
        <v>2010</v>
      </c>
      <c r="BC410" s="1264" t="s">
        <v>292</v>
      </c>
      <c r="BD410" s="1264"/>
      <c r="BE410" s="1266">
        <v>14252282000</v>
      </c>
      <c r="BF410" s="1239">
        <v>1</v>
      </c>
      <c r="BG410" s="1236"/>
      <c r="BH410" s="1236" t="s">
        <v>54</v>
      </c>
      <c r="BI410" s="1236" t="s">
        <v>313</v>
      </c>
      <c r="BJ410" s="1236" t="s">
        <v>292</v>
      </c>
      <c r="BK410" s="1236"/>
      <c r="BL410" s="1238">
        <v>1408651001.055871</v>
      </c>
      <c r="BM410" s="1239"/>
      <c r="BN410" s="1236">
        <v>2006</v>
      </c>
      <c r="BO410" s="174"/>
      <c r="BP410" s="174"/>
      <c r="BQ410" s="174"/>
      <c r="BR410" s="174"/>
      <c r="BS410" s="174"/>
      <c r="BT410" s="174"/>
      <c r="BU410" s="174"/>
      <c r="BV410" s="174"/>
      <c r="BW410" s="174"/>
      <c r="BX410" s="174"/>
    </row>
    <row r="411" spans="1:76" s="152" customFormat="1" ht="15" customHeight="1" x14ac:dyDescent="0.25">
      <c r="A411" s="152">
        <f t="shared" si="12"/>
        <v>2004</v>
      </c>
      <c r="B411" s="152" t="str">
        <f t="shared" si="13"/>
        <v>2003-04</v>
      </c>
      <c r="C411" s="173">
        <v>38108</v>
      </c>
      <c r="D411" s="154">
        <v>0.70544761904761899</v>
      </c>
      <c r="E411" s="155">
        <v>220.5624499158549</v>
      </c>
      <c r="F411" s="155">
        <v>312.65602712448384</v>
      </c>
      <c r="G411" s="155"/>
      <c r="H411" s="155"/>
      <c r="I411" s="156">
        <v>383.779</v>
      </c>
      <c r="J411" s="156">
        <v>545.96</v>
      </c>
      <c r="K411" s="157"/>
      <c r="L411" s="158"/>
      <c r="M411" s="159">
        <v>11123.42</v>
      </c>
      <c r="N411" s="159">
        <v>15767.889350901827</v>
      </c>
      <c r="O411" s="175">
        <v>2733.5</v>
      </c>
      <c r="P411" s="175">
        <v>3874.8447456528784</v>
      </c>
      <c r="Q411" s="175">
        <v>808.89</v>
      </c>
      <c r="R411" s="175">
        <v>1146.6336807430609</v>
      </c>
      <c r="S411" s="175">
        <v>1028.29</v>
      </c>
      <c r="T411" s="175">
        <v>1457.6418889728914</v>
      </c>
      <c r="U411" s="161">
        <v>560.18889980952383</v>
      </c>
      <c r="V411" s="161">
        <v>794.09</v>
      </c>
      <c r="W411" s="161">
        <v>1706.6682613333332</v>
      </c>
      <c r="X411" s="161">
        <v>2419.27</v>
      </c>
      <c r="Y411" s="162"/>
      <c r="Z411" s="162"/>
      <c r="AA411" s="162"/>
      <c r="AB411" s="162"/>
      <c r="AC411" s="163">
        <v>5.8470000000000004</v>
      </c>
      <c r="AD411" s="163">
        <v>8.36</v>
      </c>
      <c r="AE411" s="163">
        <v>64347.45</v>
      </c>
      <c r="AF411" s="163">
        <v>91215.064396803107</v>
      </c>
      <c r="AG411" s="163">
        <v>809.28899999999999</v>
      </c>
      <c r="AH411" s="163">
        <v>1147.1992790798142</v>
      </c>
      <c r="AI411" s="163">
        <v>246.13200000000001</v>
      </c>
      <c r="AJ411" s="163">
        <v>348.9018792526191</v>
      </c>
      <c r="AK411" s="164">
        <v>37.92</v>
      </c>
      <c r="AL411" s="164">
        <v>53.75310508694244</v>
      </c>
      <c r="AM411" s="164">
        <v>39.72</v>
      </c>
      <c r="AN411" s="164">
        <v>56.304676530942871</v>
      </c>
      <c r="AO411" s="164"/>
      <c r="AP411" s="164"/>
      <c r="AS411" s="167"/>
      <c r="AT411" s="1170"/>
      <c r="AU411" s="1171"/>
      <c r="AV411" s="1171"/>
      <c r="AW411" s="1172"/>
      <c r="AX411" s="1172"/>
      <c r="AY411" s="1172"/>
      <c r="AZ411" s="1172"/>
      <c r="BA411" s="1267" t="s">
        <v>32</v>
      </c>
      <c r="BB411" s="1268">
        <v>2011</v>
      </c>
      <c r="BC411" s="1267" t="s">
        <v>314</v>
      </c>
      <c r="BD411" s="1267">
        <v>1</v>
      </c>
      <c r="BE411" s="1269">
        <v>4246145000</v>
      </c>
      <c r="BF411" s="1239">
        <v>0.284837540815705</v>
      </c>
      <c r="BG411" s="1236"/>
      <c r="BH411" s="1236" t="s">
        <v>54</v>
      </c>
      <c r="BI411" s="1236" t="s">
        <v>316</v>
      </c>
      <c r="BJ411" s="1236" t="s">
        <v>298</v>
      </c>
      <c r="BK411" s="1236">
        <v>1</v>
      </c>
      <c r="BL411" s="1238">
        <v>151159753.89999998</v>
      </c>
      <c r="BM411" s="1239">
        <v>1.3141292784930139</v>
      </c>
      <c r="BN411" s="1236">
        <v>2005</v>
      </c>
      <c r="BO411" s="174"/>
      <c r="BP411" s="174"/>
      <c r="BQ411" s="174"/>
      <c r="BR411" s="174"/>
      <c r="BS411" s="174"/>
      <c r="BT411" s="174"/>
      <c r="BU411" s="174"/>
      <c r="BV411" s="174"/>
      <c r="BW411" s="174"/>
      <c r="BX411" s="174"/>
    </row>
    <row r="412" spans="1:76" s="152" customFormat="1" ht="15" customHeight="1" x14ac:dyDescent="0.25">
      <c r="A412" s="152">
        <f t="shared" si="12"/>
        <v>2004</v>
      </c>
      <c r="B412" s="152" t="str">
        <f t="shared" si="13"/>
        <v>2003-04</v>
      </c>
      <c r="C412" s="173">
        <v>38139</v>
      </c>
      <c r="D412" s="169">
        <v>0.69418095238095245</v>
      </c>
      <c r="E412" s="170">
        <v>217.37574823530068</v>
      </c>
      <c r="F412" s="170">
        <v>313.13989168059061</v>
      </c>
      <c r="G412" s="170"/>
      <c r="H412" s="170"/>
      <c r="I412" s="169">
        <v>392.08199999999999</v>
      </c>
      <c r="J412" s="169">
        <v>565.07000000000005</v>
      </c>
      <c r="K412" s="169"/>
      <c r="L412" s="170"/>
      <c r="M412" s="170">
        <v>13539.55</v>
      </c>
      <c r="N412" s="170">
        <v>19504.352508608979</v>
      </c>
      <c r="O412" s="170">
        <v>2686.7</v>
      </c>
      <c r="P412" s="170">
        <v>3870.3165086638583</v>
      </c>
      <c r="Q412" s="170">
        <v>870.32</v>
      </c>
      <c r="R412" s="170">
        <v>1253.7365034504519</v>
      </c>
      <c r="S412" s="170">
        <v>1021.45</v>
      </c>
      <c r="T412" s="170">
        <v>1471.4463087708707</v>
      </c>
      <c r="U412" s="170">
        <v>526.67281670649356</v>
      </c>
      <c r="V412" s="170">
        <v>758.69672727272723</v>
      </c>
      <c r="W412" s="170">
        <v>1738.0259343698149</v>
      </c>
      <c r="X412" s="170">
        <v>2503.7073235855964</v>
      </c>
      <c r="Y412" s="170"/>
      <c r="Z412" s="170"/>
      <c r="AA412" s="170"/>
      <c r="AB412" s="170"/>
      <c r="AC412" s="170">
        <v>5.8620000000000001</v>
      </c>
      <c r="AD412" s="170">
        <v>8.48</v>
      </c>
      <c r="AE412" s="170">
        <v>60489.35</v>
      </c>
      <c r="AF412" s="170">
        <v>87137.726543099765</v>
      </c>
      <c r="AG412" s="170">
        <v>807.56799999999998</v>
      </c>
      <c r="AH412" s="170">
        <v>1163.3393241778592</v>
      </c>
      <c r="AI412" s="170">
        <v>228.81800000000001</v>
      </c>
      <c r="AJ412" s="170">
        <v>329.62298837959088</v>
      </c>
      <c r="AK412" s="170">
        <v>35.19</v>
      </c>
      <c r="AL412" s="170">
        <v>50.692834309703791</v>
      </c>
      <c r="AM412" s="170">
        <v>38.200000000000003</v>
      </c>
      <c r="AN412" s="170">
        <v>55.028879529147055</v>
      </c>
      <c r="AO412" s="170"/>
      <c r="AP412" s="170"/>
      <c r="AS412" s="167"/>
      <c r="AT412" s="1170"/>
      <c r="AU412" s="1171"/>
      <c r="AV412" s="1171"/>
      <c r="AW412" s="1172"/>
      <c r="AX412" s="1172"/>
      <c r="AY412" s="1172"/>
      <c r="AZ412" s="1172"/>
      <c r="BA412" s="1267" t="s">
        <v>32</v>
      </c>
      <c r="BB412" s="1268">
        <v>2011</v>
      </c>
      <c r="BC412" s="1267" t="s">
        <v>287</v>
      </c>
      <c r="BD412" s="1267">
        <v>2</v>
      </c>
      <c r="BE412" s="1269">
        <v>4042710000</v>
      </c>
      <c r="BF412" s="1239">
        <v>0.27119082712226239</v>
      </c>
      <c r="BG412" s="1236"/>
      <c r="BH412" s="1236" t="s">
        <v>54</v>
      </c>
      <c r="BI412" s="1236" t="s">
        <v>316</v>
      </c>
      <c r="BJ412" s="1236" t="s">
        <v>281</v>
      </c>
      <c r="BK412" s="1236">
        <v>2</v>
      </c>
      <c r="BL412" s="1238">
        <v>80717187.300000012</v>
      </c>
      <c r="BM412" s="1239">
        <v>0.70172659303684193</v>
      </c>
      <c r="BN412" s="1236">
        <v>2005</v>
      </c>
      <c r="BO412" s="174"/>
      <c r="BP412" s="174"/>
      <c r="BQ412" s="174"/>
      <c r="BR412" s="174"/>
      <c r="BS412" s="174"/>
      <c r="BT412" s="174"/>
      <c r="BU412" s="174"/>
      <c r="BV412" s="174"/>
      <c r="BW412" s="174"/>
      <c r="BX412" s="174"/>
    </row>
    <row r="413" spans="1:76" s="152" customFormat="1" ht="15" customHeight="1" x14ac:dyDescent="0.25">
      <c r="A413" s="152">
        <f t="shared" si="12"/>
        <v>2004</v>
      </c>
      <c r="B413" s="152" t="str">
        <f t="shared" si="13"/>
        <v>2004-05</v>
      </c>
      <c r="C413" s="173">
        <v>38169</v>
      </c>
      <c r="D413" s="154">
        <v>0.7163909090909093</v>
      </c>
      <c r="E413" s="155">
        <v>219.07339013417078</v>
      </c>
      <c r="F413" s="155">
        <v>305.80146586752761</v>
      </c>
      <c r="G413" s="155"/>
      <c r="H413" s="155"/>
      <c r="I413" s="156">
        <v>398.09100000000001</v>
      </c>
      <c r="J413" s="156">
        <v>557.38</v>
      </c>
      <c r="K413" s="157"/>
      <c r="L413" s="158"/>
      <c r="M413" s="159">
        <v>15031.59</v>
      </c>
      <c r="N413" s="159">
        <v>20982.385188381148</v>
      </c>
      <c r="O413" s="175">
        <v>2808.43</v>
      </c>
      <c r="P413" s="175">
        <v>3920.2479601030404</v>
      </c>
      <c r="Q413" s="175">
        <v>939.59</v>
      </c>
      <c r="R413" s="175">
        <v>1311.5604735860306</v>
      </c>
      <c r="S413" s="175">
        <v>988.32</v>
      </c>
      <c r="T413" s="175">
        <v>1379.5819956093039</v>
      </c>
      <c r="U413" s="161">
        <v>583.18022194891046</v>
      </c>
      <c r="V413" s="161">
        <v>814.05307430402559</v>
      </c>
      <c r="W413" s="161">
        <v>1742.394647898097</v>
      </c>
      <c r="X413" s="161">
        <v>2432.1841969060902</v>
      </c>
      <c r="Y413" s="162"/>
      <c r="Z413" s="162"/>
      <c r="AA413" s="162"/>
      <c r="AB413" s="162"/>
      <c r="AC413" s="163">
        <v>6.3140000000000001</v>
      </c>
      <c r="AD413" s="163">
        <v>8.86</v>
      </c>
      <c r="AE413" s="163">
        <v>57430.3</v>
      </c>
      <c r="AF413" s="163">
        <v>80166.14849688462</v>
      </c>
      <c r="AG413" s="163">
        <v>809.70500000000004</v>
      </c>
      <c r="AH413" s="163">
        <v>1130.2558278238134</v>
      </c>
      <c r="AI413" s="163">
        <v>220.40199999999999</v>
      </c>
      <c r="AJ413" s="163">
        <v>307.6560537035391</v>
      </c>
      <c r="AK413" s="164">
        <v>38.369999999999997</v>
      </c>
      <c r="AL413" s="164">
        <v>53.560143649353435</v>
      </c>
      <c r="AM413" s="164">
        <v>41.1</v>
      </c>
      <c r="AN413" s="164">
        <v>57.37091227491338</v>
      </c>
      <c r="AO413" s="164"/>
      <c r="AP413" s="164"/>
      <c r="AS413" s="167"/>
      <c r="AT413" s="1170"/>
      <c r="AU413" s="1171"/>
      <c r="AV413" s="1171"/>
      <c r="AW413" s="1172"/>
      <c r="AX413" s="1172"/>
      <c r="AY413" s="1172"/>
      <c r="AZ413" s="1172"/>
      <c r="BA413" s="1267" t="s">
        <v>32</v>
      </c>
      <c r="BB413" s="1268">
        <v>2011</v>
      </c>
      <c r="BC413" s="1267" t="s">
        <v>323</v>
      </c>
      <c r="BD413" s="1267">
        <v>3</v>
      </c>
      <c r="BE413" s="1269">
        <v>2632482000</v>
      </c>
      <c r="BF413" s="1239">
        <v>0.1765906955889657</v>
      </c>
      <c r="BG413" s="1236"/>
      <c r="BH413" s="1236" t="s">
        <v>54</v>
      </c>
      <c r="BI413" s="1236" t="s">
        <v>316</v>
      </c>
      <c r="BJ413" s="1236" t="s">
        <v>314</v>
      </c>
      <c r="BK413" s="1236">
        <v>3</v>
      </c>
      <c r="BL413" s="1238">
        <v>75309007.799999997</v>
      </c>
      <c r="BM413" s="1239">
        <v>0.65470979894363768</v>
      </c>
      <c r="BN413" s="1236">
        <v>2005</v>
      </c>
      <c r="BO413" s="174"/>
      <c r="BP413" s="174"/>
      <c r="BQ413" s="174"/>
      <c r="BR413" s="174"/>
      <c r="BS413" s="174"/>
      <c r="BT413" s="174"/>
      <c r="BU413" s="174"/>
      <c r="BV413" s="174"/>
      <c r="BW413" s="174"/>
      <c r="BX413" s="174"/>
    </row>
    <row r="414" spans="1:76" s="152" customFormat="1" ht="15" customHeight="1" x14ac:dyDescent="0.25">
      <c r="A414" s="152">
        <f t="shared" si="12"/>
        <v>2004</v>
      </c>
      <c r="B414" s="152" t="str">
        <f t="shared" si="13"/>
        <v>2004-05</v>
      </c>
      <c r="C414" s="173">
        <v>38200</v>
      </c>
      <c r="D414" s="169">
        <v>0.71043333333333347</v>
      </c>
      <c r="E414" s="170">
        <v>225.29591223371082</v>
      </c>
      <c r="F414" s="170">
        <v>317.12463599734076</v>
      </c>
      <c r="G414" s="170"/>
      <c r="H414" s="170"/>
      <c r="I414" s="169">
        <v>400.51</v>
      </c>
      <c r="J414" s="169">
        <v>565.04</v>
      </c>
      <c r="K414" s="169"/>
      <c r="L414" s="170"/>
      <c r="M414" s="170">
        <v>13685.95</v>
      </c>
      <c r="N414" s="170">
        <v>19264.228405198701</v>
      </c>
      <c r="O414" s="170">
        <v>2846.1</v>
      </c>
      <c r="P414" s="170">
        <v>4006.1464833669584</v>
      </c>
      <c r="Q414" s="170">
        <v>921.81</v>
      </c>
      <c r="R414" s="170">
        <v>1297.5320227091443</v>
      </c>
      <c r="S414" s="170">
        <v>975.81</v>
      </c>
      <c r="T414" s="170">
        <v>1373.5419696898603</v>
      </c>
      <c r="U414" s="170">
        <v>580.88235960448992</v>
      </c>
      <c r="V414" s="170">
        <v>817.64513621426806</v>
      </c>
      <c r="W414" s="170">
        <v>1773.9896711554416</v>
      </c>
      <c r="X414" s="170">
        <v>2497.052978682646</v>
      </c>
      <c r="Y414" s="170"/>
      <c r="Z414" s="170"/>
      <c r="AA414" s="170"/>
      <c r="AB414" s="170"/>
      <c r="AC414" s="170">
        <v>6.6589999999999998</v>
      </c>
      <c r="AD414" s="170">
        <v>9.43</v>
      </c>
      <c r="AE414" s="170">
        <v>55942.2</v>
      </c>
      <c r="AF414" s="170">
        <v>78743.771407122389</v>
      </c>
      <c r="AG414" s="170">
        <v>847.92899999999997</v>
      </c>
      <c r="AH414" s="170">
        <v>1193.537746915028</v>
      </c>
      <c r="AI414" s="170">
        <v>215.298</v>
      </c>
      <c r="AJ414" s="170">
        <v>303.05165861211464</v>
      </c>
      <c r="AK414" s="170">
        <v>43.03</v>
      </c>
      <c r="AL414" s="170">
        <v>60.568667010744605</v>
      </c>
      <c r="AM414" s="170">
        <v>47.03</v>
      </c>
      <c r="AN414" s="170">
        <v>66.199033453760606</v>
      </c>
      <c r="AO414" s="170"/>
      <c r="AP414" s="170"/>
      <c r="AS414" s="167"/>
      <c r="AT414" s="1170"/>
      <c r="AU414" s="1171"/>
      <c r="AV414" s="1171"/>
      <c r="AW414" s="1172"/>
      <c r="AX414" s="1172"/>
      <c r="AY414" s="1172"/>
      <c r="AZ414" s="1172"/>
      <c r="BA414" s="1267" t="s">
        <v>32</v>
      </c>
      <c r="BB414" s="1268">
        <v>2011</v>
      </c>
      <c r="BC414" s="1267" t="s">
        <v>281</v>
      </c>
      <c r="BD414" s="1267">
        <v>4</v>
      </c>
      <c r="BE414" s="1269">
        <v>1529407000</v>
      </c>
      <c r="BF414" s="1239">
        <v>0.10259483102586581</v>
      </c>
      <c r="BG414" s="1236"/>
      <c r="BH414" s="1236" t="s">
        <v>54</v>
      </c>
      <c r="BI414" s="1236" t="s">
        <v>316</v>
      </c>
      <c r="BJ414" s="1236" t="s">
        <v>321</v>
      </c>
      <c r="BK414" s="1236">
        <v>4</v>
      </c>
      <c r="BL414" s="1238">
        <v>57440321</v>
      </c>
      <c r="BM414" s="1239">
        <v>0.49936577458358195</v>
      </c>
      <c r="BN414" s="1236">
        <v>2005</v>
      </c>
      <c r="BO414" s="174"/>
      <c r="BP414" s="174"/>
      <c r="BQ414" s="174"/>
      <c r="BR414" s="174"/>
      <c r="BS414" s="174"/>
      <c r="BT414" s="174"/>
      <c r="BU414" s="174"/>
      <c r="BV414" s="174"/>
      <c r="BW414" s="174"/>
      <c r="BX414" s="174"/>
    </row>
    <row r="415" spans="1:76" s="152" customFormat="1" ht="15" customHeight="1" x14ac:dyDescent="0.25">
      <c r="A415" s="152">
        <f t="shared" si="12"/>
        <v>2004</v>
      </c>
      <c r="B415" s="152" t="str">
        <f t="shared" si="13"/>
        <v>2004-05</v>
      </c>
      <c r="C415" s="173">
        <v>38231</v>
      </c>
      <c r="D415" s="154">
        <v>0.70134545454545449</v>
      </c>
      <c r="E415" s="155">
        <v>227.8400804462855</v>
      </c>
      <c r="F415" s="155">
        <v>324.86142024539078</v>
      </c>
      <c r="G415" s="155"/>
      <c r="H415" s="155"/>
      <c r="I415" s="156">
        <v>405.27499999999998</v>
      </c>
      <c r="J415" s="156">
        <v>578.16</v>
      </c>
      <c r="K415" s="157"/>
      <c r="L415" s="158"/>
      <c r="M415" s="159">
        <v>13277.27</v>
      </c>
      <c r="N415" s="159">
        <v>18931.141442422359</v>
      </c>
      <c r="O415" s="175">
        <v>2894.86</v>
      </c>
      <c r="P415" s="175">
        <v>4127.5807538756681</v>
      </c>
      <c r="Q415" s="175">
        <v>935.45</v>
      </c>
      <c r="R415" s="175">
        <v>1333.7934878415515</v>
      </c>
      <c r="S415" s="175">
        <v>975.18</v>
      </c>
      <c r="T415" s="175">
        <v>1390.4417483278892</v>
      </c>
      <c r="U415" s="161">
        <v>575.83554826785166</v>
      </c>
      <c r="V415" s="161">
        <v>821.04410107149488</v>
      </c>
      <c r="W415" s="161">
        <v>1789.5621509050777</v>
      </c>
      <c r="X415" s="161">
        <v>2551.6129595006814</v>
      </c>
      <c r="Y415" s="162"/>
      <c r="Z415" s="162"/>
      <c r="AA415" s="162"/>
      <c r="AB415" s="162"/>
      <c r="AC415" s="163">
        <v>6.4029999999999996</v>
      </c>
      <c r="AD415" s="163">
        <v>9.1300000000000008</v>
      </c>
      <c r="AE415" s="163">
        <v>55046.6</v>
      </c>
      <c r="AF415" s="163">
        <v>78487.141597967551</v>
      </c>
      <c r="AG415" s="163">
        <v>848.15899999999999</v>
      </c>
      <c r="AH415" s="163">
        <v>1209.3312853217194</v>
      </c>
      <c r="AI415" s="163">
        <v>211.727</v>
      </c>
      <c r="AJ415" s="163">
        <v>301.88689272567018</v>
      </c>
      <c r="AK415" s="164">
        <v>43.38</v>
      </c>
      <c r="AL415" s="164">
        <v>61.852543163789086</v>
      </c>
      <c r="AM415" s="164">
        <v>47.97</v>
      </c>
      <c r="AN415" s="164">
        <v>68.397106859542703</v>
      </c>
      <c r="AO415" s="164"/>
      <c r="AP415" s="164"/>
      <c r="AS415" s="167"/>
      <c r="AT415" s="1170"/>
      <c r="AU415" s="1171"/>
      <c r="AV415" s="1171"/>
      <c r="AW415" s="1172"/>
      <c r="AX415" s="1172"/>
      <c r="AY415" s="1172"/>
      <c r="AZ415" s="1172"/>
      <c r="BA415" s="1267" t="s">
        <v>32</v>
      </c>
      <c r="BB415" s="1268">
        <v>2011</v>
      </c>
      <c r="BC415" s="1267" t="s">
        <v>306</v>
      </c>
      <c r="BD415" s="1267">
        <v>5</v>
      </c>
      <c r="BE415" s="1269">
        <v>1170101000</v>
      </c>
      <c r="BF415" s="1239">
        <v>7.849206547256328E-2</v>
      </c>
      <c r="BG415" s="1236"/>
      <c r="BH415" s="1236" t="s">
        <v>54</v>
      </c>
      <c r="BI415" s="1236" t="s">
        <v>316</v>
      </c>
      <c r="BJ415" s="1236" t="s">
        <v>322</v>
      </c>
      <c r="BK415" s="1236">
        <v>5</v>
      </c>
      <c r="BL415" s="1238">
        <v>53882912.099999994</v>
      </c>
      <c r="BM415" s="1239">
        <v>0.46843892355050654</v>
      </c>
      <c r="BN415" s="1236">
        <v>2005</v>
      </c>
      <c r="BO415" s="174"/>
      <c r="BP415" s="174"/>
      <c r="BQ415" s="174"/>
      <c r="BR415" s="174"/>
      <c r="BS415" s="174"/>
      <c r="BT415" s="174"/>
      <c r="BU415" s="174"/>
      <c r="BV415" s="174"/>
      <c r="BW415" s="174"/>
      <c r="BX415" s="174"/>
    </row>
    <row r="416" spans="1:76" s="152" customFormat="1" ht="15" customHeight="1" x14ac:dyDescent="0.25">
      <c r="A416" s="152">
        <f t="shared" si="12"/>
        <v>2004</v>
      </c>
      <c r="B416" s="152" t="str">
        <f t="shared" si="13"/>
        <v>2004-05</v>
      </c>
      <c r="C416" s="173">
        <v>38261</v>
      </c>
      <c r="D416" s="169">
        <v>0.73313500000000009</v>
      </c>
      <c r="E416" s="170">
        <v>220.61539844007484</v>
      </c>
      <c r="F416" s="170">
        <v>300.92056502564304</v>
      </c>
      <c r="G416" s="170"/>
      <c r="H416" s="170"/>
      <c r="I416" s="169">
        <v>420.76900000000001</v>
      </c>
      <c r="J416" s="169">
        <v>575.25</v>
      </c>
      <c r="K416" s="169"/>
      <c r="L416" s="170"/>
      <c r="M416" s="170">
        <v>14410.71</v>
      </c>
      <c r="N416" s="170">
        <v>19656.284313257445</v>
      </c>
      <c r="O416" s="170">
        <v>3012.24</v>
      </c>
      <c r="P416" s="170">
        <v>4108.7112196253065</v>
      </c>
      <c r="Q416" s="170">
        <v>932.76</v>
      </c>
      <c r="R416" s="170">
        <v>1272.2895510376668</v>
      </c>
      <c r="S416" s="170">
        <v>1064.95</v>
      </c>
      <c r="T416" s="170">
        <v>1452.5974070259911</v>
      </c>
      <c r="U416" s="170">
        <v>648.15767126190485</v>
      </c>
      <c r="V416" s="170">
        <v>884.09047619047624</v>
      </c>
      <c r="W416" s="170">
        <v>1763.5298679274206</v>
      </c>
      <c r="X416" s="170">
        <v>2405.4640249441377</v>
      </c>
      <c r="Y416" s="170"/>
      <c r="Z416" s="170"/>
      <c r="AA416" s="170"/>
      <c r="AB416" s="170"/>
      <c r="AC416" s="170">
        <v>7.1020000000000003</v>
      </c>
      <c r="AD416" s="170">
        <v>9.73</v>
      </c>
      <c r="AE416" s="170">
        <v>51147.199999999997</v>
      </c>
      <c r="AF416" s="170">
        <v>69765.050093093349</v>
      </c>
      <c r="AG416" s="170">
        <v>841.71400000000006</v>
      </c>
      <c r="AH416" s="170">
        <v>1148.1023276749847</v>
      </c>
      <c r="AI416" s="170">
        <v>219</v>
      </c>
      <c r="AJ416" s="170">
        <v>298.71715304821072</v>
      </c>
      <c r="AK416" s="170">
        <v>53.25</v>
      </c>
      <c r="AL416" s="170">
        <v>72.633280364462195</v>
      </c>
      <c r="AM416" s="170">
        <v>53.19</v>
      </c>
      <c r="AN416" s="170">
        <v>72.551440048558575</v>
      </c>
      <c r="AO416" s="170"/>
      <c r="AP416" s="170"/>
      <c r="AS416" s="167"/>
      <c r="AT416" s="1170"/>
      <c r="AU416" s="1171"/>
      <c r="AV416" s="1171"/>
      <c r="AW416" s="1172"/>
      <c r="AX416" s="1172"/>
      <c r="AY416" s="1172"/>
      <c r="AZ416" s="1172"/>
      <c r="BA416" s="1267" t="s">
        <v>32</v>
      </c>
      <c r="BB416" s="1268">
        <v>2011</v>
      </c>
      <c r="BC416" s="1267" t="s">
        <v>330</v>
      </c>
      <c r="BD416" s="1267">
        <v>6</v>
      </c>
      <c r="BE416" s="1269">
        <v>383599000</v>
      </c>
      <c r="BF416" s="1239">
        <v>2.5732375088312723E-2</v>
      </c>
      <c r="BG416" s="1236"/>
      <c r="BH416" s="1236" t="s">
        <v>54</v>
      </c>
      <c r="BI416" s="1236" t="s">
        <v>316</v>
      </c>
      <c r="BJ416" s="1236" t="s">
        <v>315</v>
      </c>
      <c r="BK416" s="1236">
        <v>6</v>
      </c>
      <c r="BL416" s="1238">
        <v>42472038.039999999</v>
      </c>
      <c r="BM416" s="1239">
        <v>0.36923683232877402</v>
      </c>
      <c r="BN416" s="1236">
        <v>2005</v>
      </c>
      <c r="BO416" s="174"/>
      <c r="BP416" s="174"/>
      <c r="BQ416" s="174"/>
      <c r="BR416" s="174"/>
      <c r="BS416" s="174"/>
      <c r="BT416" s="174"/>
      <c r="BU416" s="174"/>
      <c r="BV416" s="174"/>
      <c r="BW416" s="174"/>
      <c r="BX416" s="174"/>
    </row>
    <row r="417" spans="1:76" s="152" customFormat="1" ht="15" customHeight="1" x14ac:dyDescent="0.25">
      <c r="A417" s="152">
        <f t="shared" si="12"/>
        <v>2004</v>
      </c>
      <c r="B417" s="152" t="str">
        <f t="shared" si="13"/>
        <v>2004-05</v>
      </c>
      <c r="C417" s="173">
        <v>38292</v>
      </c>
      <c r="D417" s="154">
        <v>0.76888181818181811</v>
      </c>
      <c r="E417" s="155">
        <v>230.64112700565025</v>
      </c>
      <c r="F417" s="155">
        <v>299.96954219967046</v>
      </c>
      <c r="G417" s="155"/>
      <c r="H417" s="155"/>
      <c r="I417" s="156">
        <v>439.38600000000002</v>
      </c>
      <c r="J417" s="156">
        <v>570.01</v>
      </c>
      <c r="K417" s="157"/>
      <c r="L417" s="158"/>
      <c r="M417" s="159">
        <v>14053.41</v>
      </c>
      <c r="N417" s="159">
        <v>18277.724440450715</v>
      </c>
      <c r="O417" s="175">
        <v>3122.8</v>
      </c>
      <c r="P417" s="175">
        <v>4061.4824361232963</v>
      </c>
      <c r="Q417" s="175">
        <v>967.8</v>
      </c>
      <c r="R417" s="175">
        <v>1258.7109970795843</v>
      </c>
      <c r="S417" s="175">
        <v>1095.6400000000001</v>
      </c>
      <c r="T417" s="175">
        <v>1424.9784220296301</v>
      </c>
      <c r="U417" s="161">
        <v>640.15529880404779</v>
      </c>
      <c r="V417" s="161">
        <v>832.57957681692733</v>
      </c>
      <c r="W417" s="161">
        <v>1800.367850670978</v>
      </c>
      <c r="X417" s="161">
        <v>2341.5404137508731</v>
      </c>
      <c r="Y417" s="162"/>
      <c r="Z417" s="162"/>
      <c r="AA417" s="162"/>
      <c r="AB417" s="162"/>
      <c r="AC417" s="163">
        <v>7.4930000000000003</v>
      </c>
      <c r="AD417" s="163">
        <v>9.7200000000000006</v>
      </c>
      <c r="AE417" s="163">
        <v>38029.699999999997</v>
      </c>
      <c r="AF417" s="163">
        <v>49461.047329652269</v>
      </c>
      <c r="AG417" s="163">
        <v>854.40899999999999</v>
      </c>
      <c r="AH417" s="163">
        <v>1111.2357969660784</v>
      </c>
      <c r="AI417" s="163">
        <v>213.70500000000001</v>
      </c>
      <c r="AJ417" s="163">
        <v>277.94258486349719</v>
      </c>
      <c r="AK417" s="164">
        <v>48.45</v>
      </c>
      <c r="AL417" s="164">
        <v>63.013585253674179</v>
      </c>
      <c r="AM417" s="164">
        <v>47.02</v>
      </c>
      <c r="AN417" s="164">
        <v>61.153741560944475</v>
      </c>
      <c r="AO417" s="164"/>
      <c r="AP417" s="164"/>
      <c r="AS417" s="167"/>
      <c r="AT417" s="1170"/>
      <c r="AU417" s="1171"/>
      <c r="AV417" s="1171"/>
      <c r="AW417" s="1172"/>
      <c r="AX417" s="1172"/>
      <c r="AY417" s="1172"/>
      <c r="AZ417" s="1172"/>
      <c r="BA417" s="1267" t="s">
        <v>32</v>
      </c>
      <c r="BB417" s="1268">
        <v>2011</v>
      </c>
      <c r="BC417" s="1267" t="s">
        <v>320</v>
      </c>
      <c r="BD417" s="1267">
        <v>7</v>
      </c>
      <c r="BE417" s="1269">
        <v>324588000</v>
      </c>
      <c r="BF417" s="1239">
        <v>2.1773831957761228E-2</v>
      </c>
      <c r="BG417" s="1236"/>
      <c r="BH417" s="1236" t="s">
        <v>54</v>
      </c>
      <c r="BI417" s="1236" t="s">
        <v>316</v>
      </c>
      <c r="BJ417" s="1236" t="s">
        <v>312</v>
      </c>
      <c r="BK417" s="1236">
        <v>7</v>
      </c>
      <c r="BL417" s="1238">
        <v>40988402.799999997</v>
      </c>
      <c r="BM417" s="1239">
        <v>0.35633863385209591</v>
      </c>
      <c r="BN417" s="1236">
        <v>2005</v>
      </c>
      <c r="BO417" s="174"/>
      <c r="BP417" s="174"/>
      <c r="BQ417" s="174"/>
      <c r="BR417" s="174"/>
      <c r="BS417" s="174"/>
      <c r="BT417" s="174"/>
      <c r="BU417" s="174"/>
      <c r="BV417" s="174"/>
      <c r="BW417" s="174"/>
      <c r="BX417" s="174"/>
    </row>
    <row r="418" spans="1:76" s="152" customFormat="1" ht="15" customHeight="1" x14ac:dyDescent="0.25">
      <c r="A418" s="152">
        <f t="shared" si="12"/>
        <v>2004</v>
      </c>
      <c r="B418" s="152" t="str">
        <f t="shared" si="13"/>
        <v>2004-05</v>
      </c>
      <c r="C418" s="173">
        <v>38322</v>
      </c>
      <c r="D418" s="169">
        <v>0.7677571428571428</v>
      </c>
      <c r="E418" s="170">
        <v>239.5239119677662</v>
      </c>
      <c r="F418" s="170">
        <v>311.97874770190788</v>
      </c>
      <c r="G418" s="170"/>
      <c r="H418" s="170"/>
      <c r="I418" s="169">
        <v>441.755</v>
      </c>
      <c r="J418" s="169">
        <v>578.58000000000004</v>
      </c>
      <c r="K418" s="169"/>
      <c r="L418" s="170"/>
      <c r="M418" s="170">
        <v>13775.71</v>
      </c>
      <c r="N418" s="170">
        <v>17942.796271142288</v>
      </c>
      <c r="O418" s="170">
        <v>3145.45</v>
      </c>
      <c r="P418" s="170">
        <v>4096.933554137283</v>
      </c>
      <c r="Q418" s="170">
        <v>974.9</v>
      </c>
      <c r="R418" s="170">
        <v>1269.8025789405133</v>
      </c>
      <c r="S418" s="170">
        <v>1180.21</v>
      </c>
      <c r="T418" s="170">
        <v>1537.2178702342633</v>
      </c>
      <c r="U418" s="170">
        <v>643.76961621415558</v>
      </c>
      <c r="V418" s="170">
        <v>838.50684061163111</v>
      </c>
      <c r="W418" s="170">
        <v>1817.2045560373153</v>
      </c>
      <c r="X418" s="170">
        <v>2366.9002274270524</v>
      </c>
      <c r="Y418" s="170"/>
      <c r="Z418" s="170"/>
      <c r="AA418" s="170"/>
      <c r="AB418" s="170"/>
      <c r="AC418" s="170">
        <v>7.1040000000000001</v>
      </c>
      <c r="AD418" s="170">
        <v>9.36</v>
      </c>
      <c r="AE418" s="170">
        <v>42769.599999999999</v>
      </c>
      <c r="AF418" s="170">
        <v>55707.199077089113</v>
      </c>
      <c r="AG418" s="170">
        <v>848.55</v>
      </c>
      <c r="AH418" s="170">
        <v>1105.232309324005</v>
      </c>
      <c r="AI418" s="170">
        <v>191.625</v>
      </c>
      <c r="AJ418" s="170">
        <v>249.59064436298684</v>
      </c>
      <c r="AK418" s="170">
        <v>43.23</v>
      </c>
      <c r="AL418" s="170">
        <v>56.30686787116462</v>
      </c>
      <c r="AM418" s="170">
        <v>39.04</v>
      </c>
      <c r="AN418" s="170">
        <v>50.849412946802374</v>
      </c>
      <c r="AO418" s="170"/>
      <c r="AP418" s="170"/>
      <c r="AS418" s="167"/>
      <c r="AT418" s="1170"/>
      <c r="AU418" s="1171"/>
      <c r="AV418" s="1171"/>
      <c r="AW418" s="1172"/>
      <c r="AX418" s="1172"/>
      <c r="AY418" s="1172"/>
      <c r="AZ418" s="1172"/>
      <c r="BA418" s="1267" t="s">
        <v>32</v>
      </c>
      <c r="BB418" s="1268">
        <v>2011</v>
      </c>
      <c r="BC418" s="1267" t="s">
        <v>286</v>
      </c>
      <c r="BD418" s="1267">
        <v>8</v>
      </c>
      <c r="BE418" s="1269">
        <v>322483000</v>
      </c>
      <c r="BF418" s="1239">
        <v>2.163262551676191E-2</v>
      </c>
      <c r="BG418" s="1236"/>
      <c r="BH418" s="1236" t="s">
        <v>54</v>
      </c>
      <c r="BI418" s="1236" t="s">
        <v>316</v>
      </c>
      <c r="BJ418" s="1236" t="s">
        <v>290</v>
      </c>
      <c r="BK418" s="1236">
        <v>8</v>
      </c>
      <c r="BL418" s="1238">
        <v>35200458.400000006</v>
      </c>
      <c r="BM418" s="1239">
        <v>0.30602029843484257</v>
      </c>
      <c r="BN418" s="1236">
        <v>2005</v>
      </c>
      <c r="BO418" s="174"/>
      <c r="BP418" s="174"/>
      <c r="BQ418" s="174"/>
      <c r="BR418" s="174"/>
      <c r="BS418" s="174"/>
      <c r="BT418" s="174"/>
      <c r="BU418" s="174"/>
      <c r="BV418" s="174"/>
      <c r="BW418" s="174"/>
      <c r="BX418" s="174"/>
    </row>
    <row r="419" spans="1:76" s="152" customFormat="1" ht="15" customHeight="1" x14ac:dyDescent="0.25">
      <c r="A419" s="152">
        <f t="shared" si="12"/>
        <v>2005</v>
      </c>
      <c r="B419" s="152" t="str">
        <f t="shared" si="13"/>
        <v>2004-05</v>
      </c>
      <c r="C419" s="173">
        <v>38353</v>
      </c>
      <c r="D419" s="154">
        <v>0.76474210526315789</v>
      </c>
      <c r="E419" s="155">
        <v>231.38792919145195</v>
      </c>
      <c r="F419" s="155">
        <v>302.56988283890593</v>
      </c>
      <c r="G419" s="155"/>
      <c r="H419" s="155"/>
      <c r="I419" s="156">
        <v>424.61700000000002</v>
      </c>
      <c r="J419" s="156">
        <v>554.91999999999996</v>
      </c>
      <c r="K419" s="157"/>
      <c r="L419" s="158"/>
      <c r="M419" s="159">
        <v>14505</v>
      </c>
      <c r="N419" s="159">
        <v>18967.178477780606</v>
      </c>
      <c r="O419" s="175">
        <v>3170</v>
      </c>
      <c r="P419" s="175">
        <v>4145.1882643615663</v>
      </c>
      <c r="Q419" s="175">
        <v>953.15</v>
      </c>
      <c r="R419" s="175">
        <v>1246.367884598179</v>
      </c>
      <c r="S419" s="175">
        <v>1246.3800000000001</v>
      </c>
      <c r="T419" s="175">
        <v>1629.8043372034606</v>
      </c>
      <c r="U419" s="161">
        <v>693.47233467203966</v>
      </c>
      <c r="V419" s="161">
        <v>906.8054837040869</v>
      </c>
      <c r="W419" s="161">
        <v>1804.9715022036978</v>
      </c>
      <c r="X419" s="161">
        <v>2360.2355484043646</v>
      </c>
      <c r="Y419" s="162"/>
      <c r="Z419" s="162"/>
      <c r="AA419" s="162"/>
      <c r="AB419" s="162"/>
      <c r="AC419" s="163">
        <v>6.6210000000000004</v>
      </c>
      <c r="AD419" s="163">
        <v>8.69</v>
      </c>
      <c r="AE419" s="163">
        <v>44643.6</v>
      </c>
      <c r="AF419" s="163">
        <v>58377.327065883925</v>
      </c>
      <c r="AG419" s="163">
        <v>858.81</v>
      </c>
      <c r="AH419" s="163">
        <v>1123.0060357464847</v>
      </c>
      <c r="AI419" s="163">
        <v>185.929</v>
      </c>
      <c r="AJ419" s="163">
        <v>243.126406562928</v>
      </c>
      <c r="AK419" s="164">
        <v>44.28</v>
      </c>
      <c r="AL419" s="164">
        <v>57.901872664331286</v>
      </c>
      <c r="AM419" s="164">
        <v>46.39</v>
      </c>
      <c r="AN419" s="164">
        <v>60.660972739347976</v>
      </c>
      <c r="AO419" s="164"/>
      <c r="AP419" s="164"/>
      <c r="AS419" s="167"/>
      <c r="AT419" s="1170"/>
      <c r="AU419" s="1171"/>
      <c r="AV419" s="1171"/>
      <c r="AW419" s="1172"/>
      <c r="AX419" s="1172"/>
      <c r="AY419" s="1172"/>
      <c r="AZ419" s="1172"/>
      <c r="BA419" s="1267" t="s">
        <v>32</v>
      </c>
      <c r="BB419" s="1268">
        <v>2011</v>
      </c>
      <c r="BC419" s="1267" t="s">
        <v>335</v>
      </c>
      <c r="BD419" s="1267">
        <v>9</v>
      </c>
      <c r="BE419" s="1269">
        <v>93559000</v>
      </c>
      <c r="BF419" s="1239">
        <v>6.2760728805013825E-3</v>
      </c>
      <c r="BG419" s="1236"/>
      <c r="BH419" s="1236" t="s">
        <v>54</v>
      </c>
      <c r="BI419" s="1236" t="s">
        <v>316</v>
      </c>
      <c r="BJ419" s="1236" t="s">
        <v>308</v>
      </c>
      <c r="BK419" s="1236">
        <v>9</v>
      </c>
      <c r="BL419" s="1238">
        <v>33520985.699999999</v>
      </c>
      <c r="BM419" s="1239">
        <v>0.29141955855166046</v>
      </c>
      <c r="BN419" s="1236">
        <v>2005</v>
      </c>
      <c r="BO419" s="174"/>
      <c r="BP419" s="174"/>
      <c r="BQ419" s="174"/>
      <c r="BR419" s="174"/>
      <c r="BS419" s="174"/>
      <c r="BT419" s="174"/>
      <c r="BU419" s="174"/>
      <c r="BV419" s="174"/>
      <c r="BW419" s="174"/>
      <c r="BX419" s="174"/>
    </row>
    <row r="420" spans="1:76" s="152" customFormat="1" ht="15" customHeight="1" x14ac:dyDescent="0.25">
      <c r="A420" s="152">
        <f t="shared" si="12"/>
        <v>2005</v>
      </c>
      <c r="B420" s="152" t="str">
        <f t="shared" si="13"/>
        <v>2004-05</v>
      </c>
      <c r="C420" s="173">
        <v>38384</v>
      </c>
      <c r="D420" s="169">
        <v>0.7807449999999998</v>
      </c>
      <c r="E420" s="170">
        <v>230.63377027558309</v>
      </c>
      <c r="F420" s="170">
        <v>295.40217391796699</v>
      </c>
      <c r="G420" s="170"/>
      <c r="H420" s="170"/>
      <c r="I420" s="169">
        <v>423.35</v>
      </c>
      <c r="J420" s="169">
        <v>544.32000000000005</v>
      </c>
      <c r="K420" s="169"/>
      <c r="L420" s="170"/>
      <c r="M420" s="170">
        <v>15349.5</v>
      </c>
      <c r="N420" s="170">
        <v>19660.068268128522</v>
      </c>
      <c r="O420" s="170">
        <v>3253.7</v>
      </c>
      <c r="P420" s="170">
        <v>4167.429826639941</v>
      </c>
      <c r="Q420" s="170">
        <v>977.55</v>
      </c>
      <c r="R420" s="170">
        <v>1252.07334020711</v>
      </c>
      <c r="S420" s="170">
        <v>1326.18</v>
      </c>
      <c r="T420" s="170">
        <v>1698.6083804571281</v>
      </c>
      <c r="U420" s="170">
        <v>752.47343355424459</v>
      </c>
      <c r="V420" s="170">
        <v>963.78898815137438</v>
      </c>
      <c r="W420" s="170">
        <v>1838.7425869833039</v>
      </c>
      <c r="X420" s="170">
        <v>2355.1128562889348</v>
      </c>
      <c r="Y420" s="170"/>
      <c r="Z420" s="170"/>
      <c r="AA420" s="170"/>
      <c r="AB420" s="170"/>
      <c r="AC420" s="170">
        <v>7.03</v>
      </c>
      <c r="AD420" s="170">
        <v>9.1199999999999992</v>
      </c>
      <c r="AE420" s="170">
        <v>42645.599999999999</v>
      </c>
      <c r="AF420" s="170">
        <v>54621.675451011542</v>
      </c>
      <c r="AG420" s="170">
        <v>864.3</v>
      </c>
      <c r="AH420" s="170">
        <v>1107.019577454867</v>
      </c>
      <c r="AI420" s="170">
        <v>181.96299999999999</v>
      </c>
      <c r="AJ420" s="170">
        <v>233.06329211202126</v>
      </c>
      <c r="AK420" s="170">
        <v>45.56</v>
      </c>
      <c r="AL420" s="170">
        <v>58.354520361961988</v>
      </c>
      <c r="AM420" s="170">
        <v>50.14</v>
      </c>
      <c r="AN420" s="170">
        <v>64.220712268410324</v>
      </c>
      <c r="AO420" s="170"/>
      <c r="AP420" s="170"/>
      <c r="AS420" s="167"/>
      <c r="AT420" s="1170"/>
      <c r="AU420" s="1171"/>
      <c r="AV420" s="1171"/>
      <c r="AW420" s="1172"/>
      <c r="AX420" s="1172"/>
      <c r="AY420" s="1172"/>
      <c r="AZ420" s="1172"/>
      <c r="BA420" s="1267" t="s">
        <v>32</v>
      </c>
      <c r="BB420" s="1268">
        <v>2011</v>
      </c>
      <c r="BC420" s="1267" t="s">
        <v>329</v>
      </c>
      <c r="BD420" s="1267">
        <v>10</v>
      </c>
      <c r="BE420" s="1269">
        <v>64040000</v>
      </c>
      <c r="BF420" s="1239">
        <v>4.2958957157227902E-3</v>
      </c>
      <c r="BG420" s="1236"/>
      <c r="BH420" s="1236" t="s">
        <v>54</v>
      </c>
      <c r="BI420" s="1236" t="s">
        <v>316</v>
      </c>
      <c r="BJ420" s="1236" t="s">
        <v>324</v>
      </c>
      <c r="BK420" s="1236">
        <v>10</v>
      </c>
      <c r="BL420" s="1238">
        <v>11990848.9</v>
      </c>
      <c r="BM420" s="1239">
        <v>0.10424418674232673</v>
      </c>
      <c r="BN420" s="1236">
        <v>2005</v>
      </c>
      <c r="BO420" s="174"/>
      <c r="BP420" s="174"/>
      <c r="BQ420" s="174"/>
      <c r="BR420" s="174"/>
      <c r="BS420" s="174"/>
      <c r="BT420" s="174"/>
      <c r="BU420" s="174"/>
      <c r="BV420" s="174"/>
      <c r="BW420" s="174"/>
      <c r="BX420" s="174"/>
    </row>
    <row r="421" spans="1:76" s="152" customFormat="1" ht="15" customHeight="1" x14ac:dyDescent="0.25">
      <c r="A421" s="152">
        <f t="shared" si="12"/>
        <v>2005</v>
      </c>
      <c r="B421" s="152" t="str">
        <f t="shared" si="13"/>
        <v>2004-05</v>
      </c>
      <c r="C421" s="173">
        <v>38412</v>
      </c>
      <c r="D421" s="154">
        <v>0.78586190476190487</v>
      </c>
      <c r="E421" s="155">
        <v>238.95682745403826</v>
      </c>
      <c r="F421" s="155">
        <v>304.06974305038466</v>
      </c>
      <c r="G421" s="155"/>
      <c r="H421" s="155"/>
      <c r="I421" s="156">
        <v>433.90499999999997</v>
      </c>
      <c r="J421" s="156">
        <v>554.48</v>
      </c>
      <c r="K421" s="157"/>
      <c r="L421" s="158"/>
      <c r="M421" s="159">
        <v>16190</v>
      </c>
      <c r="N421" s="159">
        <v>20601.583944834605</v>
      </c>
      <c r="O421" s="175">
        <v>3379.6</v>
      </c>
      <c r="P421" s="175">
        <v>4300.501117971774</v>
      </c>
      <c r="Q421" s="175">
        <v>1005.83</v>
      </c>
      <c r="R421" s="175">
        <v>1279.9068053880785</v>
      </c>
      <c r="S421" s="175">
        <v>1377.69</v>
      </c>
      <c r="T421" s="175">
        <v>1753.094267137689</v>
      </c>
      <c r="U421" s="161">
        <v>748.93058337444563</v>
      </c>
      <c r="V421" s="161">
        <v>953.00532935408228</v>
      </c>
      <c r="W421" s="161">
        <v>1863.2818853425467</v>
      </c>
      <c r="X421" s="161">
        <v>2371.0042108569587</v>
      </c>
      <c r="Y421" s="162"/>
      <c r="Z421" s="162"/>
      <c r="AA421" s="162"/>
      <c r="AB421" s="162"/>
      <c r="AC421" s="163">
        <v>7.242</v>
      </c>
      <c r="AD421" s="163">
        <v>9.3000000000000007</v>
      </c>
      <c r="AE421" s="163">
        <v>36651.800000000003</v>
      </c>
      <c r="AF421" s="163">
        <v>46638.982978955464</v>
      </c>
      <c r="AG421" s="163">
        <v>867.22699999999998</v>
      </c>
      <c r="AH421" s="163">
        <v>1103.5361235161877</v>
      </c>
      <c r="AI421" s="163">
        <v>197.68600000000001</v>
      </c>
      <c r="AJ421" s="163">
        <v>251.55310214444557</v>
      </c>
      <c r="AK421" s="164">
        <v>53.09</v>
      </c>
      <c r="AL421" s="164">
        <v>67.556398494828244</v>
      </c>
      <c r="AM421" s="164">
        <v>57.06</v>
      </c>
      <c r="AN421" s="164">
        <v>72.608176645599912</v>
      </c>
      <c r="AO421" s="164"/>
      <c r="AP421" s="164"/>
      <c r="AS421" s="167"/>
      <c r="AT421" s="1170"/>
      <c r="AU421" s="1171"/>
      <c r="AV421" s="1171"/>
      <c r="AW421" s="1172"/>
      <c r="AX421" s="1172"/>
      <c r="AY421" s="1172"/>
      <c r="AZ421" s="1172"/>
      <c r="BA421" s="1267" t="s">
        <v>32</v>
      </c>
      <c r="BB421" s="1268">
        <v>2011</v>
      </c>
      <c r="BC421" s="1267" t="s">
        <v>291</v>
      </c>
      <c r="BD421" s="1267"/>
      <c r="BE421" s="1269">
        <v>98138000</v>
      </c>
      <c r="BF421" s="1239">
        <v>6.5832388155778144E-3</v>
      </c>
      <c r="BG421" s="1236"/>
      <c r="BH421" s="1236" t="s">
        <v>54</v>
      </c>
      <c r="BI421" s="1236" t="s">
        <v>316</v>
      </c>
      <c r="BJ421" s="1236" t="s">
        <v>305</v>
      </c>
      <c r="BK421" s="1236">
        <v>11</v>
      </c>
      <c r="BL421" s="1238">
        <v>11968924.800000001</v>
      </c>
      <c r="BM421" s="1239">
        <v>0.10405358639420981</v>
      </c>
      <c r="BN421" s="1236">
        <v>2005</v>
      </c>
      <c r="BO421" s="174"/>
      <c r="BP421" s="174"/>
      <c r="BQ421" s="174"/>
      <c r="BR421" s="174"/>
      <c r="BS421" s="174"/>
      <c r="BT421" s="174"/>
      <c r="BU421" s="174"/>
      <c r="BV421" s="174"/>
      <c r="BW421" s="174"/>
      <c r="BX421" s="174"/>
    </row>
    <row r="422" spans="1:76" s="152" customFormat="1" ht="15" customHeight="1" x14ac:dyDescent="0.25">
      <c r="A422" s="152">
        <f t="shared" si="12"/>
        <v>2005</v>
      </c>
      <c r="B422" s="152" t="str">
        <f t="shared" si="13"/>
        <v>2004-05</v>
      </c>
      <c r="C422" s="173">
        <v>38443</v>
      </c>
      <c r="D422" s="169">
        <v>0.77243000000000006</v>
      </c>
      <c r="E422" s="170">
        <v>251.74431279548389</v>
      </c>
      <c r="F422" s="170">
        <v>325.91213805197089</v>
      </c>
      <c r="G422" s="170"/>
      <c r="H422" s="170"/>
      <c r="I422" s="169">
        <v>429.233</v>
      </c>
      <c r="J422" s="169">
        <v>556.16999999999996</v>
      </c>
      <c r="K422" s="169"/>
      <c r="L422" s="170"/>
      <c r="M422" s="170">
        <v>16141.9</v>
      </c>
      <c r="N422" s="170">
        <v>20897.557060186682</v>
      </c>
      <c r="O422" s="170">
        <v>3394.48</v>
      </c>
      <c r="P422" s="170">
        <v>4394.5470786996875</v>
      </c>
      <c r="Q422" s="170">
        <v>985.76</v>
      </c>
      <c r="R422" s="170">
        <v>1276.1803658583949</v>
      </c>
      <c r="S422" s="170">
        <v>1300.1400000000001</v>
      </c>
      <c r="T422" s="170">
        <v>1683.1816475279313</v>
      </c>
      <c r="U422" s="170">
        <v>757.11862378587011</v>
      </c>
      <c r="V422" s="170">
        <v>980.17765206668571</v>
      </c>
      <c r="W422" s="170">
        <v>1832.8375145708546</v>
      </c>
      <c r="X422" s="170">
        <v>2372.82020969001</v>
      </c>
      <c r="Y422" s="170"/>
      <c r="Z422" s="170"/>
      <c r="AA422" s="170"/>
      <c r="AB422" s="170"/>
      <c r="AC422" s="170">
        <v>7.1230000000000002</v>
      </c>
      <c r="AD422" s="170">
        <v>9.26</v>
      </c>
      <c r="AE422" s="170">
        <v>40113.1</v>
      </c>
      <c r="AF422" s="170">
        <v>51931.048768173161</v>
      </c>
      <c r="AG422" s="170">
        <v>864.83299999999997</v>
      </c>
      <c r="AH422" s="170">
        <v>1119.6263739109045</v>
      </c>
      <c r="AI422" s="170">
        <v>198.81</v>
      </c>
      <c r="AJ422" s="170">
        <v>257.38254599122251</v>
      </c>
      <c r="AK422" s="170">
        <v>51.86</v>
      </c>
      <c r="AL422" s="170">
        <v>67.138769856168196</v>
      </c>
      <c r="AM422" s="170">
        <v>57.49</v>
      </c>
      <c r="AN422" s="170">
        <v>74.427456209624168</v>
      </c>
      <c r="AO422" s="170"/>
      <c r="AP422" s="170"/>
      <c r="AS422" s="167"/>
      <c r="AT422" s="1170"/>
      <c r="AU422" s="1171"/>
      <c r="AV422" s="1171"/>
      <c r="AW422" s="1172"/>
      <c r="AX422" s="1172"/>
      <c r="AY422" s="1172"/>
      <c r="AZ422" s="1172"/>
      <c r="BA422" s="1267" t="s">
        <v>32</v>
      </c>
      <c r="BB422" s="1268">
        <v>2011</v>
      </c>
      <c r="BC422" s="1267" t="s">
        <v>292</v>
      </c>
      <c r="BD422" s="1267"/>
      <c r="BE422" s="1269">
        <v>14907252000</v>
      </c>
      <c r="BF422" s="1239">
        <v>1</v>
      </c>
      <c r="BG422" s="1236"/>
      <c r="BH422" s="1236" t="s">
        <v>54</v>
      </c>
      <c r="BI422" s="1236" t="s">
        <v>316</v>
      </c>
      <c r="BJ422" s="1236" t="s">
        <v>319</v>
      </c>
      <c r="BK422" s="1236">
        <v>12</v>
      </c>
      <c r="BL422" s="1238">
        <v>11489762.9</v>
      </c>
      <c r="BM422" s="1239">
        <v>9.9887922811925142E-2</v>
      </c>
      <c r="BN422" s="1236">
        <v>2005</v>
      </c>
      <c r="BO422" s="174"/>
      <c r="BP422" s="174"/>
      <c r="BQ422" s="174"/>
      <c r="BR422" s="174"/>
      <c r="BS422" s="174"/>
      <c r="BT422" s="174"/>
      <c r="BU422" s="174"/>
      <c r="BV422" s="174"/>
      <c r="BW422" s="174"/>
      <c r="BX422" s="174"/>
    </row>
    <row r="423" spans="1:76" s="152" customFormat="1" ht="15" customHeight="1" x14ac:dyDescent="0.25">
      <c r="A423" s="152">
        <f t="shared" si="12"/>
        <v>2005</v>
      </c>
      <c r="B423" s="152" t="str">
        <f t="shared" si="13"/>
        <v>2004-05</v>
      </c>
      <c r="C423" s="173">
        <v>38473</v>
      </c>
      <c r="D423" s="154">
        <v>0.76618636363636383</v>
      </c>
      <c r="E423" s="155">
        <v>249.62585622013174</v>
      </c>
      <c r="F423" s="155">
        <v>325.80305271343292</v>
      </c>
      <c r="G423" s="155"/>
      <c r="H423" s="155"/>
      <c r="I423" s="156">
        <v>421.87299999999999</v>
      </c>
      <c r="J423" s="156">
        <v>553.02</v>
      </c>
      <c r="K423" s="157"/>
      <c r="L423" s="158"/>
      <c r="M423" s="159">
        <v>16931.5</v>
      </c>
      <c r="N423" s="159">
        <v>22098.409477874473</v>
      </c>
      <c r="O423" s="175">
        <v>3249.1</v>
      </c>
      <c r="P423" s="175">
        <v>4240.6131904770364</v>
      </c>
      <c r="Q423" s="175">
        <v>988.08</v>
      </c>
      <c r="R423" s="175">
        <v>1289.6079164219479</v>
      </c>
      <c r="S423" s="175">
        <v>1243.6300000000001</v>
      </c>
      <c r="T423" s="175">
        <v>1623.1429571490437</v>
      </c>
      <c r="U423" s="161">
        <v>769.76951613041331</v>
      </c>
      <c r="V423" s="161">
        <v>1004.6766069772419</v>
      </c>
      <c r="W423" s="161">
        <v>1844.3017927784003</v>
      </c>
      <c r="X423" s="161">
        <v>2407.1190513300703</v>
      </c>
      <c r="Y423" s="162"/>
      <c r="Z423" s="162"/>
      <c r="AA423" s="162"/>
      <c r="AB423" s="162"/>
      <c r="AC423" s="163">
        <v>7.0170000000000003</v>
      </c>
      <c r="AD423" s="163">
        <v>9.23</v>
      </c>
      <c r="AE423" s="163">
        <v>37065.199999999997</v>
      </c>
      <c r="AF423" s="163">
        <v>48376.219884789469</v>
      </c>
      <c r="AG423" s="163">
        <v>866.35</v>
      </c>
      <c r="AH423" s="163">
        <v>1130.730121439716</v>
      </c>
      <c r="AI423" s="163">
        <v>189.6</v>
      </c>
      <c r="AJ423" s="163">
        <v>247.4593767241532</v>
      </c>
      <c r="AK423" s="164">
        <v>48.66</v>
      </c>
      <c r="AL423" s="164">
        <v>63.509352697243116</v>
      </c>
      <c r="AM423" s="164">
        <v>50.78</v>
      </c>
      <c r="AN423" s="164">
        <v>66.276303534032181</v>
      </c>
      <c r="AO423" s="164"/>
      <c r="AP423" s="164"/>
      <c r="AS423" s="167"/>
      <c r="AT423" s="1170"/>
      <c r="AU423" s="1171"/>
      <c r="AV423" s="1171"/>
      <c r="AW423" s="1172"/>
      <c r="AX423" s="1172"/>
      <c r="AY423" s="1172"/>
      <c r="AZ423" s="1172"/>
      <c r="BA423" s="1270" t="s">
        <v>32</v>
      </c>
      <c r="BB423" s="1271">
        <v>2012</v>
      </c>
      <c r="BC423" s="1270" t="s">
        <v>281</v>
      </c>
      <c r="BD423" s="1270">
        <v>1</v>
      </c>
      <c r="BE423" s="1272">
        <v>5538903000</v>
      </c>
      <c r="BF423" s="1239">
        <v>0.36515645009501552</v>
      </c>
      <c r="BG423" s="1236"/>
      <c r="BH423" s="1236" t="s">
        <v>54</v>
      </c>
      <c r="BI423" s="1236" t="s">
        <v>316</v>
      </c>
      <c r="BJ423" s="1236" t="s">
        <v>320</v>
      </c>
      <c r="BK423" s="1236">
        <v>13</v>
      </c>
      <c r="BL423" s="1238">
        <v>10578677.1</v>
      </c>
      <c r="BM423" s="1239">
        <v>9.1967266062303168E-2</v>
      </c>
      <c r="BN423" s="1236">
        <v>2005</v>
      </c>
      <c r="BO423" s="174"/>
      <c r="BP423" s="174"/>
      <c r="BQ423" s="174"/>
      <c r="BR423" s="174"/>
      <c r="BS423" s="174"/>
      <c r="BT423" s="174"/>
      <c r="BU423" s="174"/>
      <c r="BV423" s="174"/>
      <c r="BW423" s="174"/>
      <c r="BX423" s="174"/>
    </row>
    <row r="424" spans="1:76" s="152" customFormat="1" ht="15" customHeight="1" x14ac:dyDescent="0.25">
      <c r="A424" s="152">
        <f t="shared" si="12"/>
        <v>2005</v>
      </c>
      <c r="B424" s="152" t="str">
        <f t="shared" si="13"/>
        <v>2004-05</v>
      </c>
      <c r="C424" s="173">
        <v>38504</v>
      </c>
      <c r="D424" s="169">
        <v>0.76671428571428579</v>
      </c>
      <c r="E424" s="170">
        <v>240.94474182695748</v>
      </c>
      <c r="F424" s="170">
        <v>314.25623118850422</v>
      </c>
      <c r="G424" s="170"/>
      <c r="H424" s="170"/>
      <c r="I424" s="169">
        <v>430.65699999999998</v>
      </c>
      <c r="J424" s="169">
        <v>562.36</v>
      </c>
      <c r="K424" s="169"/>
      <c r="L424" s="170"/>
      <c r="M424" s="170">
        <v>16159.55</v>
      </c>
      <c r="N424" s="170">
        <v>21076.364822060739</v>
      </c>
      <c r="O424" s="170">
        <v>3524.07</v>
      </c>
      <c r="P424" s="170">
        <v>4596.3275572945777</v>
      </c>
      <c r="Q424" s="170">
        <v>986.07</v>
      </c>
      <c r="R424" s="170">
        <v>1286.0983789826719</v>
      </c>
      <c r="S424" s="170">
        <v>1275.73</v>
      </c>
      <c r="T424" s="170">
        <v>1663.8923048257871</v>
      </c>
      <c r="U424" s="170">
        <v>748.87226719082867</v>
      </c>
      <c r="V424" s="170">
        <v>976.729247314291</v>
      </c>
      <c r="W424" s="170">
        <v>1875.5909195016914</v>
      </c>
      <c r="X424" s="170">
        <v>2446.2709961825672</v>
      </c>
      <c r="Y424" s="170"/>
      <c r="Z424" s="170"/>
      <c r="AA424" s="170"/>
      <c r="AB424" s="170"/>
      <c r="AC424" s="170">
        <v>7.31</v>
      </c>
      <c r="AD424" s="170">
        <v>9.5399999999999991</v>
      </c>
      <c r="AE424" s="170">
        <v>35246.425000000003</v>
      </c>
      <c r="AF424" s="170">
        <v>45970.742500465807</v>
      </c>
      <c r="AG424" s="170">
        <v>880.04499999999996</v>
      </c>
      <c r="AH424" s="170">
        <v>1147.8134898453511</v>
      </c>
      <c r="AI424" s="170">
        <v>186.54499999999999</v>
      </c>
      <c r="AJ424" s="170">
        <v>243.3044531395565</v>
      </c>
      <c r="AK424" s="170">
        <v>54.31</v>
      </c>
      <c r="AL424" s="170">
        <v>70.834730762064467</v>
      </c>
      <c r="AM424" s="170">
        <v>55.7</v>
      </c>
      <c r="AN424" s="170">
        <v>72.647661635923228</v>
      </c>
      <c r="AO424" s="170"/>
      <c r="AP424" s="170"/>
      <c r="AS424" s="167"/>
      <c r="AT424" s="1170"/>
      <c r="AU424" s="1171"/>
      <c r="AV424" s="1171"/>
      <c r="AW424" s="1172"/>
      <c r="AX424" s="1172"/>
      <c r="AY424" s="1172"/>
      <c r="AZ424" s="1172"/>
      <c r="BA424" s="1270" t="s">
        <v>32</v>
      </c>
      <c r="BB424" s="1271">
        <v>2012</v>
      </c>
      <c r="BC424" s="1270" t="s">
        <v>314</v>
      </c>
      <c r="BD424" s="1270">
        <v>2</v>
      </c>
      <c r="BE424" s="1272">
        <v>3711190000</v>
      </c>
      <c r="BF424" s="1239">
        <v>0.24466306162576248</v>
      </c>
      <c r="BG424" s="1236"/>
      <c r="BH424" s="1236" t="s">
        <v>54</v>
      </c>
      <c r="BI424" s="1236" t="s">
        <v>316</v>
      </c>
      <c r="BJ424" s="1236" t="s">
        <v>291</v>
      </c>
      <c r="BK424" s="1236"/>
      <c r="BL424" s="1238">
        <v>66811903</v>
      </c>
      <c r="BM424" s="1239">
        <v>0.58083898404742795</v>
      </c>
      <c r="BN424" s="1236">
        <v>2005</v>
      </c>
      <c r="BO424" s="174"/>
      <c r="BP424" s="174"/>
      <c r="BQ424" s="174"/>
      <c r="BR424" s="174"/>
      <c r="BS424" s="174"/>
      <c r="BT424" s="174"/>
      <c r="BU424" s="174"/>
      <c r="BV424" s="174"/>
      <c r="BW424" s="174"/>
      <c r="BX424" s="174"/>
    </row>
    <row r="425" spans="1:76" s="152" customFormat="1" ht="15" customHeight="1" x14ac:dyDescent="0.25">
      <c r="A425" s="152">
        <f t="shared" si="12"/>
        <v>2005</v>
      </c>
      <c r="B425" s="152" t="str">
        <f t="shared" si="13"/>
        <v>2005-06</v>
      </c>
      <c r="C425" s="173">
        <v>38534</v>
      </c>
      <c r="D425" s="154">
        <v>0.75244285714285719</v>
      </c>
      <c r="E425" s="155">
        <v>251.30245105519313</v>
      </c>
      <c r="F425" s="155">
        <v>333.98210730503536</v>
      </c>
      <c r="G425" s="155"/>
      <c r="H425" s="155"/>
      <c r="I425" s="156">
        <v>424.47899999999998</v>
      </c>
      <c r="J425" s="156">
        <v>565.51</v>
      </c>
      <c r="K425" s="157"/>
      <c r="L425" s="158"/>
      <c r="M425" s="159">
        <v>14580.71</v>
      </c>
      <c r="N425" s="159">
        <v>19377.830305101477</v>
      </c>
      <c r="O425" s="175">
        <v>3614.21</v>
      </c>
      <c r="P425" s="175">
        <v>4803.3016270813159</v>
      </c>
      <c r="Q425" s="175">
        <v>854.48</v>
      </c>
      <c r="R425" s="175">
        <v>1135.607829735528</v>
      </c>
      <c r="S425" s="175">
        <v>1194.43</v>
      </c>
      <c r="T425" s="175">
        <v>1587.4029352015341</v>
      </c>
      <c r="U425" s="161">
        <v>778.39742015873787</v>
      </c>
      <c r="V425" s="161">
        <v>1034.4937330051005</v>
      </c>
      <c r="W425" s="161">
        <v>1852.8467872227106</v>
      </c>
      <c r="X425" s="161">
        <v>2462.4418580545221</v>
      </c>
      <c r="Y425" s="162"/>
      <c r="Z425" s="162"/>
      <c r="AA425" s="162"/>
      <c r="AB425" s="162"/>
      <c r="AC425" s="163">
        <v>7.0140000000000002</v>
      </c>
      <c r="AD425" s="163">
        <v>9.33</v>
      </c>
      <c r="AE425" s="163">
        <v>33212.620000000003</v>
      </c>
      <c r="AF425" s="163">
        <v>44139.723946763872</v>
      </c>
      <c r="AG425" s="163">
        <v>873.702</v>
      </c>
      <c r="AH425" s="163">
        <v>1161.1539556871903</v>
      </c>
      <c r="AI425" s="163">
        <v>184.5</v>
      </c>
      <c r="AJ425" s="163">
        <v>245.20134419319928</v>
      </c>
      <c r="AK425" s="164">
        <v>57.58</v>
      </c>
      <c r="AL425" s="164">
        <v>76.524083461487336</v>
      </c>
      <c r="AM425" s="164">
        <v>58.73</v>
      </c>
      <c r="AN425" s="164">
        <v>78.052438723396165</v>
      </c>
      <c r="AO425" s="164"/>
      <c r="AP425" s="164"/>
      <c r="AS425" s="167"/>
      <c r="AT425" s="1170"/>
      <c r="AU425" s="1171"/>
      <c r="AV425" s="1171"/>
      <c r="AW425" s="1172"/>
      <c r="AX425" s="1172"/>
      <c r="AY425" s="1172"/>
      <c r="AZ425" s="1172"/>
      <c r="BA425" s="1270" t="s">
        <v>32</v>
      </c>
      <c r="BB425" s="1271">
        <v>2012</v>
      </c>
      <c r="BC425" s="1270" t="s">
        <v>287</v>
      </c>
      <c r="BD425" s="1270">
        <v>3</v>
      </c>
      <c r="BE425" s="1272">
        <v>2975259000</v>
      </c>
      <c r="BF425" s="1239">
        <v>0.19614624313753928</v>
      </c>
      <c r="BG425" s="1236"/>
      <c r="BH425" s="1236" t="s">
        <v>54</v>
      </c>
      <c r="BI425" s="1236" t="s">
        <v>316</v>
      </c>
      <c r="BJ425" s="1236" t="s">
        <v>292</v>
      </c>
      <c r="BK425" s="1236"/>
      <c r="BL425" s="1238">
        <v>646349477.08999991</v>
      </c>
      <c r="BM425" s="1239"/>
      <c r="BN425" s="1236">
        <v>2005</v>
      </c>
      <c r="BO425" s="174"/>
      <c r="BP425" s="174"/>
      <c r="BQ425" s="174"/>
      <c r="BR425" s="174"/>
      <c r="BS425" s="174"/>
      <c r="BT425" s="174"/>
      <c r="BU425" s="174"/>
      <c r="BV425" s="174"/>
      <c r="BW425" s="174"/>
      <c r="BX425" s="174"/>
    </row>
    <row r="426" spans="1:76" s="152" customFormat="1" ht="15" customHeight="1" x14ac:dyDescent="0.25">
      <c r="A426" s="152">
        <f t="shared" si="12"/>
        <v>2005</v>
      </c>
      <c r="B426" s="152" t="str">
        <f t="shared" si="13"/>
        <v>2005-06</v>
      </c>
      <c r="C426" s="173">
        <v>38565</v>
      </c>
      <c r="D426" s="169">
        <v>0.7613045454545454</v>
      </c>
      <c r="E426" s="170">
        <v>240.82339771839685</v>
      </c>
      <c r="F426" s="170">
        <v>316.32990917532294</v>
      </c>
      <c r="G426" s="170"/>
      <c r="H426" s="170"/>
      <c r="I426" s="169">
        <v>437.87799999999999</v>
      </c>
      <c r="J426" s="169">
        <v>576.35</v>
      </c>
      <c r="K426" s="169"/>
      <c r="L426" s="170"/>
      <c r="M426" s="170">
        <v>14892.73</v>
      </c>
      <c r="N426" s="170">
        <v>19562.118851015304</v>
      </c>
      <c r="O426" s="170">
        <v>3797.75</v>
      </c>
      <c r="P426" s="170">
        <v>4988.4767175959933</v>
      </c>
      <c r="Q426" s="170">
        <v>887.02</v>
      </c>
      <c r="R426" s="170">
        <v>1165.1316221557495</v>
      </c>
      <c r="S426" s="170">
        <v>1298.3900000000001</v>
      </c>
      <c r="T426" s="170">
        <v>1705.4804253464451</v>
      </c>
      <c r="U426" s="170">
        <v>782.15072190434012</v>
      </c>
      <c r="V426" s="170">
        <v>1027.3821778344279</v>
      </c>
      <c r="W426" s="170">
        <v>1857.2833786782658</v>
      </c>
      <c r="X426" s="170">
        <v>2439.6063175602794</v>
      </c>
      <c r="Y426" s="170"/>
      <c r="Z426" s="170"/>
      <c r="AA426" s="170"/>
      <c r="AB426" s="170"/>
      <c r="AC426" s="170">
        <v>7.0330000000000004</v>
      </c>
      <c r="AD426" s="170">
        <v>9.27</v>
      </c>
      <c r="AE426" s="170">
        <v>38580.9</v>
      </c>
      <c r="AF426" s="170">
        <v>50677.354063300438</v>
      </c>
      <c r="AG426" s="170">
        <v>898</v>
      </c>
      <c r="AH426" s="170">
        <v>1179.554234059957</v>
      </c>
      <c r="AI426" s="170">
        <v>186.41300000000001</v>
      </c>
      <c r="AJ426" s="170">
        <v>244.8599592804218</v>
      </c>
      <c r="AK426" s="170">
        <v>64.09</v>
      </c>
      <c r="AL426" s="170">
        <v>84.184444165815862</v>
      </c>
      <c r="AM426" s="170">
        <v>67.67</v>
      </c>
      <c r="AN426" s="170">
        <v>88.886898684674037</v>
      </c>
      <c r="AO426" s="170"/>
      <c r="AP426" s="170"/>
      <c r="AS426" s="167"/>
      <c r="AT426" s="1170"/>
      <c r="AU426" s="1171"/>
      <c r="AV426" s="1171"/>
      <c r="AW426" s="1172"/>
      <c r="AX426" s="1172"/>
      <c r="AY426" s="1172"/>
      <c r="AZ426" s="1172"/>
      <c r="BA426" s="1270" t="s">
        <v>32</v>
      </c>
      <c r="BB426" s="1271">
        <v>2012</v>
      </c>
      <c r="BC426" s="1270" t="s">
        <v>306</v>
      </c>
      <c r="BD426" s="1270">
        <v>4</v>
      </c>
      <c r="BE426" s="1272">
        <v>1338426000</v>
      </c>
      <c r="BF426" s="1239">
        <v>8.823676581353225E-2</v>
      </c>
      <c r="BG426" s="1236"/>
      <c r="BH426" s="1236" t="s">
        <v>54</v>
      </c>
      <c r="BI426" s="1236" t="s">
        <v>317</v>
      </c>
      <c r="BJ426" s="1236" t="s">
        <v>298</v>
      </c>
      <c r="BK426" s="1236">
        <v>1</v>
      </c>
      <c r="BL426" s="1238">
        <v>115026547.52000001</v>
      </c>
      <c r="BM426" s="1239">
        <v>5.7783411207394574E-2</v>
      </c>
      <c r="BN426" s="1236">
        <v>2004</v>
      </c>
      <c r="BO426" s="174"/>
      <c r="BP426" s="174"/>
      <c r="BQ426" s="174"/>
      <c r="BR426" s="174"/>
      <c r="BS426" s="174"/>
      <c r="BT426" s="174"/>
      <c r="BU426" s="174"/>
      <c r="BV426" s="174"/>
      <c r="BW426" s="174"/>
      <c r="BX426" s="174"/>
    </row>
    <row r="427" spans="1:76" s="152" customFormat="1" ht="15" customHeight="1" x14ac:dyDescent="0.25">
      <c r="A427" s="152">
        <f t="shared" si="12"/>
        <v>2005</v>
      </c>
      <c r="B427" s="152" t="str">
        <f t="shared" si="13"/>
        <v>2005-06</v>
      </c>
      <c r="C427" s="173">
        <v>38596</v>
      </c>
      <c r="D427" s="154">
        <v>0.76528181818181829</v>
      </c>
      <c r="E427" s="155">
        <v>253.87031185720411</v>
      </c>
      <c r="F427" s="155">
        <v>331.73440924071286</v>
      </c>
      <c r="G427" s="155"/>
      <c r="H427" s="155"/>
      <c r="I427" s="156">
        <v>456.048</v>
      </c>
      <c r="J427" s="156">
        <v>594.91</v>
      </c>
      <c r="K427" s="157"/>
      <c r="L427" s="158"/>
      <c r="M427" s="159">
        <v>14228.18</v>
      </c>
      <c r="N427" s="159">
        <v>18592.078972689797</v>
      </c>
      <c r="O427" s="175">
        <v>3857.84</v>
      </c>
      <c r="P427" s="175">
        <v>5041.0710255283257</v>
      </c>
      <c r="Q427" s="175">
        <v>933.07</v>
      </c>
      <c r="R427" s="175">
        <v>1219.2501870968508</v>
      </c>
      <c r="S427" s="175">
        <v>1397.52</v>
      </c>
      <c r="T427" s="175">
        <v>1826.1507941221889</v>
      </c>
      <c r="U427" s="161">
        <v>796.62468258299759</v>
      </c>
      <c r="V427" s="161">
        <v>1040.9559768134106</v>
      </c>
      <c r="W427" s="161">
        <v>1846.5717857960421</v>
      </c>
      <c r="X427" s="161">
        <v>2412.9304289277225</v>
      </c>
      <c r="Y427" s="162"/>
      <c r="Z427" s="162"/>
      <c r="AA427" s="162"/>
      <c r="AB427" s="162"/>
      <c r="AC427" s="163">
        <v>7.1539999999999999</v>
      </c>
      <c r="AD427" s="163">
        <v>9.36</v>
      </c>
      <c r="AE427" s="163">
        <v>37754.18</v>
      </c>
      <c r="AF427" s="163">
        <v>49333.69525189769</v>
      </c>
      <c r="AG427" s="163">
        <v>914.63599999999997</v>
      </c>
      <c r="AH427" s="163">
        <v>1195.1623287915322</v>
      </c>
      <c r="AI427" s="163">
        <v>188.90899999999999</v>
      </c>
      <c r="AJ427" s="163">
        <v>246.84893265701282</v>
      </c>
      <c r="AK427" s="164">
        <v>62.98</v>
      </c>
      <c r="AL427" s="164">
        <v>82.296480203371289</v>
      </c>
      <c r="AM427" s="164">
        <v>68.09</v>
      </c>
      <c r="AN427" s="164">
        <v>88.973758924222793</v>
      </c>
      <c r="AO427" s="164"/>
      <c r="AP427" s="164"/>
      <c r="AS427" s="167"/>
      <c r="AT427" s="1170"/>
      <c r="AU427" s="1171"/>
      <c r="AV427" s="1171"/>
      <c r="AW427" s="1172"/>
      <c r="AX427" s="1172"/>
      <c r="AY427" s="1172"/>
      <c r="AZ427" s="1172"/>
      <c r="BA427" s="1270" t="s">
        <v>32</v>
      </c>
      <c r="BB427" s="1271">
        <v>2012</v>
      </c>
      <c r="BC427" s="1270" t="s">
        <v>323</v>
      </c>
      <c r="BD427" s="1270">
        <v>5</v>
      </c>
      <c r="BE427" s="1272">
        <v>840048000</v>
      </c>
      <c r="BF427" s="1239">
        <v>5.538081197475702E-2</v>
      </c>
      <c r="BG427" s="1236"/>
      <c r="BH427" s="1236" t="s">
        <v>54</v>
      </c>
      <c r="BI427" s="1236" t="s">
        <v>317</v>
      </c>
      <c r="BJ427" s="1236" t="s">
        <v>281</v>
      </c>
      <c r="BK427" s="1236">
        <v>2</v>
      </c>
      <c r="BL427" s="1238">
        <v>84621241.924999997</v>
      </c>
      <c r="BM427" s="1239">
        <v>4.2509352183960014E-2</v>
      </c>
      <c r="BN427" s="1236">
        <v>2004</v>
      </c>
      <c r="BO427" s="174"/>
      <c r="BP427" s="174"/>
      <c r="BQ427" s="174"/>
      <c r="BR427" s="174"/>
      <c r="BS427" s="174"/>
      <c r="BT427" s="174"/>
      <c r="BU427" s="174"/>
      <c r="BV427" s="174"/>
      <c r="BW427" s="174"/>
      <c r="BX427" s="174"/>
    </row>
    <row r="428" spans="1:76" s="152" customFormat="1" ht="15" customHeight="1" x14ac:dyDescent="0.25">
      <c r="A428" s="152">
        <f t="shared" si="12"/>
        <v>2005</v>
      </c>
      <c r="B428" s="152" t="str">
        <f t="shared" si="13"/>
        <v>2005-06</v>
      </c>
      <c r="C428" s="173">
        <v>38626</v>
      </c>
      <c r="D428" s="169">
        <v>0.75392499999999996</v>
      </c>
      <c r="E428" s="170">
        <v>245.44028374999999</v>
      </c>
      <c r="F428" s="170">
        <v>325.55</v>
      </c>
      <c r="G428" s="170"/>
      <c r="H428" s="170"/>
      <c r="I428" s="169">
        <v>469.89800000000002</v>
      </c>
      <c r="J428" s="169">
        <v>624.08000000000004</v>
      </c>
      <c r="K428" s="169"/>
      <c r="L428" s="170"/>
      <c r="M428" s="170">
        <v>12402.9</v>
      </c>
      <c r="N428" s="170">
        <v>16451.105879232018</v>
      </c>
      <c r="O428" s="170">
        <v>4059.8</v>
      </c>
      <c r="P428" s="170">
        <v>5384.8857644991222</v>
      </c>
      <c r="Q428" s="170">
        <v>1003.6</v>
      </c>
      <c r="R428" s="170">
        <v>1331.1668932586133</v>
      </c>
      <c r="S428" s="170">
        <v>1488.4</v>
      </c>
      <c r="T428" s="170">
        <v>1974.2016778857317</v>
      </c>
      <c r="U428" s="170">
        <v>841.72254140936673</v>
      </c>
      <c r="V428" s="170">
        <v>1116.4539462272332</v>
      </c>
      <c r="W428" s="170">
        <v>1858.0188824927322</v>
      </c>
      <c r="X428" s="170">
        <v>2464.4611632360411</v>
      </c>
      <c r="Y428" s="170"/>
      <c r="Z428" s="170"/>
      <c r="AA428" s="170"/>
      <c r="AB428" s="170"/>
      <c r="AC428" s="170">
        <v>7.67</v>
      </c>
      <c r="AD428" s="170">
        <v>10.17</v>
      </c>
      <c r="AE428" s="170">
        <v>34309.449999999997</v>
      </c>
      <c r="AF428" s="170">
        <v>45507.775972411051</v>
      </c>
      <c r="AG428" s="170">
        <v>931</v>
      </c>
      <c r="AH428" s="170">
        <v>1234.8708425904433</v>
      </c>
      <c r="AI428" s="170">
        <v>207.69</v>
      </c>
      <c r="AJ428" s="170">
        <v>275.47833007262</v>
      </c>
      <c r="AK428" s="170">
        <v>58.52</v>
      </c>
      <c r="AL428" s="170">
        <v>77.620452962827869</v>
      </c>
      <c r="AM428" s="170">
        <v>63.18</v>
      </c>
      <c r="AN428" s="170">
        <v>83.801439135192496</v>
      </c>
      <c r="AO428" s="170"/>
      <c r="AP428" s="170"/>
      <c r="AS428" s="167"/>
      <c r="AT428" s="1170"/>
      <c r="AU428" s="1171"/>
      <c r="AV428" s="1171"/>
      <c r="AW428" s="1172"/>
      <c r="AX428" s="1172"/>
      <c r="AY428" s="1172"/>
      <c r="AZ428" s="1172"/>
      <c r="BA428" s="1270" t="s">
        <v>32</v>
      </c>
      <c r="BB428" s="1271">
        <v>2012</v>
      </c>
      <c r="BC428" s="1270" t="s">
        <v>286</v>
      </c>
      <c r="BD428" s="1270">
        <v>6</v>
      </c>
      <c r="BE428" s="1272">
        <v>259987000</v>
      </c>
      <c r="BF428" s="1239">
        <v>1.7139843393331279E-2</v>
      </c>
      <c r="BG428" s="1236"/>
      <c r="BH428" s="1236" t="s">
        <v>54</v>
      </c>
      <c r="BI428" s="1236" t="s">
        <v>317</v>
      </c>
      <c r="BJ428" s="1236" t="s">
        <v>315</v>
      </c>
      <c r="BK428" s="1236">
        <v>3</v>
      </c>
      <c r="BL428" s="1238">
        <v>67461605.292525053</v>
      </c>
      <c r="BM428" s="1239">
        <v>3.3889234819041547E-2</v>
      </c>
      <c r="BN428" s="1236">
        <v>2004</v>
      </c>
      <c r="BO428" s="174"/>
      <c r="BP428" s="174"/>
      <c r="BQ428" s="174"/>
      <c r="BR428" s="174"/>
      <c r="BS428" s="174"/>
      <c r="BT428" s="174"/>
      <c r="BU428" s="174"/>
      <c r="BV428" s="174"/>
      <c r="BW428" s="174"/>
      <c r="BX428" s="174"/>
    </row>
    <row r="429" spans="1:76" s="152" customFormat="1" ht="15" customHeight="1" x14ac:dyDescent="0.25">
      <c r="A429" s="152">
        <f t="shared" si="12"/>
        <v>2005</v>
      </c>
      <c r="B429" s="152" t="str">
        <f t="shared" si="13"/>
        <v>2005-06</v>
      </c>
      <c r="C429" s="173">
        <v>38657</v>
      </c>
      <c r="D429" s="154">
        <v>0.73545454545454547</v>
      </c>
      <c r="E429" s="155">
        <v>249.50295454545454</v>
      </c>
      <c r="F429" s="155">
        <v>339.25</v>
      </c>
      <c r="G429" s="155"/>
      <c r="H429" s="155"/>
      <c r="I429" s="156">
        <v>476.666</v>
      </c>
      <c r="J429" s="156">
        <v>646.74</v>
      </c>
      <c r="K429" s="157"/>
      <c r="L429" s="158"/>
      <c r="M429" s="159">
        <v>12115.7</v>
      </c>
      <c r="N429" s="159">
        <v>16473.757725587144</v>
      </c>
      <c r="O429" s="175">
        <v>4269.3</v>
      </c>
      <c r="P429" s="175">
        <v>5804.9814585908534</v>
      </c>
      <c r="Q429" s="175">
        <v>1017.4</v>
      </c>
      <c r="R429" s="175">
        <v>1383.3621755253398</v>
      </c>
      <c r="S429" s="175">
        <v>1610.9</v>
      </c>
      <c r="T429" s="175">
        <v>2190.3461063040791</v>
      </c>
      <c r="U429" s="161">
        <v>837.9107181818182</v>
      </c>
      <c r="V429" s="161">
        <v>1139.31</v>
      </c>
      <c r="W429" s="161">
        <v>1870.3344545454545</v>
      </c>
      <c r="X429" s="161">
        <v>2543.1</v>
      </c>
      <c r="Y429" s="162"/>
      <c r="Z429" s="162"/>
      <c r="AA429" s="162"/>
      <c r="AB429" s="162"/>
      <c r="AC429" s="163">
        <v>7.8730000000000002</v>
      </c>
      <c r="AD429" s="163">
        <v>10.69</v>
      </c>
      <c r="AE429" s="163">
        <v>32724.9</v>
      </c>
      <c r="AF429" s="163">
        <v>44496.155747836834</v>
      </c>
      <c r="AG429" s="163">
        <v>962.63599999999997</v>
      </c>
      <c r="AH429" s="163">
        <v>1308.8993819530283</v>
      </c>
      <c r="AI429" s="163">
        <v>245.29499999999999</v>
      </c>
      <c r="AJ429" s="163">
        <v>333.52843016069221</v>
      </c>
      <c r="AK429" s="164">
        <v>55.54</v>
      </c>
      <c r="AL429" s="164">
        <v>75.517923362175523</v>
      </c>
      <c r="AM429" s="164">
        <v>57.12</v>
      </c>
      <c r="AN429" s="164">
        <v>77.666254635352288</v>
      </c>
      <c r="AO429" s="164"/>
      <c r="AP429" s="164"/>
      <c r="AS429" s="167"/>
      <c r="AT429" s="1170"/>
      <c r="AU429" s="1171"/>
      <c r="AV429" s="1171"/>
      <c r="AW429" s="1172"/>
      <c r="AX429" s="1172"/>
      <c r="AY429" s="1172"/>
      <c r="AZ429" s="1172"/>
      <c r="BA429" s="1270" t="s">
        <v>32</v>
      </c>
      <c r="BB429" s="1271">
        <v>2012</v>
      </c>
      <c r="BC429" s="1270" t="s">
        <v>320</v>
      </c>
      <c r="BD429" s="1270">
        <v>7</v>
      </c>
      <c r="BE429" s="1272">
        <v>215270000</v>
      </c>
      <c r="BF429" s="1239">
        <v>1.419184069696725E-2</v>
      </c>
      <c r="BG429" s="1236"/>
      <c r="BH429" s="1236" t="s">
        <v>54</v>
      </c>
      <c r="BI429" s="1236" t="s">
        <v>317</v>
      </c>
      <c r="BJ429" s="1236" t="s">
        <v>308</v>
      </c>
      <c r="BK429" s="1236">
        <v>4</v>
      </c>
      <c r="BL429" s="1238">
        <v>55387698.417999998</v>
      </c>
      <c r="BM429" s="1239">
        <v>2.7823926063346143E-2</v>
      </c>
      <c r="BN429" s="1236">
        <v>2004</v>
      </c>
      <c r="BO429" s="174"/>
      <c r="BP429" s="174"/>
      <c r="BQ429" s="174"/>
      <c r="BR429" s="174"/>
      <c r="BS429" s="174"/>
      <c r="BT429" s="174"/>
      <c r="BU429" s="174"/>
      <c r="BV429" s="174"/>
      <c r="BW429" s="174"/>
      <c r="BX429" s="174"/>
    </row>
    <row r="430" spans="1:76" s="152" customFormat="1" ht="15" customHeight="1" x14ac:dyDescent="0.25">
      <c r="A430" s="152">
        <f t="shared" si="12"/>
        <v>2005</v>
      </c>
      <c r="B430" s="152" t="str">
        <f t="shared" si="13"/>
        <v>2005-06</v>
      </c>
      <c r="C430" s="173">
        <v>38687</v>
      </c>
      <c r="D430" s="169">
        <v>0.7430300000000003</v>
      </c>
      <c r="E430" s="170">
        <v>270.35146550000013</v>
      </c>
      <c r="F430" s="170">
        <v>363.85</v>
      </c>
      <c r="G430" s="170"/>
      <c r="H430" s="170"/>
      <c r="I430" s="169">
        <v>509.755</v>
      </c>
      <c r="J430" s="169">
        <v>685.16</v>
      </c>
      <c r="K430" s="169"/>
      <c r="L430" s="170"/>
      <c r="M430" s="170">
        <v>13429.25</v>
      </c>
      <c r="N430" s="170">
        <v>18073.630943568893</v>
      </c>
      <c r="O430" s="170">
        <v>4576.78</v>
      </c>
      <c r="P430" s="170">
        <v>6159.6167045745096</v>
      </c>
      <c r="Q430" s="170">
        <v>1124.08</v>
      </c>
      <c r="R430" s="170">
        <v>1512.8325908778911</v>
      </c>
      <c r="S430" s="170">
        <v>1821.83</v>
      </c>
      <c r="T430" s="170">
        <v>2451.8929249155476</v>
      </c>
      <c r="U430" s="170">
        <v>738.23002620000022</v>
      </c>
      <c r="V430" s="170">
        <v>993.54</v>
      </c>
      <c r="W430" s="170">
        <v>1868.1334563000007</v>
      </c>
      <c r="X430" s="170">
        <v>2514.21</v>
      </c>
      <c r="Y430" s="170"/>
      <c r="Z430" s="170"/>
      <c r="AA430" s="170"/>
      <c r="AB430" s="170"/>
      <c r="AC430" s="170">
        <v>8.64</v>
      </c>
      <c r="AD430" s="170">
        <v>11.63</v>
      </c>
      <c r="AE430" s="170">
        <v>38580.86</v>
      </c>
      <c r="AF430" s="170">
        <v>51923.690833479115</v>
      </c>
      <c r="AG430" s="170">
        <v>978.89499999999998</v>
      </c>
      <c r="AH430" s="170">
        <v>1317.4367118420516</v>
      </c>
      <c r="AI430" s="170">
        <v>265.447</v>
      </c>
      <c r="AJ430" s="170">
        <v>357.24937081948224</v>
      </c>
      <c r="AK430" s="170">
        <v>56.75</v>
      </c>
      <c r="AL430" s="170">
        <v>76.376458554836248</v>
      </c>
      <c r="AM430" s="170">
        <v>61.12</v>
      </c>
      <c r="AN430" s="170">
        <v>82.257782323728478</v>
      </c>
      <c r="AO430" s="170"/>
      <c r="AP430" s="170"/>
      <c r="AS430" s="167"/>
      <c r="AT430" s="1170"/>
      <c r="AU430" s="1171"/>
      <c r="AV430" s="1171"/>
      <c r="AW430" s="1172"/>
      <c r="AX430" s="1172"/>
      <c r="AY430" s="1172"/>
      <c r="AZ430" s="1172"/>
      <c r="BA430" s="1270" t="s">
        <v>32</v>
      </c>
      <c r="BB430" s="1271">
        <v>2012</v>
      </c>
      <c r="BC430" s="1270" t="s">
        <v>329</v>
      </c>
      <c r="BD430" s="1270">
        <v>8</v>
      </c>
      <c r="BE430" s="1272">
        <v>195010000</v>
      </c>
      <c r="BF430" s="1239">
        <v>1.2856184578973305E-2</v>
      </c>
      <c r="BG430" s="1236"/>
      <c r="BH430" s="1236" t="s">
        <v>54</v>
      </c>
      <c r="BI430" s="1236" t="s">
        <v>317</v>
      </c>
      <c r="BJ430" s="1236" t="s">
        <v>314</v>
      </c>
      <c r="BK430" s="1236">
        <v>5</v>
      </c>
      <c r="BL430" s="1238">
        <v>48155308.840000004</v>
      </c>
      <c r="BM430" s="1239">
        <v>2.4190746158290009E-2</v>
      </c>
      <c r="BN430" s="1236">
        <v>2004</v>
      </c>
      <c r="BO430" s="174"/>
      <c r="BP430" s="174"/>
      <c r="BQ430" s="174"/>
      <c r="BR430" s="174"/>
      <c r="BS430" s="174"/>
      <c r="BT430" s="174"/>
      <c r="BU430" s="174"/>
      <c r="BV430" s="174"/>
      <c r="BW430" s="174"/>
      <c r="BX430" s="174"/>
    </row>
    <row r="431" spans="1:76" s="152" customFormat="1" ht="15" customHeight="1" x14ac:dyDescent="0.25">
      <c r="A431" s="152">
        <f t="shared" si="12"/>
        <v>2006</v>
      </c>
      <c r="B431" s="152" t="str">
        <f t="shared" si="13"/>
        <v>2005-06</v>
      </c>
      <c r="C431" s="173">
        <v>38718</v>
      </c>
      <c r="D431" s="154">
        <v>0.74976999999999994</v>
      </c>
      <c r="E431" s="155">
        <v>272.60887429999997</v>
      </c>
      <c r="F431" s="155">
        <v>363.59</v>
      </c>
      <c r="G431" s="155"/>
      <c r="H431" s="155"/>
      <c r="I431" s="156">
        <v>549.86400000000003</v>
      </c>
      <c r="J431" s="156">
        <v>735.1</v>
      </c>
      <c r="K431" s="157"/>
      <c r="L431" s="158"/>
      <c r="M431" s="159">
        <v>14555.24</v>
      </c>
      <c r="N431" s="159">
        <v>19412.939968256935</v>
      </c>
      <c r="O431" s="175">
        <v>4734.33</v>
      </c>
      <c r="P431" s="175">
        <v>6314.3764087653553</v>
      </c>
      <c r="Q431" s="175">
        <v>1256.33</v>
      </c>
      <c r="R431" s="175">
        <v>1675.6205236272458</v>
      </c>
      <c r="S431" s="175">
        <v>2090.31</v>
      </c>
      <c r="T431" s="175">
        <v>2787.9349667231286</v>
      </c>
      <c r="U431" s="161">
        <v>706.71820659999992</v>
      </c>
      <c r="V431" s="161">
        <v>942.58</v>
      </c>
      <c r="W431" s="161">
        <v>1854.2861777999997</v>
      </c>
      <c r="X431" s="161">
        <v>2473.14</v>
      </c>
      <c r="Y431" s="162"/>
      <c r="Z431" s="162"/>
      <c r="AA431" s="162"/>
      <c r="AB431" s="162"/>
      <c r="AC431" s="163">
        <v>9.1539999999999999</v>
      </c>
      <c r="AD431" s="163">
        <v>12.24</v>
      </c>
      <c r="AE431" s="163">
        <v>33138.199999999997</v>
      </c>
      <c r="AF431" s="163">
        <v>44197.820665003936</v>
      </c>
      <c r="AG431" s="163">
        <v>1029</v>
      </c>
      <c r="AH431" s="163">
        <v>1372.4208757352255</v>
      </c>
      <c r="AI431" s="163">
        <v>273.69</v>
      </c>
      <c r="AJ431" s="163">
        <v>365.03194312922631</v>
      </c>
      <c r="AK431" s="164">
        <v>63.57</v>
      </c>
      <c r="AL431" s="164">
        <v>84.786001040319036</v>
      </c>
      <c r="AM431" s="164">
        <v>69.010000000000005</v>
      </c>
      <c r="AN431" s="164">
        <v>92.041559411552896</v>
      </c>
      <c r="AO431" s="164"/>
      <c r="AP431" s="164"/>
      <c r="AS431" s="167"/>
      <c r="AT431" s="1170"/>
      <c r="AU431" s="1171"/>
      <c r="AV431" s="1171"/>
      <c r="AW431" s="1172"/>
      <c r="AX431" s="1172"/>
      <c r="AY431" s="1172"/>
      <c r="AZ431" s="1172"/>
      <c r="BA431" s="1270" t="s">
        <v>32</v>
      </c>
      <c r="BB431" s="1271">
        <v>2012</v>
      </c>
      <c r="BC431" s="1270" t="s">
        <v>335</v>
      </c>
      <c r="BD431" s="1270">
        <v>9</v>
      </c>
      <c r="BE431" s="1272">
        <v>67507000</v>
      </c>
      <c r="BF431" s="1239">
        <v>4.4504510146800213E-3</v>
      </c>
      <c r="BG431" s="1236"/>
      <c r="BH431" s="1236" t="s">
        <v>54</v>
      </c>
      <c r="BI431" s="1236" t="s">
        <v>317</v>
      </c>
      <c r="BJ431" s="1236" t="s">
        <v>322</v>
      </c>
      <c r="BK431" s="1236">
        <v>6</v>
      </c>
      <c r="BL431" s="1238">
        <v>41548691.688000001</v>
      </c>
      <c r="BM431" s="1239">
        <v>2.0871922079722705E-2</v>
      </c>
      <c r="BN431" s="1236">
        <v>2004</v>
      </c>
      <c r="BO431" s="174"/>
      <c r="BP431" s="174"/>
      <c r="BQ431" s="174"/>
      <c r="BR431" s="174"/>
      <c r="BS431" s="174"/>
      <c r="BT431" s="174"/>
      <c r="BU431" s="174"/>
      <c r="BV431" s="174"/>
      <c r="BW431" s="174"/>
      <c r="BX431" s="174"/>
    </row>
    <row r="432" spans="1:76" s="152" customFormat="1" ht="15" customHeight="1" x14ac:dyDescent="0.25">
      <c r="A432" s="152">
        <f t="shared" si="12"/>
        <v>2006</v>
      </c>
      <c r="B432" s="152" t="str">
        <f t="shared" si="13"/>
        <v>2005-06</v>
      </c>
      <c r="C432" s="173">
        <v>38749</v>
      </c>
      <c r="D432" s="169">
        <v>0.74163499999999982</v>
      </c>
      <c r="E432" s="170">
        <v>276.96359074999992</v>
      </c>
      <c r="F432" s="170">
        <v>373.45</v>
      </c>
      <c r="G432" s="170"/>
      <c r="H432" s="170"/>
      <c r="I432" s="169">
        <v>554.995</v>
      </c>
      <c r="J432" s="169">
        <v>748.65</v>
      </c>
      <c r="K432" s="169"/>
      <c r="L432" s="170"/>
      <c r="M432" s="170">
        <v>14978.75</v>
      </c>
      <c r="N432" s="170">
        <v>20196.92975655141</v>
      </c>
      <c r="O432" s="170">
        <v>4982.3999999999996</v>
      </c>
      <c r="P432" s="170">
        <v>6718.1295381151112</v>
      </c>
      <c r="Q432" s="170">
        <v>1277.05</v>
      </c>
      <c r="R432" s="170">
        <v>1721.9386895170808</v>
      </c>
      <c r="S432" s="170">
        <v>2219.38</v>
      </c>
      <c r="T432" s="170">
        <v>2992.5502437182718</v>
      </c>
      <c r="U432" s="170">
        <v>785.30246879999993</v>
      </c>
      <c r="V432" s="170">
        <v>1058.8800000000001</v>
      </c>
      <c r="W432" s="170">
        <v>1854.9552129499996</v>
      </c>
      <c r="X432" s="170">
        <v>2501.17</v>
      </c>
      <c r="Y432" s="170"/>
      <c r="Z432" s="170"/>
      <c r="AA432" s="170"/>
      <c r="AB432" s="170"/>
      <c r="AC432" s="170">
        <v>9.5350000000000001</v>
      </c>
      <c r="AD432" s="170">
        <v>12.89</v>
      </c>
      <c r="AE432" s="170">
        <v>30864.7</v>
      </c>
      <c r="AF432" s="170">
        <v>41617.102752701809</v>
      </c>
      <c r="AG432" s="170">
        <v>1041.75</v>
      </c>
      <c r="AH432" s="170">
        <v>1404.6667161069802</v>
      </c>
      <c r="AI432" s="170">
        <v>289.3</v>
      </c>
      <c r="AJ432" s="170">
        <v>390.08407100527899</v>
      </c>
      <c r="AK432" s="170">
        <v>59.92</v>
      </c>
      <c r="AL432" s="170">
        <v>80.794460887094075</v>
      </c>
      <c r="AM432" s="170">
        <v>66.260000000000005</v>
      </c>
      <c r="AN432" s="170">
        <v>89.343140493639083</v>
      </c>
      <c r="AO432" s="170"/>
      <c r="AP432" s="170"/>
      <c r="AS432" s="167"/>
      <c r="AT432" s="1170"/>
      <c r="AU432" s="1171"/>
      <c r="AV432" s="1171"/>
      <c r="AW432" s="1172"/>
      <c r="AX432" s="1172"/>
      <c r="AY432" s="1172"/>
      <c r="AZ432" s="1172"/>
      <c r="BA432" s="1270" t="s">
        <v>32</v>
      </c>
      <c r="BB432" s="1271">
        <v>2012</v>
      </c>
      <c r="BC432" s="1270" t="s">
        <v>328</v>
      </c>
      <c r="BD432" s="1270">
        <v>10</v>
      </c>
      <c r="BE432" s="1272">
        <v>16377000</v>
      </c>
      <c r="BF432" s="1239">
        <v>1.079666349673585E-3</v>
      </c>
      <c r="BG432" s="1236"/>
      <c r="BH432" s="1236" t="s">
        <v>54</v>
      </c>
      <c r="BI432" s="1236" t="s">
        <v>317</v>
      </c>
      <c r="BJ432" s="1236" t="s">
        <v>337</v>
      </c>
      <c r="BK432" s="1236">
        <v>7</v>
      </c>
      <c r="BL432" s="1238">
        <v>26455487.732585624</v>
      </c>
      <c r="BM432" s="1239">
        <v>1.3289874027370771E-2</v>
      </c>
      <c r="BN432" s="1236">
        <v>2004</v>
      </c>
      <c r="BO432" s="174"/>
      <c r="BP432" s="174"/>
      <c r="BQ432" s="174"/>
      <c r="BR432" s="174"/>
      <c r="BS432" s="174"/>
      <c r="BT432" s="174"/>
      <c r="BU432" s="174"/>
      <c r="BV432" s="174"/>
      <c r="BW432" s="174"/>
      <c r="BX432" s="174"/>
    </row>
    <row r="433" spans="1:76" s="152" customFormat="1" ht="15" customHeight="1" x14ac:dyDescent="0.25">
      <c r="A433" s="152">
        <f t="shared" si="12"/>
        <v>2006</v>
      </c>
      <c r="B433" s="152" t="str">
        <f t="shared" si="13"/>
        <v>2005-06</v>
      </c>
      <c r="C433" s="173">
        <v>38777</v>
      </c>
      <c r="D433" s="154">
        <v>0.72774782608695643</v>
      </c>
      <c r="E433" s="155">
        <v>279.1131237391304</v>
      </c>
      <c r="F433" s="155">
        <v>383.53</v>
      </c>
      <c r="G433" s="155"/>
      <c r="H433" s="155"/>
      <c r="I433" s="156">
        <v>557.09299999999996</v>
      </c>
      <c r="J433" s="156">
        <v>766.08</v>
      </c>
      <c r="K433" s="157"/>
      <c r="L433" s="158"/>
      <c r="M433" s="159">
        <v>14897.39</v>
      </c>
      <c r="N433" s="159">
        <v>20470.538648122259</v>
      </c>
      <c r="O433" s="175">
        <v>5102.8500000000004</v>
      </c>
      <c r="P433" s="175">
        <v>7011.8381904864336</v>
      </c>
      <c r="Q433" s="175">
        <v>1192.0899999999999</v>
      </c>
      <c r="R433" s="175">
        <v>1638.0536736327683</v>
      </c>
      <c r="S433" s="175">
        <v>2416.91</v>
      </c>
      <c r="T433" s="175">
        <v>3321.0817172694797</v>
      </c>
      <c r="U433" s="161">
        <v>868.18860156521725</v>
      </c>
      <c r="V433" s="161">
        <v>1192.98</v>
      </c>
      <c r="W433" s="161">
        <v>1850.7791613913041</v>
      </c>
      <c r="X433" s="161">
        <v>2543.16</v>
      </c>
      <c r="Y433" s="162"/>
      <c r="Z433" s="162"/>
      <c r="AA433" s="162"/>
      <c r="AB433" s="162"/>
      <c r="AC433" s="163">
        <v>10.384</v>
      </c>
      <c r="AD433" s="163">
        <v>14.27</v>
      </c>
      <c r="AE433" s="163">
        <v>32948.06</v>
      </c>
      <c r="AF433" s="163">
        <v>45274.006762973324</v>
      </c>
      <c r="AG433" s="163">
        <v>1041.5219999999999</v>
      </c>
      <c r="AH433" s="163">
        <v>1431.157830591103</v>
      </c>
      <c r="AI433" s="163">
        <v>310.17399999999998</v>
      </c>
      <c r="AJ433" s="163">
        <v>426.21082314705285</v>
      </c>
      <c r="AK433" s="164">
        <v>62.25</v>
      </c>
      <c r="AL433" s="164">
        <v>85.537871455712093</v>
      </c>
      <c r="AM433" s="164">
        <v>66.44</v>
      </c>
      <c r="AN433" s="164">
        <v>91.295360313534317</v>
      </c>
      <c r="AO433" s="164"/>
      <c r="AP433" s="164"/>
      <c r="AS433" s="167"/>
      <c r="AT433" s="1170"/>
      <c r="AU433" s="1171"/>
      <c r="AV433" s="1171"/>
      <c r="AW433" s="1172"/>
      <c r="AX433" s="1172"/>
      <c r="AY433" s="1172"/>
      <c r="AZ433" s="1172"/>
      <c r="BA433" s="1270" t="s">
        <v>32</v>
      </c>
      <c r="BB433" s="1271">
        <v>2012</v>
      </c>
      <c r="BC433" s="1270" t="s">
        <v>291</v>
      </c>
      <c r="BD433" s="1270"/>
      <c r="BE433" s="1272">
        <v>10598000</v>
      </c>
      <c r="BF433" s="1239">
        <v>6.9868131976800725E-4</v>
      </c>
      <c r="BG433" s="1236"/>
      <c r="BH433" s="1236" t="s">
        <v>54</v>
      </c>
      <c r="BI433" s="1236" t="s">
        <v>317</v>
      </c>
      <c r="BJ433" s="1236" t="s">
        <v>319</v>
      </c>
      <c r="BK433" s="1236">
        <v>8</v>
      </c>
      <c r="BL433" s="1238">
        <v>24321781.48</v>
      </c>
      <c r="BM433" s="1239">
        <v>1.2218009936452917E-2</v>
      </c>
      <c r="BN433" s="1236">
        <v>2004</v>
      </c>
      <c r="BO433" s="174"/>
      <c r="BP433" s="174"/>
      <c r="BQ433" s="174"/>
      <c r="BR433" s="174"/>
      <c r="BS433" s="174"/>
      <c r="BT433" s="174"/>
      <c r="BU433" s="174"/>
      <c r="BV433" s="174"/>
      <c r="BW433" s="174"/>
      <c r="BX433" s="174"/>
    </row>
    <row r="434" spans="1:76" s="152" customFormat="1" ht="15" customHeight="1" x14ac:dyDescent="0.25">
      <c r="A434" s="152">
        <f t="shared" si="12"/>
        <v>2006</v>
      </c>
      <c r="B434" s="152" t="str">
        <f t="shared" si="13"/>
        <v>2005-06</v>
      </c>
      <c r="C434" s="173">
        <v>38808</v>
      </c>
      <c r="D434" s="169">
        <v>0.73502352941176474</v>
      </c>
      <c r="E434" s="170">
        <v>302.99874952941178</v>
      </c>
      <c r="F434" s="170">
        <v>412.23</v>
      </c>
      <c r="G434" s="170"/>
      <c r="H434" s="170"/>
      <c r="I434" s="169">
        <v>609.72400000000005</v>
      </c>
      <c r="J434" s="169">
        <v>828.08</v>
      </c>
      <c r="K434" s="169"/>
      <c r="L434" s="170"/>
      <c r="M434" s="170">
        <v>17942.22</v>
      </c>
      <c r="N434" s="170">
        <v>24410.402228019913</v>
      </c>
      <c r="O434" s="170">
        <v>6387.78</v>
      </c>
      <c r="P434" s="170">
        <v>8690.5789330473599</v>
      </c>
      <c r="Q434" s="170">
        <v>1170.42</v>
      </c>
      <c r="R434" s="170">
        <v>1592.3571874449797</v>
      </c>
      <c r="S434" s="170">
        <v>3084.78</v>
      </c>
      <c r="T434" s="170">
        <v>4196.8452390479697</v>
      </c>
      <c r="U434" s="170">
        <v>857.0300850588236</v>
      </c>
      <c r="V434" s="170">
        <v>1165.99</v>
      </c>
      <c r="W434" s="170">
        <v>1873.7293314117649</v>
      </c>
      <c r="X434" s="170">
        <v>2549.21</v>
      </c>
      <c r="Y434" s="170"/>
      <c r="Z434" s="170"/>
      <c r="AA434" s="170"/>
      <c r="AB434" s="170"/>
      <c r="AC434" s="170">
        <v>12.615</v>
      </c>
      <c r="AD434" s="170">
        <v>17.13</v>
      </c>
      <c r="AE434" s="170">
        <v>36307.375</v>
      </c>
      <c r="AF434" s="170">
        <v>49396.20780447204</v>
      </c>
      <c r="AG434" s="170">
        <v>1100</v>
      </c>
      <c r="AH434" s="170">
        <v>1496.550730668886</v>
      </c>
      <c r="AI434" s="170">
        <v>352.197</v>
      </c>
      <c r="AJ434" s="170">
        <v>479.16425244489972</v>
      </c>
      <c r="AK434" s="170">
        <v>70.44</v>
      </c>
      <c r="AL434" s="170">
        <v>95.833666789378483</v>
      </c>
      <c r="AM434" s="170">
        <v>74.3</v>
      </c>
      <c r="AN434" s="170">
        <v>101.08519935336203</v>
      </c>
      <c r="AO434" s="170"/>
      <c r="AP434" s="170"/>
      <c r="AS434" s="167"/>
      <c r="AT434" s="1170"/>
      <c r="AU434" s="1171"/>
      <c r="AV434" s="1171"/>
      <c r="AW434" s="1172"/>
      <c r="AX434" s="1172"/>
      <c r="AY434" s="1172"/>
      <c r="AZ434" s="1172"/>
      <c r="BA434" s="1270" t="s">
        <v>32</v>
      </c>
      <c r="BB434" s="1271">
        <v>2012</v>
      </c>
      <c r="BC434" s="1270" t="s">
        <v>292</v>
      </c>
      <c r="BD434" s="1270"/>
      <c r="BE434" s="1272">
        <v>15168575000</v>
      </c>
      <c r="BF434" s="1239">
        <v>1</v>
      </c>
      <c r="BG434" s="1236"/>
      <c r="BH434" s="1236" t="s">
        <v>54</v>
      </c>
      <c r="BI434" s="1236" t="s">
        <v>317</v>
      </c>
      <c r="BJ434" s="1236" t="s">
        <v>290</v>
      </c>
      <c r="BK434" s="1236">
        <v>9</v>
      </c>
      <c r="BL434" s="1238">
        <v>20198596</v>
      </c>
      <c r="BM434" s="1239">
        <v>1.0146733981362871E-2</v>
      </c>
      <c r="BN434" s="1236">
        <v>2004</v>
      </c>
      <c r="BO434" s="174"/>
      <c r="BP434" s="174"/>
      <c r="BQ434" s="174"/>
      <c r="BR434" s="174"/>
      <c r="BS434" s="174"/>
      <c r="BT434" s="174"/>
      <c r="BU434" s="174"/>
      <c r="BV434" s="174"/>
      <c r="BW434" s="174"/>
      <c r="BX434" s="174"/>
    </row>
    <row r="435" spans="1:76" s="152" customFormat="1" ht="15" customHeight="1" x14ac:dyDescent="0.25">
      <c r="A435" s="152">
        <f t="shared" si="12"/>
        <v>2006</v>
      </c>
      <c r="B435" s="152" t="str">
        <f t="shared" si="13"/>
        <v>2005-06</v>
      </c>
      <c r="C435" s="173">
        <v>38838</v>
      </c>
      <c r="D435" s="154">
        <v>0.76332608695652193</v>
      </c>
      <c r="E435" s="155">
        <v>307.71201217391314</v>
      </c>
      <c r="F435" s="155">
        <v>403.12</v>
      </c>
      <c r="G435" s="155"/>
      <c r="H435" s="155"/>
      <c r="I435" s="156">
        <v>674.88099999999997</v>
      </c>
      <c r="J435" s="156">
        <v>883.54</v>
      </c>
      <c r="K435" s="157"/>
      <c r="L435" s="158"/>
      <c r="M435" s="159">
        <v>21077.14</v>
      </c>
      <c r="N435" s="159">
        <v>27612.235924016739</v>
      </c>
      <c r="O435" s="175">
        <v>8045.86</v>
      </c>
      <c r="P435" s="175">
        <v>10540.528009569103</v>
      </c>
      <c r="Q435" s="175">
        <v>1166.8599999999999</v>
      </c>
      <c r="R435" s="175">
        <v>1528.6520661863121</v>
      </c>
      <c r="S435" s="175">
        <v>3565.69</v>
      </c>
      <c r="T435" s="175">
        <v>4671.2539515279232</v>
      </c>
      <c r="U435" s="161">
        <v>800.01917195652186</v>
      </c>
      <c r="V435" s="161">
        <v>1048.07</v>
      </c>
      <c r="W435" s="161">
        <v>1868.126098913044</v>
      </c>
      <c r="X435" s="161">
        <v>2447.35</v>
      </c>
      <c r="Y435" s="162"/>
      <c r="Z435" s="162"/>
      <c r="AA435" s="162"/>
      <c r="AB435" s="162"/>
      <c r="AC435" s="163">
        <v>13.428000000000001</v>
      </c>
      <c r="AD435" s="163">
        <v>17.670000000000002</v>
      </c>
      <c r="AE435" s="163">
        <v>36651.800000000003</v>
      </c>
      <c r="AF435" s="163">
        <v>48015.914333722547</v>
      </c>
      <c r="AG435" s="163">
        <v>1265.4290000000001</v>
      </c>
      <c r="AH435" s="163">
        <v>1657.7829863583286</v>
      </c>
      <c r="AI435" s="163">
        <v>369.09500000000003</v>
      </c>
      <c r="AJ435" s="163">
        <v>483.53515791871945</v>
      </c>
      <c r="AK435" s="164">
        <v>70.19</v>
      </c>
      <c r="AL435" s="164">
        <v>91.952837980235216</v>
      </c>
      <c r="AM435" s="164">
        <v>74.680000000000007</v>
      </c>
      <c r="AN435" s="164">
        <v>97.834989889784396</v>
      </c>
      <c r="AO435" s="164"/>
      <c r="AP435" s="164"/>
      <c r="AS435" s="167"/>
      <c r="AT435" s="1170"/>
      <c r="AU435" s="1171"/>
      <c r="AV435" s="1171"/>
      <c r="AW435" s="1172"/>
      <c r="AX435" s="1172"/>
      <c r="AY435" s="1172"/>
      <c r="AZ435" s="1172"/>
      <c r="BA435" s="1273" t="s">
        <v>32</v>
      </c>
      <c r="BB435" s="1274">
        <v>2013</v>
      </c>
      <c r="BC435" s="1273" t="s">
        <v>281</v>
      </c>
      <c r="BD435" s="1273">
        <v>1</v>
      </c>
      <c r="BE435" s="1275">
        <v>8075169000</v>
      </c>
      <c r="BF435" s="1239">
        <v>0.60194251543195498</v>
      </c>
      <c r="BG435" s="1236"/>
      <c r="BH435" s="1236" t="s">
        <v>54</v>
      </c>
      <c r="BI435" s="1236" t="s">
        <v>317</v>
      </c>
      <c r="BJ435" s="1236" t="s">
        <v>312</v>
      </c>
      <c r="BK435" s="1236">
        <v>10</v>
      </c>
      <c r="BL435" s="1238">
        <v>19528242.920000002</v>
      </c>
      <c r="BM435" s="1239">
        <v>9.8099831311380722E-3</v>
      </c>
      <c r="BN435" s="1236">
        <v>2004</v>
      </c>
      <c r="BO435" s="174"/>
      <c r="BP435" s="174"/>
      <c r="BQ435" s="174"/>
      <c r="BR435" s="174"/>
      <c r="BS435" s="174"/>
      <c r="BT435" s="174"/>
      <c r="BU435" s="174"/>
      <c r="BV435" s="174"/>
      <c r="BW435" s="174"/>
      <c r="BX435" s="174"/>
    </row>
    <row r="436" spans="1:76" s="152" customFormat="1" ht="15" customHeight="1" x14ac:dyDescent="0.25">
      <c r="A436" s="152">
        <f t="shared" si="12"/>
        <v>2006</v>
      </c>
      <c r="B436" s="152" t="str">
        <f t="shared" si="13"/>
        <v>2005-06</v>
      </c>
      <c r="C436" s="173">
        <v>38869</v>
      </c>
      <c r="D436" s="169">
        <v>0.74024761904761893</v>
      </c>
      <c r="E436" s="170">
        <v>319.39464019047614</v>
      </c>
      <c r="F436" s="170">
        <v>431.47</v>
      </c>
      <c r="G436" s="170"/>
      <c r="H436" s="170"/>
      <c r="I436" s="169">
        <v>596.14499999999998</v>
      </c>
      <c r="J436" s="169">
        <v>808.66</v>
      </c>
      <c r="K436" s="169"/>
      <c r="L436" s="170"/>
      <c r="M436" s="170">
        <v>20754.55</v>
      </c>
      <c r="N436" s="170">
        <v>28037.307336026559</v>
      </c>
      <c r="O436" s="170">
        <v>7197.61</v>
      </c>
      <c r="P436" s="170">
        <v>9723.2464040346877</v>
      </c>
      <c r="Q436" s="170">
        <v>963.86</v>
      </c>
      <c r="R436" s="170">
        <v>1302.0778118004273</v>
      </c>
      <c r="S436" s="170">
        <v>3225.68</v>
      </c>
      <c r="T436" s="170">
        <v>4357.5688958649616</v>
      </c>
      <c r="U436" s="170">
        <v>838.92262666666647</v>
      </c>
      <c r="V436" s="170">
        <v>1133.3</v>
      </c>
      <c r="W436" s="170">
        <v>1831.8167580952377</v>
      </c>
      <c r="X436" s="170">
        <v>2474.6</v>
      </c>
      <c r="Y436" s="170"/>
      <c r="Z436" s="170"/>
      <c r="AA436" s="170"/>
      <c r="AB436" s="170"/>
      <c r="AC436" s="170">
        <v>10.795999999999999</v>
      </c>
      <c r="AD436" s="170">
        <v>14.84</v>
      </c>
      <c r="AE436" s="170">
        <v>34722.800000000003</v>
      </c>
      <c r="AF436" s="170">
        <v>46907.006664436623</v>
      </c>
      <c r="AG436" s="170">
        <v>1189.864</v>
      </c>
      <c r="AH436" s="170">
        <v>1607.3864601291721</v>
      </c>
      <c r="AI436" s="170">
        <v>317.25</v>
      </c>
      <c r="AJ436" s="170">
        <v>428.57280704011532</v>
      </c>
      <c r="AK436" s="170">
        <v>68.86</v>
      </c>
      <c r="AL436" s="170">
        <v>93.022926691197299</v>
      </c>
      <c r="AM436" s="170">
        <v>71.55</v>
      </c>
      <c r="AN436" s="170">
        <v>96.65684584308984</v>
      </c>
      <c r="AO436" s="170"/>
      <c r="AP436" s="170"/>
      <c r="AS436" s="167"/>
      <c r="AT436" s="1170"/>
      <c r="AU436" s="1171"/>
      <c r="AV436" s="1171"/>
      <c r="AW436" s="1172"/>
      <c r="AX436" s="1172"/>
      <c r="AY436" s="1172"/>
      <c r="AZ436" s="1172"/>
      <c r="BA436" s="1273" t="s">
        <v>32</v>
      </c>
      <c r="BB436" s="1274">
        <v>2013</v>
      </c>
      <c r="BC436" s="1273" t="s">
        <v>287</v>
      </c>
      <c r="BD436" s="1273">
        <v>2</v>
      </c>
      <c r="BE436" s="1275">
        <v>1371273000</v>
      </c>
      <c r="BF436" s="1239">
        <v>0.10221798688843828</v>
      </c>
      <c r="BG436" s="1236"/>
      <c r="BH436" s="1236" t="s">
        <v>54</v>
      </c>
      <c r="BI436" s="1236" t="s">
        <v>317</v>
      </c>
      <c r="BJ436" s="1236" t="s">
        <v>320</v>
      </c>
      <c r="BK436" s="1236">
        <v>11</v>
      </c>
      <c r="BL436" s="1238">
        <v>15884585.199999999</v>
      </c>
      <c r="BM436" s="1239">
        <v>7.9795972169894244E-3</v>
      </c>
      <c r="BN436" s="1236">
        <v>2004</v>
      </c>
      <c r="BO436" s="174"/>
      <c r="BP436" s="174"/>
      <c r="BQ436" s="174"/>
      <c r="BR436" s="174"/>
      <c r="BS436" s="174"/>
      <c r="BT436" s="174"/>
      <c r="BU436" s="174"/>
      <c r="BV436" s="174"/>
      <c r="BW436" s="174"/>
      <c r="BX436" s="174"/>
    </row>
    <row r="437" spans="1:76" s="152" customFormat="1" ht="15" customHeight="1" x14ac:dyDescent="0.25">
      <c r="A437" s="152">
        <f t="shared" si="12"/>
        <v>2006</v>
      </c>
      <c r="B437" s="152" t="str">
        <f t="shared" si="13"/>
        <v>2006-07</v>
      </c>
      <c r="C437" s="173">
        <v>38899</v>
      </c>
      <c r="D437" s="154">
        <v>0.75143333333333351</v>
      </c>
      <c r="E437" s="155">
        <v>299.80687133333339</v>
      </c>
      <c r="F437" s="155">
        <v>398.98</v>
      </c>
      <c r="G437" s="155"/>
      <c r="H437" s="155"/>
      <c r="I437" s="156">
        <v>633.71400000000006</v>
      </c>
      <c r="J437" s="156">
        <v>845.83</v>
      </c>
      <c r="K437" s="157"/>
      <c r="L437" s="158"/>
      <c r="M437" s="159">
        <v>26586.19</v>
      </c>
      <c r="N437" s="159">
        <v>35380.637004835196</v>
      </c>
      <c r="O437" s="175">
        <v>7712.1</v>
      </c>
      <c r="P437" s="175">
        <v>10263.185911369381</v>
      </c>
      <c r="Q437" s="175">
        <v>1052.3800000000001</v>
      </c>
      <c r="R437" s="175">
        <v>1400.4968282837242</v>
      </c>
      <c r="S437" s="175">
        <v>3339.86</v>
      </c>
      <c r="T437" s="175">
        <v>4444.6524419997331</v>
      </c>
      <c r="U437" s="161">
        <v>856.80682966666689</v>
      </c>
      <c r="V437" s="161">
        <v>1140.23</v>
      </c>
      <c r="W437" s="161">
        <v>1868.1834960000003</v>
      </c>
      <c r="X437" s="161">
        <v>2486.16</v>
      </c>
      <c r="Y437" s="162"/>
      <c r="Z437" s="162"/>
      <c r="AA437" s="162"/>
      <c r="AB437" s="162"/>
      <c r="AC437" s="163">
        <v>11.231999999999999</v>
      </c>
      <c r="AD437" s="163">
        <v>15.12</v>
      </c>
      <c r="AE437" s="163">
        <v>33827.199999999997</v>
      </c>
      <c r="AF437" s="163">
        <v>45016.901033580252</v>
      </c>
      <c r="AG437" s="163">
        <v>1228.8330000000001</v>
      </c>
      <c r="AH437" s="163">
        <v>1635.3187242159427</v>
      </c>
      <c r="AI437" s="163">
        <v>317.82100000000003</v>
      </c>
      <c r="AJ437" s="163">
        <v>422.95302311138704</v>
      </c>
      <c r="AK437" s="164">
        <v>73.900000000000006</v>
      </c>
      <c r="AL437" s="164">
        <v>98.345384376524848</v>
      </c>
      <c r="AM437" s="164">
        <v>76.739999999999995</v>
      </c>
      <c r="AN437" s="164">
        <v>102.12482810628573</v>
      </c>
      <c r="AO437" s="164"/>
      <c r="AP437" s="164"/>
      <c r="AS437" s="167"/>
      <c r="AT437" s="1170"/>
      <c r="AU437" s="1171"/>
      <c r="AV437" s="1171"/>
      <c r="AW437" s="1172"/>
      <c r="AX437" s="1172"/>
      <c r="AY437" s="1172"/>
      <c r="AZ437" s="1172"/>
      <c r="BA437" s="1273" t="s">
        <v>32</v>
      </c>
      <c r="BB437" s="1274">
        <v>2013</v>
      </c>
      <c r="BC437" s="1273" t="s">
        <v>323</v>
      </c>
      <c r="BD437" s="1273">
        <v>3</v>
      </c>
      <c r="BE437" s="1275">
        <v>1131055000</v>
      </c>
      <c r="BF437" s="1239">
        <v>8.4311559521774687E-2</v>
      </c>
      <c r="BG437" s="1236"/>
      <c r="BH437" s="1236" t="s">
        <v>54</v>
      </c>
      <c r="BI437" s="1236" t="s">
        <v>317</v>
      </c>
      <c r="BJ437" s="1236" t="s">
        <v>324</v>
      </c>
      <c r="BK437" s="1236">
        <v>12</v>
      </c>
      <c r="BL437" s="1238">
        <v>13094795.16</v>
      </c>
      <c r="BM437" s="1239">
        <v>6.5781504332755635E-3</v>
      </c>
      <c r="BN437" s="1236">
        <v>2004</v>
      </c>
      <c r="BO437" s="174"/>
      <c r="BP437" s="174"/>
      <c r="BQ437" s="174"/>
      <c r="BR437" s="174"/>
      <c r="BS437" s="174"/>
      <c r="BT437" s="174"/>
      <c r="BU437" s="174"/>
      <c r="BV437" s="174"/>
      <c r="BW437" s="174"/>
      <c r="BX437" s="174"/>
    </row>
    <row r="438" spans="1:76" s="152" customFormat="1" ht="15" customHeight="1" x14ac:dyDescent="0.25">
      <c r="A438" s="152">
        <f t="shared" si="12"/>
        <v>2006</v>
      </c>
      <c r="B438" s="152" t="str">
        <f t="shared" si="13"/>
        <v>2006-07</v>
      </c>
      <c r="C438" s="173">
        <v>38930</v>
      </c>
      <c r="D438" s="169">
        <v>0.76300909090909097</v>
      </c>
      <c r="E438" s="170">
        <v>299.29603212736419</v>
      </c>
      <c r="F438" s="170">
        <v>392.25749167780748</v>
      </c>
      <c r="G438" s="170"/>
      <c r="H438" s="170"/>
      <c r="I438" s="169">
        <v>632.59299999999996</v>
      </c>
      <c r="J438" s="169">
        <v>826.69</v>
      </c>
      <c r="K438" s="169"/>
      <c r="L438" s="170"/>
      <c r="M438" s="170">
        <v>30743.64</v>
      </c>
      <c r="N438" s="170">
        <v>40292.626085713258</v>
      </c>
      <c r="O438" s="170">
        <v>7695.66</v>
      </c>
      <c r="P438" s="170">
        <v>10085.934875075955</v>
      </c>
      <c r="Q438" s="170">
        <v>1174.1400000000001</v>
      </c>
      <c r="R438" s="170">
        <v>1538.8283232655397</v>
      </c>
      <c r="S438" s="170">
        <v>3347.3</v>
      </c>
      <c r="T438" s="170">
        <v>4386.9726322812785</v>
      </c>
      <c r="U438" s="170">
        <v>872.78150243986988</v>
      </c>
      <c r="V438" s="170">
        <v>1143.8677636199459</v>
      </c>
      <c r="W438" s="170">
        <v>1869.0357516415897</v>
      </c>
      <c r="X438" s="170">
        <v>2449.5589553392056</v>
      </c>
      <c r="Y438" s="170"/>
      <c r="Z438" s="170"/>
      <c r="AA438" s="170"/>
      <c r="AB438" s="170"/>
      <c r="AC438" s="170">
        <v>12.178000000000001</v>
      </c>
      <c r="AD438" s="170">
        <v>16</v>
      </c>
      <c r="AE438" s="170">
        <v>40551.25</v>
      </c>
      <c r="AF438" s="170">
        <v>53146.483420905264</v>
      </c>
      <c r="AG438" s="170">
        <v>1234</v>
      </c>
      <c r="AH438" s="170">
        <v>1617.2808616601731</v>
      </c>
      <c r="AI438" s="170">
        <v>329.40899999999999</v>
      </c>
      <c r="AJ438" s="170">
        <v>431.72355863745213</v>
      </c>
      <c r="AK438" s="170">
        <v>73.45</v>
      </c>
      <c r="AL438" s="170">
        <v>96.263597478881465</v>
      </c>
      <c r="AM438" s="170">
        <v>78.77</v>
      </c>
      <c r="AN438" s="170">
        <v>103.23599146918301</v>
      </c>
      <c r="AO438" s="170"/>
      <c r="AP438" s="170"/>
      <c r="AS438" s="167"/>
      <c r="AT438" s="1170"/>
      <c r="AU438" s="1171"/>
      <c r="AV438" s="1171"/>
      <c r="AW438" s="1172"/>
      <c r="AX438" s="1172"/>
      <c r="AY438" s="1172"/>
      <c r="AZ438" s="1172"/>
      <c r="BA438" s="1273" t="s">
        <v>32</v>
      </c>
      <c r="BB438" s="1274">
        <v>2013</v>
      </c>
      <c r="BC438" s="1273" t="s">
        <v>306</v>
      </c>
      <c r="BD438" s="1273">
        <v>4</v>
      </c>
      <c r="BE438" s="1275">
        <v>897737000</v>
      </c>
      <c r="BF438" s="1239">
        <v>6.6919474747381386E-2</v>
      </c>
      <c r="BG438" s="1236"/>
      <c r="BH438" s="1236" t="s">
        <v>54</v>
      </c>
      <c r="BI438" s="1236" t="s">
        <v>317</v>
      </c>
      <c r="BJ438" s="1236" t="s">
        <v>291</v>
      </c>
      <c r="BK438" s="1236"/>
      <c r="BL438" s="1238">
        <v>22575218.998999998</v>
      </c>
      <c r="BM438" s="1239">
        <v>1.1340626930399618E-2</v>
      </c>
      <c r="BN438" s="1236">
        <v>2004</v>
      </c>
      <c r="BO438" s="174"/>
      <c r="BP438" s="174"/>
      <c r="BQ438" s="174"/>
      <c r="BR438" s="174"/>
      <c r="BS438" s="174"/>
      <c r="BT438" s="174"/>
      <c r="BU438" s="174"/>
      <c r="BV438" s="174"/>
      <c r="BW438" s="174"/>
      <c r="BX438" s="174"/>
    </row>
    <row r="439" spans="1:76" s="152" customFormat="1" ht="15" customHeight="1" x14ac:dyDescent="0.25">
      <c r="A439" s="152">
        <f t="shared" si="12"/>
        <v>2006</v>
      </c>
      <c r="B439" s="152" t="str">
        <f t="shared" si="13"/>
        <v>2006-07</v>
      </c>
      <c r="C439" s="173">
        <v>38961</v>
      </c>
      <c r="D439" s="154">
        <v>0.75662380952380948</v>
      </c>
      <c r="E439" s="155">
        <v>302.37034732389628</v>
      </c>
      <c r="F439" s="155">
        <v>399.63102339351019</v>
      </c>
      <c r="G439" s="155"/>
      <c r="H439" s="155"/>
      <c r="I439" s="156">
        <v>598.18600000000004</v>
      </c>
      <c r="J439" s="156">
        <v>795.58</v>
      </c>
      <c r="K439" s="157"/>
      <c r="L439" s="158"/>
      <c r="M439" s="159">
        <v>31400</v>
      </c>
      <c r="N439" s="159">
        <v>41500.147900132797</v>
      </c>
      <c r="O439" s="175">
        <v>7605.5</v>
      </c>
      <c r="P439" s="175">
        <v>10051.890918931847</v>
      </c>
      <c r="Q439" s="175">
        <v>1411</v>
      </c>
      <c r="R439" s="175">
        <v>1864.8633339836745</v>
      </c>
      <c r="S439" s="175">
        <v>3401</v>
      </c>
      <c r="T439" s="175">
        <v>4494.9682486736192</v>
      </c>
      <c r="U439" s="161">
        <v>839.88385043401354</v>
      </c>
      <c r="V439" s="161">
        <v>1110.0415290428209</v>
      </c>
      <c r="W439" s="161">
        <v>1876.1622292857141</v>
      </c>
      <c r="X439" s="161">
        <v>2479.65</v>
      </c>
      <c r="Y439" s="162"/>
      <c r="Z439" s="162"/>
      <c r="AA439" s="162"/>
      <c r="AB439" s="162"/>
      <c r="AC439" s="163">
        <v>11.677</v>
      </c>
      <c r="AD439" s="163">
        <v>15.68</v>
      </c>
      <c r="AE439" s="163">
        <v>44699</v>
      </c>
      <c r="AF439" s="163">
        <v>59076.914362676303</v>
      </c>
      <c r="AG439" s="163">
        <v>1183.595</v>
      </c>
      <c r="AH439" s="163">
        <v>1564.3110685941936</v>
      </c>
      <c r="AI439" s="163">
        <v>322.976</v>
      </c>
      <c r="AJ439" s="163">
        <v>426.86470599341692</v>
      </c>
      <c r="AK439" s="164">
        <v>62.77</v>
      </c>
      <c r="AL439" s="164">
        <v>82.960645977431085</v>
      </c>
      <c r="AM439" s="164">
        <v>69.73</v>
      </c>
      <c r="AN439" s="164">
        <v>92.159404875040138</v>
      </c>
      <c r="AO439" s="164"/>
      <c r="AP439" s="164"/>
      <c r="AS439" s="167"/>
      <c r="AT439" s="1170"/>
      <c r="AU439" s="1171"/>
      <c r="AV439" s="1171"/>
      <c r="AW439" s="1172"/>
      <c r="AX439" s="1172"/>
      <c r="AY439" s="1172"/>
      <c r="AZ439" s="1172"/>
      <c r="BA439" s="1273" t="s">
        <v>32</v>
      </c>
      <c r="BB439" s="1274">
        <v>2013</v>
      </c>
      <c r="BC439" s="1273" t="s">
        <v>329</v>
      </c>
      <c r="BD439" s="1273">
        <v>5</v>
      </c>
      <c r="BE439" s="1275">
        <v>681104000</v>
      </c>
      <c r="BF439" s="1239">
        <v>5.0771129995021314E-2</v>
      </c>
      <c r="BG439" s="1236"/>
      <c r="BH439" s="1236" t="s">
        <v>54</v>
      </c>
      <c r="BI439" s="1236" t="s">
        <v>317</v>
      </c>
      <c r="BJ439" s="1236" t="s">
        <v>292</v>
      </c>
      <c r="BK439" s="1236"/>
      <c r="BL439" s="1238">
        <v>554259801.17511058</v>
      </c>
      <c r="BM439" s="1239"/>
      <c r="BN439" s="1236">
        <v>2004</v>
      </c>
      <c r="BO439" s="174"/>
      <c r="BP439" s="174"/>
      <c r="BQ439" s="174"/>
      <c r="BR439" s="174"/>
      <c r="BS439" s="174"/>
      <c r="BT439" s="174"/>
      <c r="BU439" s="174"/>
      <c r="BV439" s="174"/>
      <c r="BW439" s="174"/>
      <c r="BX439" s="174"/>
    </row>
    <row r="440" spans="1:76" s="152" customFormat="1" ht="15" customHeight="1" x14ac:dyDescent="0.25">
      <c r="A440" s="152">
        <f t="shared" si="12"/>
        <v>2006</v>
      </c>
      <c r="B440" s="152" t="str">
        <f t="shared" si="13"/>
        <v>2006-07</v>
      </c>
      <c r="C440" s="173">
        <v>38991</v>
      </c>
      <c r="D440" s="169">
        <v>0.75385714285714289</v>
      </c>
      <c r="E440" s="170">
        <v>320.62298142857145</v>
      </c>
      <c r="F440" s="170">
        <v>425.31</v>
      </c>
      <c r="G440" s="170"/>
      <c r="H440" s="170"/>
      <c r="I440" s="169">
        <v>586.61400000000003</v>
      </c>
      <c r="J440" s="169">
        <v>779.94</v>
      </c>
      <c r="K440" s="169"/>
      <c r="L440" s="170"/>
      <c r="M440" s="170">
        <v>32702.95</v>
      </c>
      <c r="N440" s="170">
        <v>43380.831912071255</v>
      </c>
      <c r="O440" s="170">
        <v>7500.39</v>
      </c>
      <c r="P440" s="170">
        <v>9949.3519044911882</v>
      </c>
      <c r="Q440" s="170">
        <v>1531.14</v>
      </c>
      <c r="R440" s="170">
        <v>2031.0744741330302</v>
      </c>
      <c r="S440" s="170">
        <v>3822.95</v>
      </c>
      <c r="T440" s="170">
        <v>5071.1862800833806</v>
      </c>
      <c r="U440" s="170">
        <v>830.8787271428572</v>
      </c>
      <c r="V440" s="170">
        <v>1102.17</v>
      </c>
      <c r="W440" s="170">
        <v>1885.3364057142858</v>
      </c>
      <c r="X440" s="170">
        <v>2500.92</v>
      </c>
      <c r="Y440" s="170"/>
      <c r="Z440" s="170"/>
      <c r="AA440" s="170"/>
      <c r="AB440" s="170"/>
      <c r="AC440" s="170">
        <v>11.558999999999999</v>
      </c>
      <c r="AD440" s="170">
        <v>15.4</v>
      </c>
      <c r="AE440" s="170">
        <v>43059.03</v>
      </c>
      <c r="AF440" s="170">
        <v>57118.2888004548</v>
      </c>
      <c r="AG440" s="170">
        <v>1084</v>
      </c>
      <c r="AH440" s="170">
        <v>1437.9382224748911</v>
      </c>
      <c r="AI440" s="170">
        <v>313.02300000000002</v>
      </c>
      <c r="AJ440" s="170">
        <v>415.22853894258105</v>
      </c>
      <c r="AK440" s="170">
        <v>58.3</v>
      </c>
      <c r="AL440" s="170">
        <v>77.335607352662493</v>
      </c>
      <c r="AM440" s="170">
        <v>63.52</v>
      </c>
      <c r="AN440" s="170">
        <v>84.259996209967781</v>
      </c>
      <c r="AO440" s="170"/>
      <c r="AP440" s="170"/>
      <c r="AS440" s="167"/>
      <c r="AT440" s="1170"/>
      <c r="AU440" s="1171"/>
      <c r="AV440" s="1171"/>
      <c r="AW440" s="1172"/>
      <c r="AX440" s="1172"/>
      <c r="AY440" s="1172"/>
      <c r="AZ440" s="1172"/>
      <c r="BA440" s="1273" t="s">
        <v>32</v>
      </c>
      <c r="BB440" s="1274">
        <v>2013</v>
      </c>
      <c r="BC440" s="1273" t="s">
        <v>314</v>
      </c>
      <c r="BD440" s="1273">
        <v>6</v>
      </c>
      <c r="BE440" s="1275">
        <v>667473000</v>
      </c>
      <c r="BF440" s="1239">
        <v>4.9755042476871167E-2</v>
      </c>
      <c r="BG440" s="1236"/>
      <c r="BH440" s="1276" t="s">
        <v>32</v>
      </c>
      <c r="BI440" s="1276" t="s">
        <v>338</v>
      </c>
      <c r="BJ440" s="1276" t="s">
        <v>314</v>
      </c>
      <c r="BK440" s="1276">
        <v>1</v>
      </c>
      <c r="BL440" s="1277">
        <v>1990650000</v>
      </c>
      <c r="BM440" s="1239">
        <v>0.40179477009806447</v>
      </c>
      <c r="BN440" s="1236">
        <v>2002</v>
      </c>
      <c r="BO440" s="174"/>
      <c r="BP440" s="174"/>
      <c r="BQ440" s="174"/>
      <c r="BR440" s="174"/>
      <c r="BS440" s="174"/>
      <c r="BT440" s="174"/>
      <c r="BU440" s="174"/>
      <c r="BV440" s="174"/>
      <c r="BW440" s="174"/>
      <c r="BX440" s="174"/>
    </row>
    <row r="441" spans="1:76" s="152" customFormat="1" ht="15" customHeight="1" x14ac:dyDescent="0.25">
      <c r="A441" s="152">
        <f t="shared" si="12"/>
        <v>2006</v>
      </c>
      <c r="B441" s="152" t="str">
        <f t="shared" si="13"/>
        <v>2006-07</v>
      </c>
      <c r="C441" s="173">
        <v>39022</v>
      </c>
      <c r="D441" s="154">
        <v>0.77207272727272735</v>
      </c>
      <c r="E441" s="155">
        <v>319.66127127272728</v>
      </c>
      <c r="F441" s="155">
        <v>414.03</v>
      </c>
      <c r="G441" s="155"/>
      <c r="H441" s="155"/>
      <c r="I441" s="156">
        <v>627.827</v>
      </c>
      <c r="J441" s="156">
        <v>812.86</v>
      </c>
      <c r="K441" s="157"/>
      <c r="L441" s="158"/>
      <c r="M441" s="159">
        <v>32113.86</v>
      </c>
      <c r="N441" s="159">
        <v>41594.345798794267</v>
      </c>
      <c r="O441" s="175">
        <v>7029.18</v>
      </c>
      <c r="P441" s="175">
        <v>9104.2977581009782</v>
      </c>
      <c r="Q441" s="175">
        <v>1624.52</v>
      </c>
      <c r="R441" s="175">
        <v>2104.1022984174829</v>
      </c>
      <c r="S441" s="175">
        <v>4382.2299999999996</v>
      </c>
      <c r="T441" s="175">
        <v>5675.9290222305945</v>
      </c>
      <c r="U441" s="161">
        <v>894.23007418181828</v>
      </c>
      <c r="V441" s="161">
        <v>1158.22</v>
      </c>
      <c r="W441" s="161">
        <v>1896.6815825454548</v>
      </c>
      <c r="X441" s="161">
        <v>2456.61</v>
      </c>
      <c r="Y441" s="162"/>
      <c r="Z441" s="162"/>
      <c r="AA441" s="162"/>
      <c r="AB441" s="162"/>
      <c r="AC441" s="163">
        <v>12.930999999999999</v>
      </c>
      <c r="AD441" s="163">
        <v>16.77</v>
      </c>
      <c r="AE441" s="163">
        <v>39476.475000000006</v>
      </c>
      <c r="AF441" s="163">
        <v>51130.513493782972</v>
      </c>
      <c r="AG441" s="163">
        <v>1182.2619999999999</v>
      </c>
      <c r="AH441" s="163">
        <v>1531.2832045968348</v>
      </c>
      <c r="AI441" s="163">
        <v>324.31</v>
      </c>
      <c r="AJ441" s="163">
        <v>420.05110211002255</v>
      </c>
      <c r="AK441" s="164">
        <v>58.48</v>
      </c>
      <c r="AL441" s="164">
        <v>75.744159758854551</v>
      </c>
      <c r="AM441" s="164">
        <v>60.13</v>
      </c>
      <c r="AN441" s="164">
        <v>77.881264129615673</v>
      </c>
      <c r="AO441" s="164"/>
      <c r="AP441" s="164"/>
      <c r="AS441" s="167"/>
      <c r="AT441" s="1170"/>
      <c r="AU441" s="1171"/>
      <c r="AV441" s="1171"/>
      <c r="AW441" s="1172"/>
      <c r="AX441" s="1172"/>
      <c r="AY441" s="1172"/>
      <c r="AZ441" s="1172"/>
      <c r="BA441" s="1273" t="s">
        <v>32</v>
      </c>
      <c r="BB441" s="1274">
        <v>2013</v>
      </c>
      <c r="BC441" s="1273" t="s">
        <v>320</v>
      </c>
      <c r="BD441" s="1273">
        <v>7</v>
      </c>
      <c r="BE441" s="1275">
        <v>203966000</v>
      </c>
      <c r="BF441" s="1239">
        <v>1.5204116112318408E-2</v>
      </c>
      <c r="BG441" s="1236"/>
      <c r="BH441" s="1276" t="s">
        <v>32</v>
      </c>
      <c r="BI441" s="1276" t="s">
        <v>338</v>
      </c>
      <c r="BJ441" s="1276" t="s">
        <v>320</v>
      </c>
      <c r="BK441" s="1276">
        <v>2</v>
      </c>
      <c r="BL441" s="1277">
        <v>904284000</v>
      </c>
      <c r="BM441" s="1239">
        <v>0.18252157932502355</v>
      </c>
      <c r="BN441" s="1236">
        <v>2002</v>
      </c>
      <c r="BO441" s="174"/>
      <c r="BP441" s="174"/>
      <c r="BQ441" s="174"/>
      <c r="BR441" s="174"/>
      <c r="BS441" s="174"/>
      <c r="BT441" s="174"/>
      <c r="BU441" s="174"/>
      <c r="BV441" s="174"/>
      <c r="BW441" s="174"/>
      <c r="BX441" s="174"/>
    </row>
    <row r="442" spans="1:76" s="152" customFormat="1" ht="15" customHeight="1" x14ac:dyDescent="0.25">
      <c r="A442" s="152">
        <f t="shared" si="12"/>
        <v>2006</v>
      </c>
      <c r="B442" s="152" t="str">
        <f t="shared" si="13"/>
        <v>2006-07</v>
      </c>
      <c r="C442" s="173">
        <v>39052</v>
      </c>
      <c r="D442" s="169">
        <v>0.78611052631578937</v>
      </c>
      <c r="E442" s="170">
        <v>327.84739499999995</v>
      </c>
      <c r="F442" s="170">
        <v>417.05</v>
      </c>
      <c r="G442" s="170"/>
      <c r="H442" s="170"/>
      <c r="I442" s="169">
        <v>629.78499999999997</v>
      </c>
      <c r="J442" s="169">
        <v>802.12</v>
      </c>
      <c r="K442" s="169"/>
      <c r="L442" s="170"/>
      <c r="M442" s="170">
        <v>34570.26</v>
      </c>
      <c r="N442" s="170">
        <v>43976.335187900462</v>
      </c>
      <c r="O442" s="170">
        <v>6675.11</v>
      </c>
      <c r="P442" s="170">
        <v>8491.3123238328626</v>
      </c>
      <c r="Q442" s="170">
        <v>1725.5</v>
      </c>
      <c r="R442" s="170">
        <v>2194.9839650243375</v>
      </c>
      <c r="S442" s="170">
        <v>4405.3900000000003</v>
      </c>
      <c r="T442" s="170">
        <v>5604.0338508713803</v>
      </c>
      <c r="U442" s="170">
        <v>945.25860236842095</v>
      </c>
      <c r="V442" s="170">
        <v>1202.45</v>
      </c>
      <c r="W442" s="170">
        <v>1887.3727626315788</v>
      </c>
      <c r="X442" s="170">
        <v>2400.9</v>
      </c>
      <c r="Y442" s="170"/>
      <c r="Z442" s="170"/>
      <c r="AA442" s="170"/>
      <c r="AB442" s="170"/>
      <c r="AC442" s="170">
        <v>13.361000000000001</v>
      </c>
      <c r="AD442" s="170">
        <v>17.02</v>
      </c>
      <c r="AE442" s="170">
        <v>60406.6</v>
      </c>
      <c r="AF442" s="170">
        <v>76842.375184954581</v>
      </c>
      <c r="AG442" s="170">
        <v>1121.3330000000001</v>
      </c>
      <c r="AH442" s="170">
        <v>1426.4317325138427</v>
      </c>
      <c r="AI442" s="170">
        <v>325.94400000000002</v>
      </c>
      <c r="AJ442" s="170">
        <v>414.62871834012901</v>
      </c>
      <c r="AK442" s="170">
        <v>62.32</v>
      </c>
      <c r="AL442" s="170">
        <v>79.276384062774099</v>
      </c>
      <c r="AM442" s="170">
        <v>64.11</v>
      </c>
      <c r="AN442" s="170">
        <v>81.553417558800504</v>
      </c>
      <c r="AO442" s="170"/>
      <c r="AP442" s="170"/>
      <c r="AS442" s="167"/>
      <c r="AT442" s="1170"/>
      <c r="AU442" s="1171"/>
      <c r="AV442" s="1171"/>
      <c r="AW442" s="1172"/>
      <c r="AX442" s="1172"/>
      <c r="AY442" s="1172"/>
      <c r="AZ442" s="1172"/>
      <c r="BA442" s="1273" t="s">
        <v>32</v>
      </c>
      <c r="BB442" s="1274">
        <v>2013</v>
      </c>
      <c r="BC442" s="1273" t="s">
        <v>286</v>
      </c>
      <c r="BD442" s="1273">
        <v>8</v>
      </c>
      <c r="BE442" s="1275">
        <v>166919000</v>
      </c>
      <c r="BF442" s="1239">
        <v>1.2442543646255142E-2</v>
      </c>
      <c r="BG442" s="1236"/>
      <c r="BH442" s="1276" t="s">
        <v>32</v>
      </c>
      <c r="BI442" s="1276" t="s">
        <v>338</v>
      </c>
      <c r="BJ442" s="1276" t="s">
        <v>306</v>
      </c>
      <c r="BK442" s="1276">
        <v>3</v>
      </c>
      <c r="BL442" s="1277">
        <v>533104000</v>
      </c>
      <c r="BM442" s="1239">
        <v>0.10760224003132572</v>
      </c>
      <c r="BN442" s="1236">
        <v>2002</v>
      </c>
      <c r="BO442" s="174"/>
      <c r="BP442" s="174"/>
      <c r="BQ442" s="174"/>
      <c r="BR442" s="174"/>
      <c r="BS442" s="174"/>
      <c r="BT442" s="174"/>
      <c r="BU442" s="174"/>
      <c r="BV442" s="174"/>
      <c r="BW442" s="174"/>
      <c r="BX442" s="174"/>
    </row>
    <row r="443" spans="1:76" s="152" customFormat="1" ht="15" customHeight="1" x14ac:dyDescent="0.25">
      <c r="A443" s="152">
        <f t="shared" si="12"/>
        <v>2007</v>
      </c>
      <c r="B443" s="152" t="str">
        <f t="shared" si="13"/>
        <v>2006-07</v>
      </c>
      <c r="C443" s="173">
        <v>39083</v>
      </c>
      <c r="D443" s="154">
        <v>0.78389999999999982</v>
      </c>
      <c r="E443" s="155">
        <v>309.95869276506932</v>
      </c>
      <c r="F443" s="155">
        <v>395.40590989293202</v>
      </c>
      <c r="G443" s="155"/>
      <c r="H443" s="155"/>
      <c r="I443" s="156">
        <v>630.83600000000001</v>
      </c>
      <c r="J443" s="156">
        <v>806.62</v>
      </c>
      <c r="K443" s="157"/>
      <c r="L443" s="158"/>
      <c r="M443" s="159">
        <v>36811.14</v>
      </c>
      <c r="N443" s="159">
        <v>46958.974358974367</v>
      </c>
      <c r="O443" s="175">
        <v>5669.66</v>
      </c>
      <c r="P443" s="175">
        <v>7232.6317132287295</v>
      </c>
      <c r="Q443" s="175">
        <v>1666.09</v>
      </c>
      <c r="R443" s="175">
        <v>2125.3858910575332</v>
      </c>
      <c r="S443" s="175">
        <v>3786.68</v>
      </c>
      <c r="T443" s="175">
        <v>4830.5651231024376</v>
      </c>
      <c r="U443" s="161">
        <v>915.36002999999982</v>
      </c>
      <c r="V443" s="161">
        <v>1167.7</v>
      </c>
      <c r="W443" s="161">
        <v>1900.3043897817329</v>
      </c>
      <c r="X443" s="161">
        <v>2424.1668449824383</v>
      </c>
      <c r="Y443" s="162"/>
      <c r="Z443" s="162"/>
      <c r="AA443" s="162"/>
      <c r="AB443" s="162"/>
      <c r="AC443" s="163">
        <v>12.839</v>
      </c>
      <c r="AD443" s="163">
        <v>16.440000000000001</v>
      </c>
      <c r="AE443" s="163">
        <v>50912.9</v>
      </c>
      <c r="AF443" s="163">
        <v>64948.207679550978</v>
      </c>
      <c r="AG443" s="163">
        <v>1149.0530000000001</v>
      </c>
      <c r="AH443" s="163">
        <v>1465.8157928307187</v>
      </c>
      <c r="AI443" s="163">
        <v>338.15800000000002</v>
      </c>
      <c r="AJ443" s="163">
        <v>431.37900242377867</v>
      </c>
      <c r="AK443" s="164">
        <v>54.3</v>
      </c>
      <c r="AL443" s="164">
        <v>69.269039418293161</v>
      </c>
      <c r="AM443" s="164">
        <v>59.14</v>
      </c>
      <c r="AN443" s="164">
        <v>75.44329633881874</v>
      </c>
      <c r="AO443" s="164"/>
      <c r="AP443" s="164"/>
      <c r="AS443" s="167"/>
      <c r="AT443" s="1170"/>
      <c r="AU443" s="1171"/>
      <c r="AV443" s="1171"/>
      <c r="AW443" s="1172"/>
      <c r="AX443" s="1172"/>
      <c r="AY443" s="1172"/>
      <c r="AZ443" s="1172"/>
      <c r="BA443" s="1273" t="s">
        <v>32</v>
      </c>
      <c r="BB443" s="1274">
        <v>2013</v>
      </c>
      <c r="BC443" s="1273" t="s">
        <v>335</v>
      </c>
      <c r="BD443" s="1273">
        <v>9</v>
      </c>
      <c r="BE443" s="1275">
        <v>81625000</v>
      </c>
      <c r="BF443" s="1239">
        <v>6.08452378174789E-3</v>
      </c>
      <c r="BG443" s="1236"/>
      <c r="BH443" s="1276" t="s">
        <v>32</v>
      </c>
      <c r="BI443" s="1276" t="s">
        <v>338</v>
      </c>
      <c r="BJ443" s="1276" t="s">
        <v>308</v>
      </c>
      <c r="BK443" s="1276">
        <v>4</v>
      </c>
      <c r="BL443" s="1277">
        <v>274448000</v>
      </c>
      <c r="BM443" s="1239">
        <v>5.5394856486008885E-2</v>
      </c>
      <c r="BN443" s="1236">
        <v>2002</v>
      </c>
      <c r="BO443" s="174"/>
      <c r="BP443" s="174"/>
      <c r="BQ443" s="174"/>
      <c r="BR443" s="174"/>
      <c r="BS443" s="174"/>
      <c r="BT443" s="174"/>
      <c r="BU443" s="174"/>
      <c r="BV443" s="174"/>
      <c r="BW443" s="174"/>
      <c r="BX443" s="174"/>
    </row>
    <row r="444" spans="1:76" s="152" customFormat="1" ht="15" customHeight="1" x14ac:dyDescent="0.25">
      <c r="A444" s="152">
        <f t="shared" si="12"/>
        <v>2007</v>
      </c>
      <c r="B444" s="152" t="str">
        <f t="shared" si="13"/>
        <v>2006-07</v>
      </c>
      <c r="C444" s="173">
        <v>39114</v>
      </c>
      <c r="D444" s="169">
        <v>0.78227999999999998</v>
      </c>
      <c r="E444" s="170">
        <v>323.13906475868367</v>
      </c>
      <c r="F444" s="170">
        <v>413.07340691144304</v>
      </c>
      <c r="G444" s="170"/>
      <c r="H444" s="170"/>
      <c r="I444" s="169">
        <v>664.745</v>
      </c>
      <c r="J444" s="169">
        <v>849.57</v>
      </c>
      <c r="K444" s="169"/>
      <c r="L444" s="170"/>
      <c r="M444" s="170">
        <v>41184.25</v>
      </c>
      <c r="N444" s="170">
        <v>52646.430945441534</v>
      </c>
      <c r="O444" s="170">
        <v>5676.45</v>
      </c>
      <c r="P444" s="170">
        <v>7256.2893081761003</v>
      </c>
      <c r="Q444" s="170">
        <v>1779.6</v>
      </c>
      <c r="R444" s="170">
        <v>2274.8887866237151</v>
      </c>
      <c r="S444" s="170">
        <v>3309.5</v>
      </c>
      <c r="T444" s="170">
        <v>4230.5824001636247</v>
      </c>
      <c r="U444" s="170">
        <v>874.89959524492031</v>
      </c>
      <c r="V444" s="170">
        <v>1118.3969873254082</v>
      </c>
      <c r="W444" s="170">
        <v>1873.353381695011</v>
      </c>
      <c r="X444" s="170">
        <v>2394.7351098008526</v>
      </c>
      <c r="Y444" s="170"/>
      <c r="Z444" s="170"/>
      <c r="AA444" s="170"/>
      <c r="AB444" s="170"/>
      <c r="AC444" s="170">
        <v>13.91</v>
      </c>
      <c r="AD444" s="170">
        <v>17.82</v>
      </c>
      <c r="AE444" s="170">
        <v>56562.3</v>
      </c>
      <c r="AF444" s="170">
        <v>72304.417855499312</v>
      </c>
      <c r="AG444" s="170">
        <v>1204.55</v>
      </c>
      <c r="AH444" s="170">
        <v>1539.7939356752058</v>
      </c>
      <c r="AI444" s="170">
        <v>341.81299999999999</v>
      </c>
      <c r="AJ444" s="170">
        <v>436.94457227591141</v>
      </c>
      <c r="AK444" s="170">
        <v>57.76</v>
      </c>
      <c r="AL444" s="170">
        <v>73.835455335685438</v>
      </c>
      <c r="AM444" s="170">
        <v>64.14</v>
      </c>
      <c r="AN444" s="170">
        <v>81.991102929897224</v>
      </c>
      <c r="AO444" s="170"/>
      <c r="AP444" s="170"/>
      <c r="AS444" s="167"/>
      <c r="AT444" s="1170"/>
      <c r="AU444" s="1171"/>
      <c r="AV444" s="1171"/>
      <c r="AW444" s="1172"/>
      <c r="AX444" s="1172"/>
      <c r="AY444" s="1172"/>
      <c r="AZ444" s="1172"/>
      <c r="BA444" s="1273" t="s">
        <v>32</v>
      </c>
      <c r="BB444" s="1274">
        <v>2013</v>
      </c>
      <c r="BC444" s="1273" t="s">
        <v>330</v>
      </c>
      <c r="BD444" s="1273">
        <v>10</v>
      </c>
      <c r="BE444" s="1275">
        <v>45445000</v>
      </c>
      <c r="BF444" s="1239">
        <v>3.3875795805394528E-3</v>
      </c>
      <c r="BG444" s="1236"/>
      <c r="BH444" s="1276" t="s">
        <v>32</v>
      </c>
      <c r="BI444" s="1276" t="s">
        <v>338</v>
      </c>
      <c r="BJ444" s="1276" t="s">
        <v>327</v>
      </c>
      <c r="BK444" s="1276">
        <v>5</v>
      </c>
      <c r="BL444" s="1277">
        <v>253703000</v>
      </c>
      <c r="BM444" s="1239">
        <v>5.1207665113500236E-2</v>
      </c>
      <c r="BN444" s="1236">
        <v>2002</v>
      </c>
      <c r="BO444" s="174"/>
      <c r="BP444" s="174"/>
      <c r="BQ444" s="174"/>
      <c r="BR444" s="174"/>
      <c r="BS444" s="174"/>
      <c r="BT444" s="174"/>
      <c r="BU444" s="174"/>
      <c r="BV444" s="174"/>
      <c r="BW444" s="174"/>
      <c r="BX444" s="174"/>
    </row>
    <row r="445" spans="1:76" s="152" customFormat="1" ht="15" customHeight="1" x14ac:dyDescent="0.25">
      <c r="A445" s="152">
        <f t="shared" si="12"/>
        <v>2007</v>
      </c>
      <c r="B445" s="152" t="str">
        <f t="shared" si="13"/>
        <v>2006-07</v>
      </c>
      <c r="C445" s="173">
        <v>39142</v>
      </c>
      <c r="D445" s="154">
        <v>0.79192272727272706</v>
      </c>
      <c r="E445" s="155">
        <v>310.83264501104611</v>
      </c>
      <c r="F445" s="155">
        <v>392.50375611962926</v>
      </c>
      <c r="G445" s="155"/>
      <c r="H445" s="155"/>
      <c r="I445" s="156">
        <v>654.89499999999998</v>
      </c>
      <c r="J445" s="156">
        <v>828.07</v>
      </c>
      <c r="K445" s="157"/>
      <c r="L445" s="158"/>
      <c r="M445" s="159">
        <v>46324.77</v>
      </c>
      <c r="N445" s="159">
        <v>58496.578522927528</v>
      </c>
      <c r="O445" s="175">
        <v>6452.48</v>
      </c>
      <c r="P445" s="175">
        <v>8147.8656664160317</v>
      </c>
      <c r="Q445" s="175">
        <v>1914.05</v>
      </c>
      <c r="R445" s="175">
        <v>2416.9656130361668</v>
      </c>
      <c r="S445" s="175">
        <v>3271.3</v>
      </c>
      <c r="T445" s="175">
        <v>4130.832324090391</v>
      </c>
      <c r="U445" s="161">
        <v>887.81971659907515</v>
      </c>
      <c r="V445" s="161">
        <v>1121.0938719445571</v>
      </c>
      <c r="W445" s="161">
        <v>1892.8697214635886</v>
      </c>
      <c r="X445" s="161">
        <v>2390.2202276507096</v>
      </c>
      <c r="Y445" s="162"/>
      <c r="Z445" s="162"/>
      <c r="AA445" s="162"/>
      <c r="AB445" s="162"/>
      <c r="AC445" s="163">
        <v>13.183999999999999</v>
      </c>
      <c r="AD445" s="163">
        <v>16.72</v>
      </c>
      <c r="AE445" s="163">
        <v>65367</v>
      </c>
      <c r="AF445" s="163">
        <v>82542.144263386595</v>
      </c>
      <c r="AG445" s="163">
        <v>1218.818</v>
      </c>
      <c r="AH445" s="163">
        <v>1539.0617771476789</v>
      </c>
      <c r="AI445" s="163">
        <v>350.125</v>
      </c>
      <c r="AJ445" s="163">
        <v>442.12015635134293</v>
      </c>
      <c r="AK445" s="164">
        <v>62.14</v>
      </c>
      <c r="AL445" s="164">
        <v>78.467251740585368</v>
      </c>
      <c r="AM445" s="164">
        <v>67.31</v>
      </c>
      <c r="AN445" s="164">
        <v>84.995666473427761</v>
      </c>
      <c r="AO445" s="164"/>
      <c r="AP445" s="164"/>
      <c r="AS445" s="167"/>
      <c r="AT445" s="1170"/>
      <c r="AU445" s="1171"/>
      <c r="AV445" s="1171"/>
      <c r="AW445" s="1172"/>
      <c r="AX445" s="1172"/>
      <c r="AY445" s="1172"/>
      <c r="AZ445" s="1172"/>
      <c r="BA445" s="1273" t="s">
        <v>32</v>
      </c>
      <c r="BB445" s="1274">
        <v>2013</v>
      </c>
      <c r="BC445" s="1273" t="s">
        <v>291</v>
      </c>
      <c r="BD445" s="1273"/>
      <c r="BE445" s="1275">
        <v>93417000</v>
      </c>
      <c r="BF445" s="1239">
        <v>6.9635278176973063E-3</v>
      </c>
      <c r="BG445" s="1236"/>
      <c r="BH445" s="1276" t="s">
        <v>32</v>
      </c>
      <c r="BI445" s="1276" t="s">
        <v>338</v>
      </c>
      <c r="BJ445" s="1276" t="s">
        <v>287</v>
      </c>
      <c r="BK445" s="1276">
        <v>6</v>
      </c>
      <c r="BL445" s="1277">
        <v>411938000</v>
      </c>
      <c r="BM445" s="1239">
        <v>8.3145974432801584E-2</v>
      </c>
      <c r="BN445" s="1236">
        <v>2002</v>
      </c>
      <c r="BO445" s="174"/>
      <c r="BP445" s="174"/>
      <c r="BQ445" s="174"/>
      <c r="BR445" s="174"/>
      <c r="BS445" s="174"/>
      <c r="BT445" s="174"/>
      <c r="BU445" s="174"/>
      <c r="BV445" s="174"/>
      <c r="BW445" s="174"/>
      <c r="BX445" s="174"/>
    </row>
    <row r="446" spans="1:76" s="152" customFormat="1" ht="15" customHeight="1" x14ac:dyDescent="0.25">
      <c r="A446" s="152">
        <f t="shared" si="12"/>
        <v>2007</v>
      </c>
      <c r="B446" s="152" t="str">
        <f t="shared" si="13"/>
        <v>2006-07</v>
      </c>
      <c r="C446" s="173">
        <v>39173</v>
      </c>
      <c r="D446" s="169">
        <v>0.82626111111111111</v>
      </c>
      <c r="E446" s="170">
        <v>333.04123768344863</v>
      </c>
      <c r="F446" s="170">
        <v>403.07020771629061</v>
      </c>
      <c r="G446" s="170"/>
      <c r="H446" s="170"/>
      <c r="I446" s="169">
        <v>679.07500000000005</v>
      </c>
      <c r="J446" s="169">
        <v>821.42</v>
      </c>
      <c r="K446" s="169"/>
      <c r="L446" s="170"/>
      <c r="M446" s="170">
        <v>50266.84</v>
      </c>
      <c r="N446" s="170">
        <v>60836.507157409207</v>
      </c>
      <c r="O446" s="170">
        <v>7766.47</v>
      </c>
      <c r="P446" s="170">
        <v>9399.5347179731998</v>
      </c>
      <c r="Q446" s="170">
        <v>2000.95</v>
      </c>
      <c r="R446" s="170">
        <v>2421.6920935674088</v>
      </c>
      <c r="S446" s="170">
        <v>3557.47</v>
      </c>
      <c r="T446" s="170">
        <v>4305.5033719499479</v>
      </c>
      <c r="U446" s="170">
        <v>868.47323902807454</v>
      </c>
      <c r="V446" s="170">
        <v>1051.0881213569387</v>
      </c>
      <c r="W446" s="170">
        <v>1900.4437690147322</v>
      </c>
      <c r="X446" s="170">
        <v>2300.0523000037101</v>
      </c>
      <c r="Y446" s="170"/>
      <c r="Z446" s="170"/>
      <c r="AA446" s="170"/>
      <c r="AB446" s="170"/>
      <c r="AC446" s="170">
        <v>13.731</v>
      </c>
      <c r="AD446" s="170">
        <v>16.62</v>
      </c>
      <c r="AE446" s="170">
        <v>67792.100000000006</v>
      </c>
      <c r="AF446" s="170">
        <v>82046.824046743364</v>
      </c>
      <c r="AG446" s="170">
        <v>1276.8499999999999</v>
      </c>
      <c r="AH446" s="170">
        <v>1545.3347408338768</v>
      </c>
      <c r="AI446" s="170">
        <v>367.3</v>
      </c>
      <c r="AJ446" s="170">
        <v>444.53259999865526</v>
      </c>
      <c r="AK446" s="170">
        <v>67.400000000000006</v>
      </c>
      <c r="AL446" s="170">
        <v>81.572276721778834</v>
      </c>
      <c r="AM446" s="170">
        <v>74.19</v>
      </c>
      <c r="AN446" s="170">
        <v>89.790017952355655</v>
      </c>
      <c r="AO446" s="170"/>
      <c r="AP446" s="170"/>
      <c r="AS446" s="167"/>
      <c r="AT446" s="1170"/>
      <c r="AU446" s="1171"/>
      <c r="AV446" s="1171"/>
      <c r="AW446" s="1172"/>
      <c r="AX446" s="1172"/>
      <c r="AY446" s="1172"/>
      <c r="AZ446" s="1172"/>
      <c r="BA446" s="1273" t="s">
        <v>32</v>
      </c>
      <c r="BB446" s="1274">
        <v>2013</v>
      </c>
      <c r="BC446" s="1273" t="s">
        <v>292</v>
      </c>
      <c r="BD446" s="1273"/>
      <c r="BE446" s="1275">
        <v>13415183000</v>
      </c>
      <c r="BF446" s="1239">
        <v>1</v>
      </c>
      <c r="BG446" s="1236"/>
      <c r="BH446" s="1276" t="s">
        <v>32</v>
      </c>
      <c r="BI446" s="1276" t="s">
        <v>338</v>
      </c>
      <c r="BJ446" s="1276" t="s">
        <v>315</v>
      </c>
      <c r="BK446" s="1276">
        <v>7</v>
      </c>
      <c r="BL446" s="1277">
        <v>166503000</v>
      </c>
      <c r="BM446" s="1239">
        <v>3.360713063855425E-2</v>
      </c>
      <c r="BN446" s="1236">
        <v>2002</v>
      </c>
      <c r="BO446" s="174"/>
      <c r="BP446" s="174"/>
      <c r="BQ446" s="174"/>
      <c r="BR446" s="174"/>
      <c r="BS446" s="174"/>
      <c r="BT446" s="174"/>
      <c r="BU446" s="174"/>
      <c r="BV446" s="174"/>
      <c r="BW446" s="174"/>
      <c r="BX446" s="174"/>
    </row>
    <row r="447" spans="1:76" s="152" customFormat="1" ht="15" customHeight="1" x14ac:dyDescent="0.25">
      <c r="A447" s="152">
        <f t="shared" si="12"/>
        <v>2007</v>
      </c>
      <c r="B447" s="152" t="str">
        <f t="shared" si="13"/>
        <v>2006-07</v>
      </c>
      <c r="C447" s="173">
        <v>39203</v>
      </c>
      <c r="D447" s="154">
        <v>0.82517391304347809</v>
      </c>
      <c r="E447" s="155">
        <v>335.6973832431496</v>
      </c>
      <c r="F447" s="155">
        <v>406.82015989211459</v>
      </c>
      <c r="G447" s="155"/>
      <c r="H447" s="155"/>
      <c r="I447" s="156">
        <v>666.86</v>
      </c>
      <c r="J447" s="156">
        <v>810.86</v>
      </c>
      <c r="K447" s="157"/>
      <c r="L447" s="158"/>
      <c r="M447" s="159">
        <v>52179.05</v>
      </c>
      <c r="N447" s="159">
        <v>63234.003372148181</v>
      </c>
      <c r="O447" s="175">
        <v>7682.17</v>
      </c>
      <c r="P447" s="175">
        <v>9309.7586806470335</v>
      </c>
      <c r="Q447" s="175">
        <v>2100.64</v>
      </c>
      <c r="R447" s="175">
        <v>2545.6936614152487</v>
      </c>
      <c r="S447" s="175">
        <v>3830.29</v>
      </c>
      <c r="T447" s="175">
        <v>4641.7972495916547</v>
      </c>
      <c r="U447" s="161">
        <v>883.20751499794096</v>
      </c>
      <c r="V447" s="161">
        <v>1070.3289343459953</v>
      </c>
      <c r="W447" s="161">
        <v>1874.6302323429918</v>
      </c>
      <c r="X447" s="161">
        <v>2271.8001656509205</v>
      </c>
      <c r="Y447" s="162"/>
      <c r="Z447" s="162"/>
      <c r="AA447" s="162"/>
      <c r="AB447" s="162"/>
      <c r="AC447" s="163">
        <v>13.146000000000001</v>
      </c>
      <c r="AD447" s="163">
        <v>15.99</v>
      </c>
      <c r="AE447" s="163">
        <v>64829.599999999999</v>
      </c>
      <c r="AF447" s="163">
        <v>78564.771589651733</v>
      </c>
      <c r="AG447" s="163">
        <v>1301.3330000000001</v>
      </c>
      <c r="AH447" s="163">
        <v>1577.0408872964861</v>
      </c>
      <c r="AI447" s="163">
        <v>367.19</v>
      </c>
      <c r="AJ447" s="163">
        <v>444.98498340270834</v>
      </c>
      <c r="AK447" s="164">
        <v>67.48</v>
      </c>
      <c r="AL447" s="164">
        <v>81.776700563781048</v>
      </c>
      <c r="AM447" s="164">
        <v>75.87</v>
      </c>
      <c r="AN447" s="164">
        <v>91.944254175667865</v>
      </c>
      <c r="AO447" s="164"/>
      <c r="AP447" s="164"/>
      <c r="AS447" s="167"/>
      <c r="AT447" s="1170"/>
      <c r="AU447" s="1171"/>
      <c r="AV447" s="1171"/>
      <c r="AW447" s="1172"/>
      <c r="AX447" s="1172"/>
      <c r="AY447" s="1172"/>
      <c r="AZ447" s="1172"/>
      <c r="BA447" s="1278" t="s">
        <v>32</v>
      </c>
      <c r="BB447" s="1279">
        <v>2014</v>
      </c>
      <c r="BC447" s="1278" t="s">
        <v>281</v>
      </c>
      <c r="BD447" s="1278">
        <v>1</v>
      </c>
      <c r="BE447" s="1280">
        <v>7047955000</v>
      </c>
      <c r="BF447" s="1239">
        <v>0.54178576279702217</v>
      </c>
      <c r="BG447" s="1236"/>
      <c r="BH447" s="1276" t="s">
        <v>32</v>
      </c>
      <c r="BI447" s="1276" t="s">
        <v>338</v>
      </c>
      <c r="BJ447" s="1276" t="s">
        <v>323</v>
      </c>
      <c r="BK447" s="1276">
        <v>8</v>
      </c>
      <c r="BL447" s="1277">
        <v>261687000</v>
      </c>
      <c r="BM447" s="1239">
        <v>5.2819163591114555E-2</v>
      </c>
      <c r="BN447" s="1236">
        <v>2002</v>
      </c>
      <c r="BO447" s="174"/>
      <c r="BP447" s="174"/>
      <c r="BQ447" s="174"/>
      <c r="BR447" s="174"/>
      <c r="BS447" s="174"/>
      <c r="BT447" s="174"/>
      <c r="BU447" s="174"/>
      <c r="BV447" s="174"/>
      <c r="BW447" s="174"/>
      <c r="BX447" s="174"/>
    </row>
    <row r="448" spans="1:76" s="152" customFormat="1" ht="15" customHeight="1" x14ac:dyDescent="0.25">
      <c r="A448" s="152">
        <f t="shared" si="12"/>
        <v>2007</v>
      </c>
      <c r="B448" s="152" t="str">
        <f t="shared" si="13"/>
        <v>2006-07</v>
      </c>
      <c r="C448" s="173">
        <v>39234</v>
      </c>
      <c r="D448" s="169">
        <v>0.84226000000000012</v>
      </c>
      <c r="E448" s="170">
        <v>331.07578232326176</v>
      </c>
      <c r="F448" s="170">
        <v>393.08026301054508</v>
      </c>
      <c r="G448" s="170"/>
      <c r="H448" s="170"/>
      <c r="I448" s="169">
        <v>655.49</v>
      </c>
      <c r="J448" s="169">
        <v>781.62</v>
      </c>
      <c r="K448" s="169"/>
      <c r="L448" s="170"/>
      <c r="M448" s="170">
        <v>41718.57</v>
      </c>
      <c r="N448" s="170">
        <v>49531.700425046889</v>
      </c>
      <c r="O448" s="170">
        <v>7475.88</v>
      </c>
      <c r="P448" s="170">
        <v>8875.976539310901</v>
      </c>
      <c r="Q448" s="170">
        <v>2425.98</v>
      </c>
      <c r="R448" s="170">
        <v>2880.3219908341839</v>
      </c>
      <c r="S448" s="170">
        <v>3603.26</v>
      </c>
      <c r="T448" s="170">
        <v>4278.0851518533464</v>
      </c>
      <c r="U448" s="170">
        <v>884.32928538702481</v>
      </c>
      <c r="V448" s="170">
        <v>1049.9480984340046</v>
      </c>
      <c r="W448" s="170">
        <v>1853.1983780139433</v>
      </c>
      <c r="X448" s="170">
        <v>2200.2687745042422</v>
      </c>
      <c r="Y448" s="170"/>
      <c r="Z448" s="170"/>
      <c r="AA448" s="170"/>
      <c r="AB448" s="170"/>
      <c r="AC448" s="170">
        <v>13.144</v>
      </c>
      <c r="AD448" s="170">
        <v>15.78</v>
      </c>
      <c r="AE448" s="170">
        <v>62335.6</v>
      </c>
      <c r="AF448" s="170">
        <v>74009.925676157</v>
      </c>
      <c r="AG448" s="170">
        <v>1286.095</v>
      </c>
      <c r="AH448" s="170">
        <v>1526.9572341082323</v>
      </c>
      <c r="AI448" s="170">
        <v>368.66699999999997</v>
      </c>
      <c r="AJ448" s="170">
        <v>437.71163298743846</v>
      </c>
      <c r="AK448" s="170">
        <v>71.319999999999993</v>
      </c>
      <c r="AL448" s="170">
        <v>84.676940612162497</v>
      </c>
      <c r="AM448" s="170">
        <v>75.400000000000006</v>
      </c>
      <c r="AN448" s="170">
        <v>89.521050506969345</v>
      </c>
      <c r="AO448" s="170"/>
      <c r="AP448" s="170"/>
      <c r="AS448" s="167"/>
      <c r="AT448" s="1170"/>
      <c r="AU448" s="1171"/>
      <c r="AV448" s="1171"/>
      <c r="AW448" s="1172"/>
      <c r="AX448" s="1172"/>
      <c r="AY448" s="1172"/>
      <c r="AZ448" s="1172"/>
      <c r="BA448" s="1278" t="s">
        <v>32</v>
      </c>
      <c r="BB448" s="1279">
        <v>2014</v>
      </c>
      <c r="BC448" s="1278" t="s">
        <v>306</v>
      </c>
      <c r="BD448" s="1278">
        <v>2</v>
      </c>
      <c r="BE448" s="1280">
        <v>3165716000</v>
      </c>
      <c r="BF448" s="1239">
        <v>0.24335283892401952</v>
      </c>
      <c r="BG448" s="1236"/>
      <c r="BH448" s="1276" t="s">
        <v>32</v>
      </c>
      <c r="BI448" s="1276" t="s">
        <v>338</v>
      </c>
      <c r="BJ448" s="1276" t="s">
        <v>279</v>
      </c>
      <c r="BK448" s="1276">
        <v>9</v>
      </c>
      <c r="BL448" s="1277">
        <v>53535000</v>
      </c>
      <c r="BM448" s="1239">
        <v>1.0805557489865059E-2</v>
      </c>
      <c r="BN448" s="1236">
        <v>2002</v>
      </c>
      <c r="BO448" s="174"/>
      <c r="BP448" s="174"/>
      <c r="BQ448" s="174"/>
      <c r="BR448" s="174"/>
      <c r="BS448" s="174"/>
      <c r="BT448" s="174"/>
      <c r="BU448" s="174"/>
      <c r="BV448" s="174"/>
      <c r="BW448" s="174"/>
      <c r="BX448" s="174"/>
    </row>
    <row r="449" spans="1:76" s="152" customFormat="1" ht="15" customHeight="1" x14ac:dyDescent="0.25">
      <c r="A449" s="152">
        <f t="shared" si="12"/>
        <v>2007</v>
      </c>
      <c r="B449" s="152" t="str">
        <f t="shared" si="13"/>
        <v>2007-08</v>
      </c>
      <c r="C449" s="173">
        <v>39264</v>
      </c>
      <c r="D449" s="154">
        <v>0.86752272727272695</v>
      </c>
      <c r="E449" s="155">
        <v>324.07473778660631</v>
      </c>
      <c r="F449" s="155">
        <v>373.56339793588546</v>
      </c>
      <c r="G449" s="155"/>
      <c r="H449" s="155"/>
      <c r="I449" s="156">
        <v>665.29499999999996</v>
      </c>
      <c r="J449" s="156">
        <v>766.51</v>
      </c>
      <c r="K449" s="157"/>
      <c r="L449" s="158"/>
      <c r="M449" s="159">
        <v>33425.68</v>
      </c>
      <c r="N449" s="159">
        <v>38530.03379528963</v>
      </c>
      <c r="O449" s="175">
        <v>7973.91</v>
      </c>
      <c r="P449" s="175">
        <v>9191.5862827801247</v>
      </c>
      <c r="Q449" s="175">
        <v>3083.55</v>
      </c>
      <c r="R449" s="175">
        <v>3554.4313746037583</v>
      </c>
      <c r="S449" s="175">
        <v>3546.91</v>
      </c>
      <c r="T449" s="175">
        <v>4088.5499462943085</v>
      </c>
      <c r="U449" s="161">
        <v>929.75181160914462</v>
      </c>
      <c r="V449" s="161">
        <v>1071.7319355217935</v>
      </c>
      <c r="W449" s="161">
        <v>1913.3864329528233</v>
      </c>
      <c r="X449" s="161">
        <v>2205.5749927935935</v>
      </c>
      <c r="Y449" s="162"/>
      <c r="Z449" s="162"/>
      <c r="AA449" s="162"/>
      <c r="AB449" s="162"/>
      <c r="AC449" s="163">
        <v>12.909000000000001</v>
      </c>
      <c r="AD449" s="163">
        <v>14.92</v>
      </c>
      <c r="AE449" s="163">
        <v>58698.1</v>
      </c>
      <c r="AF449" s="163">
        <v>67661.743208194734</v>
      </c>
      <c r="AG449" s="163">
        <v>1303.114</v>
      </c>
      <c r="AH449" s="163">
        <v>1502.1093500301281</v>
      </c>
      <c r="AI449" s="163">
        <v>366.15899999999999</v>
      </c>
      <c r="AJ449" s="163">
        <v>422.07424484556356</v>
      </c>
      <c r="AK449" s="164">
        <v>77.2</v>
      </c>
      <c r="AL449" s="164">
        <v>88.989023080349</v>
      </c>
      <c r="AM449" s="164">
        <v>77.11</v>
      </c>
      <c r="AN449" s="164">
        <v>88.885279400592111</v>
      </c>
      <c r="AO449" s="164"/>
      <c r="AP449" s="164"/>
      <c r="AS449" s="167"/>
      <c r="AT449" s="1170"/>
      <c r="AU449" s="1171"/>
      <c r="AV449" s="1171"/>
      <c r="AW449" s="1172"/>
      <c r="AX449" s="1172"/>
      <c r="AY449" s="1172"/>
      <c r="AZ449" s="1172"/>
      <c r="BA449" s="1278" t="s">
        <v>32</v>
      </c>
      <c r="BB449" s="1279">
        <v>2014</v>
      </c>
      <c r="BC449" s="1278" t="s">
        <v>314</v>
      </c>
      <c r="BD449" s="1278">
        <v>3</v>
      </c>
      <c r="BE449" s="1280">
        <v>873594000</v>
      </c>
      <c r="BF449" s="1239">
        <v>6.7154343588303536E-2</v>
      </c>
      <c r="BG449" s="1236"/>
      <c r="BH449" s="1276" t="s">
        <v>32</v>
      </c>
      <c r="BI449" s="1276" t="s">
        <v>338</v>
      </c>
      <c r="BJ449" s="1276" t="s">
        <v>290</v>
      </c>
      <c r="BK449" s="1276">
        <v>10</v>
      </c>
      <c r="BL449" s="1277">
        <v>27299000</v>
      </c>
      <c r="BM449" s="1239">
        <v>5.5100572320131921E-3</v>
      </c>
      <c r="BN449" s="1236">
        <v>2002</v>
      </c>
      <c r="BO449" s="174"/>
      <c r="BP449" s="174"/>
      <c r="BQ449" s="174"/>
      <c r="BR449" s="174"/>
      <c r="BS449" s="174"/>
      <c r="BT449" s="174"/>
      <c r="BU449" s="174"/>
      <c r="BV449" s="174"/>
      <c r="BW449" s="174"/>
      <c r="BX449" s="174"/>
    </row>
    <row r="450" spans="1:76" s="152" customFormat="1" ht="15" customHeight="1" x14ac:dyDescent="0.25">
      <c r="A450" s="152">
        <f t="shared" si="12"/>
        <v>2007</v>
      </c>
      <c r="B450" s="152" t="str">
        <f t="shared" si="13"/>
        <v>2007-08</v>
      </c>
      <c r="C450" s="173">
        <v>39295</v>
      </c>
      <c r="D450" s="169">
        <v>0.82817272727272728</v>
      </c>
      <c r="E450" s="170">
        <v>335.2561208351861</v>
      </c>
      <c r="F450" s="170">
        <v>404.81424924390467</v>
      </c>
      <c r="G450" s="170"/>
      <c r="H450" s="170"/>
      <c r="I450" s="169">
        <v>665.41099999999994</v>
      </c>
      <c r="J450" s="169">
        <v>799.62</v>
      </c>
      <c r="K450" s="169"/>
      <c r="L450" s="170"/>
      <c r="M450" s="170">
        <v>27652.27</v>
      </c>
      <c r="N450" s="170">
        <v>33389.496042766659</v>
      </c>
      <c r="O450" s="170">
        <v>7513.5</v>
      </c>
      <c r="P450" s="170">
        <v>9072.382792346787</v>
      </c>
      <c r="Q450" s="170">
        <v>3119.45</v>
      </c>
      <c r="R450" s="170">
        <v>3766.6659348620728</v>
      </c>
      <c r="S450" s="170">
        <v>3252.52</v>
      </c>
      <c r="T450" s="170">
        <v>3927.3449763444164</v>
      </c>
      <c r="U450" s="170">
        <v>875.70121121944646</v>
      </c>
      <c r="V450" s="170">
        <v>1057.3895787455308</v>
      </c>
      <c r="W450" s="170">
        <v>1891.8092677521415</v>
      </c>
      <c r="X450" s="170">
        <v>2284.3172751922148</v>
      </c>
      <c r="Y450" s="170"/>
      <c r="Z450" s="170"/>
      <c r="AA450" s="170"/>
      <c r="AB450" s="170"/>
      <c r="AC450" s="170">
        <v>12.363</v>
      </c>
      <c r="AD450" s="170">
        <v>14.94</v>
      </c>
      <c r="AE450" s="170">
        <v>55997.4</v>
      </c>
      <c r="AF450" s="170">
        <v>67615.605001152595</v>
      </c>
      <c r="AG450" s="170">
        <v>1264.636</v>
      </c>
      <c r="AH450" s="170">
        <v>1527.0196160221296</v>
      </c>
      <c r="AI450" s="170">
        <v>342.96600000000001</v>
      </c>
      <c r="AJ450" s="170">
        <v>414.12375547481309</v>
      </c>
      <c r="AK450" s="170">
        <v>70.8</v>
      </c>
      <c r="AL450" s="170">
        <v>85.489412617042987</v>
      </c>
      <c r="AM450" s="170">
        <v>77.150000000000006</v>
      </c>
      <c r="AN450" s="170">
        <v>93.156895245831464</v>
      </c>
      <c r="AO450" s="170"/>
      <c r="AP450" s="170"/>
      <c r="AS450" s="167"/>
      <c r="AT450" s="1170"/>
      <c r="AU450" s="1171"/>
      <c r="AV450" s="1171"/>
      <c r="AW450" s="1172"/>
      <c r="AX450" s="1172"/>
      <c r="AY450" s="1172"/>
      <c r="AZ450" s="1172"/>
      <c r="BA450" s="1278" t="s">
        <v>32</v>
      </c>
      <c r="BB450" s="1279">
        <v>2014</v>
      </c>
      <c r="BC450" s="1278" t="s">
        <v>287</v>
      </c>
      <c r="BD450" s="1278">
        <v>4</v>
      </c>
      <c r="BE450" s="1280">
        <v>699246000</v>
      </c>
      <c r="BF450" s="1239">
        <v>5.3751978764445374E-2</v>
      </c>
      <c r="BG450" s="1236"/>
      <c r="BH450" s="1276" t="s">
        <v>32</v>
      </c>
      <c r="BI450" s="1276" t="s">
        <v>338</v>
      </c>
      <c r="BJ450" s="1276" t="s">
        <v>291</v>
      </c>
      <c r="BK450" s="1276"/>
      <c r="BL450" s="1277">
        <v>77244000</v>
      </c>
      <c r="BM450" s="1239">
        <v>1.5591005561728526E-2</v>
      </c>
      <c r="BN450" s="1236">
        <v>2002</v>
      </c>
      <c r="BO450" s="174"/>
      <c r="BP450" s="174"/>
      <c r="BQ450" s="174"/>
      <c r="BR450" s="174"/>
      <c r="BS450" s="174"/>
      <c r="BT450" s="174"/>
      <c r="BU450" s="174"/>
      <c r="BV450" s="174"/>
      <c r="BW450" s="174"/>
      <c r="BX450" s="174"/>
    </row>
    <row r="451" spans="1:76" s="152" customFormat="1" ht="15" customHeight="1" x14ac:dyDescent="0.25">
      <c r="A451" s="152">
        <f t="shared" si="12"/>
        <v>2007</v>
      </c>
      <c r="B451" s="152" t="str">
        <f t="shared" si="13"/>
        <v>2007-08</v>
      </c>
      <c r="C451" s="173">
        <v>39326</v>
      </c>
      <c r="D451" s="154">
        <v>0.84635789473684209</v>
      </c>
      <c r="E451" s="155">
        <v>332.08655860463773</v>
      </c>
      <c r="F451" s="155">
        <v>392.37131321129027</v>
      </c>
      <c r="G451" s="155"/>
      <c r="H451" s="155"/>
      <c r="I451" s="156">
        <v>712.65300000000002</v>
      </c>
      <c r="J451" s="156">
        <v>840.67</v>
      </c>
      <c r="K451" s="157"/>
      <c r="L451" s="158"/>
      <c r="M451" s="159">
        <v>29537.5</v>
      </c>
      <c r="N451" s="159">
        <v>34899.538580170141</v>
      </c>
      <c r="O451" s="175">
        <v>7648.98</v>
      </c>
      <c r="P451" s="175">
        <v>9037.5242525247504</v>
      </c>
      <c r="Q451" s="175">
        <v>3226.55</v>
      </c>
      <c r="R451" s="175">
        <v>3812.2761305407694</v>
      </c>
      <c r="S451" s="175">
        <v>2881.4</v>
      </c>
      <c r="T451" s="175">
        <v>3404.4699268693103</v>
      </c>
      <c r="U451" s="161">
        <v>884.64463178293215</v>
      </c>
      <c r="V451" s="161">
        <v>1045.237053123956</v>
      </c>
      <c r="W451" s="161">
        <v>1903.3261788162145</v>
      </c>
      <c r="X451" s="161">
        <v>2248.8431792888459</v>
      </c>
      <c r="Y451" s="162"/>
      <c r="Z451" s="162"/>
      <c r="AA451" s="162"/>
      <c r="AB451" s="162"/>
      <c r="AC451" s="163">
        <v>12.834</v>
      </c>
      <c r="AD451" s="163">
        <v>15.18</v>
      </c>
      <c r="AE451" s="163">
        <v>61798.3</v>
      </c>
      <c r="AF451" s="163">
        <v>73016.746679269694</v>
      </c>
      <c r="AG451" s="163">
        <v>1307.6500000000001</v>
      </c>
      <c r="AH451" s="163">
        <v>1545.0319635839014</v>
      </c>
      <c r="AI451" s="163">
        <v>334.58800000000002</v>
      </c>
      <c r="AJ451" s="163">
        <v>395.32684941047711</v>
      </c>
      <c r="AK451" s="164">
        <v>77.13</v>
      </c>
      <c r="AL451" s="164">
        <v>91.131660116412121</v>
      </c>
      <c r="AM451" s="164">
        <v>82.42</v>
      </c>
      <c r="AN451" s="164">
        <v>97.381971046216606</v>
      </c>
      <c r="AO451" s="164"/>
      <c r="AP451" s="164"/>
      <c r="AS451" s="167"/>
      <c r="AT451" s="1170"/>
      <c r="AU451" s="1171"/>
      <c r="AV451" s="1171"/>
      <c r="AW451" s="1172"/>
      <c r="AX451" s="1172"/>
      <c r="AY451" s="1172"/>
      <c r="AZ451" s="1172"/>
      <c r="BA451" s="1278" t="s">
        <v>32</v>
      </c>
      <c r="BB451" s="1279">
        <v>2014</v>
      </c>
      <c r="BC451" s="1278" t="s">
        <v>323</v>
      </c>
      <c r="BD451" s="1278">
        <v>5</v>
      </c>
      <c r="BE451" s="1280">
        <v>589736000</v>
      </c>
      <c r="BF451" s="1239">
        <v>4.5333798046222583E-2</v>
      </c>
      <c r="BG451" s="1236"/>
      <c r="BH451" s="1276" t="s">
        <v>32</v>
      </c>
      <c r="BI451" s="1276" t="s">
        <v>338</v>
      </c>
      <c r="BJ451" s="1276" t="s">
        <v>292</v>
      </c>
      <c r="BK451" s="1276"/>
      <c r="BL451" s="1277">
        <v>4954395000</v>
      </c>
      <c r="BM451" s="1239">
        <v>1</v>
      </c>
      <c r="BN451" s="1236">
        <v>2002</v>
      </c>
      <c r="BO451" s="174"/>
      <c r="BP451" s="174"/>
      <c r="BQ451" s="174"/>
      <c r="BR451" s="174"/>
      <c r="BS451" s="174"/>
      <c r="BT451" s="174"/>
      <c r="BU451" s="174"/>
      <c r="BV451" s="174"/>
      <c r="BW451" s="174"/>
      <c r="BX451" s="174"/>
    </row>
    <row r="452" spans="1:76" s="152" customFormat="1" ht="15" customHeight="1" x14ac:dyDescent="0.25">
      <c r="A452" s="152">
        <f t="shared" si="12"/>
        <v>2007</v>
      </c>
      <c r="B452" s="152" t="str">
        <f t="shared" si="13"/>
        <v>2007-08</v>
      </c>
      <c r="C452" s="173">
        <v>39356</v>
      </c>
      <c r="D452" s="169">
        <v>0.89839090909090902</v>
      </c>
      <c r="E452" s="170">
        <v>317.48810626065779</v>
      </c>
      <c r="F452" s="170">
        <v>353.39639242557257</v>
      </c>
      <c r="G452" s="170"/>
      <c r="H452" s="170"/>
      <c r="I452" s="169">
        <v>754.62599999999998</v>
      </c>
      <c r="J452" s="169">
        <v>839.69</v>
      </c>
      <c r="K452" s="169"/>
      <c r="L452" s="170"/>
      <c r="M452" s="170">
        <v>31055.43</v>
      </c>
      <c r="N452" s="170">
        <v>34567.836434838049</v>
      </c>
      <c r="O452" s="170">
        <v>8008.43</v>
      </c>
      <c r="P452" s="170">
        <v>8914.1930522246857</v>
      </c>
      <c r="Q452" s="170">
        <v>3719.72</v>
      </c>
      <c r="R452" s="170">
        <v>4140.4247998947612</v>
      </c>
      <c r="S452" s="170">
        <v>2975.33</v>
      </c>
      <c r="T452" s="170">
        <v>3311.843396780102</v>
      </c>
      <c r="U452" s="170">
        <v>908.61459763636356</v>
      </c>
      <c r="V452" s="170">
        <v>1011.38</v>
      </c>
      <c r="W452" s="170">
        <v>1892.495146591114</v>
      </c>
      <c r="X452" s="170">
        <v>2106.5386208172445</v>
      </c>
      <c r="Y452" s="170"/>
      <c r="Z452" s="170"/>
      <c r="AA452" s="170"/>
      <c r="AB452" s="170"/>
      <c r="AC452" s="170">
        <v>13.67</v>
      </c>
      <c r="AD452" s="170">
        <v>15.27</v>
      </c>
      <c r="AE452" s="170">
        <v>67240.899999999994</v>
      </c>
      <c r="AF452" s="170">
        <v>74845.926555558923</v>
      </c>
      <c r="AG452" s="170">
        <v>1411.7049999999999</v>
      </c>
      <c r="AH452" s="170">
        <v>1571.3705311516551</v>
      </c>
      <c r="AI452" s="170">
        <v>365.22699999999998</v>
      </c>
      <c r="AJ452" s="170">
        <v>406.53461238780449</v>
      </c>
      <c r="AK452" s="170">
        <v>82.86</v>
      </c>
      <c r="AL452" s="170">
        <v>92.231565526243898</v>
      </c>
      <c r="AM452" s="170">
        <v>87.93</v>
      </c>
      <c r="AN452" s="170">
        <v>97.874988616010455</v>
      </c>
      <c r="AO452" s="170"/>
      <c r="AP452" s="170"/>
      <c r="AS452" s="167"/>
      <c r="AT452" s="1170"/>
      <c r="AU452" s="1171"/>
      <c r="AV452" s="1171"/>
      <c r="AW452" s="1172"/>
      <c r="AX452" s="1172"/>
      <c r="AY452" s="1172"/>
      <c r="AZ452" s="1172"/>
      <c r="BA452" s="1278" t="s">
        <v>32</v>
      </c>
      <c r="BB452" s="1279">
        <v>2014</v>
      </c>
      <c r="BC452" s="1278" t="s">
        <v>329</v>
      </c>
      <c r="BD452" s="1278">
        <v>6</v>
      </c>
      <c r="BE452" s="1280">
        <v>284768000</v>
      </c>
      <c r="BF452" s="1239">
        <v>2.1890498463764656E-2</v>
      </c>
      <c r="BG452" s="1236"/>
      <c r="BH452" s="1281" t="s">
        <v>32</v>
      </c>
      <c r="BI452" s="1281" t="s">
        <v>339</v>
      </c>
      <c r="BJ452" s="1281" t="s">
        <v>287</v>
      </c>
      <c r="BK452" s="1281">
        <v>1</v>
      </c>
      <c r="BL452" s="1282">
        <v>2670555000</v>
      </c>
      <c r="BM452" s="1239">
        <v>0.48083583228978832</v>
      </c>
      <c r="BN452" s="1236">
        <v>2003</v>
      </c>
      <c r="BO452" s="174"/>
      <c r="BP452" s="174"/>
      <c r="BQ452" s="174"/>
      <c r="BR452" s="174"/>
      <c r="BS452" s="174"/>
      <c r="BT452" s="174"/>
      <c r="BU452" s="174"/>
      <c r="BV452" s="174"/>
      <c r="BW452" s="174"/>
      <c r="BX452" s="174"/>
    </row>
    <row r="453" spans="1:76" s="152" customFormat="1" ht="15" customHeight="1" x14ac:dyDescent="0.25">
      <c r="A453" s="152">
        <f t="shared" si="12"/>
        <v>2007</v>
      </c>
      <c r="B453" s="152" t="str">
        <f t="shared" si="13"/>
        <v>2007-08</v>
      </c>
      <c r="C453" s="173">
        <v>39387</v>
      </c>
      <c r="D453" s="154">
        <v>0.89866363636363633</v>
      </c>
      <c r="E453" s="155">
        <v>317.31421221236064</v>
      </c>
      <c r="F453" s="155">
        <v>353.09564042932101</v>
      </c>
      <c r="G453" s="155"/>
      <c r="H453" s="155"/>
      <c r="I453" s="156">
        <v>806.24800000000005</v>
      </c>
      <c r="J453" s="156">
        <v>898.01</v>
      </c>
      <c r="K453" s="157"/>
      <c r="L453" s="158"/>
      <c r="M453" s="159">
        <v>30610.23</v>
      </c>
      <c r="N453" s="159">
        <v>34061.94349185154</v>
      </c>
      <c r="O453" s="175">
        <v>6966.7</v>
      </c>
      <c r="P453" s="175">
        <v>7752.2887519852711</v>
      </c>
      <c r="Q453" s="175">
        <v>3328.18</v>
      </c>
      <c r="R453" s="175">
        <v>3703.4768798114374</v>
      </c>
      <c r="S453" s="175">
        <v>2350.21</v>
      </c>
      <c r="T453" s="175">
        <v>2615.2276612748224</v>
      </c>
      <c r="U453" s="161">
        <v>869.84445772770687</v>
      </c>
      <c r="V453" s="161">
        <v>967.93107290671765</v>
      </c>
      <c r="W453" s="161">
        <v>1868.4114288025628</v>
      </c>
      <c r="X453" s="161">
        <v>2079.0998469270726</v>
      </c>
      <c r="Y453" s="162"/>
      <c r="Z453" s="162"/>
      <c r="AA453" s="162"/>
      <c r="AB453" s="162"/>
      <c r="AC453" s="163">
        <v>14.702</v>
      </c>
      <c r="AD453" s="163">
        <v>16.420000000000002</v>
      </c>
      <c r="AE453" s="163">
        <v>71705.3</v>
      </c>
      <c r="AF453" s="163">
        <v>79791.033150233183</v>
      </c>
      <c r="AG453" s="163">
        <v>1447.818</v>
      </c>
      <c r="AH453" s="163">
        <v>1611.0788746927255</v>
      </c>
      <c r="AI453" s="163">
        <v>362.61399999999998</v>
      </c>
      <c r="AJ453" s="163">
        <v>403.50358613294486</v>
      </c>
      <c r="AK453" s="164">
        <v>92.53</v>
      </c>
      <c r="AL453" s="164">
        <v>102.96399704611899</v>
      </c>
      <c r="AM453" s="164">
        <v>99.51</v>
      </c>
      <c r="AN453" s="164">
        <v>110.73108555127311</v>
      </c>
      <c r="AO453" s="164"/>
      <c r="AP453" s="164"/>
      <c r="AS453" s="167"/>
      <c r="AT453" s="1170"/>
      <c r="AU453" s="1171"/>
      <c r="AV453" s="1171"/>
      <c r="AW453" s="1172"/>
      <c r="AX453" s="1172"/>
      <c r="AY453" s="1172"/>
      <c r="AZ453" s="1172"/>
      <c r="BA453" s="1278" t="s">
        <v>32</v>
      </c>
      <c r="BB453" s="1279">
        <v>2014</v>
      </c>
      <c r="BC453" s="1278" t="s">
        <v>320</v>
      </c>
      <c r="BD453" s="1278">
        <v>7</v>
      </c>
      <c r="BE453" s="1280">
        <v>165269000</v>
      </c>
      <c r="BF453" s="1239">
        <v>1.2704449905213791E-2</v>
      </c>
      <c r="BG453" s="1236"/>
      <c r="BH453" s="1281" t="s">
        <v>32</v>
      </c>
      <c r="BI453" s="1281" t="s">
        <v>339</v>
      </c>
      <c r="BJ453" s="1281" t="s">
        <v>314</v>
      </c>
      <c r="BK453" s="1281">
        <v>2</v>
      </c>
      <c r="BL453" s="1282">
        <v>1226639000</v>
      </c>
      <c r="BM453" s="1239">
        <v>0.22085745640292512</v>
      </c>
      <c r="BN453" s="1236">
        <v>2003</v>
      </c>
      <c r="BO453" s="174"/>
      <c r="BP453" s="174"/>
      <c r="BQ453" s="174"/>
      <c r="BR453" s="174"/>
      <c r="BS453" s="174"/>
      <c r="BT453" s="174"/>
      <c r="BU453" s="174"/>
      <c r="BV453" s="174"/>
      <c r="BW453" s="174"/>
      <c r="BX453" s="174"/>
    </row>
    <row r="454" spans="1:76" s="152" customFormat="1" ht="15" customHeight="1" x14ac:dyDescent="0.25">
      <c r="A454" s="152">
        <f t="shared" si="12"/>
        <v>2007</v>
      </c>
      <c r="B454" s="152" t="str">
        <f t="shared" si="13"/>
        <v>2007-08</v>
      </c>
      <c r="C454" s="173">
        <v>39417</v>
      </c>
      <c r="D454" s="169">
        <v>0.87259473684210531</v>
      </c>
      <c r="E454" s="170">
        <v>323.02054074271354</v>
      </c>
      <c r="F454" s="170">
        <v>370.18392055825979</v>
      </c>
      <c r="G454" s="170"/>
      <c r="H454" s="170"/>
      <c r="I454" s="169">
        <v>803.20299999999997</v>
      </c>
      <c r="J454" s="169">
        <v>919.87</v>
      </c>
      <c r="K454" s="169"/>
      <c r="L454" s="170"/>
      <c r="M454" s="170">
        <v>25991.94</v>
      </c>
      <c r="N454" s="170">
        <v>29786.954817151505</v>
      </c>
      <c r="O454" s="170">
        <v>6587.67</v>
      </c>
      <c r="P454" s="170">
        <v>7549.5183753234451</v>
      </c>
      <c r="Q454" s="170">
        <v>2596.0300000000002</v>
      </c>
      <c r="R454" s="170">
        <v>2975.0695143944558</v>
      </c>
      <c r="S454" s="170">
        <v>2353.08</v>
      </c>
      <c r="T454" s="170">
        <v>2696.6470236982259</v>
      </c>
      <c r="U454" s="170">
        <v>856.83803716916805</v>
      </c>
      <c r="V454" s="170">
        <v>981.94270603790221</v>
      </c>
      <c r="W454" s="170">
        <v>1885.6011002150344</v>
      </c>
      <c r="X454" s="170">
        <v>2160.9127589274367</v>
      </c>
      <c r="Y454" s="170"/>
      <c r="Z454" s="170"/>
      <c r="AA454" s="170"/>
      <c r="AB454" s="170"/>
      <c r="AC454" s="170">
        <v>14.295999999999999</v>
      </c>
      <c r="AD454" s="170">
        <v>16.43</v>
      </c>
      <c r="AE454" s="170">
        <v>85098</v>
      </c>
      <c r="AF454" s="170">
        <v>97522.935226457077</v>
      </c>
      <c r="AG454" s="170">
        <v>1484.941</v>
      </c>
      <c r="AH454" s="170">
        <v>1701.7533309608971</v>
      </c>
      <c r="AI454" s="170">
        <v>350.55900000000003</v>
      </c>
      <c r="AJ454" s="170">
        <v>401.74319784309353</v>
      </c>
      <c r="AK454" s="170">
        <v>91.45</v>
      </c>
      <c r="AL454" s="170">
        <v>104.80237404474254</v>
      </c>
      <c r="AM454" s="170">
        <v>98.05</v>
      </c>
      <c r="AN454" s="170">
        <v>112.36602269094593</v>
      </c>
      <c r="AO454" s="170"/>
      <c r="AP454" s="170"/>
      <c r="AS454" s="167"/>
      <c r="AT454" s="1170"/>
      <c r="AU454" s="1171"/>
      <c r="AV454" s="1171"/>
      <c r="AW454" s="1172"/>
      <c r="AX454" s="1172"/>
      <c r="AY454" s="1172"/>
      <c r="AZ454" s="1172"/>
      <c r="BA454" s="1278" t="s">
        <v>32</v>
      </c>
      <c r="BB454" s="1279">
        <v>2014</v>
      </c>
      <c r="BC454" s="1278" t="s">
        <v>286</v>
      </c>
      <c r="BD454" s="1278">
        <v>8</v>
      </c>
      <c r="BE454" s="1280">
        <v>108494000</v>
      </c>
      <c r="BF454" s="1239">
        <v>8.3400794342330681E-3</v>
      </c>
      <c r="BG454" s="1236"/>
      <c r="BH454" s="1281" t="s">
        <v>32</v>
      </c>
      <c r="BI454" s="1281" t="s">
        <v>339</v>
      </c>
      <c r="BJ454" s="1281" t="s">
        <v>320</v>
      </c>
      <c r="BK454" s="1281">
        <v>3</v>
      </c>
      <c r="BL454" s="1282">
        <v>745512000</v>
      </c>
      <c r="BM454" s="1239">
        <v>0.13423010685120684</v>
      </c>
      <c r="BN454" s="1236">
        <v>2003</v>
      </c>
      <c r="BO454" s="174"/>
      <c r="BP454" s="174"/>
      <c r="BQ454" s="174"/>
      <c r="BR454" s="174"/>
      <c r="BS454" s="174"/>
      <c r="BT454" s="174"/>
      <c r="BU454" s="174"/>
      <c r="BV454" s="174"/>
      <c r="BW454" s="174"/>
      <c r="BX454" s="174"/>
    </row>
    <row r="455" spans="1:76" s="152" customFormat="1" ht="15" customHeight="1" x14ac:dyDescent="0.25">
      <c r="A455" s="152">
        <f t="shared" si="12"/>
        <v>2008</v>
      </c>
      <c r="B455" s="152" t="str">
        <f t="shared" si="13"/>
        <v>2007-08</v>
      </c>
      <c r="C455" s="173">
        <v>39448</v>
      </c>
      <c r="D455" s="154">
        <v>0.88151428571428581</v>
      </c>
      <c r="E455" s="155">
        <v>308.98911320320082</v>
      </c>
      <c r="F455" s="155">
        <v>350.52082332713275</v>
      </c>
      <c r="G455" s="155"/>
      <c r="H455" s="155"/>
      <c r="I455" s="156">
        <v>889.59500000000003</v>
      </c>
      <c r="J455" s="156">
        <v>1002.09</v>
      </c>
      <c r="K455" s="157"/>
      <c r="L455" s="158"/>
      <c r="M455" s="159">
        <v>27689.55</v>
      </c>
      <c r="N455" s="159">
        <v>31411.345736233103</v>
      </c>
      <c r="O455" s="175">
        <v>7061.02</v>
      </c>
      <c r="P455" s="175">
        <v>8010.1027452759854</v>
      </c>
      <c r="Q455" s="175">
        <v>2608.14</v>
      </c>
      <c r="R455" s="175">
        <v>2958.704177875733</v>
      </c>
      <c r="S455" s="175">
        <v>2340.11</v>
      </c>
      <c r="T455" s="175">
        <v>2654.6478462386153</v>
      </c>
      <c r="U455" s="161">
        <v>838.32008571428582</v>
      </c>
      <c r="V455" s="161">
        <v>951</v>
      </c>
      <c r="W455" s="161">
        <v>1907.9392768001096</v>
      </c>
      <c r="X455" s="161">
        <v>2164.3883799955865</v>
      </c>
      <c r="Y455" s="162"/>
      <c r="Z455" s="162"/>
      <c r="AA455" s="162"/>
      <c r="AB455" s="162"/>
      <c r="AC455" s="163">
        <v>15.961</v>
      </c>
      <c r="AD455" s="163">
        <v>18.05</v>
      </c>
      <c r="AE455" s="163">
        <v>96521.1</v>
      </c>
      <c r="AF455" s="163">
        <v>109494.65205976728</v>
      </c>
      <c r="AG455" s="163">
        <v>1585.7729999999999</v>
      </c>
      <c r="AH455" s="163">
        <v>1798.9192298966061</v>
      </c>
      <c r="AI455" s="163">
        <v>374.20499999999998</v>
      </c>
      <c r="AJ455" s="163">
        <v>424.50247949956236</v>
      </c>
      <c r="AK455" s="164">
        <v>91.92</v>
      </c>
      <c r="AL455" s="164">
        <v>104.27511101027451</v>
      </c>
      <c r="AM455" s="164">
        <v>96.74</v>
      </c>
      <c r="AN455" s="164">
        <v>109.74297475123973</v>
      </c>
      <c r="AO455" s="164"/>
      <c r="AP455" s="164"/>
      <c r="AS455" s="167"/>
      <c r="AT455" s="1170"/>
      <c r="AU455" s="1171"/>
      <c r="AV455" s="1171"/>
      <c r="AW455" s="1172"/>
      <c r="AX455" s="1172"/>
      <c r="AY455" s="1172"/>
      <c r="AZ455" s="1172"/>
      <c r="BA455" s="1278" t="s">
        <v>32</v>
      </c>
      <c r="BB455" s="1279">
        <v>2014</v>
      </c>
      <c r="BC455" s="1278" t="s">
        <v>335</v>
      </c>
      <c r="BD455" s="1278">
        <v>9</v>
      </c>
      <c r="BE455" s="1280">
        <v>30829000</v>
      </c>
      <c r="BF455" s="1239">
        <v>2.3698666182274714E-3</v>
      </c>
      <c r="BG455" s="1236"/>
      <c r="BH455" s="1281" t="s">
        <v>32</v>
      </c>
      <c r="BI455" s="1281" t="s">
        <v>339</v>
      </c>
      <c r="BJ455" s="1281" t="s">
        <v>306</v>
      </c>
      <c r="BK455" s="1281">
        <v>4</v>
      </c>
      <c r="BL455" s="1282">
        <v>302664000</v>
      </c>
      <c r="BM455" s="1239">
        <v>5.449492571549977E-2</v>
      </c>
      <c r="BN455" s="1236">
        <v>2003</v>
      </c>
      <c r="BO455" s="174"/>
      <c r="BP455" s="174"/>
      <c r="BQ455" s="174"/>
      <c r="BR455" s="174"/>
      <c r="BS455" s="174"/>
      <c r="BT455" s="174"/>
      <c r="BU455" s="174"/>
      <c r="BV455" s="174"/>
      <c r="BW455" s="174"/>
      <c r="BX455" s="174"/>
    </row>
    <row r="456" spans="1:76" s="152" customFormat="1" ht="15" customHeight="1" x14ac:dyDescent="0.25">
      <c r="A456" s="152">
        <f t="shared" si="12"/>
        <v>2008</v>
      </c>
      <c r="B456" s="152" t="str">
        <f t="shared" si="13"/>
        <v>2007-08</v>
      </c>
      <c r="C456" s="173">
        <v>39479</v>
      </c>
      <c r="D456" s="169">
        <v>0.91281428571428558</v>
      </c>
      <c r="E456" s="170">
        <v>317.46768042857138</v>
      </c>
      <c r="F456" s="170">
        <v>347.79</v>
      </c>
      <c r="G456" s="170"/>
      <c r="H456" s="170"/>
      <c r="I456" s="169">
        <v>922.298</v>
      </c>
      <c r="J456" s="169">
        <v>1015.42</v>
      </c>
      <c r="K456" s="169"/>
      <c r="L456" s="170"/>
      <c r="M456" s="170">
        <v>27955.48</v>
      </c>
      <c r="N456" s="170">
        <v>30625.594315852079</v>
      </c>
      <c r="O456" s="170">
        <v>7887.69</v>
      </c>
      <c r="P456" s="170">
        <v>8641.0676557584866</v>
      </c>
      <c r="Q456" s="170">
        <v>3079.88</v>
      </c>
      <c r="R456" s="170">
        <v>3374.048859883876</v>
      </c>
      <c r="S456" s="170">
        <v>2438.14</v>
      </c>
      <c r="T456" s="170">
        <v>2671.0142886207491</v>
      </c>
      <c r="U456" s="170">
        <v>880.7927605714284</v>
      </c>
      <c r="V456" s="170">
        <v>964.92</v>
      </c>
      <c r="W456" s="170">
        <v>1940.8348624285711</v>
      </c>
      <c r="X456" s="170">
        <v>2126.21</v>
      </c>
      <c r="Y456" s="170"/>
      <c r="Z456" s="170"/>
      <c r="AA456" s="170"/>
      <c r="AB456" s="170"/>
      <c r="AC456" s="170">
        <v>17.568999999999999</v>
      </c>
      <c r="AD456" s="170">
        <v>19.16</v>
      </c>
      <c r="AE456" s="170">
        <v>103231.4</v>
      </c>
      <c r="AF456" s="170">
        <v>113091.3501416342</v>
      </c>
      <c r="AG456" s="170">
        <v>1999.6669999999999</v>
      </c>
      <c r="AH456" s="170">
        <v>2190.6613769034543</v>
      </c>
      <c r="AI456" s="170">
        <v>468.88099999999997</v>
      </c>
      <c r="AJ456" s="170">
        <v>513.66527380002196</v>
      </c>
      <c r="AK456" s="170">
        <v>94.82</v>
      </c>
      <c r="AL456" s="170">
        <v>103.87655132478834</v>
      </c>
      <c r="AM456" s="170">
        <v>100.13</v>
      </c>
      <c r="AN456" s="170">
        <v>109.6937258400238</v>
      </c>
      <c r="AO456" s="170"/>
      <c r="AP456" s="170"/>
      <c r="AS456" s="167"/>
      <c r="AT456" s="1170"/>
      <c r="AU456" s="1171"/>
      <c r="AV456" s="1171"/>
      <c r="AW456" s="1172"/>
      <c r="AX456" s="1172"/>
      <c r="AY456" s="1172"/>
      <c r="AZ456" s="1172"/>
      <c r="BA456" s="1278" t="s">
        <v>32</v>
      </c>
      <c r="BB456" s="1279">
        <v>2014</v>
      </c>
      <c r="BC456" s="1278" t="s">
        <v>308</v>
      </c>
      <c r="BD456" s="1278">
        <v>10</v>
      </c>
      <c r="BE456" s="1280">
        <v>22247000</v>
      </c>
      <c r="BF456" s="1239">
        <v>1.710156756810359E-3</v>
      </c>
      <c r="BG456" s="1236"/>
      <c r="BH456" s="1281" t="s">
        <v>32</v>
      </c>
      <c r="BI456" s="1281" t="s">
        <v>339</v>
      </c>
      <c r="BJ456" s="1281" t="s">
        <v>323</v>
      </c>
      <c r="BK456" s="1281">
        <v>5</v>
      </c>
      <c r="BL456" s="1282">
        <v>235400000</v>
      </c>
      <c r="BM456" s="1239">
        <v>4.2383981951697743E-2</v>
      </c>
      <c r="BN456" s="1236">
        <v>2003</v>
      </c>
      <c r="BO456" s="174"/>
      <c r="BP456" s="174"/>
      <c r="BQ456" s="174"/>
      <c r="BR456" s="174"/>
      <c r="BS456" s="174"/>
      <c r="BT456" s="174"/>
      <c r="BU456" s="174"/>
      <c r="BV456" s="174"/>
      <c r="BW456" s="174"/>
      <c r="BX456" s="174"/>
    </row>
    <row r="457" spans="1:76" s="152" customFormat="1" ht="15" customHeight="1" x14ac:dyDescent="0.25">
      <c r="A457" s="152">
        <f t="shared" si="12"/>
        <v>2008</v>
      </c>
      <c r="B457" s="152" t="str">
        <f t="shared" si="13"/>
        <v>2007-08</v>
      </c>
      <c r="C457" s="173">
        <v>39508</v>
      </c>
      <c r="D457" s="154">
        <v>0.92598947368421047</v>
      </c>
      <c r="E457" s="155">
        <v>318.855215368421</v>
      </c>
      <c r="F457" s="155">
        <v>344.34</v>
      </c>
      <c r="G457" s="155"/>
      <c r="H457" s="155"/>
      <c r="I457" s="156">
        <v>968.43399999999997</v>
      </c>
      <c r="J457" s="156">
        <v>1044.98</v>
      </c>
      <c r="K457" s="157"/>
      <c r="L457" s="158"/>
      <c r="M457" s="159">
        <v>31255.26</v>
      </c>
      <c r="N457" s="159">
        <v>33753.364253316511</v>
      </c>
      <c r="O457" s="175">
        <v>8439.2900000000009</v>
      </c>
      <c r="P457" s="175">
        <v>9113.8077049869862</v>
      </c>
      <c r="Q457" s="175">
        <v>3008.58</v>
      </c>
      <c r="R457" s="175">
        <v>3249.0434130204958</v>
      </c>
      <c r="S457" s="175">
        <v>2511.4699999999998</v>
      </c>
      <c r="T457" s="175">
        <v>2712.2014573315601</v>
      </c>
      <c r="U457" s="161">
        <v>807.71283821052623</v>
      </c>
      <c r="V457" s="161">
        <v>872.27</v>
      </c>
      <c r="W457" s="161">
        <v>1920.4558689473681</v>
      </c>
      <c r="X457" s="161">
        <v>2073.9499999999998</v>
      </c>
      <c r="Y457" s="162"/>
      <c r="Z457" s="162"/>
      <c r="AA457" s="162"/>
      <c r="AB457" s="162"/>
      <c r="AC457" s="163">
        <v>19.506</v>
      </c>
      <c r="AD457" s="163">
        <v>21.04</v>
      </c>
      <c r="AE457" s="163">
        <v>106648.5</v>
      </c>
      <c r="AF457" s="163">
        <v>115172.47553115303</v>
      </c>
      <c r="AG457" s="163">
        <v>2046.4739999999999</v>
      </c>
      <c r="AH457" s="163">
        <v>2210.0402414486921</v>
      </c>
      <c r="AI457" s="163">
        <v>488.73700000000002</v>
      </c>
      <c r="AJ457" s="163">
        <v>527.79973627073184</v>
      </c>
      <c r="AK457" s="164">
        <v>103.28</v>
      </c>
      <c r="AL457" s="164">
        <v>111.53474519432983</v>
      </c>
      <c r="AM457" s="164">
        <v>109.61</v>
      </c>
      <c r="AN457" s="164">
        <v>118.37067603360275</v>
      </c>
      <c r="AO457" s="164"/>
      <c r="AP457" s="164"/>
      <c r="AS457" s="167"/>
      <c r="AT457" s="1170"/>
      <c r="AU457" s="1171"/>
      <c r="AV457" s="1171"/>
      <c r="AW457" s="1172"/>
      <c r="AX457" s="1172"/>
      <c r="AY457" s="1172"/>
      <c r="AZ457" s="1172"/>
      <c r="BA457" s="1278" t="s">
        <v>32</v>
      </c>
      <c r="BB457" s="1279">
        <v>2014</v>
      </c>
      <c r="BC457" s="1278" t="s">
        <v>291</v>
      </c>
      <c r="BD457" s="1278"/>
      <c r="BE457" s="1280">
        <v>20895000</v>
      </c>
      <c r="BF457" s="1239">
        <v>1.606226701737423E-3</v>
      </c>
      <c r="BG457" s="1236"/>
      <c r="BH457" s="1281" t="s">
        <v>32</v>
      </c>
      <c r="BI457" s="1281" t="s">
        <v>339</v>
      </c>
      <c r="BJ457" s="1281" t="s">
        <v>308</v>
      </c>
      <c r="BK457" s="1281">
        <v>6</v>
      </c>
      <c r="BL457" s="1282">
        <v>162184000</v>
      </c>
      <c r="BM457" s="1239">
        <v>2.9201375228777176E-2</v>
      </c>
      <c r="BN457" s="1236">
        <v>2003</v>
      </c>
      <c r="BO457" s="174"/>
      <c r="BP457" s="174"/>
      <c r="BQ457" s="174"/>
      <c r="BR457" s="174"/>
      <c r="BS457" s="174"/>
      <c r="BT457" s="174"/>
      <c r="BU457" s="174"/>
      <c r="BV457" s="174"/>
      <c r="BW457" s="174"/>
      <c r="BX457" s="174"/>
    </row>
    <row r="458" spans="1:76" s="152" customFormat="1" ht="15" customHeight="1" x14ac:dyDescent="0.25">
      <c r="A458" s="152">
        <f t="shared" si="12"/>
        <v>2008</v>
      </c>
      <c r="B458" s="152" t="str">
        <f t="shared" si="13"/>
        <v>2007-08</v>
      </c>
      <c r="C458" s="173">
        <v>39539</v>
      </c>
      <c r="D458" s="169">
        <v>0.92979999999999985</v>
      </c>
      <c r="E458" s="170">
        <v>349.54901199999995</v>
      </c>
      <c r="F458" s="170">
        <v>375.94</v>
      </c>
      <c r="G458" s="170"/>
      <c r="H458" s="170"/>
      <c r="I458" s="169">
        <v>909.70500000000004</v>
      </c>
      <c r="J458" s="169">
        <v>986.32</v>
      </c>
      <c r="K458" s="169"/>
      <c r="L458" s="170"/>
      <c r="M458" s="170">
        <v>28763.18</v>
      </c>
      <c r="N458" s="170">
        <v>30934.803183480322</v>
      </c>
      <c r="O458" s="170">
        <v>8686</v>
      </c>
      <c r="P458" s="170">
        <v>9341.7939341793954</v>
      </c>
      <c r="Q458" s="170">
        <v>2822.75</v>
      </c>
      <c r="R458" s="170">
        <v>3035.8679285867934</v>
      </c>
      <c r="S458" s="170">
        <v>2263.8000000000002</v>
      </c>
      <c r="T458" s="170">
        <v>2434.7171434717147</v>
      </c>
      <c r="U458" s="170">
        <v>801.03199799999982</v>
      </c>
      <c r="V458" s="170">
        <v>861.51</v>
      </c>
      <c r="W458" s="170">
        <v>1947.7636359999999</v>
      </c>
      <c r="X458" s="170">
        <v>2094.8200000000002</v>
      </c>
      <c r="Y458" s="170"/>
      <c r="Z458" s="170"/>
      <c r="AA458" s="170"/>
      <c r="AB458" s="170"/>
      <c r="AC458" s="170">
        <v>17.5</v>
      </c>
      <c r="AD458" s="170">
        <v>19</v>
      </c>
      <c r="AE458" s="170">
        <v>104581.7</v>
      </c>
      <c r="AF458" s="170">
        <v>112477.62959776298</v>
      </c>
      <c r="AG458" s="170">
        <v>1988.4090000000001</v>
      </c>
      <c r="AH458" s="170">
        <v>2138.5340933534098</v>
      </c>
      <c r="AI458" s="170">
        <v>445.86399999999998</v>
      </c>
      <c r="AJ458" s="170">
        <v>479.52677995267805</v>
      </c>
      <c r="AK458" s="170">
        <v>110.19</v>
      </c>
      <c r="AL458" s="170">
        <v>118.5093568509357</v>
      </c>
      <c r="AM458" s="170">
        <v>118.57</v>
      </c>
      <c r="AN458" s="170">
        <v>127.52204775220478</v>
      </c>
      <c r="AO458" s="170"/>
      <c r="AP458" s="170"/>
      <c r="AS458" s="167"/>
      <c r="AT458" s="1170"/>
      <c r="AU458" s="1171"/>
      <c r="AV458" s="1171"/>
      <c r="AW458" s="1172"/>
      <c r="AX458" s="1172"/>
      <c r="AY458" s="1172"/>
      <c r="AZ458" s="1172"/>
      <c r="BA458" s="1278" t="s">
        <v>32</v>
      </c>
      <c r="BB458" s="1279">
        <v>2014</v>
      </c>
      <c r="BC458" s="1278" t="s">
        <v>292</v>
      </c>
      <c r="BD458" s="1278"/>
      <c r="BE458" s="1280">
        <v>13008749000</v>
      </c>
      <c r="BF458" s="1239">
        <v>1</v>
      </c>
      <c r="BG458" s="1236"/>
      <c r="BH458" s="1281" t="s">
        <v>32</v>
      </c>
      <c r="BI458" s="1281" t="s">
        <v>339</v>
      </c>
      <c r="BJ458" s="1281" t="s">
        <v>327</v>
      </c>
      <c r="BK458" s="1281">
        <v>7</v>
      </c>
      <c r="BL458" s="1282">
        <v>88152000</v>
      </c>
      <c r="BM458" s="1239">
        <v>1.5871846971138741E-2</v>
      </c>
      <c r="BN458" s="1236">
        <v>2003</v>
      </c>
      <c r="BO458" s="174"/>
      <c r="BP458" s="174"/>
      <c r="BQ458" s="174"/>
      <c r="BR458" s="174"/>
      <c r="BS458" s="174"/>
      <c r="BT458" s="174"/>
      <c r="BU458" s="174"/>
      <c r="BV458" s="174"/>
      <c r="BW458" s="174"/>
      <c r="BX458" s="174"/>
    </row>
    <row r="459" spans="1:76" s="152" customFormat="1" ht="15" customHeight="1" x14ac:dyDescent="0.25">
      <c r="A459" s="152">
        <f t="shared" si="12"/>
        <v>2008</v>
      </c>
      <c r="B459" s="152" t="str">
        <f t="shared" si="13"/>
        <v>2007-08</v>
      </c>
      <c r="C459" s="173">
        <v>39569</v>
      </c>
      <c r="D459" s="154">
        <v>0.94913636363636378</v>
      </c>
      <c r="E459" s="155">
        <v>359.02981227272733</v>
      </c>
      <c r="F459" s="155">
        <v>378.27</v>
      </c>
      <c r="G459" s="155"/>
      <c r="H459" s="155"/>
      <c r="I459" s="156">
        <v>886.98800000000006</v>
      </c>
      <c r="J459" s="156">
        <v>938.92</v>
      </c>
      <c r="K459" s="157"/>
      <c r="L459" s="158"/>
      <c r="M459" s="159">
        <v>25735</v>
      </c>
      <c r="N459" s="159">
        <v>27114.122886834917</v>
      </c>
      <c r="O459" s="175">
        <v>8382.75</v>
      </c>
      <c r="P459" s="175">
        <v>8831.9764379100598</v>
      </c>
      <c r="Q459" s="175">
        <v>2234.63</v>
      </c>
      <c r="R459" s="175">
        <v>2354.3824529476556</v>
      </c>
      <c r="S459" s="175">
        <v>2182.1</v>
      </c>
      <c r="T459" s="175">
        <v>2299.0374024232551</v>
      </c>
      <c r="U459" s="161">
        <v>799.2487490909092</v>
      </c>
      <c r="V459" s="161">
        <v>842.08</v>
      </c>
      <c r="W459" s="161">
        <v>1949.7254095454548</v>
      </c>
      <c r="X459" s="161">
        <v>2054.21</v>
      </c>
      <c r="Y459" s="162"/>
      <c r="Z459" s="162"/>
      <c r="AA459" s="162"/>
      <c r="AB459" s="162"/>
      <c r="AC459" s="163">
        <v>17.010000000000002</v>
      </c>
      <c r="AD459" s="163">
        <v>18.600000000000001</v>
      </c>
      <c r="AE459" s="163">
        <v>103066</v>
      </c>
      <c r="AF459" s="163">
        <v>108589.24381016233</v>
      </c>
      <c r="AG459" s="163">
        <v>2046.2860000000001</v>
      </c>
      <c r="AH459" s="163">
        <v>2155.9452133518507</v>
      </c>
      <c r="AI459" s="163">
        <v>434.16699999999997</v>
      </c>
      <c r="AJ459" s="163">
        <v>457.43374359465531</v>
      </c>
      <c r="AK459" s="164">
        <v>123.94</v>
      </c>
      <c r="AL459" s="164">
        <v>130.58186868444994</v>
      </c>
      <c r="AM459" s="164">
        <v>131.1</v>
      </c>
      <c r="AN459" s="164">
        <v>138.12556869881709</v>
      </c>
      <c r="AO459" s="164"/>
      <c r="AP459" s="164"/>
      <c r="AS459" s="167"/>
      <c r="AT459" s="1170"/>
      <c r="AU459" s="1171"/>
      <c r="AV459" s="1171"/>
      <c r="AW459" s="1172"/>
      <c r="AX459" s="1172"/>
      <c r="AY459" s="1172"/>
      <c r="AZ459" s="1172"/>
      <c r="BA459" s="1283" t="s">
        <v>32</v>
      </c>
      <c r="BB459" s="1284">
        <v>2015</v>
      </c>
      <c r="BC459" s="1283" t="s">
        <v>281</v>
      </c>
      <c r="BD459" s="1283">
        <v>1</v>
      </c>
      <c r="BE459" s="1285">
        <v>8991120000</v>
      </c>
      <c r="BF459" s="1239">
        <v>0.65178477253623968</v>
      </c>
      <c r="BG459" s="1236"/>
      <c r="BH459" s="1281" t="s">
        <v>32</v>
      </c>
      <c r="BI459" s="1281" t="s">
        <v>339</v>
      </c>
      <c r="BJ459" s="1281" t="s">
        <v>315</v>
      </c>
      <c r="BK459" s="1281">
        <v>8</v>
      </c>
      <c r="BL459" s="1282">
        <v>62992000</v>
      </c>
      <c r="BM459" s="1239">
        <v>1.1341766317337911E-2</v>
      </c>
      <c r="BN459" s="1236">
        <v>2003</v>
      </c>
      <c r="BO459" s="174"/>
      <c r="BP459" s="174"/>
      <c r="BQ459" s="174"/>
      <c r="BR459" s="174"/>
      <c r="BS459" s="174"/>
      <c r="BT459" s="174"/>
      <c r="BU459" s="174"/>
      <c r="BV459" s="174"/>
      <c r="BW459" s="174"/>
      <c r="BX459" s="174"/>
    </row>
    <row r="460" spans="1:76" s="152" customFormat="1" ht="15" customHeight="1" x14ac:dyDescent="0.25">
      <c r="A460" s="152">
        <f t="shared" ref="A460:A523" si="14">YEAR(C460)</f>
        <v>2008</v>
      </c>
      <c r="B460" s="152" t="str">
        <f t="shared" ref="B460:B523" si="15">IF(MONTH(C460) &gt;= 7, A460 &amp; "-" &amp; RIGHT(A460+1, 2), A460-1 &amp; "-" &amp; RIGHT(A460, 2))</f>
        <v>2007-08</v>
      </c>
      <c r="C460" s="173">
        <v>39600</v>
      </c>
      <c r="D460" s="169">
        <v>0.95082500000000003</v>
      </c>
      <c r="E460" s="170">
        <v>352.42345386727158</v>
      </c>
      <c r="F460" s="170">
        <v>370.65017628614265</v>
      </c>
      <c r="G460" s="170"/>
      <c r="H460" s="170"/>
      <c r="I460" s="169">
        <v>889.48800000000006</v>
      </c>
      <c r="J460" s="169">
        <v>930.84</v>
      </c>
      <c r="K460" s="169"/>
      <c r="L460" s="170"/>
      <c r="M460" s="170">
        <v>22549.05</v>
      </c>
      <c r="N460" s="170">
        <v>23715.247285252281</v>
      </c>
      <c r="O460" s="170">
        <v>8260.6</v>
      </c>
      <c r="P460" s="170">
        <v>8687.8237320221906</v>
      </c>
      <c r="Q460" s="170">
        <v>1863.05</v>
      </c>
      <c r="R460" s="170">
        <v>1959.4036757552651</v>
      </c>
      <c r="S460" s="170">
        <v>1894.48</v>
      </c>
      <c r="T460" s="170">
        <v>1992.4591801856282</v>
      </c>
      <c r="U460" s="170">
        <v>808.48232749414137</v>
      </c>
      <c r="V460" s="170">
        <v>850.29561432875801</v>
      </c>
      <c r="W460" s="170">
        <v>1953.0960724194365</v>
      </c>
      <c r="X460" s="170">
        <v>2054.1067729807655</v>
      </c>
      <c r="Y460" s="170"/>
      <c r="Z460" s="170"/>
      <c r="AA460" s="170"/>
      <c r="AB460" s="170"/>
      <c r="AC460" s="170">
        <v>16.969000000000001</v>
      </c>
      <c r="AD460" s="170">
        <v>17.850000000000001</v>
      </c>
      <c r="AE460" s="170">
        <v>96658.9</v>
      </c>
      <c r="AF460" s="170">
        <v>101657.92864091709</v>
      </c>
      <c r="AG460" s="170">
        <v>2038.2380000000001</v>
      </c>
      <c r="AH460" s="170">
        <v>2143.6520916046593</v>
      </c>
      <c r="AI460" s="170">
        <v>449.57100000000003</v>
      </c>
      <c r="AJ460" s="170">
        <v>472.82202298004364</v>
      </c>
      <c r="AK460" s="170">
        <v>133.05000000000001</v>
      </c>
      <c r="AL460" s="170">
        <v>139.93111245497332</v>
      </c>
      <c r="AM460" s="170">
        <v>139.21</v>
      </c>
      <c r="AN460" s="170">
        <v>146.40969684221596</v>
      </c>
      <c r="AO460" s="170"/>
      <c r="AP460" s="170"/>
      <c r="AS460" s="167"/>
      <c r="AT460" s="1170"/>
      <c r="AU460" s="1171"/>
      <c r="AV460" s="1171"/>
      <c r="AW460" s="1172"/>
      <c r="AX460" s="1172"/>
      <c r="AY460" s="1172"/>
      <c r="AZ460" s="1172"/>
      <c r="BA460" s="1283" t="s">
        <v>32</v>
      </c>
      <c r="BB460" s="1284">
        <v>2015</v>
      </c>
      <c r="BC460" s="1283" t="s">
        <v>306</v>
      </c>
      <c r="BD460" s="1283">
        <v>2</v>
      </c>
      <c r="BE460" s="1285">
        <v>2066004000</v>
      </c>
      <c r="BF460" s="1239">
        <v>0.1497688772031695</v>
      </c>
      <c r="BG460" s="1236"/>
      <c r="BH460" s="1281" t="s">
        <v>32</v>
      </c>
      <c r="BI460" s="1281" t="s">
        <v>339</v>
      </c>
      <c r="BJ460" s="1281" t="s">
        <v>285</v>
      </c>
      <c r="BK460" s="1281">
        <v>9</v>
      </c>
      <c r="BL460" s="1282">
        <v>16152000</v>
      </c>
      <c r="BM460" s="1239">
        <v>2.9081821430918522E-3</v>
      </c>
      <c r="BN460" s="1236">
        <v>2003</v>
      </c>
      <c r="BO460" s="174"/>
      <c r="BP460" s="174"/>
      <c r="BQ460" s="174"/>
      <c r="BR460" s="174"/>
      <c r="BS460" s="174"/>
      <c r="BT460" s="174"/>
      <c r="BU460" s="174"/>
      <c r="BV460" s="174"/>
      <c r="BW460" s="174"/>
      <c r="BX460" s="174"/>
    </row>
    <row r="461" spans="1:76" s="152" customFormat="1" ht="15" customHeight="1" x14ac:dyDescent="0.25">
      <c r="A461" s="152">
        <f t="shared" si="14"/>
        <v>2008</v>
      </c>
      <c r="B461" s="152" t="str">
        <f t="shared" si="15"/>
        <v>2008-09</v>
      </c>
      <c r="C461" s="173">
        <v>39630</v>
      </c>
      <c r="D461" s="154">
        <v>0.96253043478260891</v>
      </c>
      <c r="E461" s="155">
        <v>371.70132934519626</v>
      </c>
      <c r="F461" s="155">
        <v>386.17098837934032</v>
      </c>
      <c r="G461" s="155"/>
      <c r="H461" s="155"/>
      <c r="I461" s="156">
        <v>939.77200000000005</v>
      </c>
      <c r="J461" s="156">
        <v>940</v>
      </c>
      <c r="K461" s="157"/>
      <c r="L461" s="158"/>
      <c r="M461" s="159">
        <v>20160.22</v>
      </c>
      <c r="N461" s="159">
        <v>20945.020823734536</v>
      </c>
      <c r="O461" s="175">
        <v>8414.0400000000009</v>
      </c>
      <c r="P461" s="175">
        <v>8741.583326557713</v>
      </c>
      <c r="Q461" s="175">
        <v>1944.91</v>
      </c>
      <c r="R461" s="175">
        <v>2020.6218211055998</v>
      </c>
      <c r="S461" s="175">
        <v>1852.37</v>
      </c>
      <c r="T461" s="175">
        <v>1924.4794066364921</v>
      </c>
      <c r="U461" s="161">
        <v>865.58984245473891</v>
      </c>
      <c r="V461" s="161">
        <v>899.28568611987384</v>
      </c>
      <c r="W461" s="161">
        <v>1948.5260013304783</v>
      </c>
      <c r="X461" s="161">
        <v>2024.3785868137875</v>
      </c>
      <c r="Y461" s="162"/>
      <c r="Z461" s="162"/>
      <c r="AA461" s="162"/>
      <c r="AB461" s="162"/>
      <c r="AC461" s="163">
        <v>18.033999999999999</v>
      </c>
      <c r="AD461" s="163">
        <v>17</v>
      </c>
      <c r="AE461" s="163">
        <v>84051.199999999997</v>
      </c>
      <c r="AF461" s="163">
        <v>87323.160871254193</v>
      </c>
      <c r="AG461" s="163">
        <v>1904.4349999999999</v>
      </c>
      <c r="AH461" s="163">
        <v>1978.5712027174743</v>
      </c>
      <c r="AI461" s="163">
        <v>426.30399999999997</v>
      </c>
      <c r="AJ461" s="163">
        <v>442.89924203413091</v>
      </c>
      <c r="AK461" s="164">
        <v>133.9</v>
      </c>
      <c r="AL461" s="164">
        <v>139.11248430315018</v>
      </c>
      <c r="AM461" s="164">
        <v>143.11000000000001</v>
      </c>
      <c r="AN461" s="164">
        <v>148.68101290981198</v>
      </c>
      <c r="AO461" s="164"/>
      <c r="AP461" s="164"/>
      <c r="AS461" s="167"/>
      <c r="AT461" s="1170"/>
      <c r="AU461" s="1171"/>
      <c r="AV461" s="1171"/>
      <c r="AW461" s="1172"/>
      <c r="AX461" s="1172"/>
      <c r="AY461" s="1172"/>
      <c r="AZ461" s="1172"/>
      <c r="BA461" s="1283" t="s">
        <v>32</v>
      </c>
      <c r="BB461" s="1284">
        <v>2015</v>
      </c>
      <c r="BC461" s="1283" t="s">
        <v>287</v>
      </c>
      <c r="BD461" s="1283">
        <v>3</v>
      </c>
      <c r="BE461" s="1285">
        <v>929831000</v>
      </c>
      <c r="BF461" s="1239">
        <v>6.7405360715032642E-2</v>
      </c>
      <c r="BG461" s="1236"/>
      <c r="BH461" s="1281" t="s">
        <v>32</v>
      </c>
      <c r="BI461" s="1281" t="s">
        <v>339</v>
      </c>
      <c r="BJ461" s="1281" t="s">
        <v>340</v>
      </c>
      <c r="BK461" s="1281">
        <v>10</v>
      </c>
      <c r="BL461" s="1282">
        <v>11074000</v>
      </c>
      <c r="BM461" s="1239">
        <v>1.9938836709137674E-3</v>
      </c>
      <c r="BN461" s="1236">
        <v>2003</v>
      </c>
      <c r="BO461" s="174"/>
      <c r="BP461" s="174"/>
      <c r="BQ461" s="174"/>
      <c r="BR461" s="174"/>
      <c r="BS461" s="174"/>
      <c r="BT461" s="174"/>
      <c r="BU461" s="174"/>
      <c r="BV461" s="174"/>
      <c r="BW461" s="174"/>
      <c r="BX461" s="174"/>
    </row>
    <row r="462" spans="1:76" s="152" customFormat="1" ht="15" customHeight="1" x14ac:dyDescent="0.25">
      <c r="A462" s="152">
        <f t="shared" si="14"/>
        <v>2008</v>
      </c>
      <c r="B462" s="152" t="str">
        <f t="shared" si="15"/>
        <v>2008-09</v>
      </c>
      <c r="C462" s="173">
        <v>39661</v>
      </c>
      <c r="D462" s="169">
        <v>0.88100499999999982</v>
      </c>
      <c r="E462" s="170">
        <v>361.82806310174948</v>
      </c>
      <c r="F462" s="170">
        <v>410.69921635149581</v>
      </c>
      <c r="G462" s="170"/>
      <c r="H462" s="170"/>
      <c r="I462" s="169">
        <v>838.31</v>
      </c>
      <c r="J462" s="169">
        <v>950.68</v>
      </c>
      <c r="K462" s="169"/>
      <c r="L462" s="170"/>
      <c r="M462" s="170">
        <v>18927.75</v>
      </c>
      <c r="N462" s="170">
        <v>21484.270804365475</v>
      </c>
      <c r="O462" s="170">
        <v>7634.7</v>
      </c>
      <c r="P462" s="170">
        <v>8665.8986044347093</v>
      </c>
      <c r="Q462" s="170">
        <v>1923.58</v>
      </c>
      <c r="R462" s="170">
        <v>2183.3928297796269</v>
      </c>
      <c r="S462" s="170">
        <v>1723</v>
      </c>
      <c r="T462" s="170">
        <v>1955.7210231496988</v>
      </c>
      <c r="U462" s="170">
        <v>855.95366055241584</v>
      </c>
      <c r="V462" s="170">
        <v>971.56504282315768</v>
      </c>
      <c r="W462" s="170">
        <v>2009.7675885397671</v>
      </c>
      <c r="X462" s="170">
        <v>2281.2215464608798</v>
      </c>
      <c r="Y462" s="170"/>
      <c r="Z462" s="170"/>
      <c r="AA462" s="170"/>
      <c r="AB462" s="170"/>
      <c r="AC462" s="170">
        <v>14.635</v>
      </c>
      <c r="AD462" s="170">
        <v>16.73</v>
      </c>
      <c r="AE462" s="170">
        <v>63074.2</v>
      </c>
      <c r="AF462" s="170">
        <v>71593.464282268556</v>
      </c>
      <c r="AG462" s="170">
        <v>1488.4749999999999</v>
      </c>
      <c r="AH462" s="170">
        <v>1689.5193557357793</v>
      </c>
      <c r="AI462" s="170">
        <v>315.89999999999998</v>
      </c>
      <c r="AJ462" s="170">
        <v>358.56777203307593</v>
      </c>
      <c r="AK462" s="170">
        <v>113.85</v>
      </c>
      <c r="AL462" s="170">
        <v>129.22741641647892</v>
      </c>
      <c r="AM462" s="170">
        <v>122.5</v>
      </c>
      <c r="AN462" s="170">
        <v>139.04574888905287</v>
      </c>
      <c r="AO462" s="170"/>
      <c r="AP462" s="170"/>
      <c r="AS462" s="167"/>
      <c r="AT462" s="1170"/>
      <c r="AU462" s="1171"/>
      <c r="AV462" s="1171"/>
      <c r="AW462" s="1172"/>
      <c r="AX462" s="1172"/>
      <c r="AY462" s="1172"/>
      <c r="AZ462" s="1172"/>
      <c r="BA462" s="1283" t="s">
        <v>32</v>
      </c>
      <c r="BB462" s="1284">
        <v>2015</v>
      </c>
      <c r="BC462" s="1283" t="s">
        <v>323</v>
      </c>
      <c r="BD462" s="1283">
        <v>4</v>
      </c>
      <c r="BE462" s="1285">
        <v>673610000</v>
      </c>
      <c r="BF462" s="1239">
        <v>4.8831373691835545E-2</v>
      </c>
      <c r="BG462" s="1236"/>
      <c r="BH462" s="1281" t="s">
        <v>32</v>
      </c>
      <c r="BI462" s="1281" t="s">
        <v>339</v>
      </c>
      <c r="BJ462" s="1281" t="s">
        <v>291</v>
      </c>
      <c r="BK462" s="1281"/>
      <c r="BL462" s="1282">
        <v>32661000</v>
      </c>
      <c r="BM462" s="1239">
        <v>5.8806424576227697E-3</v>
      </c>
      <c r="BN462" s="1236">
        <v>2003</v>
      </c>
      <c r="BO462" s="174"/>
      <c r="BP462" s="174"/>
      <c r="BQ462" s="174"/>
      <c r="BR462" s="174"/>
      <c r="BS462" s="174"/>
      <c r="BT462" s="174"/>
      <c r="BU462" s="174"/>
      <c r="BV462" s="174"/>
      <c r="BW462" s="174"/>
      <c r="BX462" s="174"/>
    </row>
    <row r="463" spans="1:76" s="152" customFormat="1" ht="15" customHeight="1" x14ac:dyDescent="0.25">
      <c r="A463" s="152">
        <f t="shared" si="14"/>
        <v>2008</v>
      </c>
      <c r="B463" s="152" t="str">
        <f t="shared" si="15"/>
        <v>2008-09</v>
      </c>
      <c r="C463" s="173">
        <v>39692</v>
      </c>
      <c r="D463" s="154">
        <v>0.82051363636363628</v>
      </c>
      <c r="E463" s="155">
        <v>369.18748182738028</v>
      </c>
      <c r="F463" s="155">
        <v>449.94679608683958</v>
      </c>
      <c r="G463" s="155"/>
      <c r="H463" s="155"/>
      <c r="I463" s="156">
        <v>829.93200000000002</v>
      </c>
      <c r="J463" s="156">
        <v>1001.55</v>
      </c>
      <c r="K463" s="157"/>
      <c r="L463" s="158"/>
      <c r="M463" s="159">
        <v>17794.55</v>
      </c>
      <c r="N463" s="159">
        <v>21687.086248635835</v>
      </c>
      <c r="O463" s="175">
        <v>6990.86</v>
      </c>
      <c r="P463" s="175">
        <v>8520.1021533075182</v>
      </c>
      <c r="Q463" s="175">
        <v>1868.36</v>
      </c>
      <c r="R463" s="175">
        <v>2277.0614858763638</v>
      </c>
      <c r="S463" s="175">
        <v>1735</v>
      </c>
      <c r="T463" s="175">
        <v>2114.5291474852229</v>
      </c>
      <c r="U463" s="161">
        <v>925.88576705937442</v>
      </c>
      <c r="V463" s="161">
        <v>1128.4221565929456</v>
      </c>
      <c r="W463" s="161">
        <v>2121.0549854745482</v>
      </c>
      <c r="X463" s="161">
        <v>2585.0331932016011</v>
      </c>
      <c r="Y463" s="162"/>
      <c r="Z463" s="162"/>
      <c r="AA463" s="162"/>
      <c r="AB463" s="162"/>
      <c r="AC463" s="163">
        <v>12.372999999999999</v>
      </c>
      <c r="AD463" s="163">
        <v>15.06</v>
      </c>
      <c r="AE463" s="163">
        <v>70203.399999999994</v>
      </c>
      <c r="AF463" s="163">
        <v>85560.308675829438</v>
      </c>
      <c r="AG463" s="163">
        <v>1223.182</v>
      </c>
      <c r="AH463" s="163">
        <v>1490.7515802185994</v>
      </c>
      <c r="AI463" s="163">
        <v>247.93199999999999</v>
      </c>
      <c r="AJ463" s="163">
        <v>302.1668245500324</v>
      </c>
      <c r="AK463" s="164">
        <v>99.06</v>
      </c>
      <c r="AL463" s="164">
        <v>120.72925495670674</v>
      </c>
      <c r="AM463" s="164">
        <v>104.34</v>
      </c>
      <c r="AN463" s="164">
        <v>127.1642485582756</v>
      </c>
      <c r="AO463" s="164"/>
      <c r="AP463" s="164"/>
      <c r="AS463" s="167"/>
      <c r="AT463" s="1170"/>
      <c r="AU463" s="1171"/>
      <c r="AV463" s="1171"/>
      <c r="AW463" s="1172"/>
      <c r="AX463" s="1172"/>
      <c r="AY463" s="1172"/>
      <c r="AZ463" s="1172"/>
      <c r="BA463" s="1283" t="s">
        <v>32</v>
      </c>
      <c r="BB463" s="1284">
        <v>2015</v>
      </c>
      <c r="BC463" s="1283" t="s">
        <v>314</v>
      </c>
      <c r="BD463" s="1283">
        <v>5</v>
      </c>
      <c r="BE463" s="1285">
        <v>410333000</v>
      </c>
      <c r="BF463" s="1239">
        <v>2.9745882723077086E-2</v>
      </c>
      <c r="BG463" s="1236"/>
      <c r="BH463" s="1281" t="s">
        <v>32</v>
      </c>
      <c r="BI463" s="1281" t="s">
        <v>339</v>
      </c>
      <c r="BJ463" s="1281" t="s">
        <v>292</v>
      </c>
      <c r="BK463" s="1281"/>
      <c r="BL463" s="1282">
        <v>5553985000</v>
      </c>
      <c r="BM463" s="1239">
        <v>1</v>
      </c>
      <c r="BN463" s="1236">
        <v>2003</v>
      </c>
      <c r="BO463" s="174"/>
      <c r="BP463" s="174"/>
      <c r="BQ463" s="174"/>
      <c r="BR463" s="174"/>
      <c r="BS463" s="174"/>
      <c r="BT463" s="174"/>
      <c r="BU463" s="174"/>
      <c r="BV463" s="174"/>
      <c r="BW463" s="174"/>
      <c r="BX463" s="174"/>
    </row>
    <row r="464" spans="1:76" s="152" customFormat="1" ht="15" customHeight="1" x14ac:dyDescent="0.25">
      <c r="A464" s="152">
        <f t="shared" si="14"/>
        <v>2008</v>
      </c>
      <c r="B464" s="152" t="str">
        <f t="shared" si="15"/>
        <v>2008-09</v>
      </c>
      <c r="C464" s="173">
        <v>39722</v>
      </c>
      <c r="D464" s="169">
        <v>0.68943636363636374</v>
      </c>
      <c r="E464" s="170">
        <v>333.39195577362409</v>
      </c>
      <c r="F464" s="170">
        <v>483.57176000288308</v>
      </c>
      <c r="G464" s="170"/>
      <c r="H464" s="170"/>
      <c r="I464" s="169">
        <v>806.62</v>
      </c>
      <c r="J464" s="169">
        <v>1164.8800000000001</v>
      </c>
      <c r="K464" s="169"/>
      <c r="L464" s="170"/>
      <c r="M464" s="170">
        <v>12139.78</v>
      </c>
      <c r="N464" s="170">
        <v>17608.267623091324</v>
      </c>
      <c r="O464" s="170">
        <v>4925.7</v>
      </c>
      <c r="P464" s="170">
        <v>7144.5317650781917</v>
      </c>
      <c r="Q464" s="170">
        <v>1480.11</v>
      </c>
      <c r="R464" s="170">
        <v>2146.840633982963</v>
      </c>
      <c r="S464" s="170">
        <v>1302.1099999999999</v>
      </c>
      <c r="T464" s="170">
        <v>1888.6587199029507</v>
      </c>
      <c r="U464" s="170">
        <v>841.0851757236843</v>
      </c>
      <c r="V464" s="170">
        <v>1219.9605650149695</v>
      </c>
      <c r="W464" s="170">
        <v>2135.7033191284727</v>
      </c>
      <c r="X464" s="170">
        <v>3097.7526451664335</v>
      </c>
      <c r="Y464" s="170"/>
      <c r="Z464" s="170"/>
      <c r="AA464" s="170"/>
      <c r="AB464" s="170"/>
      <c r="AC464" s="170">
        <v>10.441000000000001</v>
      </c>
      <c r="AD464" s="170">
        <v>15.1</v>
      </c>
      <c r="AE464" s="170">
        <v>68398.399999999994</v>
      </c>
      <c r="AF464" s="170">
        <v>99209.15635960862</v>
      </c>
      <c r="AG464" s="170">
        <v>912.56500000000005</v>
      </c>
      <c r="AH464" s="170">
        <v>1323.6392046203748</v>
      </c>
      <c r="AI464" s="170">
        <v>190.739</v>
      </c>
      <c r="AJ464" s="170">
        <v>276.65932645903104</v>
      </c>
      <c r="AK464" s="170">
        <v>72.84</v>
      </c>
      <c r="AL464" s="170">
        <v>105.65152034600068</v>
      </c>
      <c r="AM464" s="170">
        <v>74.94</v>
      </c>
      <c r="AN464" s="170">
        <v>108.69748674806823</v>
      </c>
      <c r="AO464" s="170"/>
      <c r="AP464" s="170"/>
      <c r="AS464" s="167"/>
      <c r="AT464" s="1170"/>
      <c r="AU464" s="1171"/>
      <c r="AV464" s="1171"/>
      <c r="AW464" s="1172"/>
      <c r="AX464" s="1172"/>
      <c r="AY464" s="1172"/>
      <c r="AZ464" s="1172"/>
      <c r="BA464" s="1283" t="s">
        <v>32</v>
      </c>
      <c r="BB464" s="1284">
        <v>2015</v>
      </c>
      <c r="BC464" s="1283" t="s">
        <v>320</v>
      </c>
      <c r="BD464" s="1283">
        <v>6</v>
      </c>
      <c r="BE464" s="1285">
        <v>335740000</v>
      </c>
      <c r="BF464" s="1239">
        <v>2.4338482806515439E-2</v>
      </c>
      <c r="BG464" s="1236"/>
      <c r="BH464" s="1286" t="s">
        <v>32</v>
      </c>
      <c r="BI464" s="1286" t="s">
        <v>317</v>
      </c>
      <c r="BJ464" s="1286" t="s">
        <v>287</v>
      </c>
      <c r="BK464" s="1286">
        <v>1</v>
      </c>
      <c r="BL464" s="1287">
        <v>2773127000</v>
      </c>
      <c r="BM464" s="1239">
        <v>0.49383254020419476</v>
      </c>
      <c r="BN464" s="1236">
        <v>2004</v>
      </c>
      <c r="BO464" s="174"/>
      <c r="BP464" s="174"/>
      <c r="BQ464" s="174"/>
      <c r="BR464" s="174"/>
      <c r="BS464" s="174"/>
      <c r="BT464" s="174"/>
      <c r="BU464" s="174"/>
      <c r="BV464" s="174"/>
      <c r="BW464" s="174"/>
      <c r="BX464" s="174"/>
    </row>
    <row r="465" spans="1:76" s="152" customFormat="1" ht="15" customHeight="1" x14ac:dyDescent="0.25">
      <c r="A465" s="152">
        <f t="shared" si="14"/>
        <v>2008</v>
      </c>
      <c r="B465" s="152" t="str">
        <f t="shared" si="15"/>
        <v>2008-09</v>
      </c>
      <c r="C465" s="173">
        <v>39753</v>
      </c>
      <c r="D465" s="154">
        <v>0.65567999999999993</v>
      </c>
      <c r="E465" s="155">
        <v>307.86621485314339</v>
      </c>
      <c r="F465" s="155">
        <v>469.53729693317382</v>
      </c>
      <c r="G465" s="155"/>
      <c r="H465" s="155"/>
      <c r="I465" s="156">
        <v>760.86300000000006</v>
      </c>
      <c r="J465" s="156">
        <v>1151.9100000000001</v>
      </c>
      <c r="K465" s="157"/>
      <c r="L465" s="158"/>
      <c r="M465" s="159">
        <v>10701.5</v>
      </c>
      <c r="N465" s="159">
        <v>16321.223767691559</v>
      </c>
      <c r="O465" s="175">
        <v>3717</v>
      </c>
      <c r="P465" s="175">
        <v>5668.9238653001466</v>
      </c>
      <c r="Q465" s="175">
        <v>1291.0999999999999</v>
      </c>
      <c r="R465" s="175">
        <v>1969.1007808687166</v>
      </c>
      <c r="S465" s="175">
        <v>1152.5999999999999</v>
      </c>
      <c r="T465" s="175">
        <v>1757.869692532943</v>
      </c>
      <c r="U465" s="161">
        <v>859.03806606510557</v>
      </c>
      <c r="V465" s="161">
        <v>1310.1483438035409</v>
      </c>
      <c r="W465" s="161">
        <v>2209.3385001906004</v>
      </c>
      <c r="X465" s="161">
        <v>3369.5377321110918</v>
      </c>
      <c r="Y465" s="162"/>
      <c r="Z465" s="162"/>
      <c r="AA465" s="162"/>
      <c r="AB465" s="162"/>
      <c r="AC465" s="163">
        <v>9.8650000000000002</v>
      </c>
      <c r="AD465" s="163">
        <v>15.02</v>
      </c>
      <c r="AE465" s="163">
        <v>44161.3</v>
      </c>
      <c r="AF465" s="163">
        <v>67351.909468033205</v>
      </c>
      <c r="AG465" s="163">
        <v>840.3</v>
      </c>
      <c r="AH465" s="163">
        <v>1281.5702781844802</v>
      </c>
      <c r="AI465" s="163">
        <v>207.42500000000001</v>
      </c>
      <c r="AJ465" s="163">
        <v>316.35096388482191</v>
      </c>
      <c r="AK465" s="164">
        <v>53.24</v>
      </c>
      <c r="AL465" s="164">
        <v>81.198145436798455</v>
      </c>
      <c r="AM465" s="164">
        <v>53.17</v>
      </c>
      <c r="AN465" s="164">
        <v>81.091386041971703</v>
      </c>
      <c r="AO465" s="164"/>
      <c r="AP465" s="164"/>
      <c r="AS465" s="167"/>
      <c r="AT465" s="1170"/>
      <c r="AU465" s="1171"/>
      <c r="AV465" s="1171"/>
      <c r="AW465" s="1172"/>
      <c r="AX465" s="1172"/>
      <c r="AY465" s="1172"/>
      <c r="AZ465" s="1172"/>
      <c r="BA465" s="1283" t="s">
        <v>32</v>
      </c>
      <c r="BB465" s="1284">
        <v>2015</v>
      </c>
      <c r="BC465" s="1283" t="s">
        <v>286</v>
      </c>
      <c r="BD465" s="1283">
        <v>7</v>
      </c>
      <c r="BE465" s="1285">
        <v>124054000</v>
      </c>
      <c r="BF465" s="1239">
        <v>8.9929294873398059E-3</v>
      </c>
      <c r="BG465" s="1236"/>
      <c r="BH465" s="1286" t="s">
        <v>32</v>
      </c>
      <c r="BI465" s="1286" t="s">
        <v>317</v>
      </c>
      <c r="BJ465" s="1286" t="s">
        <v>323</v>
      </c>
      <c r="BK465" s="1286">
        <v>2</v>
      </c>
      <c r="BL465" s="1287">
        <v>978022000</v>
      </c>
      <c r="BM465" s="1239">
        <v>0.17416407133015796</v>
      </c>
      <c r="BN465" s="1236">
        <v>2004</v>
      </c>
      <c r="BO465" s="174"/>
      <c r="BP465" s="174"/>
      <c r="BQ465" s="174"/>
      <c r="BR465" s="174"/>
      <c r="BS465" s="174"/>
      <c r="BT465" s="174"/>
      <c r="BU465" s="174"/>
      <c r="BV465" s="174"/>
      <c r="BW465" s="174"/>
      <c r="BX465" s="174"/>
    </row>
    <row r="466" spans="1:76" s="152" customFormat="1" ht="15" customHeight="1" x14ac:dyDescent="0.25">
      <c r="A466" s="152">
        <f t="shared" si="14"/>
        <v>2008</v>
      </c>
      <c r="B466" s="152" t="str">
        <f t="shared" si="15"/>
        <v>2008-09</v>
      </c>
      <c r="C466" s="173">
        <v>39783</v>
      </c>
      <c r="D466" s="169">
        <v>0.66902380952380958</v>
      </c>
      <c r="E466" s="170">
        <v>286.57080649825554</v>
      </c>
      <c r="F466" s="170">
        <v>428.34171582357851</v>
      </c>
      <c r="G466" s="170"/>
      <c r="H466" s="170"/>
      <c r="I466" s="169">
        <v>816.09199999999998</v>
      </c>
      <c r="J466" s="169">
        <v>1224.46</v>
      </c>
      <c r="K466" s="169"/>
      <c r="L466" s="170"/>
      <c r="M466" s="170">
        <v>9686.43</v>
      </c>
      <c r="N466" s="170">
        <v>14478.453325741129</v>
      </c>
      <c r="O466" s="170">
        <v>3071.98</v>
      </c>
      <c r="P466" s="170">
        <v>4591.7349371863766</v>
      </c>
      <c r="Q466" s="170">
        <v>962.88</v>
      </c>
      <c r="R466" s="170">
        <v>1439.2312893697283</v>
      </c>
      <c r="S466" s="170">
        <v>1100.57</v>
      </c>
      <c r="T466" s="170">
        <v>1645.0386134737889</v>
      </c>
      <c r="U466" s="170">
        <v>864.81534716228998</v>
      </c>
      <c r="V466" s="170">
        <v>1292.6525705831586</v>
      </c>
      <c r="W466" s="170">
        <v>2249.4184072316771</v>
      </c>
      <c r="X466" s="170">
        <v>3362.2396919367393</v>
      </c>
      <c r="Y466" s="170"/>
      <c r="Z466" s="170"/>
      <c r="AA466" s="170"/>
      <c r="AB466" s="170"/>
      <c r="AC466" s="170">
        <v>10.285</v>
      </c>
      <c r="AD466" s="170">
        <v>15.47</v>
      </c>
      <c r="AE466" s="170">
        <v>30726.9</v>
      </c>
      <c r="AF466" s="170">
        <v>45927.961849176128</v>
      </c>
      <c r="AG466" s="170">
        <v>835</v>
      </c>
      <c r="AH466" s="170">
        <v>1248.0871205380975</v>
      </c>
      <c r="AI466" s="170">
        <v>175.47399999999999</v>
      </c>
      <c r="AJ466" s="170">
        <v>262.28363998718811</v>
      </c>
      <c r="AK466" s="170">
        <v>41.58</v>
      </c>
      <c r="AL466" s="170">
        <v>62.150254457453997</v>
      </c>
      <c r="AM466" s="170">
        <v>42.65</v>
      </c>
      <c r="AN466" s="170">
        <v>63.749599629880059</v>
      </c>
      <c r="AO466" s="170"/>
      <c r="AP466" s="170"/>
      <c r="AS466" s="167"/>
      <c r="AT466" s="1170"/>
      <c r="AU466" s="1171"/>
      <c r="AV466" s="1171"/>
      <c r="AW466" s="1172"/>
      <c r="AX466" s="1172"/>
      <c r="AY466" s="1172"/>
      <c r="AZ466" s="1172"/>
      <c r="BA466" s="1283" t="s">
        <v>32</v>
      </c>
      <c r="BB466" s="1284">
        <v>2015</v>
      </c>
      <c r="BC466" s="1283" t="s">
        <v>328</v>
      </c>
      <c r="BD466" s="1283">
        <v>8</v>
      </c>
      <c r="BE466" s="1285">
        <v>71559000</v>
      </c>
      <c r="BF466" s="1239">
        <v>5.1874590193347189E-3</v>
      </c>
      <c r="BG466" s="1236"/>
      <c r="BH466" s="1286" t="s">
        <v>32</v>
      </c>
      <c r="BI466" s="1286" t="s">
        <v>317</v>
      </c>
      <c r="BJ466" s="1286" t="s">
        <v>314</v>
      </c>
      <c r="BK466" s="1286">
        <v>3</v>
      </c>
      <c r="BL466" s="1287">
        <v>790592000</v>
      </c>
      <c r="BM466" s="1239">
        <v>0.14078693677754922</v>
      </c>
      <c r="BN466" s="1236">
        <v>2004</v>
      </c>
      <c r="BO466" s="174"/>
      <c r="BP466" s="174"/>
      <c r="BQ466" s="174"/>
      <c r="BR466" s="174"/>
      <c r="BS466" s="174"/>
      <c r="BT466" s="174"/>
      <c r="BU466" s="174"/>
      <c r="BV466" s="174"/>
      <c r="BW466" s="174"/>
      <c r="BX466" s="174"/>
    </row>
    <row r="467" spans="1:76" s="152" customFormat="1" ht="15" customHeight="1" x14ac:dyDescent="0.25">
      <c r="A467" s="152">
        <f t="shared" si="14"/>
        <v>2009</v>
      </c>
      <c r="B467" s="152" t="str">
        <f t="shared" si="15"/>
        <v>2008-09</v>
      </c>
      <c r="C467" s="173">
        <v>39814</v>
      </c>
      <c r="D467" s="154">
        <v>0.67839000000000005</v>
      </c>
      <c r="E467" s="155">
        <v>233.23456251593979</v>
      </c>
      <c r="F467" s="155">
        <v>343.80601500013233</v>
      </c>
      <c r="G467" s="155"/>
      <c r="H467" s="155"/>
      <c r="I467" s="156">
        <v>858.69</v>
      </c>
      <c r="J467" s="156">
        <v>1257.2</v>
      </c>
      <c r="K467" s="157"/>
      <c r="L467" s="158"/>
      <c r="M467" s="159">
        <v>11306.9</v>
      </c>
      <c r="N467" s="159">
        <v>16667.256297999673</v>
      </c>
      <c r="O467" s="175">
        <v>3220.69</v>
      </c>
      <c r="P467" s="175">
        <v>4747.549344772181</v>
      </c>
      <c r="Q467" s="175">
        <v>1132.74</v>
      </c>
      <c r="R467" s="175">
        <v>1669.7474903816387</v>
      </c>
      <c r="S467" s="175">
        <v>1187.4000000000001</v>
      </c>
      <c r="T467" s="175">
        <v>1750.3206120373236</v>
      </c>
      <c r="U467" s="161">
        <v>957.8850221554253</v>
      </c>
      <c r="V467" s="161">
        <v>1411.9975562072336</v>
      </c>
      <c r="W467" s="161">
        <v>2243.0183083008005</v>
      </c>
      <c r="X467" s="161">
        <v>3306.3846877176852</v>
      </c>
      <c r="Y467" s="162"/>
      <c r="Z467" s="162"/>
      <c r="AA467" s="162"/>
      <c r="AB467" s="162"/>
      <c r="AC467" s="163">
        <v>11.291</v>
      </c>
      <c r="AD467" s="163">
        <v>16.579999999999998</v>
      </c>
      <c r="AE467" s="163">
        <v>37368.35</v>
      </c>
      <c r="AF467" s="163">
        <v>55083.875057120531</v>
      </c>
      <c r="AG467" s="163">
        <v>949.76199999999994</v>
      </c>
      <c r="AH467" s="163">
        <v>1400.0235852533201</v>
      </c>
      <c r="AI467" s="163">
        <v>188.405</v>
      </c>
      <c r="AJ467" s="163">
        <v>277.72372823891862</v>
      </c>
      <c r="AK467" s="164">
        <v>44.98</v>
      </c>
      <c r="AL467" s="164">
        <v>66.304043396866106</v>
      </c>
      <c r="AM467" s="164">
        <v>45.07</v>
      </c>
      <c r="AN467" s="164">
        <v>66.436710446793143</v>
      </c>
      <c r="AO467" s="164"/>
      <c r="AP467" s="164"/>
      <c r="AS467" s="167"/>
      <c r="AT467" s="1170"/>
      <c r="AU467" s="1171"/>
      <c r="AV467" s="1171"/>
      <c r="AW467" s="1172"/>
      <c r="AX467" s="1172"/>
      <c r="AY467" s="1172"/>
      <c r="AZ467" s="1172"/>
      <c r="BA467" s="1283" t="s">
        <v>32</v>
      </c>
      <c r="BB467" s="1284">
        <v>2015</v>
      </c>
      <c r="BC467" s="1283" t="s">
        <v>308</v>
      </c>
      <c r="BD467" s="1283">
        <v>9</v>
      </c>
      <c r="BE467" s="1285">
        <v>64145000</v>
      </c>
      <c r="BF467" s="1239">
        <v>4.6500029178052453E-3</v>
      </c>
      <c r="BG467" s="1236"/>
      <c r="BH467" s="1286" t="s">
        <v>32</v>
      </c>
      <c r="BI467" s="1286" t="s">
        <v>317</v>
      </c>
      <c r="BJ467" s="1286" t="s">
        <v>320</v>
      </c>
      <c r="BK467" s="1286">
        <v>4</v>
      </c>
      <c r="BL467" s="1287">
        <v>283053000</v>
      </c>
      <c r="BM467" s="1239">
        <v>5.0405474398546458E-2</v>
      </c>
      <c r="BN467" s="1236">
        <v>2004</v>
      </c>
      <c r="BO467" s="174"/>
      <c r="BP467" s="174"/>
      <c r="BQ467" s="174"/>
      <c r="BR467" s="174"/>
      <c r="BS467" s="174"/>
      <c r="BT467" s="174"/>
      <c r="BU467" s="174"/>
      <c r="BV467" s="174"/>
      <c r="BW467" s="174"/>
      <c r="BX467" s="174"/>
    </row>
    <row r="468" spans="1:76" s="152" customFormat="1" ht="15" customHeight="1" x14ac:dyDescent="0.25">
      <c r="A468" s="152">
        <f t="shared" si="14"/>
        <v>2009</v>
      </c>
      <c r="B468" s="152" t="str">
        <f t="shared" si="15"/>
        <v>2008-09</v>
      </c>
      <c r="C468" s="173">
        <v>39845</v>
      </c>
      <c r="D468" s="169">
        <v>0.64901500000000012</v>
      </c>
      <c r="E468" s="170">
        <v>226.50504204989716</v>
      </c>
      <c r="F468" s="170">
        <v>348.99816190673113</v>
      </c>
      <c r="G468" s="170"/>
      <c r="H468" s="170"/>
      <c r="I468" s="169">
        <v>943.16300000000001</v>
      </c>
      <c r="J468" s="169">
        <v>1436.07</v>
      </c>
      <c r="K468" s="169"/>
      <c r="L468" s="170"/>
      <c r="M468" s="170">
        <v>10408.75</v>
      </c>
      <c r="N468" s="170">
        <v>16037.764920687501</v>
      </c>
      <c r="O468" s="170">
        <v>3314.73</v>
      </c>
      <c r="P468" s="170">
        <v>5107.3241758665044</v>
      </c>
      <c r="Q468" s="170">
        <v>1100.53</v>
      </c>
      <c r="R468" s="170">
        <v>1695.692703558469</v>
      </c>
      <c r="S468" s="170">
        <v>1112.08</v>
      </c>
      <c r="T468" s="170">
        <v>1713.4889024136571</v>
      </c>
      <c r="U468" s="170">
        <v>614.91940523994822</v>
      </c>
      <c r="V468" s="170">
        <v>947.46562905317774</v>
      </c>
      <c r="W468" s="170">
        <v>2182.7200285885124</v>
      </c>
      <c r="X468" s="170">
        <v>3363.12724449899</v>
      </c>
      <c r="Y468" s="170"/>
      <c r="Z468" s="170"/>
      <c r="AA468" s="170"/>
      <c r="AB468" s="170"/>
      <c r="AC468" s="170">
        <v>13.413</v>
      </c>
      <c r="AD468" s="170">
        <v>20.55</v>
      </c>
      <c r="AE468" s="170">
        <v>33759.25</v>
      </c>
      <c r="AF468" s="170">
        <v>52016.132138702487</v>
      </c>
      <c r="AG468" s="170">
        <v>1035.7</v>
      </c>
      <c r="AH468" s="170">
        <v>1595.8028705037632</v>
      </c>
      <c r="AI468" s="170">
        <v>205.7</v>
      </c>
      <c r="AJ468" s="170">
        <v>316.94182723049539</v>
      </c>
      <c r="AK468" s="170">
        <v>43.24</v>
      </c>
      <c r="AL468" s="170">
        <v>66.624037965224218</v>
      </c>
      <c r="AM468" s="170">
        <v>48.29</v>
      </c>
      <c r="AN468" s="170">
        <v>74.405059975501317</v>
      </c>
      <c r="AO468" s="170"/>
      <c r="AP468" s="170"/>
      <c r="AS468" s="167"/>
      <c r="AT468" s="1170"/>
      <c r="AU468" s="1171"/>
      <c r="AV468" s="1171"/>
      <c r="AW468" s="1172"/>
      <c r="AX468" s="1172"/>
      <c r="AY468" s="1172"/>
      <c r="AZ468" s="1172"/>
      <c r="BA468" s="1283" t="s">
        <v>32</v>
      </c>
      <c r="BB468" s="1284">
        <v>2015</v>
      </c>
      <c r="BC468" s="1283" t="s">
        <v>329</v>
      </c>
      <c r="BD468" s="1283">
        <v>10</v>
      </c>
      <c r="BE468" s="1285">
        <v>48229000</v>
      </c>
      <c r="BF468" s="1239">
        <v>3.4962193580610986E-3</v>
      </c>
      <c r="BG468" s="1236"/>
      <c r="BH468" s="1286" t="s">
        <v>32</v>
      </c>
      <c r="BI468" s="1286" t="s">
        <v>317</v>
      </c>
      <c r="BJ468" s="1286" t="s">
        <v>306</v>
      </c>
      <c r="BK468" s="1286">
        <v>5</v>
      </c>
      <c r="BL468" s="1287">
        <v>235223000</v>
      </c>
      <c r="BM468" s="1239">
        <v>4.1888010035043943E-2</v>
      </c>
      <c r="BN468" s="1236">
        <v>2004</v>
      </c>
      <c r="BO468" s="174"/>
      <c r="BP468" s="174"/>
      <c r="BQ468" s="174"/>
      <c r="BR468" s="174"/>
      <c r="BS468" s="174"/>
      <c r="BT468" s="174"/>
      <c r="BU468" s="174"/>
      <c r="BV468" s="174"/>
      <c r="BW468" s="174"/>
      <c r="BX468" s="174"/>
    </row>
    <row r="469" spans="1:76" s="152" customFormat="1" ht="15" customHeight="1" x14ac:dyDescent="0.25">
      <c r="A469" s="152">
        <f t="shared" si="14"/>
        <v>2009</v>
      </c>
      <c r="B469" s="152" t="str">
        <f t="shared" si="15"/>
        <v>2008-09</v>
      </c>
      <c r="C469" s="173">
        <v>39873</v>
      </c>
      <c r="D469" s="154">
        <v>0.66459090909090901</v>
      </c>
      <c r="E469" s="155">
        <v>207.91793691595461</v>
      </c>
      <c r="F469" s="155">
        <v>312.85100965399096</v>
      </c>
      <c r="G469" s="155"/>
      <c r="H469" s="155"/>
      <c r="I469" s="156">
        <v>924.27300000000002</v>
      </c>
      <c r="J469" s="156">
        <v>1396.53</v>
      </c>
      <c r="K469" s="157"/>
      <c r="L469" s="158"/>
      <c r="M469" s="159">
        <v>9696.36</v>
      </c>
      <c r="N469" s="159">
        <v>14589.967854455923</v>
      </c>
      <c r="O469" s="175">
        <v>3749.75</v>
      </c>
      <c r="P469" s="175">
        <v>5642.1927364749336</v>
      </c>
      <c r="Q469" s="175">
        <v>1238.9100000000001</v>
      </c>
      <c r="R469" s="175">
        <v>1864.169345462007</v>
      </c>
      <c r="S469" s="175">
        <v>1216.75</v>
      </c>
      <c r="T469" s="175">
        <v>1830.8255249298957</v>
      </c>
      <c r="U469" s="161">
        <v>888.05831927869417</v>
      </c>
      <c r="V469" s="161">
        <v>1336.2480694980695</v>
      </c>
      <c r="W469" s="161">
        <v>2058.0531224539004</v>
      </c>
      <c r="X469" s="161">
        <v>3096.7217491269967</v>
      </c>
      <c r="Y469" s="162"/>
      <c r="Z469" s="162"/>
      <c r="AA469" s="162"/>
      <c r="AB469" s="162"/>
      <c r="AC469" s="163">
        <v>13.117000000000001</v>
      </c>
      <c r="AD469" s="163">
        <v>20.350000000000001</v>
      </c>
      <c r="AE469" s="163">
        <v>29900.2</v>
      </c>
      <c r="AF469" s="163">
        <v>44990.383694685734</v>
      </c>
      <c r="AG469" s="163">
        <v>1081.182</v>
      </c>
      <c r="AH469" s="163">
        <v>1626.8383831475278</v>
      </c>
      <c r="AI469" s="163">
        <v>202.34100000000001</v>
      </c>
      <c r="AJ469" s="163">
        <v>304.45947609602632</v>
      </c>
      <c r="AK469" s="164">
        <v>46.84</v>
      </c>
      <c r="AL469" s="164">
        <v>70.479447370220925</v>
      </c>
      <c r="AM469" s="164">
        <v>50.1</v>
      </c>
      <c r="AN469" s="164">
        <v>75.384720607345614</v>
      </c>
      <c r="AO469" s="164"/>
      <c r="AP469" s="164"/>
      <c r="AS469" s="167"/>
      <c r="AT469" s="1170"/>
      <c r="AU469" s="1171"/>
      <c r="AV469" s="1171"/>
      <c r="AW469" s="1172"/>
      <c r="AX469" s="1172"/>
      <c r="AY469" s="1172"/>
      <c r="AZ469" s="1172"/>
      <c r="BA469" s="1283" t="s">
        <v>32</v>
      </c>
      <c r="BB469" s="1284">
        <v>2015</v>
      </c>
      <c r="BC469" s="1283" t="s">
        <v>291</v>
      </c>
      <c r="BD469" s="1283"/>
      <c r="BE469" s="1285">
        <v>79990000</v>
      </c>
      <c r="BF469" s="1239">
        <v>5.7986395415892357E-3</v>
      </c>
      <c r="BG469" s="1236"/>
      <c r="BH469" s="1286" t="s">
        <v>32</v>
      </c>
      <c r="BI469" s="1286" t="s">
        <v>317</v>
      </c>
      <c r="BJ469" s="1286" t="s">
        <v>308</v>
      </c>
      <c r="BK469" s="1286">
        <v>6</v>
      </c>
      <c r="BL469" s="1287">
        <v>137151000</v>
      </c>
      <c r="BM469" s="1239">
        <v>2.4423557493596766E-2</v>
      </c>
      <c r="BN469" s="1236">
        <v>2004</v>
      </c>
      <c r="BO469" s="174"/>
      <c r="BP469" s="174"/>
      <c r="BQ469" s="174"/>
      <c r="BR469" s="174"/>
      <c r="BS469" s="174"/>
      <c r="BT469" s="174"/>
      <c r="BU469" s="174"/>
      <c r="BV469" s="174"/>
      <c r="BW469" s="174"/>
      <c r="BX469" s="174"/>
    </row>
    <row r="470" spans="1:76" s="152" customFormat="1" ht="15" customHeight="1" x14ac:dyDescent="0.25">
      <c r="A470" s="152">
        <f t="shared" si="14"/>
        <v>2009</v>
      </c>
      <c r="B470" s="152" t="str">
        <f t="shared" si="15"/>
        <v>2008-09</v>
      </c>
      <c r="C470" s="173">
        <v>39904</v>
      </c>
      <c r="D470" s="169">
        <v>0.71218499999999985</v>
      </c>
      <c r="E470" s="170">
        <v>197.94254718704457</v>
      </c>
      <c r="F470" s="170">
        <v>277.93697871626699</v>
      </c>
      <c r="G470" s="170"/>
      <c r="H470" s="170"/>
      <c r="I470" s="169">
        <v>890.2</v>
      </c>
      <c r="J470" s="169">
        <v>1251.19</v>
      </c>
      <c r="K470" s="169"/>
      <c r="L470" s="170"/>
      <c r="M470" s="170">
        <v>11166</v>
      </c>
      <c r="N470" s="170">
        <v>15678.510499378675</v>
      </c>
      <c r="O470" s="170">
        <v>4406.55</v>
      </c>
      <c r="P470" s="170">
        <v>6187.3670464837105</v>
      </c>
      <c r="Q470" s="170">
        <v>1383.1</v>
      </c>
      <c r="R470" s="170">
        <v>1942.0515736781879</v>
      </c>
      <c r="S470" s="170">
        <v>1378.85</v>
      </c>
      <c r="T470" s="170">
        <v>1936.0840231119726</v>
      </c>
      <c r="U470" s="170">
        <v>975.08735360805849</v>
      </c>
      <c r="V470" s="170">
        <v>1369.1489621489623</v>
      </c>
      <c r="W470" s="170">
        <v>2010.2984821888076</v>
      </c>
      <c r="X470" s="170">
        <v>2822.7194930935193</v>
      </c>
      <c r="Y470" s="170"/>
      <c r="Z470" s="170"/>
      <c r="AA470" s="170"/>
      <c r="AB470" s="170"/>
      <c r="AC470" s="170">
        <v>12.515000000000001</v>
      </c>
      <c r="AD470" s="170">
        <v>17.62</v>
      </c>
      <c r="AE470" s="170">
        <v>33896.1</v>
      </c>
      <c r="AF470" s="170">
        <v>47594.51546999727</v>
      </c>
      <c r="AG470" s="170">
        <v>1162.5</v>
      </c>
      <c r="AH470" s="170">
        <v>1632.3005960529922</v>
      </c>
      <c r="AI470" s="170">
        <v>225.9</v>
      </c>
      <c r="AJ470" s="170">
        <v>317.19286421365246</v>
      </c>
      <c r="AK470" s="170">
        <v>50.85</v>
      </c>
      <c r="AL470" s="170">
        <v>71.399987362834111</v>
      </c>
      <c r="AM470" s="170">
        <v>52.38</v>
      </c>
      <c r="AN470" s="170">
        <v>73.548305566671601</v>
      </c>
      <c r="AO470" s="170"/>
      <c r="AP470" s="170"/>
      <c r="AS470" s="167"/>
      <c r="AT470" s="1170"/>
      <c r="AU470" s="1171"/>
      <c r="AV470" s="1171"/>
      <c r="AW470" s="1172"/>
      <c r="AX470" s="1172"/>
      <c r="AY470" s="1172"/>
      <c r="AZ470" s="1172"/>
      <c r="BA470" s="1283" t="s">
        <v>32</v>
      </c>
      <c r="BB470" s="1284">
        <v>2015</v>
      </c>
      <c r="BC470" s="1283" t="s">
        <v>292</v>
      </c>
      <c r="BD470" s="1283"/>
      <c r="BE470" s="1285">
        <v>13794615000</v>
      </c>
      <c r="BF470" s="1239">
        <v>1</v>
      </c>
      <c r="BG470" s="1236"/>
      <c r="BH470" s="1286" t="s">
        <v>32</v>
      </c>
      <c r="BI470" s="1286" t="s">
        <v>317</v>
      </c>
      <c r="BJ470" s="1286" t="s">
        <v>330</v>
      </c>
      <c r="BK470" s="1286">
        <v>7</v>
      </c>
      <c r="BL470" s="1287">
        <v>117296000</v>
      </c>
      <c r="BM470" s="1239">
        <v>2.0887821450583124E-2</v>
      </c>
      <c r="BN470" s="1236">
        <v>2004</v>
      </c>
      <c r="BO470" s="174"/>
      <c r="BP470" s="174"/>
      <c r="BQ470" s="174"/>
      <c r="BR470" s="174"/>
      <c r="BS470" s="174"/>
      <c r="BT470" s="174"/>
      <c r="BU470" s="174"/>
      <c r="BV470" s="174"/>
      <c r="BW470" s="174"/>
      <c r="BX470" s="174"/>
    </row>
    <row r="471" spans="1:76" s="152" customFormat="1" ht="15" customHeight="1" x14ac:dyDescent="0.25">
      <c r="A471" s="152">
        <f t="shared" si="14"/>
        <v>2009</v>
      </c>
      <c r="B471" s="152" t="str">
        <f t="shared" si="15"/>
        <v>2008-09</v>
      </c>
      <c r="C471" s="173">
        <v>39934</v>
      </c>
      <c r="D471" s="154">
        <v>0.76256190476190477</v>
      </c>
      <c r="E471" s="155">
        <v>197.32583947891115</v>
      </c>
      <c r="F471" s="155">
        <v>258.76697779772036</v>
      </c>
      <c r="G471" s="155"/>
      <c r="H471" s="155"/>
      <c r="I471" s="156">
        <v>928.64499999999998</v>
      </c>
      <c r="J471" s="156">
        <v>1214.76</v>
      </c>
      <c r="K471" s="157"/>
      <c r="L471" s="158"/>
      <c r="M471" s="159">
        <v>12634.74</v>
      </c>
      <c r="N471" s="159">
        <v>16568.805655122458</v>
      </c>
      <c r="O471" s="175">
        <v>4568.63</v>
      </c>
      <c r="P471" s="175">
        <v>5991.1594999313093</v>
      </c>
      <c r="Q471" s="175">
        <v>1440.16</v>
      </c>
      <c r="R471" s="175">
        <v>1888.5810988022831</v>
      </c>
      <c r="S471" s="175">
        <v>1483.79</v>
      </c>
      <c r="T471" s="175">
        <v>1945.7961258414616</v>
      </c>
      <c r="U471" s="161">
        <v>979.56174093392804</v>
      </c>
      <c r="V471" s="161">
        <v>1284.5668460710442</v>
      </c>
      <c r="W471" s="161">
        <v>2037.6843501946998</v>
      </c>
      <c r="X471" s="161">
        <v>2672.1559751020181</v>
      </c>
      <c r="Y471" s="162"/>
      <c r="Z471" s="162"/>
      <c r="AA471" s="162"/>
      <c r="AB471" s="162"/>
      <c r="AC471" s="163">
        <v>14.029</v>
      </c>
      <c r="AD471" s="163">
        <v>18.23</v>
      </c>
      <c r="AE471" s="163">
        <v>34833</v>
      </c>
      <c r="AF471" s="163">
        <v>45678.914436298692</v>
      </c>
      <c r="AG471" s="163">
        <v>1130.3679999999999</v>
      </c>
      <c r="AH471" s="163">
        <v>1482.3294908141727</v>
      </c>
      <c r="AI471" s="163">
        <v>229.816</v>
      </c>
      <c r="AJ471" s="163">
        <v>301.37356529992883</v>
      </c>
      <c r="AK471" s="164">
        <v>57.94</v>
      </c>
      <c r="AL471" s="164">
        <v>75.980716631904983</v>
      </c>
      <c r="AM471" s="164">
        <v>60.05</v>
      </c>
      <c r="AN471" s="164">
        <v>78.747705104347489</v>
      </c>
      <c r="AO471" s="164"/>
      <c r="AP471" s="164"/>
      <c r="AS471" s="167"/>
      <c r="AT471" s="1170"/>
      <c r="AU471" s="1171"/>
      <c r="AV471" s="1171"/>
      <c r="AW471" s="1172"/>
      <c r="AX471" s="1172"/>
      <c r="AY471" s="1172"/>
      <c r="AZ471" s="1172"/>
      <c r="BA471" s="1283" t="s">
        <v>40</v>
      </c>
      <c r="BB471" s="1284">
        <v>2012</v>
      </c>
      <c r="BC471" s="1236" t="s">
        <v>281</v>
      </c>
      <c r="BD471" s="1236">
        <v>1</v>
      </c>
      <c r="BE471" s="1238">
        <v>37350032893.193909</v>
      </c>
      <c r="BF471" s="1239">
        <v>0.70798709218282097</v>
      </c>
      <c r="BG471" s="1236"/>
      <c r="BH471" s="1286" t="s">
        <v>32</v>
      </c>
      <c r="BI471" s="1286" t="s">
        <v>317</v>
      </c>
      <c r="BJ471" s="1286" t="s">
        <v>329</v>
      </c>
      <c r="BK471" s="1286">
        <v>8</v>
      </c>
      <c r="BL471" s="1287">
        <v>86047000</v>
      </c>
      <c r="BM471" s="1239">
        <v>1.532306619457037E-2</v>
      </c>
      <c r="BN471" s="1236">
        <v>2004</v>
      </c>
      <c r="BO471" s="174"/>
      <c r="BP471" s="174"/>
      <c r="BQ471" s="174"/>
      <c r="BR471" s="174"/>
      <c r="BS471" s="174"/>
      <c r="BT471" s="174"/>
      <c r="BU471" s="174"/>
      <c r="BV471" s="174"/>
      <c r="BW471" s="174"/>
      <c r="BX471" s="174"/>
    </row>
    <row r="472" spans="1:76" s="152" customFormat="1" ht="15" customHeight="1" x14ac:dyDescent="0.25">
      <c r="A472" s="152">
        <f t="shared" si="14"/>
        <v>2009</v>
      </c>
      <c r="B472" s="152" t="str">
        <f t="shared" si="15"/>
        <v>2008-09</v>
      </c>
      <c r="C472" s="173">
        <v>39965</v>
      </c>
      <c r="D472" s="169">
        <v>0.80225238095238083</v>
      </c>
      <c r="E472" s="170">
        <v>203.17117283637393</v>
      </c>
      <c r="F472" s="170">
        <v>253.25094404230074</v>
      </c>
      <c r="G472" s="170"/>
      <c r="H472" s="170"/>
      <c r="I472" s="169">
        <v>945.67</v>
      </c>
      <c r="J472" s="169">
        <v>1184.49</v>
      </c>
      <c r="K472" s="169"/>
      <c r="L472" s="170"/>
      <c r="M472" s="170">
        <v>15775</v>
      </c>
      <c r="N472" s="170">
        <v>19663.388198702465</v>
      </c>
      <c r="O472" s="170">
        <v>5042</v>
      </c>
      <c r="P472" s="170">
        <v>6284.8052803713363</v>
      </c>
      <c r="Q472" s="170">
        <v>1695</v>
      </c>
      <c r="R472" s="170">
        <v>2112.8014578003599</v>
      </c>
      <c r="S472" s="170">
        <v>1544.5</v>
      </c>
      <c r="T472" s="170">
        <v>1925.2046321962573</v>
      </c>
      <c r="U472" s="170">
        <v>997.01945389045056</v>
      </c>
      <c r="V472" s="170">
        <v>1242.775313059034</v>
      </c>
      <c r="W472" s="170">
        <v>1978.5789123389102</v>
      </c>
      <c r="X472" s="170">
        <v>2466.2798881195872</v>
      </c>
      <c r="Y472" s="170"/>
      <c r="Z472" s="170"/>
      <c r="AA472" s="170"/>
      <c r="AB472" s="170"/>
      <c r="AC472" s="170">
        <v>14.654</v>
      </c>
      <c r="AD472" s="170">
        <v>18.53</v>
      </c>
      <c r="AE472" s="170">
        <v>30933.55</v>
      </c>
      <c r="AF472" s="170">
        <v>38558.377306749455</v>
      </c>
      <c r="AG472" s="170">
        <v>1217.864</v>
      </c>
      <c r="AH472" s="170">
        <v>1518.0559496180399</v>
      </c>
      <c r="AI472" s="170">
        <v>245.523</v>
      </c>
      <c r="AJ472" s="170">
        <v>306.04209576608719</v>
      </c>
      <c r="AK472" s="170">
        <v>68.62</v>
      </c>
      <c r="AL472" s="170">
        <v>85.534180551186267</v>
      </c>
      <c r="AM472" s="170">
        <v>71.34</v>
      </c>
      <c r="AN472" s="170">
        <v>88.924634807951435</v>
      </c>
      <c r="AO472" s="170"/>
      <c r="AP472" s="170"/>
      <c r="AS472" s="167"/>
      <c r="AT472" s="1170"/>
      <c r="AU472" s="1171"/>
      <c r="AV472" s="1171"/>
      <c r="AW472" s="1172"/>
      <c r="AX472" s="1172"/>
      <c r="AY472" s="1172"/>
      <c r="AZ472" s="1172"/>
      <c r="BA472" s="1283" t="s">
        <v>40</v>
      </c>
      <c r="BB472" s="1284">
        <v>2012</v>
      </c>
      <c r="BC472" s="1236" t="s">
        <v>308</v>
      </c>
      <c r="BD472" s="1236">
        <v>2</v>
      </c>
      <c r="BE472" s="1238">
        <v>8439085184.4540787</v>
      </c>
      <c r="BF472" s="1239">
        <v>0.15996675016351905</v>
      </c>
      <c r="BG472" s="1236"/>
      <c r="BH472" s="1286" t="s">
        <v>32</v>
      </c>
      <c r="BI472" s="1286" t="s">
        <v>317</v>
      </c>
      <c r="BJ472" s="1286" t="s">
        <v>281</v>
      </c>
      <c r="BK472" s="1286">
        <v>9</v>
      </c>
      <c r="BL472" s="1287">
        <v>80215000</v>
      </c>
      <c r="BM472" s="1239">
        <v>1.4284516076068454E-2</v>
      </c>
      <c r="BN472" s="1236">
        <v>2004</v>
      </c>
      <c r="BO472" s="174"/>
      <c r="BP472" s="174"/>
      <c r="BQ472" s="174"/>
      <c r="BR472" s="174"/>
      <c r="BS472" s="174"/>
      <c r="BT472" s="174"/>
      <c r="BU472" s="174"/>
      <c r="BV472" s="174"/>
      <c r="BW472" s="174"/>
      <c r="BX472" s="174"/>
    </row>
    <row r="473" spans="1:76" s="152" customFormat="1" ht="15" customHeight="1" x14ac:dyDescent="0.25">
      <c r="A473" s="152">
        <f t="shared" si="14"/>
        <v>2009</v>
      </c>
      <c r="B473" s="152" t="str">
        <f t="shared" si="15"/>
        <v>2009-10</v>
      </c>
      <c r="C473" s="173">
        <v>39995</v>
      </c>
      <c r="D473" s="154">
        <v>0.80395217391304352</v>
      </c>
      <c r="E473" s="155">
        <v>216.59863587141595</v>
      </c>
      <c r="F473" s="155">
        <v>269.4173147354951</v>
      </c>
      <c r="G473" s="155"/>
      <c r="H473" s="155"/>
      <c r="I473" s="156">
        <v>934.22799999999995</v>
      </c>
      <c r="J473" s="156">
        <v>1162.99</v>
      </c>
      <c r="K473" s="157"/>
      <c r="L473" s="158"/>
      <c r="M473" s="159">
        <v>15984.57</v>
      </c>
      <c r="N473" s="159">
        <v>19882.488683622752</v>
      </c>
      <c r="O473" s="175">
        <v>5215.54</v>
      </c>
      <c r="P473" s="175">
        <v>6487.3759524955512</v>
      </c>
      <c r="Q473" s="175">
        <v>1678.61</v>
      </c>
      <c r="R473" s="175">
        <v>2087.9475850283111</v>
      </c>
      <c r="S473" s="175">
        <v>1578.61</v>
      </c>
      <c r="T473" s="175">
        <v>1963.5620764808634</v>
      </c>
      <c r="U473" s="161">
        <v>973.83867381074185</v>
      </c>
      <c r="V473" s="161">
        <v>1211.3141868512112</v>
      </c>
      <c r="W473" s="161">
        <v>2027.3416572762928</v>
      </c>
      <c r="X473" s="161">
        <v>2521.7192303973702</v>
      </c>
      <c r="Y473" s="162"/>
      <c r="Z473" s="162"/>
      <c r="AA473" s="162"/>
      <c r="AB473" s="162"/>
      <c r="AC473" s="163">
        <v>13.362</v>
      </c>
      <c r="AD473" s="163">
        <v>16.72</v>
      </c>
      <c r="AE473" s="163">
        <v>37930.5</v>
      </c>
      <c r="AF473" s="163">
        <v>47180.045319589633</v>
      </c>
      <c r="AG473" s="163">
        <v>1162.261</v>
      </c>
      <c r="AH473" s="163">
        <v>1445.6842554986506</v>
      </c>
      <c r="AI473" s="163">
        <v>248.63</v>
      </c>
      <c r="AJ473" s="163">
        <v>309.2596899015191</v>
      </c>
      <c r="AK473" s="164">
        <v>64.91</v>
      </c>
      <c r="AL473" s="164">
        <v>80.738633598148269</v>
      </c>
      <c r="AM473" s="164">
        <v>69.010000000000005</v>
      </c>
      <c r="AN473" s="164">
        <v>85.838439448593633</v>
      </c>
      <c r="AO473" s="164"/>
      <c r="AP473" s="164"/>
      <c r="AS473" s="167"/>
      <c r="AT473" s="1170"/>
      <c r="AU473" s="1171"/>
      <c r="AV473" s="1171"/>
      <c r="AW473" s="1172"/>
      <c r="AX473" s="1172"/>
      <c r="AY473" s="1172"/>
      <c r="AZ473" s="1172"/>
      <c r="BA473" s="1283" t="s">
        <v>40</v>
      </c>
      <c r="BB473" s="1284">
        <v>2012</v>
      </c>
      <c r="BC473" s="1236" t="s">
        <v>320</v>
      </c>
      <c r="BD473" s="1236">
        <v>3</v>
      </c>
      <c r="BE473" s="1238">
        <v>5423990893.97155</v>
      </c>
      <c r="BF473" s="1239">
        <v>0.10281424790254416</v>
      </c>
      <c r="BG473" s="1236"/>
      <c r="BH473" s="1286" t="s">
        <v>32</v>
      </c>
      <c r="BI473" s="1286" t="s">
        <v>317</v>
      </c>
      <c r="BJ473" s="1286" t="s">
        <v>285</v>
      </c>
      <c r="BK473" s="1286">
        <v>10</v>
      </c>
      <c r="BL473" s="1287">
        <v>70203000</v>
      </c>
      <c r="BM473" s="1239">
        <v>1.2501600474826824E-2</v>
      </c>
      <c r="BN473" s="1236">
        <v>2004</v>
      </c>
      <c r="BO473" s="174"/>
      <c r="BP473" s="174"/>
      <c r="BQ473" s="174"/>
      <c r="BR473" s="174"/>
      <c r="BS473" s="174"/>
      <c r="BT473" s="174"/>
      <c r="BU473" s="174"/>
      <c r="BV473" s="174"/>
      <c r="BW473" s="174"/>
      <c r="BX473" s="174"/>
    </row>
    <row r="474" spans="1:76" s="152" customFormat="1" ht="15" customHeight="1" x14ac:dyDescent="0.25">
      <c r="A474" s="152">
        <f t="shared" si="14"/>
        <v>2009</v>
      </c>
      <c r="B474" s="152" t="str">
        <f t="shared" si="15"/>
        <v>2009-10</v>
      </c>
      <c r="C474" s="173">
        <v>40026</v>
      </c>
      <c r="D474" s="169">
        <v>0.83442000000000005</v>
      </c>
      <c r="E474" s="170">
        <v>223.91705960524834</v>
      </c>
      <c r="F474" s="170">
        <v>268.35054241898365</v>
      </c>
      <c r="G474" s="170"/>
      <c r="H474" s="170"/>
      <c r="I474" s="169">
        <v>949.38</v>
      </c>
      <c r="J474" s="169">
        <v>1137.17</v>
      </c>
      <c r="K474" s="169"/>
      <c r="L474" s="170"/>
      <c r="M474" s="170">
        <v>19641.75</v>
      </c>
      <c r="N474" s="170">
        <v>23539.404616380238</v>
      </c>
      <c r="O474" s="170">
        <v>6165.3</v>
      </c>
      <c r="P474" s="170">
        <v>7388.7251024663838</v>
      </c>
      <c r="Q474" s="170">
        <v>1900.1</v>
      </c>
      <c r="R474" s="170">
        <v>2277.1505956233068</v>
      </c>
      <c r="S474" s="170">
        <v>1820</v>
      </c>
      <c r="T474" s="170">
        <v>2181.1557728721746</v>
      </c>
      <c r="U474" s="170">
        <v>1037.0948880025048</v>
      </c>
      <c r="V474" s="170">
        <v>1242.8931329576289</v>
      </c>
      <c r="W474" s="170">
        <v>2000.1991779305029</v>
      </c>
      <c r="X474" s="170">
        <v>2397.1131779325792</v>
      </c>
      <c r="Y474" s="170"/>
      <c r="Z474" s="170"/>
      <c r="AA474" s="170"/>
      <c r="AB474" s="170"/>
      <c r="AC474" s="170">
        <v>14.348000000000001</v>
      </c>
      <c r="AD474" s="170">
        <v>17.16</v>
      </c>
      <c r="AE474" s="170">
        <v>41336.65</v>
      </c>
      <c r="AF474" s="170">
        <v>49539.38064763548</v>
      </c>
      <c r="AG474" s="170">
        <v>1244.5999999999999</v>
      </c>
      <c r="AH474" s="170">
        <v>1491.5749862179716</v>
      </c>
      <c r="AI474" s="170">
        <v>275.77499999999998</v>
      </c>
      <c r="AJ474" s="170">
        <v>330.49902926583729</v>
      </c>
      <c r="AK474" s="170">
        <v>72.5</v>
      </c>
      <c r="AL474" s="170">
        <v>86.886699743534422</v>
      </c>
      <c r="AM474" s="170">
        <v>76.94</v>
      </c>
      <c r="AN474" s="170">
        <v>92.207761079552256</v>
      </c>
      <c r="AO474" s="170"/>
      <c r="AP474" s="170"/>
      <c r="AS474" s="167"/>
      <c r="AT474" s="1170"/>
      <c r="AU474" s="1171"/>
      <c r="AV474" s="1171"/>
      <c r="AW474" s="1172"/>
      <c r="AX474" s="1172"/>
      <c r="AY474" s="1172"/>
      <c r="AZ474" s="1172"/>
      <c r="BA474" s="1283" t="s">
        <v>40</v>
      </c>
      <c r="BB474" s="1284">
        <v>2012</v>
      </c>
      <c r="BC474" s="1236" t="s">
        <v>315</v>
      </c>
      <c r="BD474" s="1236">
        <v>4</v>
      </c>
      <c r="BE474" s="1238">
        <v>1403573571.5284207</v>
      </c>
      <c r="BF474" s="1239">
        <v>2.6605384108032256E-2</v>
      </c>
      <c r="BG474" s="1236"/>
      <c r="BH474" s="1286" t="s">
        <v>32</v>
      </c>
      <c r="BI474" s="1286" t="s">
        <v>317</v>
      </c>
      <c r="BJ474" s="1286" t="s">
        <v>291</v>
      </c>
      <c r="BK474" s="1286"/>
      <c r="BL474" s="1287">
        <v>64592000</v>
      </c>
      <c r="BM474" s="1239">
        <v>1.1502405564862104E-2</v>
      </c>
      <c r="BN474" s="1236">
        <v>2004</v>
      </c>
      <c r="BO474" s="174"/>
      <c r="BP474" s="174"/>
      <c r="BQ474" s="174"/>
      <c r="BR474" s="174"/>
      <c r="BS474" s="174"/>
      <c r="BT474" s="174"/>
      <c r="BU474" s="174"/>
      <c r="BV474" s="174"/>
      <c r="BW474" s="174"/>
      <c r="BX474" s="174"/>
    </row>
    <row r="475" spans="1:76" s="152" customFormat="1" ht="15" customHeight="1" x14ac:dyDescent="0.25">
      <c r="A475" s="152">
        <f t="shared" si="14"/>
        <v>2009</v>
      </c>
      <c r="B475" s="152" t="str">
        <f t="shared" si="15"/>
        <v>2009-10</v>
      </c>
      <c r="C475" s="173">
        <v>40057</v>
      </c>
      <c r="D475" s="154">
        <v>0.86110909090909094</v>
      </c>
      <c r="E475" s="155">
        <v>238.83720310329835</v>
      </c>
      <c r="F475" s="155">
        <v>277.35998333399652</v>
      </c>
      <c r="G475" s="155"/>
      <c r="H475" s="155"/>
      <c r="I475" s="156">
        <v>996.58</v>
      </c>
      <c r="J475" s="156">
        <v>1160.3599999999999</v>
      </c>
      <c r="K475" s="157"/>
      <c r="L475" s="158"/>
      <c r="M475" s="159">
        <v>17473.18</v>
      </c>
      <c r="N475" s="159">
        <v>20291.482443360572</v>
      </c>
      <c r="O475" s="175">
        <v>6196.43</v>
      </c>
      <c r="P475" s="175">
        <v>7195.8710753573614</v>
      </c>
      <c r="Q475" s="175">
        <v>2204.5500000000002</v>
      </c>
      <c r="R475" s="175">
        <v>2560.1285868119339</v>
      </c>
      <c r="S475" s="175">
        <v>1884.02</v>
      </c>
      <c r="T475" s="175">
        <v>2187.8993264500327</v>
      </c>
      <c r="U475" s="161">
        <v>1014.0377933260469</v>
      </c>
      <c r="V475" s="161">
        <v>1177.5950388068786</v>
      </c>
      <c r="W475" s="161">
        <v>2067.379218015285</v>
      </c>
      <c r="X475" s="161">
        <v>2400.8331114385396</v>
      </c>
      <c r="Y475" s="162"/>
      <c r="Z475" s="162"/>
      <c r="AA475" s="162"/>
      <c r="AB475" s="162"/>
      <c r="AC475" s="163">
        <v>16.39</v>
      </c>
      <c r="AD475" s="163">
        <v>19.16</v>
      </c>
      <c r="AE475" s="163">
        <v>39683.15</v>
      </c>
      <c r="AF475" s="163">
        <v>46083.766178923586</v>
      </c>
      <c r="AG475" s="163">
        <v>1288.7049999999999</v>
      </c>
      <c r="AH475" s="163">
        <v>1496.5641561622431</v>
      </c>
      <c r="AI475" s="163">
        <v>293.31799999999998</v>
      </c>
      <c r="AJ475" s="163">
        <v>340.62815396634358</v>
      </c>
      <c r="AK475" s="164">
        <v>67.69</v>
      </c>
      <c r="AL475" s="164">
        <v>78.607926352906389</v>
      </c>
      <c r="AM475" s="164">
        <v>70.94</v>
      </c>
      <c r="AN475" s="164">
        <v>82.38212875572728</v>
      </c>
      <c r="AO475" s="164"/>
      <c r="AP475" s="164"/>
      <c r="AS475" s="167"/>
      <c r="AT475" s="1170"/>
      <c r="AU475" s="1171"/>
      <c r="AV475" s="1171"/>
      <c r="AW475" s="1172"/>
      <c r="AX475" s="1172"/>
      <c r="AY475" s="1172"/>
      <c r="AZ475" s="1172"/>
      <c r="BA475" s="1283" t="s">
        <v>40</v>
      </c>
      <c r="BB475" s="1284">
        <v>2012</v>
      </c>
      <c r="BC475" s="1236" t="s">
        <v>312</v>
      </c>
      <c r="BD475" s="1236">
        <v>5</v>
      </c>
      <c r="BE475" s="1238">
        <v>46240996.60375379</v>
      </c>
      <c r="BF475" s="1239">
        <v>8.7651940812863427E-4</v>
      </c>
      <c r="BG475" s="1236"/>
      <c r="BH475" s="1286" t="s">
        <v>32</v>
      </c>
      <c r="BI475" s="1286" t="s">
        <v>317</v>
      </c>
      <c r="BJ475" s="1286" t="s">
        <v>292</v>
      </c>
      <c r="BK475" s="1286"/>
      <c r="BL475" s="1287">
        <v>5615521000</v>
      </c>
      <c r="BM475" s="1239">
        <v>1</v>
      </c>
      <c r="BN475" s="1236">
        <v>2004</v>
      </c>
      <c r="BO475" s="174"/>
      <c r="BP475" s="174"/>
      <c r="BQ475" s="174"/>
      <c r="BR475" s="174"/>
      <c r="BS475" s="174"/>
      <c r="BT475" s="174"/>
      <c r="BU475" s="174"/>
      <c r="BV475" s="174"/>
      <c r="BW475" s="174"/>
      <c r="BX475" s="174"/>
    </row>
    <row r="476" spans="1:76" s="152" customFormat="1" ht="15" customHeight="1" x14ac:dyDescent="0.25">
      <c r="A476" s="152">
        <f t="shared" si="14"/>
        <v>2009</v>
      </c>
      <c r="B476" s="152" t="str">
        <f t="shared" si="15"/>
        <v>2009-10</v>
      </c>
      <c r="C476" s="173">
        <v>40087</v>
      </c>
      <c r="D476" s="169">
        <v>0.90898095238095233</v>
      </c>
      <c r="E476" s="170">
        <v>249.45306998542961</v>
      </c>
      <c r="F476" s="170">
        <v>274.431570135789</v>
      </c>
      <c r="G476" s="170"/>
      <c r="H476" s="170"/>
      <c r="I476" s="169">
        <v>1043.145</v>
      </c>
      <c r="J476" s="169">
        <v>1149.6099999999999</v>
      </c>
      <c r="K476" s="169"/>
      <c r="L476" s="170"/>
      <c r="M476" s="170">
        <v>18525.23</v>
      </c>
      <c r="N476" s="170">
        <v>20380.21803589577</v>
      </c>
      <c r="O476" s="170">
        <v>6287.98</v>
      </c>
      <c r="P476" s="170">
        <v>6917.6147019687141</v>
      </c>
      <c r="Q476" s="170">
        <v>2240.77</v>
      </c>
      <c r="R476" s="170">
        <v>2465.1451651771217</v>
      </c>
      <c r="S476" s="170">
        <v>2071.59</v>
      </c>
      <c r="T476" s="170">
        <v>2279.0246534580851</v>
      </c>
      <c r="U476" s="170">
        <v>962.68661211789913</v>
      </c>
      <c r="V476" s="170">
        <v>1059.0833719851578</v>
      </c>
      <c r="W476" s="170">
        <v>2123.6658906544576</v>
      </c>
      <c r="X476" s="170">
        <v>2336.3150625893786</v>
      </c>
      <c r="Y476" s="170"/>
      <c r="Z476" s="170"/>
      <c r="AA476" s="170"/>
      <c r="AB476" s="170"/>
      <c r="AC476" s="170">
        <v>17.236000000000001</v>
      </c>
      <c r="AD476" s="170">
        <v>19.059999999999999</v>
      </c>
      <c r="AE476" s="170">
        <v>36773.050000000003</v>
      </c>
      <c r="AF476" s="170">
        <v>40455.248158586808</v>
      </c>
      <c r="AG476" s="170">
        <v>1332.7729999999999</v>
      </c>
      <c r="AH476" s="170">
        <v>1466.2276437245266</v>
      </c>
      <c r="AI476" s="170">
        <v>322.06799999999998</v>
      </c>
      <c r="AJ476" s="170">
        <v>354.31765556405395</v>
      </c>
      <c r="AK476" s="170">
        <v>73.19</v>
      </c>
      <c r="AL476" s="170">
        <v>80.518738933185247</v>
      </c>
      <c r="AM476" s="170">
        <v>78.260000000000005</v>
      </c>
      <c r="AN476" s="170">
        <v>86.096413566212306</v>
      </c>
      <c r="AO476" s="170"/>
      <c r="AP476" s="170"/>
      <c r="AS476" s="167"/>
      <c r="AT476" s="1170"/>
      <c r="AU476" s="1171"/>
      <c r="AV476" s="1171"/>
      <c r="AW476" s="1172"/>
      <c r="AX476" s="1172"/>
      <c r="AY476" s="1172"/>
      <c r="AZ476" s="1172"/>
      <c r="BA476" s="1283" t="s">
        <v>40</v>
      </c>
      <c r="BB476" s="1284">
        <v>2012</v>
      </c>
      <c r="BC476" s="1236" t="s">
        <v>291</v>
      </c>
      <c r="BD476" s="1236"/>
      <c r="BE476" s="1238">
        <v>92322008.636259899</v>
      </c>
      <c r="BF476" s="1239">
        <v>1.7500062349549799E-3</v>
      </c>
      <c r="BG476" s="1236"/>
      <c r="BH476" s="1288" t="s">
        <v>32</v>
      </c>
      <c r="BI476" s="1288" t="s">
        <v>316</v>
      </c>
      <c r="BJ476" s="1288" t="s">
        <v>287</v>
      </c>
      <c r="BK476" s="1288">
        <v>1</v>
      </c>
      <c r="BL476" s="1289">
        <v>2744915000</v>
      </c>
      <c r="BM476" s="1239">
        <v>0.38341572952723585</v>
      </c>
      <c r="BN476" s="1236">
        <v>2005</v>
      </c>
      <c r="BO476" s="174"/>
      <c r="BP476" s="174"/>
      <c r="BQ476" s="174"/>
      <c r="BR476" s="174"/>
      <c r="BS476" s="174"/>
      <c r="BT476" s="174"/>
      <c r="BU476" s="174"/>
      <c r="BV476" s="174"/>
      <c r="BW476" s="174"/>
      <c r="BX476" s="174"/>
    </row>
    <row r="477" spans="1:76" s="152" customFormat="1" ht="15" customHeight="1" x14ac:dyDescent="0.25">
      <c r="A477" s="152">
        <f t="shared" si="14"/>
        <v>2009</v>
      </c>
      <c r="B477" s="152" t="str">
        <f t="shared" si="15"/>
        <v>2009-10</v>
      </c>
      <c r="C477" s="173">
        <v>40118</v>
      </c>
      <c r="D477" s="154">
        <v>0.92022380952380955</v>
      </c>
      <c r="E477" s="155">
        <v>255.69529810106414</v>
      </c>
      <c r="F477" s="155">
        <v>277.86207600233621</v>
      </c>
      <c r="G477" s="155"/>
      <c r="H477" s="155"/>
      <c r="I477" s="156">
        <v>1127.0260000000001</v>
      </c>
      <c r="J477" s="156">
        <v>1219.8900000000001</v>
      </c>
      <c r="K477" s="157"/>
      <c r="L477" s="158"/>
      <c r="M477" s="159">
        <v>16991.189999999999</v>
      </c>
      <c r="N477" s="159">
        <v>18464.192975828861</v>
      </c>
      <c r="O477" s="175">
        <v>6675.6</v>
      </c>
      <c r="P477" s="175">
        <v>7254.3221887015061</v>
      </c>
      <c r="Q477" s="175">
        <v>2308.7600000000002</v>
      </c>
      <c r="R477" s="175">
        <v>2508.9113931910974</v>
      </c>
      <c r="S477" s="175">
        <v>2193.38</v>
      </c>
      <c r="T477" s="175">
        <v>2383.5288516768696</v>
      </c>
      <c r="U477" s="161">
        <v>988.41830000788718</v>
      </c>
      <c r="V477" s="161">
        <v>1074.1064182194616</v>
      </c>
      <c r="W477" s="161">
        <v>2200.8026144399328</v>
      </c>
      <c r="X477" s="161">
        <v>2391.5949486014574</v>
      </c>
      <c r="Y477" s="162"/>
      <c r="Z477" s="162"/>
      <c r="AA477" s="162"/>
      <c r="AB477" s="162"/>
      <c r="AC477" s="163">
        <v>17.821000000000002</v>
      </c>
      <c r="AD477" s="163">
        <v>19.420000000000002</v>
      </c>
      <c r="AE477" s="163">
        <v>44161.3</v>
      </c>
      <c r="AF477" s="163">
        <v>47989.738521167215</v>
      </c>
      <c r="AG477" s="163">
        <v>1400.6189999999999</v>
      </c>
      <c r="AH477" s="163">
        <v>1522.0416875811784</v>
      </c>
      <c r="AI477" s="163">
        <v>351.81</v>
      </c>
      <c r="AJ477" s="163">
        <v>382.30916909447495</v>
      </c>
      <c r="AK477" s="164">
        <v>77.040000000000006</v>
      </c>
      <c r="AL477" s="164">
        <v>83.718764068782448</v>
      </c>
      <c r="AM477" s="164">
        <v>80.36</v>
      </c>
      <c r="AN477" s="164">
        <v>87.326582042670779</v>
      </c>
      <c r="AO477" s="164"/>
      <c r="AP477" s="164"/>
      <c r="AS477" s="167"/>
      <c r="AT477" s="1170"/>
      <c r="AU477" s="1171"/>
      <c r="AV477" s="1171"/>
      <c r="AW477" s="1172"/>
      <c r="AX477" s="1172"/>
      <c r="AY477" s="1172"/>
      <c r="AZ477" s="1172"/>
      <c r="BA477" s="1283" t="s">
        <v>40</v>
      </c>
      <c r="BB477" s="1284">
        <v>2012</v>
      </c>
      <c r="BC477" s="1236" t="s">
        <v>292</v>
      </c>
      <c r="BD477" s="1236"/>
      <c r="BE477" s="1238">
        <v>52755245548.38797</v>
      </c>
      <c r="BF477" s="1239"/>
      <c r="BG477" s="1236"/>
      <c r="BH477" s="1288" t="s">
        <v>32</v>
      </c>
      <c r="BI477" s="1288" t="s">
        <v>316</v>
      </c>
      <c r="BJ477" s="1288" t="s">
        <v>314</v>
      </c>
      <c r="BK477" s="1288">
        <v>2</v>
      </c>
      <c r="BL477" s="1289">
        <v>2372023000</v>
      </c>
      <c r="BM477" s="1239">
        <v>0.33132935956136439</v>
      </c>
      <c r="BN477" s="1236">
        <v>2005</v>
      </c>
      <c r="BO477" s="174"/>
      <c r="BP477" s="174"/>
      <c r="BQ477" s="174"/>
      <c r="BR477" s="174"/>
      <c r="BS477" s="174"/>
      <c r="BT477" s="174"/>
      <c r="BU477" s="174"/>
      <c r="BV477" s="174"/>
      <c r="BW477" s="174"/>
      <c r="BX477" s="174"/>
    </row>
    <row r="478" spans="1:76" s="152" customFormat="1" ht="15" customHeight="1" x14ac:dyDescent="0.25">
      <c r="A478" s="152">
        <f t="shared" si="14"/>
        <v>2009</v>
      </c>
      <c r="B478" s="152" t="str">
        <f t="shared" si="15"/>
        <v>2009-10</v>
      </c>
      <c r="C478" s="173">
        <v>40148</v>
      </c>
      <c r="D478" s="169">
        <v>0.90276190476190465</v>
      </c>
      <c r="E478" s="170">
        <v>260.04293863320163</v>
      </c>
      <c r="F478" s="170">
        <v>288.05262745528194</v>
      </c>
      <c r="G478" s="170"/>
      <c r="H478" s="170"/>
      <c r="I478" s="169">
        <v>1133.183</v>
      </c>
      <c r="J478" s="169">
        <v>1257.55</v>
      </c>
      <c r="K478" s="169"/>
      <c r="L478" s="170"/>
      <c r="M478" s="170">
        <v>17055</v>
      </c>
      <c r="N478" s="170">
        <v>18892.024475155609</v>
      </c>
      <c r="O478" s="170">
        <v>6979.93</v>
      </c>
      <c r="P478" s="170">
        <v>7731.7507121004337</v>
      </c>
      <c r="Q478" s="170">
        <v>2327</v>
      </c>
      <c r="R478" s="170">
        <v>2577.6453212364177</v>
      </c>
      <c r="S478" s="170">
        <v>2375.02</v>
      </c>
      <c r="T478" s="170">
        <v>2630.8376411013824</v>
      </c>
      <c r="U478" s="170">
        <v>904.64905193116522</v>
      </c>
      <c r="V478" s="170">
        <v>1002.0904151574255</v>
      </c>
      <c r="W478" s="170">
        <v>2137.2813894722976</v>
      </c>
      <c r="X478" s="170">
        <v>2367.4917807215029</v>
      </c>
      <c r="Y478" s="170"/>
      <c r="Z478" s="170"/>
      <c r="AA478" s="170"/>
      <c r="AB478" s="170"/>
      <c r="AC478" s="170">
        <v>17.672999999999998</v>
      </c>
      <c r="AD478" s="170">
        <v>19.68</v>
      </c>
      <c r="AE478" s="170">
        <v>42714.5</v>
      </c>
      <c r="AF478" s="170">
        <v>47315.354995252666</v>
      </c>
      <c r="AG478" s="170">
        <v>1443.5</v>
      </c>
      <c r="AH478" s="170">
        <v>1598.981960122376</v>
      </c>
      <c r="AI478" s="170">
        <v>373.65</v>
      </c>
      <c r="AJ478" s="170">
        <v>413.89650807047161</v>
      </c>
      <c r="AK478" s="170">
        <v>74.67</v>
      </c>
      <c r="AL478" s="170">
        <v>82.712838907057716</v>
      </c>
      <c r="AM478" s="170">
        <v>79.34</v>
      </c>
      <c r="AN478" s="170">
        <v>87.885852938073654</v>
      </c>
      <c r="AO478" s="170"/>
      <c r="AP478" s="170"/>
      <c r="AS478" s="167"/>
      <c r="AT478" s="1170"/>
      <c r="AU478" s="1171"/>
      <c r="AV478" s="1171"/>
      <c r="AW478" s="1172"/>
      <c r="AX478" s="1172"/>
      <c r="AY478" s="1172"/>
      <c r="AZ478" s="1172"/>
      <c r="BA478" s="1283" t="s">
        <v>40</v>
      </c>
      <c r="BB478" s="1237">
        <v>2013</v>
      </c>
      <c r="BC478" s="1236" t="s">
        <v>281</v>
      </c>
      <c r="BD478" s="1236">
        <v>1</v>
      </c>
      <c r="BE478" s="1238">
        <v>44578026790.587692</v>
      </c>
      <c r="BF478" s="1239">
        <v>0.6319604171376132</v>
      </c>
      <c r="BG478" s="1236"/>
      <c r="BH478" s="1288" t="s">
        <v>32</v>
      </c>
      <c r="BI478" s="1288" t="s">
        <v>316</v>
      </c>
      <c r="BJ478" s="1288" t="s">
        <v>323</v>
      </c>
      <c r="BK478" s="1288">
        <v>3</v>
      </c>
      <c r="BL478" s="1289">
        <v>704714000</v>
      </c>
      <c r="BM478" s="1239">
        <v>9.8435992523650637E-2</v>
      </c>
      <c r="BN478" s="1236">
        <v>2005</v>
      </c>
      <c r="BO478" s="174"/>
      <c r="BP478" s="174"/>
      <c r="BQ478" s="174"/>
      <c r="BR478" s="174"/>
      <c r="BS478" s="174"/>
      <c r="BT478" s="174"/>
      <c r="BU478" s="174"/>
      <c r="BV478" s="174"/>
      <c r="BW478" s="174"/>
      <c r="BX478" s="174"/>
    </row>
    <row r="479" spans="1:76" s="152" customFormat="1" ht="15" customHeight="1" x14ac:dyDescent="0.25">
      <c r="A479" s="152">
        <f t="shared" si="14"/>
        <v>2010</v>
      </c>
      <c r="B479" s="152" t="str">
        <f t="shared" si="15"/>
        <v>2009-10</v>
      </c>
      <c r="C479" s="173">
        <v>40179</v>
      </c>
      <c r="D479" s="154">
        <v>0.91580555555555554</v>
      </c>
      <c r="E479" s="155">
        <v>283.00855469157045</v>
      </c>
      <c r="F479" s="155">
        <v>309.02690311797556</v>
      </c>
      <c r="G479" s="155"/>
      <c r="H479" s="155"/>
      <c r="I479" s="156">
        <v>1117.9480000000001</v>
      </c>
      <c r="J479" s="156">
        <v>1223.1600000000001</v>
      </c>
      <c r="K479" s="157"/>
      <c r="L479" s="158"/>
      <c r="M479" s="159">
        <v>18439.25</v>
      </c>
      <c r="N479" s="159">
        <v>20134.459643907914</v>
      </c>
      <c r="O479" s="175">
        <v>7386.25</v>
      </c>
      <c r="P479" s="175">
        <v>8065.3037702083775</v>
      </c>
      <c r="Q479" s="175">
        <v>2368.38</v>
      </c>
      <c r="R479" s="175">
        <v>2586.1166550395828</v>
      </c>
      <c r="S479" s="175">
        <v>2434.4499999999998</v>
      </c>
      <c r="T479" s="175">
        <v>2658.2607904395036</v>
      </c>
      <c r="U479" s="161">
        <v>916.45476505845784</v>
      </c>
      <c r="V479" s="161">
        <v>1000.7088944797987</v>
      </c>
      <c r="W479" s="161">
        <v>2184.5435424743264</v>
      </c>
      <c r="X479" s="161">
        <v>2385.379220755126</v>
      </c>
      <c r="Y479" s="162"/>
      <c r="Z479" s="162"/>
      <c r="AA479" s="162"/>
      <c r="AB479" s="162"/>
      <c r="AC479" s="163">
        <v>17.786999999999999</v>
      </c>
      <c r="AD479" s="163">
        <v>19.45</v>
      </c>
      <c r="AE479" s="163">
        <v>47785.15</v>
      </c>
      <c r="AF479" s="163">
        <v>52178.270496527046</v>
      </c>
      <c r="AG479" s="163">
        <v>1562.75</v>
      </c>
      <c r="AH479" s="163">
        <v>1706.4211835360491</v>
      </c>
      <c r="AI479" s="163">
        <v>434.1</v>
      </c>
      <c r="AJ479" s="163">
        <v>474.00891746792445</v>
      </c>
      <c r="AK479" s="164">
        <v>76.37</v>
      </c>
      <c r="AL479" s="164">
        <v>83.391064333161466</v>
      </c>
      <c r="AM479" s="164">
        <v>80.73</v>
      </c>
      <c r="AN479" s="164">
        <v>88.151900269950559</v>
      </c>
      <c r="AO479" s="164"/>
      <c r="AP479" s="164"/>
      <c r="AS479" s="167"/>
      <c r="AT479" s="1170"/>
      <c r="AU479" s="1171"/>
      <c r="AV479" s="1171"/>
      <c r="AW479" s="1172"/>
      <c r="AX479" s="1172"/>
      <c r="AY479" s="1172"/>
      <c r="AZ479" s="1172"/>
      <c r="BA479" s="1283" t="s">
        <v>40</v>
      </c>
      <c r="BB479" s="1237">
        <v>2013</v>
      </c>
      <c r="BC479" s="1236" t="s">
        <v>308</v>
      </c>
      <c r="BD479" s="1236">
        <v>2</v>
      </c>
      <c r="BE479" s="1238">
        <v>11403013190.444498</v>
      </c>
      <c r="BF479" s="1239">
        <v>0.161654821697504</v>
      </c>
      <c r="BG479" s="1236"/>
      <c r="BH479" s="1288" t="s">
        <v>32</v>
      </c>
      <c r="BI479" s="1288" t="s">
        <v>316</v>
      </c>
      <c r="BJ479" s="1288" t="s">
        <v>308</v>
      </c>
      <c r="BK479" s="1288">
        <v>4</v>
      </c>
      <c r="BL479" s="1289">
        <v>383553000</v>
      </c>
      <c r="BM479" s="1239">
        <v>5.3575521758364067E-2</v>
      </c>
      <c r="BN479" s="1236">
        <v>2005</v>
      </c>
      <c r="BO479" s="174"/>
      <c r="BP479" s="174"/>
      <c r="BQ479" s="174"/>
      <c r="BR479" s="174"/>
      <c r="BS479" s="174"/>
      <c r="BT479" s="174"/>
      <c r="BU479" s="174"/>
      <c r="BV479" s="174"/>
      <c r="BW479" s="174"/>
      <c r="BX479" s="174"/>
    </row>
    <row r="480" spans="1:76" s="152" customFormat="1" ht="15" customHeight="1" x14ac:dyDescent="0.25">
      <c r="A480" s="152">
        <f t="shared" si="14"/>
        <v>2010</v>
      </c>
      <c r="B480" s="152" t="str">
        <f t="shared" si="15"/>
        <v>2009-10</v>
      </c>
      <c r="C480" s="173">
        <v>40210</v>
      </c>
      <c r="D480" s="169">
        <v>0.88627</v>
      </c>
      <c r="E480" s="170">
        <v>292.54147567534937</v>
      </c>
      <c r="F480" s="170">
        <v>330.08166323507442</v>
      </c>
      <c r="G480" s="170"/>
      <c r="H480" s="170"/>
      <c r="I480" s="169">
        <v>1095.3900000000001</v>
      </c>
      <c r="J480" s="169">
        <v>1232.1600000000001</v>
      </c>
      <c r="K480" s="169"/>
      <c r="L480" s="170"/>
      <c r="M480" s="170">
        <v>18976</v>
      </c>
      <c r="N480" s="170">
        <v>21411.082401525495</v>
      </c>
      <c r="O480" s="170">
        <v>6848.18</v>
      </c>
      <c r="P480" s="170">
        <v>7726.9680797048304</v>
      </c>
      <c r="Q480" s="170">
        <v>2123.6799999999998</v>
      </c>
      <c r="R480" s="170">
        <v>2396.1998036715672</v>
      </c>
      <c r="S480" s="170">
        <v>2156.9</v>
      </c>
      <c r="T480" s="170">
        <v>2433.6827377661434</v>
      </c>
      <c r="U480" s="170">
        <v>905.62543089604969</v>
      </c>
      <c r="V480" s="170">
        <v>1021.8392035114014</v>
      </c>
      <c r="W480" s="170">
        <v>2250.7857093782491</v>
      </c>
      <c r="X480" s="170">
        <v>2539.6162674785892</v>
      </c>
      <c r="Y480" s="170"/>
      <c r="Z480" s="170"/>
      <c r="AA480" s="170"/>
      <c r="AB480" s="170"/>
      <c r="AC480" s="170">
        <v>15.872999999999999</v>
      </c>
      <c r="AD480" s="170">
        <v>17.88</v>
      </c>
      <c r="AE480" s="170">
        <v>46572.6</v>
      </c>
      <c r="AF480" s="170">
        <v>52548.997483836749</v>
      </c>
      <c r="AG480" s="170">
        <v>1520.35</v>
      </c>
      <c r="AH480" s="170">
        <v>1715.4478883410247</v>
      </c>
      <c r="AI480" s="170">
        <v>425.75</v>
      </c>
      <c r="AJ480" s="170">
        <v>480.38408160041524</v>
      </c>
      <c r="AK480" s="170">
        <v>74.31</v>
      </c>
      <c r="AL480" s="170">
        <v>83.845780631184624</v>
      </c>
      <c r="AM480" s="170">
        <v>77.61</v>
      </c>
      <c r="AN480" s="170">
        <v>87.569250905480274</v>
      </c>
      <c r="AO480" s="170"/>
      <c r="AP480" s="170"/>
      <c r="AS480" s="167"/>
      <c r="AT480" s="1170"/>
      <c r="AU480" s="1171"/>
      <c r="AV480" s="1171"/>
      <c r="AW480" s="1172"/>
      <c r="AX480" s="1172"/>
      <c r="AY480" s="1172"/>
      <c r="AZ480" s="1172"/>
      <c r="BA480" s="1283" t="s">
        <v>40</v>
      </c>
      <c r="BB480" s="1237">
        <v>2013</v>
      </c>
      <c r="BC480" s="1236" t="s">
        <v>320</v>
      </c>
      <c r="BD480" s="1236">
        <v>3</v>
      </c>
      <c r="BE480" s="1238">
        <v>4798752857.0648727</v>
      </c>
      <c r="BF480" s="1239">
        <v>6.802952206783959E-2</v>
      </c>
      <c r="BG480" s="1236"/>
      <c r="BH480" s="1288" t="s">
        <v>32</v>
      </c>
      <c r="BI480" s="1288" t="s">
        <v>316</v>
      </c>
      <c r="BJ480" s="1288" t="s">
        <v>306</v>
      </c>
      <c r="BK480" s="1288">
        <v>5</v>
      </c>
      <c r="BL480" s="1289">
        <v>304767000</v>
      </c>
      <c r="BM480" s="1239">
        <v>4.2570520996397736E-2</v>
      </c>
      <c r="BN480" s="1236">
        <v>2005</v>
      </c>
      <c r="BO480" s="174"/>
      <c r="BP480" s="174"/>
      <c r="BQ480" s="174"/>
      <c r="BR480" s="174"/>
      <c r="BS480" s="174"/>
      <c r="BT480" s="174"/>
      <c r="BU480" s="174"/>
      <c r="BV480" s="174"/>
      <c r="BW480" s="174"/>
      <c r="BX480" s="174"/>
    </row>
    <row r="481" spans="1:76" s="152" customFormat="1" ht="15" customHeight="1" x14ac:dyDescent="0.25">
      <c r="A481" s="152">
        <f t="shared" si="14"/>
        <v>2010</v>
      </c>
      <c r="B481" s="152" t="str">
        <f t="shared" si="15"/>
        <v>2009-10</v>
      </c>
      <c r="C481" s="173">
        <v>40238</v>
      </c>
      <c r="D481" s="154">
        <v>0.91201304347826107</v>
      </c>
      <c r="E481" s="155">
        <v>285.27869108231499</v>
      </c>
      <c r="F481" s="155">
        <v>312.80110862703356</v>
      </c>
      <c r="G481" s="155"/>
      <c r="H481" s="155"/>
      <c r="I481" s="156">
        <v>1113.317</v>
      </c>
      <c r="J481" s="156">
        <v>1227.3</v>
      </c>
      <c r="K481" s="157"/>
      <c r="L481" s="158"/>
      <c r="M481" s="159">
        <v>22461.3</v>
      </c>
      <c r="N481" s="159">
        <v>24628.266186124336</v>
      </c>
      <c r="O481" s="175">
        <v>7462.83</v>
      </c>
      <c r="P481" s="175">
        <v>8182.8106005348873</v>
      </c>
      <c r="Q481" s="175">
        <v>2172.09</v>
      </c>
      <c r="R481" s="175">
        <v>2381.6435691709212</v>
      </c>
      <c r="S481" s="175">
        <v>2275.0700000000002</v>
      </c>
      <c r="T481" s="175">
        <v>2494.5586209197995</v>
      </c>
      <c r="U481" s="161">
        <v>885.16427153252732</v>
      </c>
      <c r="V481" s="161">
        <v>970.56097811568884</v>
      </c>
      <c r="W481" s="161">
        <v>2254.3056823342554</v>
      </c>
      <c r="X481" s="161">
        <v>2471.7910543655394</v>
      </c>
      <c r="Y481" s="162"/>
      <c r="Z481" s="162"/>
      <c r="AA481" s="162"/>
      <c r="AB481" s="162"/>
      <c r="AC481" s="163">
        <v>17.106000000000002</v>
      </c>
      <c r="AD481" s="163">
        <v>18.760000000000002</v>
      </c>
      <c r="AE481" s="163">
        <v>42438.95</v>
      </c>
      <c r="AF481" s="163">
        <v>46533.270881900033</v>
      </c>
      <c r="AG481" s="163">
        <v>1599.4349999999999</v>
      </c>
      <c r="AH481" s="163">
        <v>1753.7413652550731</v>
      </c>
      <c r="AI481" s="163">
        <v>461.45699999999999</v>
      </c>
      <c r="AJ481" s="163">
        <v>505.97631612820169</v>
      </c>
      <c r="AK481" s="164">
        <v>79.27</v>
      </c>
      <c r="AL481" s="164">
        <v>86.917616548199618</v>
      </c>
      <c r="AM481" s="164">
        <v>82.76</v>
      </c>
      <c r="AN481" s="164">
        <v>90.74431620447838</v>
      </c>
      <c r="AO481" s="164"/>
      <c r="AP481" s="164"/>
      <c r="AS481" s="167"/>
      <c r="AT481" s="1170"/>
      <c r="AU481" s="1171"/>
      <c r="AV481" s="1171"/>
      <c r="AW481" s="1172"/>
      <c r="AX481" s="1172"/>
      <c r="AY481" s="1172"/>
      <c r="AZ481" s="1172"/>
      <c r="BA481" s="1283" t="s">
        <v>40</v>
      </c>
      <c r="BB481" s="1237">
        <v>2013</v>
      </c>
      <c r="BC481" s="1236" t="s">
        <v>315</v>
      </c>
      <c r="BD481" s="1236">
        <v>4</v>
      </c>
      <c r="BE481" s="1238">
        <v>2048203842.3611562</v>
      </c>
      <c r="BF481" s="1239">
        <v>2.9036362705823434E-2</v>
      </c>
      <c r="BG481" s="1236"/>
      <c r="BH481" s="1288" t="s">
        <v>32</v>
      </c>
      <c r="BI481" s="1288" t="s">
        <v>316</v>
      </c>
      <c r="BJ481" s="1288" t="s">
        <v>330</v>
      </c>
      <c r="BK481" s="1288">
        <v>6</v>
      </c>
      <c r="BL481" s="1289">
        <v>208354000</v>
      </c>
      <c r="BM481" s="1239">
        <v>2.9103342329331764E-2</v>
      </c>
      <c r="BN481" s="1236">
        <v>2005</v>
      </c>
      <c r="BO481" s="174"/>
      <c r="BP481" s="174"/>
      <c r="BQ481" s="174"/>
      <c r="BR481" s="174"/>
      <c r="BS481" s="174"/>
      <c r="BT481" s="174"/>
      <c r="BU481" s="174"/>
      <c r="BV481" s="174"/>
      <c r="BW481" s="174"/>
      <c r="BX481" s="174"/>
    </row>
    <row r="482" spans="1:76" s="152" customFormat="1" ht="15" customHeight="1" x14ac:dyDescent="0.25">
      <c r="A482" s="152">
        <f t="shared" si="14"/>
        <v>2010</v>
      </c>
      <c r="B482" s="152" t="str">
        <f t="shared" si="15"/>
        <v>2009-10</v>
      </c>
      <c r="C482" s="173">
        <v>40269</v>
      </c>
      <c r="D482" s="169">
        <v>0.92649473684210526</v>
      </c>
      <c r="E482" s="170">
        <v>292.43576020132792</v>
      </c>
      <c r="F482" s="170">
        <v>315.63672039635696</v>
      </c>
      <c r="G482" s="170"/>
      <c r="H482" s="170"/>
      <c r="I482" s="169">
        <v>1147.4670000000001</v>
      </c>
      <c r="J482" s="169">
        <v>1232.8399999999999</v>
      </c>
      <c r="K482" s="169"/>
      <c r="L482" s="170"/>
      <c r="M482" s="170">
        <v>26030.75</v>
      </c>
      <c r="N482" s="170">
        <v>28095.950214163175</v>
      </c>
      <c r="O482" s="170">
        <v>7745.08</v>
      </c>
      <c r="P482" s="170">
        <v>8359.5509958303501</v>
      </c>
      <c r="Q482" s="170">
        <v>2264.85</v>
      </c>
      <c r="R482" s="170">
        <v>2444.5362827635568</v>
      </c>
      <c r="S482" s="170">
        <v>2366.6799999999998</v>
      </c>
      <c r="T482" s="170">
        <v>2554.4451640024085</v>
      </c>
      <c r="U482" s="170">
        <v>873.71182953746677</v>
      </c>
      <c r="V482" s="170">
        <v>943.02945801446697</v>
      </c>
      <c r="W482" s="170">
        <v>2294.1470621071912</v>
      </c>
      <c r="X482" s="170">
        <v>2476.1576843130665</v>
      </c>
      <c r="Y482" s="170"/>
      <c r="Z482" s="170"/>
      <c r="AA482" s="170"/>
      <c r="AB482" s="170"/>
      <c r="AC482" s="170">
        <v>18.079999999999998</v>
      </c>
      <c r="AD482" s="170">
        <v>19.46</v>
      </c>
      <c r="AE482" s="170">
        <v>47840.25</v>
      </c>
      <c r="AF482" s="170">
        <v>51635.749343876749</v>
      </c>
      <c r="AG482" s="170">
        <v>1712.905</v>
      </c>
      <c r="AH482" s="170">
        <v>1848.8016519536</v>
      </c>
      <c r="AI482" s="170">
        <v>532.25</v>
      </c>
      <c r="AJ482" s="170">
        <v>574.47708965313518</v>
      </c>
      <c r="AK482" s="170">
        <v>81.98</v>
      </c>
      <c r="AL482" s="170">
        <v>88.484042855357487</v>
      </c>
      <c r="AM482" s="170">
        <v>86.92</v>
      </c>
      <c r="AN482" s="170">
        <v>93.815967369939898</v>
      </c>
      <c r="AO482" s="170"/>
      <c r="AP482" s="170"/>
      <c r="AS482" s="167"/>
      <c r="AT482" s="1170"/>
      <c r="AU482" s="1171"/>
      <c r="AV482" s="1171"/>
      <c r="AW482" s="1172"/>
      <c r="AX482" s="1172"/>
      <c r="AY482" s="1172"/>
      <c r="AZ482" s="1172"/>
      <c r="BA482" s="1283" t="s">
        <v>40</v>
      </c>
      <c r="BB482" s="1237">
        <v>2013</v>
      </c>
      <c r="BC482" s="1236" t="s">
        <v>286</v>
      </c>
      <c r="BD482" s="1236">
        <v>5</v>
      </c>
      <c r="BE482" s="1238">
        <v>1135824166.5416176</v>
      </c>
      <c r="BF482" s="1239">
        <v>1.6102011815251085E-2</v>
      </c>
      <c r="BG482" s="1236"/>
      <c r="BH482" s="1288" t="s">
        <v>32</v>
      </c>
      <c r="BI482" s="1288" t="s">
        <v>316</v>
      </c>
      <c r="BJ482" s="1288" t="s">
        <v>320</v>
      </c>
      <c r="BK482" s="1288">
        <v>7</v>
      </c>
      <c r="BL482" s="1289">
        <v>157766000</v>
      </c>
      <c r="BM482" s="1239">
        <v>2.2037099868153984E-2</v>
      </c>
      <c r="BN482" s="1236">
        <v>2005</v>
      </c>
      <c r="BO482" s="174"/>
      <c r="BP482" s="174"/>
      <c r="BQ482" s="174"/>
      <c r="BR482" s="174"/>
      <c r="BS482" s="174"/>
      <c r="BT482" s="174"/>
      <c r="BU482" s="174"/>
      <c r="BV482" s="174"/>
      <c r="BW482" s="174"/>
      <c r="BX482" s="174"/>
    </row>
    <row r="483" spans="1:76" s="152" customFormat="1" ht="15" customHeight="1" x14ac:dyDescent="0.25">
      <c r="A483" s="152">
        <f t="shared" si="14"/>
        <v>2010</v>
      </c>
      <c r="B483" s="152" t="str">
        <f t="shared" si="15"/>
        <v>2009-10</v>
      </c>
      <c r="C483" s="173">
        <v>40299</v>
      </c>
      <c r="D483" s="154">
        <v>0.87170952380952371</v>
      </c>
      <c r="E483" s="155">
        <v>305.73333898571212</v>
      </c>
      <c r="F483" s="155">
        <v>350.72846015218892</v>
      </c>
      <c r="G483" s="155"/>
      <c r="H483" s="155"/>
      <c r="I483" s="156">
        <v>1204.1099999999999</v>
      </c>
      <c r="J483" s="156">
        <v>1373.51</v>
      </c>
      <c r="K483" s="157"/>
      <c r="L483" s="158"/>
      <c r="M483" s="159">
        <v>22008.16</v>
      </c>
      <c r="N483" s="159">
        <v>25247.125790045833</v>
      </c>
      <c r="O483" s="175">
        <v>6837.68</v>
      </c>
      <c r="P483" s="175">
        <v>7843.9890964115402</v>
      </c>
      <c r="Q483" s="175">
        <v>1882.68</v>
      </c>
      <c r="R483" s="175">
        <v>2159.7561441939488</v>
      </c>
      <c r="S483" s="175">
        <v>1968.37</v>
      </c>
      <c r="T483" s="175">
        <v>2258.0572383766985</v>
      </c>
      <c r="U483" s="161">
        <v>892.09875935292496</v>
      </c>
      <c r="V483" s="161">
        <v>1023.3899423907825</v>
      </c>
      <c r="W483" s="161">
        <v>2327.2266267393184</v>
      </c>
      <c r="X483" s="161">
        <v>2669.727200603395</v>
      </c>
      <c r="Y483" s="162"/>
      <c r="Z483" s="162"/>
      <c r="AA483" s="162"/>
      <c r="AB483" s="162"/>
      <c r="AC483" s="163">
        <v>18.428999999999998</v>
      </c>
      <c r="AD483" s="163">
        <v>21.1</v>
      </c>
      <c r="AE483" s="163">
        <v>45332.5</v>
      </c>
      <c r="AF483" s="163">
        <v>52004.135278789901</v>
      </c>
      <c r="AG483" s="163">
        <v>1628.35</v>
      </c>
      <c r="AH483" s="163">
        <v>1867.9961105435953</v>
      </c>
      <c r="AI483" s="163">
        <v>491.75</v>
      </c>
      <c r="AJ483" s="163">
        <v>564.12140348193759</v>
      </c>
      <c r="AK483" s="164">
        <v>76.25</v>
      </c>
      <c r="AL483" s="164">
        <v>87.471798709705624</v>
      </c>
      <c r="AM483" s="164">
        <v>79.06</v>
      </c>
      <c r="AN483" s="164">
        <v>90.695349586745266</v>
      </c>
      <c r="AO483" s="164"/>
      <c r="AP483" s="164"/>
      <c r="AS483" s="167"/>
      <c r="AT483" s="1170"/>
      <c r="AU483" s="1171"/>
      <c r="AV483" s="1171"/>
      <c r="AW483" s="1172"/>
      <c r="AX483" s="1172"/>
      <c r="AY483" s="1172"/>
      <c r="AZ483" s="1172"/>
      <c r="BA483" s="1283" t="s">
        <v>40</v>
      </c>
      <c r="BB483" s="1237">
        <v>2013</v>
      </c>
      <c r="BC483" s="1236" t="s">
        <v>291</v>
      </c>
      <c r="BD483" s="1236"/>
      <c r="BE483" s="1238">
        <v>6575449622.6576891</v>
      </c>
      <c r="BF483" s="1239">
        <v>9.321686457596863E-2</v>
      </c>
      <c r="BG483" s="1236"/>
      <c r="BH483" s="1288" t="s">
        <v>32</v>
      </c>
      <c r="BI483" s="1288" t="s">
        <v>316</v>
      </c>
      <c r="BJ483" s="1288" t="s">
        <v>279</v>
      </c>
      <c r="BK483" s="1288">
        <v>8</v>
      </c>
      <c r="BL483" s="1289">
        <v>85974000</v>
      </c>
      <c r="BM483" s="1239">
        <v>1.2009036320022506E-2</v>
      </c>
      <c r="BN483" s="1236">
        <v>2005</v>
      </c>
      <c r="BO483" s="174"/>
      <c r="BP483" s="174"/>
      <c r="BQ483" s="174"/>
      <c r="BR483" s="174"/>
      <c r="BS483" s="174"/>
      <c r="BT483" s="174"/>
      <c r="BU483" s="174"/>
      <c r="BV483" s="174"/>
      <c r="BW483" s="174"/>
      <c r="BX483" s="174"/>
    </row>
    <row r="484" spans="1:76" s="152" customFormat="1" ht="15" customHeight="1" x14ac:dyDescent="0.25">
      <c r="A484" s="152">
        <f t="shared" si="14"/>
        <v>2010</v>
      </c>
      <c r="B484" s="152" t="str">
        <f t="shared" si="15"/>
        <v>2009-10</v>
      </c>
      <c r="C484" s="173">
        <v>40330</v>
      </c>
      <c r="D484" s="169">
        <v>0.85291428571428562</v>
      </c>
      <c r="E484" s="170">
        <v>289.02002515818691</v>
      </c>
      <c r="F484" s="170">
        <v>338.86174730458742</v>
      </c>
      <c r="G484" s="170"/>
      <c r="H484" s="170"/>
      <c r="I484" s="169">
        <v>1232.914</v>
      </c>
      <c r="J484" s="169">
        <v>1448.34</v>
      </c>
      <c r="K484" s="169"/>
      <c r="L484" s="170"/>
      <c r="M484" s="170">
        <v>19388.64</v>
      </c>
      <c r="N484" s="170">
        <v>22732.225646522849</v>
      </c>
      <c r="O484" s="170">
        <v>6499.3</v>
      </c>
      <c r="P484" s="170">
        <v>7620.1092054133733</v>
      </c>
      <c r="Q484" s="170">
        <v>1703.95</v>
      </c>
      <c r="R484" s="170">
        <v>1997.7974675063649</v>
      </c>
      <c r="S484" s="170">
        <v>1742.84</v>
      </c>
      <c r="T484" s="170">
        <v>2043.3940774487473</v>
      </c>
      <c r="U484" s="170">
        <v>907.54104299148378</v>
      </c>
      <c r="V484" s="170">
        <v>1064.047182925832</v>
      </c>
      <c r="W484" s="170">
        <v>2325.5406222657798</v>
      </c>
      <c r="X484" s="170">
        <v>2726.5818631683742</v>
      </c>
      <c r="Y484" s="170"/>
      <c r="Z484" s="170"/>
      <c r="AA484" s="170"/>
      <c r="AB484" s="170"/>
      <c r="AC484" s="170">
        <v>18.454999999999998</v>
      </c>
      <c r="AD484" s="170">
        <v>21.71</v>
      </c>
      <c r="AE484" s="170">
        <v>42852.3</v>
      </c>
      <c r="AF484" s="170">
        <v>50242.211577113769</v>
      </c>
      <c r="AG484" s="170">
        <v>1553.2270000000001</v>
      </c>
      <c r="AH484" s="170">
        <v>1821.0821720487743</v>
      </c>
      <c r="AI484" s="170">
        <v>462.13600000000002</v>
      </c>
      <c r="AJ484" s="170">
        <v>541.83170306847126</v>
      </c>
      <c r="AK484" s="170">
        <v>74.84</v>
      </c>
      <c r="AL484" s="170">
        <v>87.746214658984343</v>
      </c>
      <c r="AM484" s="170">
        <v>80.930000000000007</v>
      </c>
      <c r="AN484" s="170">
        <v>94.886439769529701</v>
      </c>
      <c r="AO484" s="170"/>
      <c r="AP484" s="170"/>
      <c r="AS484" s="167"/>
      <c r="AT484" s="1170"/>
      <c r="AU484" s="1171"/>
      <c r="AV484" s="1171"/>
      <c r="AW484" s="1172"/>
      <c r="AX484" s="1172"/>
      <c r="AY484" s="1172"/>
      <c r="AZ484" s="1172"/>
      <c r="BA484" s="1283" t="s">
        <v>40</v>
      </c>
      <c r="BB484" s="1237">
        <v>2013</v>
      </c>
      <c r="BC484" s="1236" t="s">
        <v>292</v>
      </c>
      <c r="BD484" s="1236"/>
      <c r="BE484" s="1238">
        <v>70539270469.657532</v>
      </c>
      <c r="BF484" s="1239"/>
      <c r="BG484" s="1236"/>
      <c r="BH484" s="1288" t="s">
        <v>32</v>
      </c>
      <c r="BI484" s="1288" t="s">
        <v>316</v>
      </c>
      <c r="BJ484" s="1288" t="s">
        <v>329</v>
      </c>
      <c r="BK484" s="1288">
        <v>9</v>
      </c>
      <c r="BL484" s="1289">
        <v>78325000</v>
      </c>
      <c r="BM484" s="1239">
        <v>1.0940607273893999E-2</v>
      </c>
      <c r="BN484" s="1236">
        <v>2005</v>
      </c>
      <c r="BO484" s="174"/>
      <c r="BP484" s="174"/>
      <c r="BQ484" s="174"/>
      <c r="BR484" s="174"/>
      <c r="BS484" s="174"/>
      <c r="BT484" s="174"/>
      <c r="BU484" s="174"/>
      <c r="BV484" s="174"/>
      <c r="BW484" s="174"/>
      <c r="BX484" s="174"/>
    </row>
    <row r="485" spans="1:76" s="152" customFormat="1" ht="15" customHeight="1" x14ac:dyDescent="0.25">
      <c r="A485" s="152">
        <f t="shared" si="14"/>
        <v>2010</v>
      </c>
      <c r="B485" s="152" t="str">
        <f t="shared" si="15"/>
        <v>2010-11</v>
      </c>
      <c r="C485" s="173">
        <v>40360</v>
      </c>
      <c r="D485" s="154">
        <v>0.8743090909090907</v>
      </c>
      <c r="E485" s="155">
        <v>273.47158819360573</v>
      </c>
      <c r="F485" s="155">
        <v>312.78593696109795</v>
      </c>
      <c r="G485" s="155"/>
      <c r="H485" s="155"/>
      <c r="I485" s="156">
        <v>1192.9590000000001</v>
      </c>
      <c r="J485" s="156">
        <v>1371.04</v>
      </c>
      <c r="K485" s="157"/>
      <c r="L485" s="158"/>
      <c r="M485" s="159">
        <v>19517.5</v>
      </c>
      <c r="N485" s="159">
        <v>22323.341027720595</v>
      </c>
      <c r="O485" s="175">
        <v>6735.26</v>
      </c>
      <c r="P485" s="175">
        <v>7703.5227816249735</v>
      </c>
      <c r="Q485" s="175">
        <v>1836.98</v>
      </c>
      <c r="R485" s="175">
        <v>2101.0647368311606</v>
      </c>
      <c r="S485" s="175">
        <v>1843.89</v>
      </c>
      <c r="T485" s="175">
        <v>2108.9681202819893</v>
      </c>
      <c r="U485" s="161">
        <v>961.60118450892435</v>
      </c>
      <c r="V485" s="161">
        <v>1099.8412283567461</v>
      </c>
      <c r="W485" s="161">
        <v>2405.2712869362686</v>
      </c>
      <c r="X485" s="161">
        <v>2751.0537313929917</v>
      </c>
      <c r="Y485" s="162"/>
      <c r="Z485" s="162"/>
      <c r="AA485" s="162"/>
      <c r="AB485" s="162"/>
      <c r="AC485" s="163">
        <v>17.96</v>
      </c>
      <c r="AD485" s="163">
        <v>20.6</v>
      </c>
      <c r="AE485" s="163">
        <v>41446.86</v>
      </c>
      <c r="AF485" s="163">
        <v>47405.271695052732</v>
      </c>
      <c r="AG485" s="163">
        <v>1525.5909999999999</v>
      </c>
      <c r="AH485" s="163">
        <v>1744.9103707862835</v>
      </c>
      <c r="AI485" s="163">
        <v>455.92899999999997</v>
      </c>
      <c r="AJ485" s="163">
        <v>521.47347515960666</v>
      </c>
      <c r="AK485" s="164">
        <v>74.739999999999995</v>
      </c>
      <c r="AL485" s="164">
        <v>85.484642418949008</v>
      </c>
      <c r="AM485" s="164">
        <v>79.86</v>
      </c>
      <c r="AN485" s="164">
        <v>91.34069499033005</v>
      </c>
      <c r="AO485" s="164"/>
      <c r="AP485" s="164"/>
      <c r="AS485" s="167"/>
      <c r="AT485" s="1170"/>
      <c r="AU485" s="1171"/>
      <c r="AV485" s="1171"/>
      <c r="AW485" s="1172"/>
      <c r="AX485" s="1172"/>
      <c r="AY485" s="1172"/>
      <c r="AZ485" s="1172"/>
      <c r="BA485" s="1283" t="s">
        <v>40</v>
      </c>
      <c r="BB485" s="1237">
        <v>2014</v>
      </c>
      <c r="BC485" s="1236" t="s">
        <v>281</v>
      </c>
      <c r="BD485" s="1236">
        <v>1</v>
      </c>
      <c r="BE485" s="1238">
        <v>51013904690.063545</v>
      </c>
      <c r="BF485" s="1239">
        <v>0.78254300162578883</v>
      </c>
      <c r="BG485" s="1236"/>
      <c r="BH485" s="1288" t="s">
        <v>32</v>
      </c>
      <c r="BI485" s="1288" t="s">
        <v>316</v>
      </c>
      <c r="BJ485" s="1288" t="s">
        <v>328</v>
      </c>
      <c r="BK485" s="1288">
        <v>10</v>
      </c>
      <c r="BL485" s="1289">
        <v>67854000</v>
      </c>
      <c r="BM485" s="1239">
        <v>9.4779950968758818E-3</v>
      </c>
      <c r="BN485" s="1236">
        <v>2005</v>
      </c>
      <c r="BO485" s="174"/>
      <c r="BP485" s="174"/>
      <c r="BQ485" s="174"/>
      <c r="BR485" s="174"/>
      <c r="BS485" s="174"/>
      <c r="BT485" s="174"/>
      <c r="BU485" s="174"/>
      <c r="BV485" s="174"/>
      <c r="BW485" s="174"/>
      <c r="BX485" s="174"/>
    </row>
    <row r="486" spans="1:76" s="152" customFormat="1" ht="15" customHeight="1" x14ac:dyDescent="0.25">
      <c r="A486" s="152">
        <f t="shared" si="14"/>
        <v>2010</v>
      </c>
      <c r="B486" s="152" t="str">
        <f t="shared" si="15"/>
        <v>2010-11</v>
      </c>
      <c r="C486" s="173">
        <v>40391</v>
      </c>
      <c r="D486" s="169">
        <v>0.90004761904761899</v>
      </c>
      <c r="E486" s="170">
        <v>275.88467154631763</v>
      </c>
      <c r="F486" s="170">
        <v>306.52230582893344</v>
      </c>
      <c r="G486" s="170"/>
      <c r="H486" s="170"/>
      <c r="I486" s="169">
        <v>1216.6769999999999</v>
      </c>
      <c r="J486" s="169">
        <v>1359.8</v>
      </c>
      <c r="K486" s="169"/>
      <c r="L486" s="170"/>
      <c r="M486" s="170">
        <v>21413.33</v>
      </c>
      <c r="N486" s="170">
        <v>23791.330088355116</v>
      </c>
      <c r="O486" s="170">
        <v>7283.95</v>
      </c>
      <c r="P486" s="170">
        <v>8092.8495846780597</v>
      </c>
      <c r="Q486" s="170">
        <v>2075.2399999999998</v>
      </c>
      <c r="R486" s="170">
        <v>2305.7002275011905</v>
      </c>
      <c r="S486" s="170">
        <v>2044.57</v>
      </c>
      <c r="T486" s="170">
        <v>2271.6242526850433</v>
      </c>
      <c r="U486" s="170">
        <v>953.82753949432208</v>
      </c>
      <c r="V486" s="170">
        <v>1059.7523056653492</v>
      </c>
      <c r="W486" s="170">
        <v>2365.9768922581757</v>
      </c>
      <c r="X486" s="170">
        <v>2628.7241276875134</v>
      </c>
      <c r="Y486" s="170"/>
      <c r="Z486" s="170"/>
      <c r="AA486" s="170"/>
      <c r="AB486" s="170"/>
      <c r="AC486" s="170">
        <v>18.388000000000002</v>
      </c>
      <c r="AD486" s="170">
        <v>20.82</v>
      </c>
      <c r="AE486" s="170">
        <v>39889.85</v>
      </c>
      <c r="AF486" s="170">
        <v>44319.710597322897</v>
      </c>
      <c r="AG486" s="170">
        <v>1540.5909999999999</v>
      </c>
      <c r="AH486" s="170">
        <v>1711.6772128458811</v>
      </c>
      <c r="AI486" s="170">
        <v>489.75</v>
      </c>
      <c r="AJ486" s="170">
        <v>544.13787630284116</v>
      </c>
      <c r="AK486" s="170">
        <v>76.69</v>
      </c>
      <c r="AL486" s="170">
        <v>85.206602825247344</v>
      </c>
      <c r="AM486" s="170">
        <v>81.25</v>
      </c>
      <c r="AN486" s="170">
        <v>90.27300142849586</v>
      </c>
      <c r="AO486" s="170"/>
      <c r="AP486" s="170"/>
      <c r="AS486" s="167"/>
      <c r="AT486" s="1170"/>
      <c r="AU486" s="1171"/>
      <c r="AV486" s="1171"/>
      <c r="AW486" s="1172"/>
      <c r="AX486" s="1172"/>
      <c r="AY486" s="1172"/>
      <c r="AZ486" s="1172"/>
      <c r="BA486" s="1283" t="s">
        <v>40</v>
      </c>
      <c r="BB486" s="1237">
        <v>2014</v>
      </c>
      <c r="BC486" s="1236" t="s">
        <v>308</v>
      </c>
      <c r="BD486" s="1236">
        <v>2</v>
      </c>
      <c r="BE486" s="1238">
        <v>7447813568.1640291</v>
      </c>
      <c r="BF486" s="1239">
        <v>0.11424795691664777</v>
      </c>
      <c r="BG486" s="1236"/>
      <c r="BH486" s="1288" t="s">
        <v>32</v>
      </c>
      <c r="BI486" s="1288" t="s">
        <v>316</v>
      </c>
      <c r="BJ486" s="1288" t="s">
        <v>291</v>
      </c>
      <c r="BK486" s="1288"/>
      <c r="BL486" s="1289">
        <v>50864000</v>
      </c>
      <c r="BM486" s="1239">
        <v>7.1047947447091531E-3</v>
      </c>
      <c r="BN486" s="1236">
        <v>2005</v>
      </c>
      <c r="BO486" s="174"/>
      <c r="BP486" s="174"/>
      <c r="BQ486" s="174"/>
      <c r="BR486" s="174"/>
      <c r="BS486" s="174"/>
      <c r="BT486" s="174"/>
      <c r="BU486" s="174"/>
      <c r="BV486" s="174"/>
      <c r="BW486" s="174"/>
      <c r="BX486" s="174"/>
    </row>
    <row r="487" spans="1:76" s="152" customFormat="1" ht="15" customHeight="1" x14ac:dyDescent="0.25">
      <c r="A487" s="152">
        <f t="shared" si="14"/>
        <v>2010</v>
      </c>
      <c r="B487" s="152" t="str">
        <f t="shared" si="15"/>
        <v>2010-11</v>
      </c>
      <c r="C487" s="173">
        <v>40422</v>
      </c>
      <c r="D487" s="154">
        <v>0.9358045454545455</v>
      </c>
      <c r="E487" s="155">
        <v>280.78350589056811</v>
      </c>
      <c r="F487" s="155">
        <v>300.04503317964117</v>
      </c>
      <c r="G487" s="155"/>
      <c r="H487" s="155"/>
      <c r="I487" s="156">
        <v>1270.9680000000001</v>
      </c>
      <c r="J487" s="156">
        <v>1369.58</v>
      </c>
      <c r="K487" s="157"/>
      <c r="L487" s="158"/>
      <c r="M487" s="159">
        <v>22643.41</v>
      </c>
      <c r="N487" s="159">
        <v>24196.730086410818</v>
      </c>
      <c r="O487" s="175">
        <v>7709.3</v>
      </c>
      <c r="P487" s="175">
        <v>8238.1519062352763</v>
      </c>
      <c r="Q487" s="175">
        <v>2184.23</v>
      </c>
      <c r="R487" s="175">
        <v>2334.0664571564575</v>
      </c>
      <c r="S487" s="175">
        <v>2151.41</v>
      </c>
      <c r="T487" s="175">
        <v>2298.9950310136633</v>
      </c>
      <c r="U487" s="161">
        <v>980.77404325341843</v>
      </c>
      <c r="V487" s="161">
        <v>1048.0543699186992</v>
      </c>
      <c r="W487" s="161">
        <v>2459.1105249552288</v>
      </c>
      <c r="X487" s="161">
        <v>2627.803569559253</v>
      </c>
      <c r="Y487" s="162"/>
      <c r="Z487" s="162"/>
      <c r="AA487" s="162"/>
      <c r="AB487" s="162"/>
      <c r="AC487" s="163">
        <v>20.55</v>
      </c>
      <c r="AD487" s="163">
        <v>22.23</v>
      </c>
      <c r="AE487" s="163">
        <v>42990.05</v>
      </c>
      <c r="AF487" s="163">
        <v>45939.133560329712</v>
      </c>
      <c r="AG487" s="163">
        <v>1591.75</v>
      </c>
      <c r="AH487" s="163">
        <v>1700.9427959412658</v>
      </c>
      <c r="AI487" s="163">
        <v>539.5</v>
      </c>
      <c r="AJ487" s="163">
        <v>576.50927495543453</v>
      </c>
      <c r="AK487" s="164">
        <v>77.790000000000006</v>
      </c>
      <c r="AL487" s="164">
        <v>83.12633271322197</v>
      </c>
      <c r="AM487" s="164">
        <v>82.32</v>
      </c>
      <c r="AN487" s="164">
        <v>87.967087144265733</v>
      </c>
      <c r="AO487" s="164"/>
      <c r="AP487" s="164"/>
      <c r="AQ487" s="176"/>
      <c r="AS487" s="167"/>
      <c r="AT487" s="1170"/>
      <c r="AU487" s="1171"/>
      <c r="AV487" s="1171"/>
      <c r="AW487" s="1172"/>
      <c r="AX487" s="1172"/>
      <c r="AY487" s="1172"/>
      <c r="AZ487" s="1172"/>
      <c r="BA487" s="1283" t="s">
        <v>40</v>
      </c>
      <c r="BB487" s="1237">
        <v>2014</v>
      </c>
      <c r="BC487" s="1236" t="s">
        <v>320</v>
      </c>
      <c r="BD487" s="1236">
        <v>3</v>
      </c>
      <c r="BE487" s="1238">
        <v>4892410307.317029</v>
      </c>
      <c r="BF487" s="1239">
        <v>7.5048586661481967E-2</v>
      </c>
      <c r="BG487" s="1236"/>
      <c r="BH487" s="1288" t="s">
        <v>32</v>
      </c>
      <c r="BI487" s="1288" t="s">
        <v>316</v>
      </c>
      <c r="BJ487" s="1288" t="s">
        <v>292</v>
      </c>
      <c r="BK487" s="1288"/>
      <c r="BL487" s="1289">
        <v>7159109000</v>
      </c>
      <c r="BM487" s="1239">
        <v>1</v>
      </c>
      <c r="BN487" s="1236">
        <v>2005</v>
      </c>
      <c r="BO487" s="174"/>
      <c r="BP487" s="174"/>
      <c r="BQ487" s="174"/>
      <c r="BR487" s="174"/>
      <c r="BS487" s="174"/>
      <c r="BT487" s="174"/>
      <c r="BU487" s="174"/>
      <c r="BV487" s="174"/>
      <c r="BW487" s="174"/>
      <c r="BX487" s="174"/>
    </row>
    <row r="488" spans="1:76" s="152" customFormat="1" ht="15" customHeight="1" x14ac:dyDescent="0.25">
      <c r="A488" s="152">
        <f t="shared" si="14"/>
        <v>2010</v>
      </c>
      <c r="B488" s="152" t="str">
        <f t="shared" si="15"/>
        <v>2010-11</v>
      </c>
      <c r="C488" s="173">
        <v>40452</v>
      </c>
      <c r="D488" s="169">
        <v>0.98119000000000001</v>
      </c>
      <c r="E488" s="170">
        <v>294.90131306978429</v>
      </c>
      <c r="F488" s="170">
        <v>300.55474787735739</v>
      </c>
      <c r="G488" s="170"/>
      <c r="H488" s="170"/>
      <c r="I488" s="169">
        <v>1342.0139999999999</v>
      </c>
      <c r="J488" s="169">
        <v>1378.54</v>
      </c>
      <c r="K488" s="169"/>
      <c r="L488" s="170"/>
      <c r="M488" s="170">
        <v>23807.38</v>
      </c>
      <c r="N488" s="170">
        <v>24263.781734424527</v>
      </c>
      <c r="O488" s="170">
        <v>8292.4</v>
      </c>
      <c r="P488" s="170">
        <v>8451.3702748703108</v>
      </c>
      <c r="Q488" s="170">
        <v>2379.67</v>
      </c>
      <c r="R488" s="170">
        <v>2425.2896992427563</v>
      </c>
      <c r="S488" s="170">
        <v>2372.14</v>
      </c>
      <c r="T488" s="170">
        <v>2417.6153446325379</v>
      </c>
      <c r="U488" s="170">
        <v>1049.1035635314627</v>
      </c>
      <c r="V488" s="170">
        <v>1069.2155072223145</v>
      </c>
      <c r="W488" s="170">
        <v>2497.6859615770845</v>
      </c>
      <c r="X488" s="170">
        <v>2545.5680974908882</v>
      </c>
      <c r="Y488" s="170"/>
      <c r="Z488" s="170"/>
      <c r="AA488" s="170"/>
      <c r="AB488" s="170"/>
      <c r="AC488" s="170">
        <v>23.393000000000001</v>
      </c>
      <c r="AD488" s="170">
        <v>24.17</v>
      </c>
      <c r="AE488" s="170">
        <v>45194.7</v>
      </c>
      <c r="AF488" s="170">
        <v>46061.109469114032</v>
      </c>
      <c r="AG488" s="170">
        <v>1688.69</v>
      </c>
      <c r="AH488" s="170">
        <v>1721.0631987688419</v>
      </c>
      <c r="AI488" s="170">
        <v>591.71400000000006</v>
      </c>
      <c r="AJ488" s="170">
        <v>603.05751179689969</v>
      </c>
      <c r="AK488" s="170">
        <v>82.92</v>
      </c>
      <c r="AL488" s="170">
        <v>84.509626066307234</v>
      </c>
      <c r="AM488" s="170">
        <v>89.88</v>
      </c>
      <c r="AN488" s="170">
        <v>91.603053435114504</v>
      </c>
      <c r="AO488" s="170"/>
      <c r="AP488" s="170"/>
      <c r="AS488" s="167"/>
      <c r="AT488" s="1170"/>
      <c r="AU488" s="1171"/>
      <c r="AV488" s="1171"/>
      <c r="AW488" s="1172"/>
      <c r="AX488" s="1172"/>
      <c r="AY488" s="1172"/>
      <c r="AZ488" s="1172"/>
      <c r="BA488" s="1283" t="s">
        <v>40</v>
      </c>
      <c r="BB488" s="1237">
        <v>2014</v>
      </c>
      <c r="BC488" s="1236" t="s">
        <v>315</v>
      </c>
      <c r="BD488" s="1236">
        <v>4</v>
      </c>
      <c r="BE488" s="1238">
        <v>1442061621.1455843</v>
      </c>
      <c r="BF488" s="1239">
        <v>2.2120934211891846E-2</v>
      </c>
      <c r="BG488" s="1236"/>
      <c r="BH488" s="1290" t="s">
        <v>32</v>
      </c>
      <c r="BI488" s="1290" t="s">
        <v>313</v>
      </c>
      <c r="BJ488" s="1290" t="s">
        <v>287</v>
      </c>
      <c r="BK488" s="1290">
        <v>1</v>
      </c>
      <c r="BL488" s="1291">
        <v>4636000000</v>
      </c>
      <c r="BM488" s="1239">
        <v>0.44445854815256819</v>
      </c>
      <c r="BN488" s="1236">
        <v>2006</v>
      </c>
      <c r="BO488" s="174"/>
      <c r="BP488" s="174"/>
      <c r="BQ488" s="174"/>
      <c r="BR488" s="174"/>
      <c r="BS488" s="174"/>
      <c r="BT488" s="174"/>
      <c r="BU488" s="174"/>
      <c r="BV488" s="174"/>
      <c r="BW488" s="174"/>
      <c r="BX488" s="174"/>
    </row>
    <row r="489" spans="1:76" s="152" customFormat="1" ht="15" customHeight="1" x14ac:dyDescent="0.25">
      <c r="A489" s="152">
        <f t="shared" si="14"/>
        <v>2010</v>
      </c>
      <c r="B489" s="152" t="str">
        <f t="shared" si="15"/>
        <v>2010-11</v>
      </c>
      <c r="C489" s="173">
        <v>40483</v>
      </c>
      <c r="D489" s="154">
        <v>0.99014999999999997</v>
      </c>
      <c r="E489" s="155">
        <v>310.94533332908088</v>
      </c>
      <c r="F489" s="155">
        <v>314.03861367376749</v>
      </c>
      <c r="G489" s="155"/>
      <c r="H489" s="155"/>
      <c r="I489" s="156">
        <v>1369.8820000000001</v>
      </c>
      <c r="J489" s="156">
        <v>1394.01</v>
      </c>
      <c r="K489" s="157"/>
      <c r="L489" s="158"/>
      <c r="M489" s="159">
        <v>22909.32</v>
      </c>
      <c r="N489" s="159">
        <v>23137.221633085897</v>
      </c>
      <c r="O489" s="175">
        <v>8469.89</v>
      </c>
      <c r="P489" s="175">
        <v>8554.14836135939</v>
      </c>
      <c r="Q489" s="175">
        <v>2376.73</v>
      </c>
      <c r="R489" s="175">
        <v>2400.373680755441</v>
      </c>
      <c r="S489" s="175">
        <v>2291.6799999999998</v>
      </c>
      <c r="T489" s="175">
        <v>2314.4776044033733</v>
      </c>
      <c r="U489" s="161">
        <v>1080.4428129850746</v>
      </c>
      <c r="V489" s="161">
        <v>1091.1910447761195</v>
      </c>
      <c r="W489" s="161">
        <v>2587.8719033572775</v>
      </c>
      <c r="X489" s="161">
        <v>2613.6160211657602</v>
      </c>
      <c r="Y489" s="162"/>
      <c r="Z489" s="162"/>
      <c r="AA489" s="162"/>
      <c r="AB489" s="162"/>
      <c r="AC489" s="163">
        <v>26.541</v>
      </c>
      <c r="AD489" s="163">
        <v>25.17</v>
      </c>
      <c r="AE489" s="163">
        <v>38580.9</v>
      </c>
      <c r="AF489" s="163">
        <v>38964.702317830634</v>
      </c>
      <c r="AG489" s="163">
        <v>1692.7729999999999</v>
      </c>
      <c r="AH489" s="163">
        <v>1709.6126849467253</v>
      </c>
      <c r="AI489" s="163">
        <v>682.90899999999999</v>
      </c>
      <c r="AJ489" s="163">
        <v>689.70257031762867</v>
      </c>
      <c r="AK489" s="164">
        <v>85.67</v>
      </c>
      <c r="AL489" s="164">
        <v>86.522244104428623</v>
      </c>
      <c r="AM489" s="164">
        <v>91.6</v>
      </c>
      <c r="AN489" s="164">
        <v>92.511235671362925</v>
      </c>
      <c r="AO489" s="164"/>
      <c r="AP489" s="164"/>
      <c r="AS489" s="167"/>
      <c r="AT489" s="1170"/>
      <c r="AU489" s="1171"/>
      <c r="AV489" s="1171"/>
      <c r="AW489" s="1172"/>
      <c r="AX489" s="1172"/>
      <c r="AY489" s="1172"/>
      <c r="AZ489" s="1172"/>
      <c r="BA489" s="1283" t="s">
        <v>40</v>
      </c>
      <c r="BB489" s="1237">
        <v>2014</v>
      </c>
      <c r="BC489" s="1236" t="s">
        <v>289</v>
      </c>
      <c r="BD489" s="1236">
        <v>5</v>
      </c>
      <c r="BE489" s="1238">
        <v>156508893.00574327</v>
      </c>
      <c r="BF489" s="1239">
        <v>2.4008148299555542E-3</v>
      </c>
      <c r="BG489" s="1236"/>
      <c r="BH489" s="1290" t="s">
        <v>32</v>
      </c>
      <c r="BI489" s="1290" t="s">
        <v>313</v>
      </c>
      <c r="BJ489" s="1290" t="s">
        <v>314</v>
      </c>
      <c r="BK489" s="1290">
        <v>2</v>
      </c>
      <c r="BL489" s="1291">
        <v>1861492000</v>
      </c>
      <c r="BM489" s="1239">
        <v>0.17846333729888275</v>
      </c>
      <c r="BN489" s="1236">
        <v>2006</v>
      </c>
      <c r="BO489" s="174"/>
      <c r="BP489" s="174"/>
      <c r="BQ489" s="174"/>
      <c r="BR489" s="174"/>
      <c r="BS489" s="174"/>
      <c r="BT489" s="174"/>
      <c r="BU489" s="174"/>
      <c r="BV489" s="174"/>
      <c r="BW489" s="174"/>
      <c r="BX489" s="174"/>
    </row>
    <row r="490" spans="1:76" s="152" customFormat="1" ht="15" customHeight="1" x14ac:dyDescent="0.25">
      <c r="A490" s="152">
        <f t="shared" si="14"/>
        <v>2010</v>
      </c>
      <c r="B490" s="152" t="str">
        <f t="shared" si="15"/>
        <v>2010-11</v>
      </c>
      <c r="C490" s="173">
        <v>40513</v>
      </c>
      <c r="D490" s="169">
        <v>0.99094761904761897</v>
      </c>
      <c r="E490" s="170">
        <v>316.29895967119137</v>
      </c>
      <c r="F490" s="170">
        <v>319.1883744321222</v>
      </c>
      <c r="G490" s="170"/>
      <c r="H490" s="170"/>
      <c r="I490" s="169">
        <v>1390.5419999999999</v>
      </c>
      <c r="J490" s="169">
        <v>1415.35</v>
      </c>
      <c r="K490" s="169"/>
      <c r="L490" s="170"/>
      <c r="M490" s="170">
        <v>24111.19</v>
      </c>
      <c r="N490" s="170">
        <v>24331.4475321842</v>
      </c>
      <c r="O490" s="170">
        <v>9147.26</v>
      </c>
      <c r="P490" s="170">
        <v>9230.8209073565959</v>
      </c>
      <c r="Q490" s="170">
        <v>2412.9299999999998</v>
      </c>
      <c r="R490" s="170">
        <v>2434.9722968394849</v>
      </c>
      <c r="S490" s="170">
        <v>2280.9299999999998</v>
      </c>
      <c r="T490" s="170">
        <v>2301.7664669219939</v>
      </c>
      <c r="U490" s="170">
        <v>1113.2011350337866</v>
      </c>
      <c r="V490" s="170">
        <v>1123.3703110399147</v>
      </c>
      <c r="W490" s="170">
        <v>2564.7533196211702</v>
      </c>
      <c r="X490" s="170">
        <v>2588.1825338922617</v>
      </c>
      <c r="Y490" s="170"/>
      <c r="Z490" s="170"/>
      <c r="AA490" s="170"/>
      <c r="AB490" s="170"/>
      <c r="AC490" s="170">
        <v>29.363</v>
      </c>
      <c r="AD490" s="170">
        <v>29.88</v>
      </c>
      <c r="AE490" s="170">
        <v>37423.4</v>
      </c>
      <c r="AF490" s="170">
        <v>37765.265570713942</v>
      </c>
      <c r="AG490" s="170">
        <v>1707.7370000000001</v>
      </c>
      <c r="AH490" s="170">
        <v>1723.3373058015659</v>
      </c>
      <c r="AI490" s="170">
        <v>752.76300000000003</v>
      </c>
      <c r="AJ490" s="170">
        <v>759.63954656197302</v>
      </c>
      <c r="AK490" s="170">
        <v>91.8</v>
      </c>
      <c r="AL490" s="170">
        <v>92.63859989716434</v>
      </c>
      <c r="AM490" s="170">
        <v>95.16</v>
      </c>
      <c r="AN490" s="170">
        <v>96.029293749609565</v>
      </c>
      <c r="AO490" s="170"/>
      <c r="AP490" s="170"/>
      <c r="AQ490" s="176"/>
      <c r="AR490" s="176"/>
      <c r="AS490" s="167"/>
      <c r="AT490" s="1170"/>
      <c r="AU490" s="1171"/>
      <c r="AV490" s="1171"/>
      <c r="AW490" s="1172"/>
      <c r="AX490" s="1172"/>
      <c r="AY490" s="1172"/>
      <c r="AZ490" s="1172"/>
      <c r="BA490" s="1283" t="s">
        <v>40</v>
      </c>
      <c r="BB490" s="1237">
        <v>2014</v>
      </c>
      <c r="BC490" s="1236" t="s">
        <v>291</v>
      </c>
      <c r="BD490" s="1236"/>
      <c r="BE490" s="1238">
        <v>237206885.95518574</v>
      </c>
      <c r="BF490" s="1239">
        <v>3.6387057542339638E-3</v>
      </c>
      <c r="BG490" s="1236"/>
      <c r="BH490" s="1290" t="s">
        <v>32</v>
      </c>
      <c r="BI490" s="1290" t="s">
        <v>313</v>
      </c>
      <c r="BJ490" s="1290" t="s">
        <v>328</v>
      </c>
      <c r="BK490" s="1290">
        <v>3</v>
      </c>
      <c r="BL490" s="1291">
        <v>959767000</v>
      </c>
      <c r="BM490" s="1239">
        <v>9.2013944647270474E-2</v>
      </c>
      <c r="BN490" s="1236">
        <v>2006</v>
      </c>
      <c r="BO490" s="174"/>
      <c r="BP490" s="174"/>
      <c r="BQ490" s="174"/>
      <c r="BR490" s="174"/>
      <c r="BS490" s="174"/>
      <c r="BT490" s="174"/>
      <c r="BU490" s="174"/>
      <c r="BV490" s="174"/>
      <c r="BW490" s="174"/>
      <c r="BX490" s="174"/>
    </row>
    <row r="491" spans="1:76" s="152" customFormat="1" ht="15" customHeight="1" x14ac:dyDescent="0.25">
      <c r="A491" s="152">
        <f t="shared" si="14"/>
        <v>2011</v>
      </c>
      <c r="B491" s="152" t="str">
        <f t="shared" si="15"/>
        <v>2010-11</v>
      </c>
      <c r="C491" s="173">
        <v>40544</v>
      </c>
      <c r="D491" s="154">
        <v>0.99407368421052644</v>
      </c>
      <c r="E491" s="155">
        <v>326.29724587955997</v>
      </c>
      <c r="F491" s="155">
        <v>328.24251467706716</v>
      </c>
      <c r="G491" s="155"/>
      <c r="H491" s="155"/>
      <c r="I491" s="156">
        <v>1356.395</v>
      </c>
      <c r="J491" s="156">
        <v>1381</v>
      </c>
      <c r="K491" s="157">
        <v>180.47499999999999</v>
      </c>
      <c r="L491" s="158">
        <v>181.55092813198215</v>
      </c>
      <c r="M491" s="159">
        <v>25646.25</v>
      </c>
      <c r="N491" s="159">
        <v>25799.143873693571</v>
      </c>
      <c r="O491" s="175">
        <v>9555.7000000000007</v>
      </c>
      <c r="P491" s="175">
        <v>9612.6677043955224</v>
      </c>
      <c r="Q491" s="175">
        <v>2601.65</v>
      </c>
      <c r="R491" s="175">
        <v>2617.160117326895</v>
      </c>
      <c r="S491" s="175">
        <v>2371.5500000000002</v>
      </c>
      <c r="T491" s="175">
        <v>2385.6883424928787</v>
      </c>
      <c r="U491" s="161">
        <v>1336.3445211533497</v>
      </c>
      <c r="V491" s="161">
        <v>1344.3113346418056</v>
      </c>
      <c r="W491" s="161">
        <v>2698.9462813973109</v>
      </c>
      <c r="X491" s="161">
        <v>2715.0364447488219</v>
      </c>
      <c r="Y491" s="162"/>
      <c r="Z491" s="162"/>
      <c r="AA491" s="162"/>
      <c r="AB491" s="162"/>
      <c r="AC491" s="163">
        <v>28.509</v>
      </c>
      <c r="AD491" s="163">
        <v>29.12</v>
      </c>
      <c r="AE491" s="163">
        <v>42163.4</v>
      </c>
      <c r="AF491" s="163">
        <v>42414.763281340995</v>
      </c>
      <c r="AG491" s="163">
        <v>1786.95</v>
      </c>
      <c r="AH491" s="163">
        <v>1797.6031640141046</v>
      </c>
      <c r="AI491" s="163">
        <v>793.1</v>
      </c>
      <c r="AJ491" s="163">
        <v>797.82818175079672</v>
      </c>
      <c r="AK491" s="164">
        <v>96.37</v>
      </c>
      <c r="AL491" s="164">
        <v>96.944523862469154</v>
      </c>
      <c r="AM491" s="164">
        <v>101.21</v>
      </c>
      <c r="AN491" s="164">
        <v>101.81337823098995</v>
      </c>
      <c r="AO491" s="164"/>
      <c r="AP491" s="164"/>
      <c r="AS491" s="167"/>
      <c r="AT491" s="1170"/>
      <c r="AU491" s="1171"/>
      <c r="AV491" s="1171"/>
      <c r="AW491" s="1172"/>
      <c r="AX491" s="1172"/>
      <c r="AY491" s="1172"/>
      <c r="AZ491" s="1172"/>
      <c r="BA491" s="1283" t="s">
        <v>40</v>
      </c>
      <c r="BB491" s="1237">
        <v>2014</v>
      </c>
      <c r="BC491" s="1236" t="s">
        <v>292</v>
      </c>
      <c r="BD491" s="1236"/>
      <c r="BE491" s="1238">
        <v>65189905965.651123</v>
      </c>
      <c r="BF491" s="1239"/>
      <c r="BG491" s="1236"/>
      <c r="BH491" s="1290" t="s">
        <v>32</v>
      </c>
      <c r="BI491" s="1290" t="s">
        <v>313</v>
      </c>
      <c r="BJ491" s="1290" t="s">
        <v>330</v>
      </c>
      <c r="BK491" s="1290">
        <v>4</v>
      </c>
      <c r="BL491" s="1291">
        <v>752378000</v>
      </c>
      <c r="BM491" s="1239">
        <v>7.2131327338639542E-2</v>
      </c>
      <c r="BN491" s="1236">
        <v>2006</v>
      </c>
      <c r="BO491" s="174"/>
      <c r="BP491" s="174"/>
      <c r="BQ491" s="174"/>
      <c r="BR491" s="174"/>
      <c r="BS491" s="174"/>
      <c r="BT491" s="174"/>
      <c r="BU491" s="174"/>
      <c r="BV491" s="174"/>
      <c r="BW491" s="174"/>
      <c r="BX491" s="174"/>
    </row>
    <row r="492" spans="1:76" s="152" customFormat="1" ht="15" customHeight="1" x14ac:dyDescent="0.25">
      <c r="A492" s="152">
        <f t="shared" si="14"/>
        <v>2011</v>
      </c>
      <c r="B492" s="152" t="str">
        <f t="shared" si="15"/>
        <v>2010-11</v>
      </c>
      <c r="C492" s="173">
        <v>40575</v>
      </c>
      <c r="D492" s="169">
        <v>1.0085950000000001</v>
      </c>
      <c r="E492" s="170">
        <v>341.49609482157928</v>
      </c>
      <c r="F492" s="170">
        <v>338.58594859341878</v>
      </c>
      <c r="G492" s="170"/>
      <c r="H492" s="170"/>
      <c r="I492" s="169">
        <v>1372.7149999999999</v>
      </c>
      <c r="J492" s="169">
        <v>1370.65</v>
      </c>
      <c r="K492" s="169">
        <v>186.97499999999999</v>
      </c>
      <c r="L492" s="170">
        <v>185.38164476325974</v>
      </c>
      <c r="M492" s="170">
        <v>28252.25</v>
      </c>
      <c r="N492" s="170">
        <v>28011.491232853619</v>
      </c>
      <c r="O492" s="170">
        <v>9867.6</v>
      </c>
      <c r="P492" s="170">
        <v>9783.5107253159094</v>
      </c>
      <c r="Q492" s="170">
        <v>2586.6799999999998</v>
      </c>
      <c r="R492" s="170">
        <v>2564.636945453824</v>
      </c>
      <c r="S492" s="170">
        <v>2465.13</v>
      </c>
      <c r="T492" s="170">
        <v>2444.1227648362324</v>
      </c>
      <c r="U492" s="170">
        <v>1382.3921788178836</v>
      </c>
      <c r="V492" s="170">
        <v>1370.6117706491539</v>
      </c>
      <c r="W492" s="170">
        <v>2684.8162366116112</v>
      </c>
      <c r="X492" s="170">
        <v>2661.9368890502242</v>
      </c>
      <c r="Y492" s="170"/>
      <c r="Z492" s="170"/>
      <c r="AA492" s="170"/>
      <c r="AB492" s="170"/>
      <c r="AC492" s="170">
        <v>30.779</v>
      </c>
      <c r="AD492" s="170">
        <v>30.94</v>
      </c>
      <c r="AE492" s="170">
        <v>42577</v>
      </c>
      <c r="AF492" s="170">
        <v>42214.169215591981</v>
      </c>
      <c r="AG492" s="170">
        <v>1825.9</v>
      </c>
      <c r="AH492" s="170">
        <v>1810.3401266117717</v>
      </c>
      <c r="AI492" s="170">
        <v>821.35</v>
      </c>
      <c r="AJ492" s="170">
        <v>814.35065611072821</v>
      </c>
      <c r="AK492" s="170">
        <v>103.96</v>
      </c>
      <c r="AL492" s="170">
        <v>103.07407829703695</v>
      </c>
      <c r="AM492" s="170">
        <v>107.67</v>
      </c>
      <c r="AN492" s="170">
        <v>106.75246258408974</v>
      </c>
      <c r="AO492" s="170"/>
      <c r="AP492" s="170"/>
      <c r="AS492" s="167"/>
      <c r="AT492" s="1170"/>
      <c r="AU492" s="1171"/>
      <c r="AV492" s="1171"/>
      <c r="AW492" s="1172"/>
      <c r="AX492" s="1172"/>
      <c r="AY492" s="1172"/>
      <c r="AZ492" s="1172"/>
      <c r="BA492" s="1283" t="s">
        <v>40</v>
      </c>
      <c r="BB492" s="1237">
        <v>2015</v>
      </c>
      <c r="BC492" s="1236" t="s">
        <v>281</v>
      </c>
      <c r="BD492" s="1236">
        <v>1</v>
      </c>
      <c r="BE492" s="1238">
        <v>39894844984.675888</v>
      </c>
      <c r="BF492" s="1239">
        <v>0.80316788198874089</v>
      </c>
      <c r="BG492" s="1236"/>
      <c r="BH492" s="1290" t="s">
        <v>32</v>
      </c>
      <c r="BI492" s="1290" t="s">
        <v>313</v>
      </c>
      <c r="BJ492" s="1290" t="s">
        <v>323</v>
      </c>
      <c r="BK492" s="1290">
        <v>5</v>
      </c>
      <c r="BL492" s="1291">
        <v>621783000</v>
      </c>
      <c r="BM492" s="1239">
        <v>5.9611037412844757E-2</v>
      </c>
      <c r="BN492" s="1236">
        <v>2006</v>
      </c>
      <c r="BO492" s="174"/>
      <c r="BP492" s="174"/>
      <c r="BQ492" s="174"/>
      <c r="BR492" s="174"/>
      <c r="BS492" s="174"/>
      <c r="BT492" s="174"/>
      <c r="BU492" s="174"/>
      <c r="BV492" s="174"/>
      <c r="BW492" s="174"/>
      <c r="BX492" s="174"/>
    </row>
    <row r="493" spans="1:76" s="152" customFormat="1" ht="15" customHeight="1" x14ac:dyDescent="0.25">
      <c r="A493" s="152">
        <f t="shared" si="14"/>
        <v>2011</v>
      </c>
      <c r="B493" s="152" t="str">
        <f t="shared" si="15"/>
        <v>2010-11</v>
      </c>
      <c r="C493" s="173">
        <v>40603</v>
      </c>
      <c r="D493" s="154">
        <v>1.0100434782608694</v>
      </c>
      <c r="E493" s="155">
        <v>355.85256800305172</v>
      </c>
      <c r="F493" s="155">
        <v>352.31410890922433</v>
      </c>
      <c r="G493" s="155"/>
      <c r="H493" s="155"/>
      <c r="I493" s="156">
        <v>1424</v>
      </c>
      <c r="J493" s="156">
        <v>1416.54</v>
      </c>
      <c r="K493" s="157">
        <v>168.77500000000001</v>
      </c>
      <c r="L493" s="158">
        <v>167.09676725065648</v>
      </c>
      <c r="M493" s="159">
        <v>26811.74</v>
      </c>
      <c r="N493" s="159">
        <v>26545.134518531278</v>
      </c>
      <c r="O493" s="175">
        <v>9530.65</v>
      </c>
      <c r="P493" s="175">
        <v>9435.8809349576004</v>
      </c>
      <c r="Q493" s="175">
        <v>2624.2</v>
      </c>
      <c r="R493" s="175">
        <v>2598.1059790796785</v>
      </c>
      <c r="S493" s="175">
        <v>2349.2399999999998</v>
      </c>
      <c r="T493" s="175">
        <v>2325.8800740389997</v>
      </c>
      <c r="U493" s="161">
        <v>1424.0908228991659</v>
      </c>
      <c r="V493" s="161">
        <v>1409.9302193913659</v>
      </c>
      <c r="W493" s="161">
        <v>2768.3993872983942</v>
      </c>
      <c r="X493" s="161">
        <v>2740.8715039328085</v>
      </c>
      <c r="Y493" s="162"/>
      <c r="Z493" s="162"/>
      <c r="AA493" s="162"/>
      <c r="AB493" s="162"/>
      <c r="AC493" s="163">
        <v>35.813000000000002</v>
      </c>
      <c r="AD493" s="163">
        <v>35.74</v>
      </c>
      <c r="AE493" s="163">
        <v>41750</v>
      </c>
      <c r="AF493" s="163">
        <v>41334.854289526935</v>
      </c>
      <c r="AG493" s="163">
        <v>1770.174</v>
      </c>
      <c r="AH493" s="163">
        <v>1752.5720804097975</v>
      </c>
      <c r="AI493" s="163">
        <v>762</v>
      </c>
      <c r="AJ493" s="163">
        <v>754.42296930825205</v>
      </c>
      <c r="AK493" s="164">
        <v>114.44</v>
      </c>
      <c r="AL493" s="164">
        <v>113.30205329086137</v>
      </c>
      <c r="AM493" s="164">
        <v>118.69</v>
      </c>
      <c r="AN493" s="164">
        <v>117.50979294907668</v>
      </c>
      <c r="AO493" s="164"/>
      <c r="AP493" s="164"/>
      <c r="AQ493" s="176"/>
      <c r="AS493" s="167"/>
      <c r="AT493" s="1170"/>
      <c r="AU493" s="1171"/>
      <c r="AV493" s="1171"/>
      <c r="AW493" s="1172"/>
      <c r="AX493" s="1172"/>
      <c r="AY493" s="1172"/>
      <c r="AZ493" s="1172"/>
      <c r="BA493" s="1283" t="s">
        <v>40</v>
      </c>
      <c r="BB493" s="1237">
        <v>2015</v>
      </c>
      <c r="BC493" s="1236" t="s">
        <v>308</v>
      </c>
      <c r="BD493" s="1236">
        <v>2</v>
      </c>
      <c r="BE493" s="1238">
        <v>5158223379.3708601</v>
      </c>
      <c r="BF493" s="1239">
        <v>0.10384598180605656</v>
      </c>
      <c r="BG493" s="1236"/>
      <c r="BH493" s="1290" t="s">
        <v>32</v>
      </c>
      <c r="BI493" s="1290" t="s">
        <v>313</v>
      </c>
      <c r="BJ493" s="1290" t="s">
        <v>279</v>
      </c>
      <c r="BK493" s="1290">
        <v>6</v>
      </c>
      <c r="BL493" s="1291">
        <v>581606000</v>
      </c>
      <c r="BM493" s="1239">
        <v>5.5759223114068716E-2</v>
      </c>
      <c r="BN493" s="1236">
        <v>2006</v>
      </c>
      <c r="BO493" s="174"/>
      <c r="BP493" s="174"/>
      <c r="BQ493" s="174"/>
      <c r="BR493" s="174"/>
      <c r="BS493" s="174"/>
      <c r="BT493" s="174"/>
      <c r="BU493" s="174"/>
      <c r="BV493" s="174"/>
      <c r="BW493" s="174"/>
      <c r="BX493" s="174"/>
    </row>
    <row r="494" spans="1:76" s="152" customFormat="1" ht="15" customHeight="1" x14ac:dyDescent="0.25">
      <c r="A494" s="152">
        <f t="shared" si="14"/>
        <v>2011</v>
      </c>
      <c r="B494" s="152" t="str">
        <f t="shared" si="15"/>
        <v>2010-11</v>
      </c>
      <c r="C494" s="173">
        <v>40634</v>
      </c>
      <c r="D494" s="169">
        <v>1.0554277777777779</v>
      </c>
      <c r="E494" s="170">
        <v>360.21457466676947</v>
      </c>
      <c r="F494" s="170">
        <v>341.29722776977474</v>
      </c>
      <c r="G494" s="170"/>
      <c r="H494" s="170"/>
      <c r="I494" s="169">
        <v>1475.3889999999999</v>
      </c>
      <c r="J494" s="169">
        <v>1407.91</v>
      </c>
      <c r="K494" s="169">
        <v>179.32</v>
      </c>
      <c r="L494" s="170">
        <v>169.90267242876769</v>
      </c>
      <c r="M494" s="170">
        <v>26328.89</v>
      </c>
      <c r="N494" s="170">
        <v>24946.178747953698</v>
      </c>
      <c r="O494" s="170">
        <v>9483.25</v>
      </c>
      <c r="P494" s="170">
        <v>8985.2192633845152</v>
      </c>
      <c r="Q494" s="170">
        <v>2741.14</v>
      </c>
      <c r="R494" s="170">
        <v>2597.183869626323</v>
      </c>
      <c r="S494" s="170">
        <v>2372.39</v>
      </c>
      <c r="T494" s="170">
        <v>2247.7994704622138</v>
      </c>
      <c r="U494" s="170">
        <v>1577.5607315166687</v>
      </c>
      <c r="V494" s="170">
        <v>1494.7121581717806</v>
      </c>
      <c r="W494" s="170">
        <v>2940.9411662591474</v>
      </c>
      <c r="X494" s="170">
        <v>2786.4921012893483</v>
      </c>
      <c r="Y494" s="170"/>
      <c r="Z494" s="170"/>
      <c r="AA494" s="170"/>
      <c r="AB494" s="170"/>
      <c r="AC494" s="170">
        <v>42.192</v>
      </c>
      <c r="AD494" s="170">
        <v>40.1</v>
      </c>
      <c r="AE494" s="170">
        <v>37699</v>
      </c>
      <c r="AF494" s="170">
        <v>35719.166004305778</v>
      </c>
      <c r="AG494" s="170">
        <v>1795.211</v>
      </c>
      <c r="AH494" s="170">
        <v>1700.9321128347115</v>
      </c>
      <c r="AI494" s="170">
        <v>771.18399999999997</v>
      </c>
      <c r="AJ494" s="170">
        <v>730.68381962026979</v>
      </c>
      <c r="AK494" s="170">
        <v>118.68</v>
      </c>
      <c r="AL494" s="170">
        <v>112.44729625165151</v>
      </c>
      <c r="AM494" s="170">
        <v>123.76</v>
      </c>
      <c r="AN494" s="170">
        <v>117.26051048284792</v>
      </c>
      <c r="AO494" s="170"/>
      <c r="AP494" s="170"/>
      <c r="AS494" s="167"/>
      <c r="AT494" s="1170"/>
      <c r="AU494" s="1171"/>
      <c r="AV494" s="1171"/>
      <c r="AW494" s="1172"/>
      <c r="AX494" s="1172"/>
      <c r="AY494" s="1172"/>
      <c r="AZ494" s="1172"/>
      <c r="BA494" s="1283" t="s">
        <v>40</v>
      </c>
      <c r="BB494" s="1237">
        <v>2015</v>
      </c>
      <c r="BC494" s="1236" t="s">
        <v>320</v>
      </c>
      <c r="BD494" s="1236">
        <v>3</v>
      </c>
      <c r="BE494" s="1238">
        <v>3282614296.38062</v>
      </c>
      <c r="BF494" s="1239">
        <v>6.608599113050051E-2</v>
      </c>
      <c r="BG494" s="1236"/>
      <c r="BH494" s="1290" t="s">
        <v>32</v>
      </c>
      <c r="BI494" s="1290" t="s">
        <v>313</v>
      </c>
      <c r="BJ494" s="1290" t="s">
        <v>306</v>
      </c>
      <c r="BK494" s="1290">
        <v>7</v>
      </c>
      <c r="BL494" s="1291">
        <v>470820000</v>
      </c>
      <c r="BM494" s="1239">
        <v>4.5138044357461639E-2</v>
      </c>
      <c r="BN494" s="1236">
        <v>2006</v>
      </c>
      <c r="BO494" s="174"/>
      <c r="BP494" s="174"/>
      <c r="BQ494" s="174"/>
      <c r="BR494" s="174"/>
      <c r="BS494" s="174"/>
      <c r="BT494" s="174"/>
      <c r="BU494" s="174"/>
      <c r="BV494" s="174"/>
      <c r="BW494" s="174"/>
      <c r="BX494" s="174"/>
    </row>
    <row r="495" spans="1:76" s="152" customFormat="1" ht="15" customHeight="1" x14ac:dyDescent="0.25">
      <c r="A495" s="152">
        <f t="shared" si="14"/>
        <v>2011</v>
      </c>
      <c r="B495" s="152" t="str">
        <f t="shared" si="15"/>
        <v>2010-11</v>
      </c>
      <c r="C495" s="173">
        <v>40664</v>
      </c>
      <c r="D495" s="154">
        <v>1.0688409090909092</v>
      </c>
      <c r="E495" s="155">
        <v>373.74598853359618</v>
      </c>
      <c r="F495" s="155">
        <v>349.6741052431102</v>
      </c>
      <c r="G495" s="155"/>
      <c r="H495" s="155"/>
      <c r="I495" s="156">
        <v>1510.425</v>
      </c>
      <c r="J495" s="156">
        <v>1425.24</v>
      </c>
      <c r="K495" s="157">
        <v>176.3</v>
      </c>
      <c r="L495" s="158">
        <v>164.94503391524378</v>
      </c>
      <c r="M495" s="159">
        <v>24210</v>
      </c>
      <c r="N495" s="159">
        <v>22650.704884220373</v>
      </c>
      <c r="O495" s="175">
        <v>8927.0499999999993</v>
      </c>
      <c r="P495" s="175">
        <v>8352.0848837951035</v>
      </c>
      <c r="Q495" s="175">
        <v>2420.38</v>
      </c>
      <c r="R495" s="175">
        <v>2264.4904208041844</v>
      </c>
      <c r="S495" s="175">
        <v>2160.4299999999998</v>
      </c>
      <c r="T495" s="175">
        <v>2021.2830381254116</v>
      </c>
      <c r="U495" s="161">
        <v>1695.3939238267033</v>
      </c>
      <c r="V495" s="161">
        <v>1586.1985721230503</v>
      </c>
      <c r="W495" s="161">
        <v>3043.2427314890883</v>
      </c>
      <c r="X495" s="161">
        <v>2847.2363900044625</v>
      </c>
      <c r="Y495" s="162"/>
      <c r="Z495" s="162"/>
      <c r="AA495" s="162"/>
      <c r="AB495" s="162"/>
      <c r="AC495" s="163">
        <v>36.75</v>
      </c>
      <c r="AD495" s="163">
        <v>35.11</v>
      </c>
      <c r="AE495" s="163">
        <v>40165</v>
      </c>
      <c r="AF495" s="163">
        <v>37578.090114610131</v>
      </c>
      <c r="AG495" s="163">
        <v>1784.15</v>
      </c>
      <c r="AH495" s="163">
        <v>1669.2381296646749</v>
      </c>
      <c r="AI495" s="163">
        <v>738.2</v>
      </c>
      <c r="AJ495" s="163">
        <v>690.65470241765718</v>
      </c>
      <c r="AK495" s="164">
        <v>114.46</v>
      </c>
      <c r="AL495" s="164">
        <v>107.08796699908565</v>
      </c>
      <c r="AM495" s="164">
        <v>121.88</v>
      </c>
      <c r="AN495" s="164">
        <v>114.03006655467901</v>
      </c>
      <c r="AO495" s="164"/>
      <c r="AP495" s="164"/>
      <c r="AS495" s="167"/>
      <c r="AT495" s="1170"/>
      <c r="AU495" s="1171"/>
      <c r="AV495" s="1171"/>
      <c r="AW495" s="1172"/>
      <c r="AX495" s="1172"/>
      <c r="AY495" s="1172"/>
      <c r="AZ495" s="1172"/>
      <c r="BA495" s="1283" t="s">
        <v>40</v>
      </c>
      <c r="BB495" s="1237">
        <v>2015</v>
      </c>
      <c r="BC495" s="1236" t="s">
        <v>315</v>
      </c>
      <c r="BD495" s="1236">
        <v>4</v>
      </c>
      <c r="BE495" s="1238">
        <v>1047259557.9833177</v>
      </c>
      <c r="BF495" s="1239">
        <v>2.1083557071120668E-2</v>
      </c>
      <c r="BG495" s="1236"/>
      <c r="BH495" s="1290" t="s">
        <v>32</v>
      </c>
      <c r="BI495" s="1290" t="s">
        <v>313</v>
      </c>
      <c r="BJ495" s="1290" t="s">
        <v>308</v>
      </c>
      <c r="BK495" s="1290">
        <v>8</v>
      </c>
      <c r="BL495" s="1291">
        <v>268742000</v>
      </c>
      <c r="BM495" s="1239">
        <v>2.576459860820049E-2</v>
      </c>
      <c r="BN495" s="1236">
        <v>2006</v>
      </c>
      <c r="BO495" s="174"/>
      <c r="BP495" s="174"/>
      <c r="BQ495" s="174"/>
      <c r="BR495" s="174"/>
      <c r="BS495" s="174"/>
      <c r="BT495" s="174"/>
      <c r="BU495" s="174"/>
      <c r="BV495" s="174"/>
      <c r="BW495" s="174"/>
      <c r="BX495" s="174"/>
    </row>
    <row r="496" spans="1:76" s="152" customFormat="1" ht="15" customHeight="1" x14ac:dyDescent="0.25">
      <c r="A496" s="152">
        <f t="shared" si="14"/>
        <v>2011</v>
      </c>
      <c r="B496" s="152" t="str">
        <f t="shared" si="15"/>
        <v>2010-11</v>
      </c>
      <c r="C496" s="173">
        <v>40695</v>
      </c>
      <c r="D496" s="169">
        <v>1.0602857142857143</v>
      </c>
      <c r="E496" s="170">
        <v>369.99001778557954</v>
      </c>
      <c r="F496" s="170">
        <v>348.95312914296102</v>
      </c>
      <c r="G496" s="170"/>
      <c r="H496" s="170"/>
      <c r="I496" s="169">
        <v>1528.636</v>
      </c>
      <c r="J496" s="169">
        <v>1451.04</v>
      </c>
      <c r="K496" s="169">
        <v>171.4</v>
      </c>
      <c r="L496" s="170">
        <v>161.65454055510645</v>
      </c>
      <c r="M496" s="170">
        <v>22354.09</v>
      </c>
      <c r="N496" s="170">
        <v>21083.081379682026</v>
      </c>
      <c r="O496" s="170">
        <v>9045.43</v>
      </c>
      <c r="P496" s="170">
        <v>8531.1250336836438</v>
      </c>
      <c r="Q496" s="170">
        <v>2512.1999999999998</v>
      </c>
      <c r="R496" s="170">
        <v>2369.3613581244945</v>
      </c>
      <c r="S496" s="170">
        <v>2230.48</v>
      </c>
      <c r="T496" s="170">
        <v>2103.6593909997305</v>
      </c>
      <c r="U496" s="170">
        <v>1735.0490228394281</v>
      </c>
      <c r="V496" s="170">
        <v>1636.3976232654265</v>
      </c>
      <c r="W496" s="170">
        <v>3089.1544030028049</v>
      </c>
      <c r="X496" s="170">
        <v>2913.5112935892798</v>
      </c>
      <c r="Y496" s="170"/>
      <c r="Z496" s="170"/>
      <c r="AA496" s="170"/>
      <c r="AB496" s="170"/>
      <c r="AC496" s="170">
        <v>35.795000000000002</v>
      </c>
      <c r="AD496" s="170">
        <v>34.229999999999997</v>
      </c>
      <c r="AE496" s="170">
        <v>37891.9</v>
      </c>
      <c r="AF496" s="170">
        <v>35737.442737806523</v>
      </c>
      <c r="AG496" s="170">
        <v>1768.5</v>
      </c>
      <c r="AH496" s="170">
        <v>1667.946645109135</v>
      </c>
      <c r="AI496" s="170">
        <v>770.25</v>
      </c>
      <c r="AJ496" s="170">
        <v>726.45513338722719</v>
      </c>
      <c r="AK496" s="170">
        <v>113.76</v>
      </c>
      <c r="AL496" s="170">
        <v>107.29183508488279</v>
      </c>
      <c r="AM496" s="170">
        <v>122.29</v>
      </c>
      <c r="AN496" s="170">
        <v>115.33683643222852</v>
      </c>
      <c r="AO496" s="170"/>
      <c r="AP496" s="170"/>
      <c r="AQ496" s="176"/>
      <c r="AR496" s="176"/>
      <c r="AS496" s="167"/>
      <c r="AT496" s="1170"/>
      <c r="AU496" s="1171"/>
      <c r="AV496" s="1171"/>
      <c r="AW496" s="1172"/>
      <c r="AX496" s="1172"/>
      <c r="AY496" s="1172"/>
      <c r="AZ496" s="1172"/>
      <c r="BA496" s="1283" t="s">
        <v>40</v>
      </c>
      <c r="BB496" s="1237">
        <v>2015</v>
      </c>
      <c r="BC496" s="1236" t="s">
        <v>289</v>
      </c>
      <c r="BD496" s="1236">
        <v>5</v>
      </c>
      <c r="BE496" s="1238">
        <v>178866754.39375445</v>
      </c>
      <c r="BF496" s="1239">
        <v>3.6009673014098359E-3</v>
      </c>
      <c r="BG496" s="1236"/>
      <c r="BH496" s="1290" t="s">
        <v>32</v>
      </c>
      <c r="BI496" s="1290" t="s">
        <v>313</v>
      </c>
      <c r="BJ496" s="1290" t="s">
        <v>320</v>
      </c>
      <c r="BK496" s="1290">
        <v>9</v>
      </c>
      <c r="BL496" s="1291">
        <v>160438000</v>
      </c>
      <c r="BM496" s="1239">
        <v>1.5381371990617284E-2</v>
      </c>
      <c r="BN496" s="1236">
        <v>2006</v>
      </c>
      <c r="BO496" s="174"/>
      <c r="BP496" s="174"/>
      <c r="BQ496" s="174"/>
      <c r="BR496" s="174"/>
      <c r="BS496" s="174"/>
      <c r="BT496" s="174"/>
      <c r="BU496" s="174"/>
      <c r="BV496" s="174"/>
      <c r="BW496" s="174"/>
      <c r="BX496" s="174"/>
    </row>
    <row r="497" spans="1:76" s="152" customFormat="1" ht="15" customHeight="1" x14ac:dyDescent="0.25">
      <c r="A497" s="152">
        <f t="shared" si="14"/>
        <v>2011</v>
      </c>
      <c r="B497" s="152" t="str">
        <f t="shared" si="15"/>
        <v>2011-12</v>
      </c>
      <c r="C497" s="173">
        <v>40725</v>
      </c>
      <c r="D497" s="154">
        <v>1.076557142857143</v>
      </c>
      <c r="E497" s="155">
        <v>365.93252726397685</v>
      </c>
      <c r="F497" s="155">
        <v>339.90998962935254</v>
      </c>
      <c r="G497" s="155"/>
      <c r="H497" s="155"/>
      <c r="I497" s="156">
        <v>1572.8050000000001</v>
      </c>
      <c r="J497" s="156">
        <v>1466.18</v>
      </c>
      <c r="K497" s="157">
        <v>172.82</v>
      </c>
      <c r="L497" s="158">
        <v>160.53026181345291</v>
      </c>
      <c r="M497" s="159">
        <v>23731.19</v>
      </c>
      <c r="N497" s="159">
        <v>22043.595323717138</v>
      </c>
      <c r="O497" s="175">
        <v>9619.24</v>
      </c>
      <c r="P497" s="175">
        <v>8935.1875688371656</v>
      </c>
      <c r="Q497" s="175">
        <v>2682.6</v>
      </c>
      <c r="R497" s="175">
        <v>2491.8324287742666</v>
      </c>
      <c r="S497" s="175">
        <v>2390.5500000000002</v>
      </c>
      <c r="T497" s="175">
        <v>2220.550962725089</v>
      </c>
      <c r="U497" s="161">
        <v>2165.2893199483542</v>
      </c>
      <c r="V497" s="161">
        <v>2011.3092317624273</v>
      </c>
      <c r="W497" s="161">
        <v>3328.2824351277472</v>
      </c>
      <c r="X497" s="161">
        <v>3091.5984880232259</v>
      </c>
      <c r="Y497" s="162"/>
      <c r="Z497" s="162"/>
      <c r="AA497" s="162"/>
      <c r="AB497" s="162"/>
      <c r="AC497" s="163">
        <v>37.917000000000002</v>
      </c>
      <c r="AD497" s="163">
        <v>35.58</v>
      </c>
      <c r="AE497" s="163">
        <v>35218.800000000003</v>
      </c>
      <c r="AF497" s="163">
        <v>32714.287609973591</v>
      </c>
      <c r="AG497" s="163">
        <v>1759.7619999999999</v>
      </c>
      <c r="AH497" s="163">
        <v>1634.6201515412888</v>
      </c>
      <c r="AI497" s="163">
        <v>788.73800000000006</v>
      </c>
      <c r="AJ497" s="163">
        <v>732.64852240608286</v>
      </c>
      <c r="AK497" s="164">
        <v>116.46</v>
      </c>
      <c r="AL497" s="164">
        <v>108.17818707785399</v>
      </c>
      <c r="AM497" s="164">
        <v>124.24</v>
      </c>
      <c r="AN497" s="164">
        <v>115.40492840934724</v>
      </c>
      <c r="AO497" s="164"/>
      <c r="AP497" s="164"/>
      <c r="AS497" s="167"/>
      <c r="AT497" s="1170"/>
      <c r="AU497" s="1171"/>
      <c r="AV497" s="1171"/>
      <c r="AW497" s="1172"/>
      <c r="AX497" s="1172"/>
      <c r="AY497" s="1172"/>
      <c r="AZ497" s="1172"/>
      <c r="BA497" s="1283" t="s">
        <v>40</v>
      </c>
      <c r="BB497" s="1237">
        <v>2015</v>
      </c>
      <c r="BC497" s="1236" t="s">
        <v>291</v>
      </c>
      <c r="BD497" s="1236"/>
      <c r="BE497" s="1238">
        <v>110054007.93555841</v>
      </c>
      <c r="BF497" s="1239">
        <v>2.2156207021715949E-3</v>
      </c>
      <c r="BG497" s="1236"/>
      <c r="BH497" s="1290" t="s">
        <v>32</v>
      </c>
      <c r="BI497" s="1290" t="s">
        <v>313</v>
      </c>
      <c r="BJ497" s="1290" t="s">
        <v>329</v>
      </c>
      <c r="BK497" s="1290">
        <v>10</v>
      </c>
      <c r="BL497" s="1291">
        <v>58294000</v>
      </c>
      <c r="BM497" s="1239">
        <v>5.5887115198459464E-3</v>
      </c>
      <c r="BN497" s="1236">
        <v>2006</v>
      </c>
      <c r="BO497" s="174"/>
      <c r="BP497" s="174"/>
      <c r="BQ497" s="174"/>
      <c r="BR497" s="174"/>
      <c r="BS497" s="174"/>
      <c r="BT497" s="174"/>
      <c r="BU497" s="174"/>
      <c r="BV497" s="174"/>
      <c r="BW497" s="174"/>
      <c r="BX497" s="174"/>
    </row>
    <row r="498" spans="1:76" s="152" customFormat="1" ht="15" customHeight="1" x14ac:dyDescent="0.25">
      <c r="A498" s="152">
        <f t="shared" si="14"/>
        <v>2011</v>
      </c>
      <c r="B498" s="152" t="str">
        <f t="shared" si="15"/>
        <v>2011-12</v>
      </c>
      <c r="C498" s="173">
        <v>40756</v>
      </c>
      <c r="D498" s="169">
        <v>1.0484954545454543</v>
      </c>
      <c r="E498" s="170">
        <v>365.18779650673878</v>
      </c>
      <c r="F498" s="170">
        <v>348.29697632314071</v>
      </c>
      <c r="G498" s="170"/>
      <c r="H498" s="170"/>
      <c r="I498" s="169">
        <v>1755.8050000000001</v>
      </c>
      <c r="J498" s="169">
        <v>1691.22</v>
      </c>
      <c r="K498" s="169">
        <v>177.42500000000001</v>
      </c>
      <c r="L498" s="170">
        <v>169.21866397305234</v>
      </c>
      <c r="M498" s="170">
        <v>22083.86</v>
      </c>
      <c r="N498" s="170">
        <v>21062.427981219847</v>
      </c>
      <c r="O498" s="170">
        <v>9041.2999999999993</v>
      </c>
      <c r="P498" s="170">
        <v>8623.1179742401455</v>
      </c>
      <c r="Q498" s="170">
        <v>2404.6999999999998</v>
      </c>
      <c r="R498" s="170">
        <v>2293.4768000901727</v>
      </c>
      <c r="S498" s="170">
        <v>2211.8200000000002</v>
      </c>
      <c r="T498" s="170">
        <v>2109.5179673037997</v>
      </c>
      <c r="U498" s="170">
        <v>2322.7126203697708</v>
      </c>
      <c r="V498" s="170">
        <v>2215.2815353660426</v>
      </c>
      <c r="W498" s="170">
        <v>3384.1111007798872</v>
      </c>
      <c r="X498" s="170">
        <v>3227.5877650294374</v>
      </c>
      <c r="Y498" s="170"/>
      <c r="Z498" s="170"/>
      <c r="AA498" s="170"/>
      <c r="AB498" s="170"/>
      <c r="AC498" s="170">
        <v>40.298000000000002</v>
      </c>
      <c r="AD498" s="170">
        <v>39.020000000000003</v>
      </c>
      <c r="AE498" s="170">
        <v>36169.599999999999</v>
      </c>
      <c r="AF498" s="170">
        <v>34496.668386302459</v>
      </c>
      <c r="AG498" s="170">
        <v>1804.364</v>
      </c>
      <c r="AH498" s="170">
        <v>1720.9077942853182</v>
      </c>
      <c r="AI498" s="170">
        <v>763.97699999999998</v>
      </c>
      <c r="AJ498" s="170">
        <v>728.64121316691899</v>
      </c>
      <c r="AK498" s="170">
        <v>110.08</v>
      </c>
      <c r="AL498" s="170">
        <v>104.98853335298634</v>
      </c>
      <c r="AM498" s="170">
        <v>118.63</v>
      </c>
      <c r="AN498" s="170">
        <v>113.14307514230349</v>
      </c>
      <c r="AO498" s="170"/>
      <c r="AP498" s="170"/>
      <c r="AS498" s="167"/>
      <c r="AT498" s="1170"/>
      <c r="AU498" s="1171"/>
      <c r="AV498" s="1171"/>
      <c r="AW498" s="1172"/>
      <c r="AX498" s="1172"/>
      <c r="AY498" s="1172"/>
      <c r="AZ498" s="1172"/>
      <c r="BA498" s="1283" t="s">
        <v>40</v>
      </c>
      <c r="BB498" s="1237">
        <v>2015</v>
      </c>
      <c r="BC498" s="1236" t="s">
        <v>292</v>
      </c>
      <c r="BD498" s="1236"/>
      <c r="BE498" s="1238">
        <v>49671862980.739998</v>
      </c>
      <c r="BF498" s="1239"/>
      <c r="BG498" s="1236"/>
      <c r="BH498" s="1290" t="s">
        <v>32</v>
      </c>
      <c r="BI498" s="1290" t="s">
        <v>313</v>
      </c>
      <c r="BJ498" s="1290" t="s">
        <v>291</v>
      </c>
      <c r="BK498" s="1290"/>
      <c r="BL498" s="1291">
        <v>59349000</v>
      </c>
      <c r="BM498" s="1239">
        <v>5.6898555596002522E-3</v>
      </c>
      <c r="BN498" s="1236">
        <v>2006</v>
      </c>
      <c r="BO498" s="174"/>
      <c r="BP498" s="174"/>
      <c r="BQ498" s="174"/>
      <c r="BR498" s="174"/>
      <c r="BS498" s="174"/>
      <c r="BT498" s="174"/>
      <c r="BU498" s="174"/>
      <c r="BV498" s="174"/>
      <c r="BW498" s="174"/>
      <c r="BX498" s="174"/>
    </row>
    <row r="499" spans="1:76" s="152" customFormat="1" ht="15" customHeight="1" x14ac:dyDescent="0.25">
      <c r="A499" s="152">
        <f t="shared" si="14"/>
        <v>2011</v>
      </c>
      <c r="B499" s="152" t="str">
        <f t="shared" si="15"/>
        <v>2011-12</v>
      </c>
      <c r="C499" s="173">
        <v>40787</v>
      </c>
      <c r="D499" s="154">
        <v>1.0238499999999997</v>
      </c>
      <c r="E499" s="155">
        <v>343.95975179704118</v>
      </c>
      <c r="F499" s="155">
        <v>335.94740616012234</v>
      </c>
      <c r="G499" s="155"/>
      <c r="H499" s="155"/>
      <c r="I499" s="156">
        <v>1771.85</v>
      </c>
      <c r="J499" s="156">
        <v>1759.97</v>
      </c>
      <c r="K499" s="157">
        <v>176.72</v>
      </c>
      <c r="L499" s="158">
        <v>172.6034087024467</v>
      </c>
      <c r="M499" s="159">
        <v>20392.05</v>
      </c>
      <c r="N499" s="159">
        <v>19917.028861649662</v>
      </c>
      <c r="O499" s="175">
        <v>8314.84</v>
      </c>
      <c r="P499" s="175">
        <v>8121.1505591639425</v>
      </c>
      <c r="Q499" s="175">
        <v>2298.8000000000002</v>
      </c>
      <c r="R499" s="175">
        <v>2245.2507691556389</v>
      </c>
      <c r="S499" s="175">
        <v>2076.77</v>
      </c>
      <c r="T499" s="175">
        <v>2028.3928309811013</v>
      </c>
      <c r="U499" s="161">
        <v>2380.4143069587622</v>
      </c>
      <c r="V499" s="161">
        <v>2324.963917525773</v>
      </c>
      <c r="W499" s="161">
        <v>3396.7098806443755</v>
      </c>
      <c r="X499" s="161">
        <v>3317.5854672504533</v>
      </c>
      <c r="Y499" s="162"/>
      <c r="Z499" s="162"/>
      <c r="AA499" s="162"/>
      <c r="AB499" s="162"/>
      <c r="AC499" s="163">
        <v>38.155000000000001</v>
      </c>
      <c r="AD499" s="163">
        <v>37.94</v>
      </c>
      <c r="AE499" s="163">
        <v>36872.25</v>
      </c>
      <c r="AF499" s="163">
        <v>36013.332031059246</v>
      </c>
      <c r="AG499" s="163">
        <v>1748.114</v>
      </c>
      <c r="AH499" s="163">
        <v>1707.3926844752655</v>
      </c>
      <c r="AI499" s="163">
        <v>708.95500000000004</v>
      </c>
      <c r="AJ499" s="163">
        <v>692.44029887190527</v>
      </c>
      <c r="AK499" s="164">
        <v>110.88</v>
      </c>
      <c r="AL499" s="164">
        <v>108.29711383503445</v>
      </c>
      <c r="AM499" s="164">
        <v>120.04</v>
      </c>
      <c r="AN499" s="164">
        <v>117.24373687551892</v>
      </c>
      <c r="AO499" s="164"/>
      <c r="AP499" s="164"/>
      <c r="AS499" s="167"/>
      <c r="AT499" s="1170"/>
      <c r="AU499" s="1171"/>
      <c r="AV499" s="1171"/>
      <c r="AW499" s="1172"/>
      <c r="AX499" s="1172"/>
      <c r="AY499" s="1172"/>
      <c r="AZ499" s="1172"/>
      <c r="BA499" s="1283" t="s">
        <v>40</v>
      </c>
      <c r="BB499" s="1237">
        <v>2011</v>
      </c>
      <c r="BC499" s="1236" t="s">
        <v>281</v>
      </c>
      <c r="BD499" s="1236">
        <v>1</v>
      </c>
      <c r="BE499" s="1238">
        <v>42894037039.711349</v>
      </c>
      <c r="BF499" s="1239">
        <v>0.68036534002252369</v>
      </c>
      <c r="BG499" s="1236"/>
      <c r="BH499" s="1290" t="s">
        <v>32</v>
      </c>
      <c r="BI499" s="1290" t="s">
        <v>313</v>
      </c>
      <c r="BJ499" s="1290" t="s">
        <v>292</v>
      </c>
      <c r="BK499" s="1290"/>
      <c r="BL499" s="1291">
        <v>10430669000</v>
      </c>
      <c r="BM499" s="1239">
        <v>1</v>
      </c>
      <c r="BN499" s="1236">
        <v>2006</v>
      </c>
      <c r="BO499" s="174"/>
      <c r="BP499" s="174"/>
      <c r="BQ499" s="174"/>
      <c r="BR499" s="174"/>
      <c r="BS499" s="174"/>
      <c r="BT499" s="174"/>
      <c r="BU499" s="174"/>
      <c r="BV499" s="174"/>
      <c r="BW499" s="174"/>
      <c r="BX499" s="174"/>
    </row>
    <row r="500" spans="1:76" s="152" customFormat="1" ht="15" customHeight="1" x14ac:dyDescent="0.25">
      <c r="A500" s="152">
        <f t="shared" si="14"/>
        <v>2011</v>
      </c>
      <c r="B500" s="152" t="str">
        <f t="shared" si="15"/>
        <v>2011-12</v>
      </c>
      <c r="C500" s="173">
        <v>40817</v>
      </c>
      <c r="D500" s="169">
        <v>1.0135150000000002</v>
      </c>
      <c r="E500" s="170">
        <v>337.81692011805461</v>
      </c>
      <c r="F500" s="170">
        <v>333.31220565857888</v>
      </c>
      <c r="G500" s="170"/>
      <c r="H500" s="170"/>
      <c r="I500" s="169">
        <v>1665.19</v>
      </c>
      <c r="J500" s="169">
        <v>1686.47</v>
      </c>
      <c r="K500" s="169">
        <v>146.75</v>
      </c>
      <c r="L500" s="170">
        <v>144.79312097008923</v>
      </c>
      <c r="M500" s="170">
        <v>18886.43</v>
      </c>
      <c r="N500" s="170">
        <v>18634.583602610714</v>
      </c>
      <c r="O500" s="170">
        <v>7347.5</v>
      </c>
      <c r="P500" s="170">
        <v>7249.5227007000376</v>
      </c>
      <c r="Q500" s="170">
        <v>1948.6</v>
      </c>
      <c r="R500" s="170">
        <v>1922.615846830091</v>
      </c>
      <c r="S500" s="170">
        <v>1859.17</v>
      </c>
      <c r="T500" s="170">
        <v>1834.378376245048</v>
      </c>
      <c r="U500" s="170">
        <v>2440.6945790422942</v>
      </c>
      <c r="V500" s="170">
        <v>2408.1484527039993</v>
      </c>
      <c r="W500" s="170">
        <v>2989.5613516810208</v>
      </c>
      <c r="X500" s="170">
        <v>2949.6962074375024</v>
      </c>
      <c r="Y500" s="170"/>
      <c r="Z500" s="170"/>
      <c r="AA500" s="170"/>
      <c r="AB500" s="170"/>
      <c r="AC500" s="170">
        <v>31.975000000000001</v>
      </c>
      <c r="AD500" s="170">
        <v>32.24</v>
      </c>
      <c r="AE500" s="170">
        <v>32835</v>
      </c>
      <c r="AF500" s="170">
        <v>32397.152484176353</v>
      </c>
      <c r="AG500" s="170">
        <v>1535.19</v>
      </c>
      <c r="AH500" s="170">
        <v>1514.7185784127514</v>
      </c>
      <c r="AI500" s="170">
        <v>616.452</v>
      </c>
      <c r="AJ500" s="170">
        <v>608.23174792676957</v>
      </c>
      <c r="AK500" s="170">
        <v>109.44</v>
      </c>
      <c r="AL500" s="170">
        <v>107.98064162839226</v>
      </c>
      <c r="AM500" s="170">
        <v>118.58</v>
      </c>
      <c r="AN500" s="170">
        <v>116.99876173514943</v>
      </c>
      <c r="AO500" s="170"/>
      <c r="AP500" s="170"/>
      <c r="AS500" s="167"/>
      <c r="AT500" s="1170"/>
      <c r="AU500" s="1171"/>
      <c r="AV500" s="1171"/>
      <c r="AW500" s="1172"/>
      <c r="AX500" s="1172"/>
      <c r="AY500" s="1172"/>
      <c r="AZ500" s="1172"/>
      <c r="BA500" s="1283" t="s">
        <v>40</v>
      </c>
      <c r="BB500" s="1237">
        <v>2011</v>
      </c>
      <c r="BC500" s="1236" t="s">
        <v>308</v>
      </c>
      <c r="BD500" s="1236">
        <v>2</v>
      </c>
      <c r="BE500" s="1238">
        <v>11280956876.016518</v>
      </c>
      <c r="BF500" s="1239">
        <v>0.17893331079153779</v>
      </c>
      <c r="BG500" s="1236"/>
      <c r="BH500" s="1292" t="s">
        <v>32</v>
      </c>
      <c r="BI500" s="1292" t="s">
        <v>307</v>
      </c>
      <c r="BJ500" s="1292" t="s">
        <v>314</v>
      </c>
      <c r="BK500" s="1292">
        <v>1</v>
      </c>
      <c r="BL500" s="1293">
        <v>4114066000</v>
      </c>
      <c r="BM500" s="1239">
        <v>0.34233391933014795</v>
      </c>
      <c r="BN500" s="1236">
        <v>2007</v>
      </c>
      <c r="BO500" s="174"/>
      <c r="BP500" s="174"/>
      <c r="BQ500" s="174"/>
      <c r="BR500" s="174"/>
      <c r="BS500" s="174"/>
      <c r="BT500" s="174"/>
      <c r="BU500" s="174"/>
      <c r="BV500" s="174"/>
      <c r="BW500" s="174"/>
      <c r="BX500" s="174"/>
    </row>
    <row r="501" spans="1:76" s="152" customFormat="1" ht="15" customHeight="1" x14ac:dyDescent="0.25">
      <c r="A501" s="152">
        <f t="shared" si="14"/>
        <v>2011</v>
      </c>
      <c r="B501" s="152" t="str">
        <f t="shared" si="15"/>
        <v>2011-12</v>
      </c>
      <c r="C501" s="173">
        <v>40848</v>
      </c>
      <c r="D501" s="154">
        <v>1.010240909090909</v>
      </c>
      <c r="E501" s="155">
        <v>328.62789900425616</v>
      </c>
      <c r="F501" s="155">
        <v>325.2965664397617</v>
      </c>
      <c r="G501" s="155"/>
      <c r="H501" s="155"/>
      <c r="I501" s="156">
        <v>1739.2729999999999</v>
      </c>
      <c r="J501" s="156">
        <v>1728.91</v>
      </c>
      <c r="K501" s="157">
        <v>137.1</v>
      </c>
      <c r="L501" s="158">
        <v>135.71020413672707</v>
      </c>
      <c r="M501" s="159">
        <v>17882.05</v>
      </c>
      <c r="N501" s="159">
        <v>17700.777942254997</v>
      </c>
      <c r="O501" s="175">
        <v>7551.77</v>
      </c>
      <c r="P501" s="175">
        <v>7475.2169824479315</v>
      </c>
      <c r="Q501" s="175">
        <v>1982.05</v>
      </c>
      <c r="R501" s="175">
        <v>1961.9577688490144</v>
      </c>
      <c r="S501" s="175">
        <v>1916.11</v>
      </c>
      <c r="T501" s="175">
        <v>1896.686208960059</v>
      </c>
      <c r="U501" s="161">
        <v>2568.6005931130521</v>
      </c>
      <c r="V501" s="161">
        <v>2542.5624422836654</v>
      </c>
      <c r="W501" s="161">
        <v>3312.4109334673799</v>
      </c>
      <c r="X501" s="161">
        <v>3278.8327058029527</v>
      </c>
      <c r="Y501" s="162"/>
      <c r="Z501" s="162"/>
      <c r="AA501" s="162"/>
      <c r="AB501" s="162"/>
      <c r="AC501" s="163">
        <v>33.082000000000001</v>
      </c>
      <c r="AD501" s="163">
        <v>33.29</v>
      </c>
      <c r="AE501" s="163">
        <v>31415.85</v>
      </c>
      <c r="AF501" s="163">
        <v>31097.384512245055</v>
      </c>
      <c r="AG501" s="163">
        <v>1599.548</v>
      </c>
      <c r="AH501" s="163">
        <v>1583.333228347874</v>
      </c>
      <c r="AI501" s="163">
        <v>630.38099999999997</v>
      </c>
      <c r="AJ501" s="163">
        <v>623.99076727873194</v>
      </c>
      <c r="AK501" s="164">
        <v>110.5</v>
      </c>
      <c r="AL501" s="164">
        <v>109.37985089065165</v>
      </c>
      <c r="AM501" s="164">
        <v>120.47</v>
      </c>
      <c r="AN501" s="164">
        <v>119.24878404341</v>
      </c>
      <c r="AO501" s="164"/>
      <c r="AP501" s="164"/>
      <c r="AS501" s="167"/>
      <c r="AT501" s="1170"/>
      <c r="AU501" s="1171"/>
      <c r="AV501" s="1171"/>
      <c r="AW501" s="1172"/>
      <c r="AX501" s="1172"/>
      <c r="AY501" s="1172"/>
      <c r="AZ501" s="1172"/>
      <c r="BA501" s="1283" t="s">
        <v>40</v>
      </c>
      <c r="BB501" s="1237">
        <v>2011</v>
      </c>
      <c r="BC501" s="1236" t="s">
        <v>320</v>
      </c>
      <c r="BD501" s="1236">
        <v>3</v>
      </c>
      <c r="BE501" s="1238">
        <v>6835474848.9729204</v>
      </c>
      <c r="BF501" s="1239">
        <v>0.10842113474959983</v>
      </c>
      <c r="BG501" s="1236"/>
      <c r="BH501" s="1292" t="s">
        <v>32</v>
      </c>
      <c r="BI501" s="1292" t="s">
        <v>307</v>
      </c>
      <c r="BJ501" s="1292" t="s">
        <v>287</v>
      </c>
      <c r="BK501" s="1292">
        <v>2</v>
      </c>
      <c r="BL501" s="1293">
        <v>4021766000</v>
      </c>
      <c r="BM501" s="1239">
        <v>0.33465358052319333</v>
      </c>
      <c r="BN501" s="1236">
        <v>2007</v>
      </c>
      <c r="BO501" s="174"/>
      <c r="BP501" s="174"/>
      <c r="BQ501" s="174"/>
      <c r="BR501" s="174"/>
      <c r="BS501" s="174"/>
      <c r="BT501" s="174"/>
      <c r="BU501" s="174"/>
      <c r="BV501" s="174"/>
      <c r="BW501" s="174"/>
      <c r="BX501" s="174"/>
    </row>
    <row r="502" spans="1:76" s="152" customFormat="1" ht="15" customHeight="1" x14ac:dyDescent="0.25">
      <c r="A502" s="152">
        <f t="shared" si="14"/>
        <v>2011</v>
      </c>
      <c r="B502" s="152" t="str">
        <f t="shared" si="15"/>
        <v>2011-12</v>
      </c>
      <c r="C502" s="173">
        <v>40878</v>
      </c>
      <c r="D502" s="169">
        <v>1.0117049999999999</v>
      </c>
      <c r="E502" s="170">
        <v>311.62099938111299</v>
      </c>
      <c r="F502" s="170">
        <v>308.0156758947648</v>
      </c>
      <c r="G502" s="170"/>
      <c r="H502" s="170"/>
      <c r="I502" s="169">
        <v>1648.211</v>
      </c>
      <c r="J502" s="169">
        <v>1640.46</v>
      </c>
      <c r="K502" s="169">
        <v>136.91999999999999</v>
      </c>
      <c r="L502" s="170">
        <v>135.33589336812608</v>
      </c>
      <c r="M502" s="170">
        <v>18153.5</v>
      </c>
      <c r="N502" s="170">
        <v>17943.471664170884</v>
      </c>
      <c r="O502" s="170">
        <v>7567.55</v>
      </c>
      <c r="P502" s="170">
        <v>7479.9966393365667</v>
      </c>
      <c r="Q502" s="170">
        <v>2018.98</v>
      </c>
      <c r="R502" s="170">
        <v>1995.6212532309323</v>
      </c>
      <c r="S502" s="170">
        <v>1916.38</v>
      </c>
      <c r="T502" s="170">
        <v>1894.2082919428099</v>
      </c>
      <c r="U502" s="170">
        <v>2547.83782187</v>
      </c>
      <c r="V502" s="170">
        <v>2518.360413233107</v>
      </c>
      <c r="W502" s="170">
        <v>3274.2211459016744</v>
      </c>
      <c r="X502" s="170">
        <v>3236.3397886752314</v>
      </c>
      <c r="Y502" s="170"/>
      <c r="Z502" s="170"/>
      <c r="AA502" s="170"/>
      <c r="AB502" s="170"/>
      <c r="AC502" s="170">
        <v>30.411999999999999</v>
      </c>
      <c r="AD502" s="170">
        <v>30.47</v>
      </c>
      <c r="AE502" s="170">
        <v>31360.75</v>
      </c>
      <c r="AF502" s="170">
        <v>30997.919353961879</v>
      </c>
      <c r="AG502" s="170">
        <v>1467</v>
      </c>
      <c r="AH502" s="170">
        <v>1450.0274289442082</v>
      </c>
      <c r="AI502" s="170">
        <v>643.08299999999997</v>
      </c>
      <c r="AJ502" s="170">
        <v>635.64280101412965</v>
      </c>
      <c r="AK502" s="170">
        <v>107.91</v>
      </c>
      <c r="AL502" s="170">
        <v>106.66152682847274</v>
      </c>
      <c r="AM502" s="170">
        <v>117.54</v>
      </c>
      <c r="AN502" s="170">
        <v>116.18011179148074</v>
      </c>
      <c r="AO502" s="170"/>
      <c r="AP502" s="170"/>
      <c r="AS502" s="167"/>
      <c r="AT502" s="1170"/>
      <c r="AU502" s="1171"/>
      <c r="AV502" s="1171"/>
      <c r="AW502" s="1172"/>
      <c r="AX502" s="1172"/>
      <c r="AY502" s="1172"/>
      <c r="AZ502" s="1172"/>
      <c r="BA502" s="1283" t="s">
        <v>40</v>
      </c>
      <c r="BB502" s="1237">
        <v>2011</v>
      </c>
      <c r="BC502" s="1236" t="s">
        <v>315</v>
      </c>
      <c r="BD502" s="1236">
        <v>4</v>
      </c>
      <c r="BE502" s="1238">
        <v>1899604274.4632068</v>
      </c>
      <c r="BF502" s="1239">
        <v>3.0130642795567847E-2</v>
      </c>
      <c r="BG502" s="1236"/>
      <c r="BH502" s="1292" t="s">
        <v>32</v>
      </c>
      <c r="BI502" s="1292" t="s">
        <v>307</v>
      </c>
      <c r="BJ502" s="1292" t="s">
        <v>279</v>
      </c>
      <c r="BK502" s="1292">
        <v>3</v>
      </c>
      <c r="BL502" s="1293">
        <v>1000317000</v>
      </c>
      <c r="BM502" s="1239">
        <v>8.3236982387393799E-2</v>
      </c>
      <c r="BN502" s="1236">
        <v>2007</v>
      </c>
      <c r="BO502" s="174"/>
      <c r="BP502" s="174"/>
      <c r="BQ502" s="174"/>
      <c r="BR502" s="174"/>
      <c r="BS502" s="174"/>
      <c r="BT502" s="174"/>
      <c r="BU502" s="174"/>
      <c r="BV502" s="174"/>
      <c r="BW502" s="174"/>
      <c r="BX502" s="174"/>
    </row>
    <row r="503" spans="1:76" s="152" customFormat="1" ht="15" customHeight="1" x14ac:dyDescent="0.25">
      <c r="A503" s="152">
        <f t="shared" si="14"/>
        <v>2012</v>
      </c>
      <c r="B503" s="152" t="str">
        <f t="shared" si="15"/>
        <v>2011-12</v>
      </c>
      <c r="C503" s="173">
        <v>40909</v>
      </c>
      <c r="D503" s="154">
        <v>1.0388050000000002</v>
      </c>
      <c r="E503" s="155">
        <v>294.9989427142246</v>
      </c>
      <c r="F503" s="155">
        <v>283.97913247840023</v>
      </c>
      <c r="G503" s="155"/>
      <c r="H503" s="155"/>
      <c r="I503" s="156">
        <v>1656.1189999999999</v>
      </c>
      <c r="J503" s="156">
        <v>1596.4</v>
      </c>
      <c r="K503" s="157">
        <v>140.44999999999999</v>
      </c>
      <c r="L503" s="158">
        <v>135.20343086527305</v>
      </c>
      <c r="M503" s="159">
        <v>19821.900000000001</v>
      </c>
      <c r="N503" s="159">
        <v>19081.444544452519</v>
      </c>
      <c r="O503" s="175">
        <v>8043.45</v>
      </c>
      <c r="P503" s="175">
        <v>7742.9835243380603</v>
      </c>
      <c r="Q503" s="175">
        <v>2094.0700000000002</v>
      </c>
      <c r="R503" s="175">
        <v>2015.8451297404226</v>
      </c>
      <c r="S503" s="175">
        <v>1980.69</v>
      </c>
      <c r="T503" s="175">
        <v>1906.700487579478</v>
      </c>
      <c r="U503" s="161">
        <v>2440.7470574360937</v>
      </c>
      <c r="V503" s="161">
        <v>2349.5719191148419</v>
      </c>
      <c r="W503" s="161">
        <v>3062.9345771544918</v>
      </c>
      <c r="X503" s="161">
        <v>2948.5173609623471</v>
      </c>
      <c r="Y503" s="162"/>
      <c r="Z503" s="162"/>
      <c r="AA503" s="162"/>
      <c r="AB503" s="162"/>
      <c r="AC503" s="163">
        <v>30.768999999999998</v>
      </c>
      <c r="AD503" s="163">
        <v>29.79</v>
      </c>
      <c r="AE503" s="163">
        <v>32793.75</v>
      </c>
      <c r="AF503" s="163">
        <v>31568.72560297649</v>
      </c>
      <c r="AG503" s="163">
        <v>1511.25</v>
      </c>
      <c r="AH503" s="163">
        <v>1454.7966172669555</v>
      </c>
      <c r="AI503" s="163">
        <v>658.9</v>
      </c>
      <c r="AJ503" s="163">
        <v>634.2865119055067</v>
      </c>
      <c r="AK503" s="164">
        <v>111.16</v>
      </c>
      <c r="AL503" s="164">
        <v>107.00757119959951</v>
      </c>
      <c r="AM503" s="164">
        <v>121.45</v>
      </c>
      <c r="AN503" s="164">
        <v>116.91318389880678</v>
      </c>
      <c r="AO503" s="164"/>
      <c r="AP503" s="164"/>
      <c r="AS503" s="167"/>
      <c r="AT503" s="1170"/>
      <c r="AU503" s="1171"/>
      <c r="AV503" s="1171"/>
      <c r="AW503" s="1172"/>
      <c r="AX503" s="1172"/>
      <c r="AY503" s="1172"/>
      <c r="AZ503" s="1172"/>
      <c r="BA503" s="1283" t="s">
        <v>40</v>
      </c>
      <c r="BB503" s="1237">
        <v>2011</v>
      </c>
      <c r="BC503" s="1236" t="s">
        <v>312</v>
      </c>
      <c r="BD503" s="1236">
        <v>5</v>
      </c>
      <c r="BE503" s="1238">
        <v>108289446.34869003</v>
      </c>
      <c r="BF503" s="1239">
        <v>1.7176370206811648E-3</v>
      </c>
      <c r="BG503" s="1236"/>
      <c r="BH503" s="1292" t="s">
        <v>32</v>
      </c>
      <c r="BI503" s="1292" t="s">
        <v>307</v>
      </c>
      <c r="BJ503" s="1292" t="s">
        <v>328</v>
      </c>
      <c r="BK503" s="1292">
        <v>4</v>
      </c>
      <c r="BL503" s="1293">
        <v>737220000</v>
      </c>
      <c r="BM503" s="1239">
        <v>6.1344521942178779E-2</v>
      </c>
      <c r="BN503" s="1236">
        <v>2007</v>
      </c>
      <c r="BO503" s="174"/>
      <c r="BP503" s="174"/>
      <c r="BQ503" s="174"/>
      <c r="BR503" s="174"/>
      <c r="BS503" s="174"/>
      <c r="BT503" s="174"/>
      <c r="BU503" s="174"/>
      <c r="BV503" s="174"/>
      <c r="BW503" s="174"/>
      <c r="BX503" s="174"/>
    </row>
    <row r="504" spans="1:76" s="152" customFormat="1" ht="15" customHeight="1" x14ac:dyDescent="0.25">
      <c r="A504" s="152">
        <f t="shared" si="14"/>
        <v>2012</v>
      </c>
      <c r="B504" s="152" t="str">
        <f t="shared" si="15"/>
        <v>2011-12</v>
      </c>
      <c r="C504" s="173">
        <v>40940</v>
      </c>
      <c r="D504" s="169">
        <v>1.0725571428571428</v>
      </c>
      <c r="E504" s="170">
        <v>306.06104471239968</v>
      </c>
      <c r="F504" s="170">
        <v>285.35639965726739</v>
      </c>
      <c r="G504" s="170"/>
      <c r="H504" s="170"/>
      <c r="I504" s="169">
        <v>1742.6189999999999</v>
      </c>
      <c r="J504" s="169">
        <v>1633.51</v>
      </c>
      <c r="K504" s="169">
        <v>139.82499999999999</v>
      </c>
      <c r="L504" s="170">
        <v>130.36601446476379</v>
      </c>
      <c r="M504" s="170">
        <v>20465</v>
      </c>
      <c r="N504" s="170">
        <v>19080.568467880501</v>
      </c>
      <c r="O504" s="170">
        <v>8422.69</v>
      </c>
      <c r="P504" s="170">
        <v>7852.9056060949142</v>
      </c>
      <c r="Q504" s="170">
        <v>2126.12</v>
      </c>
      <c r="R504" s="170">
        <v>1982.2906538446171</v>
      </c>
      <c r="S504" s="170">
        <v>2058.21</v>
      </c>
      <c r="T504" s="170">
        <v>1918.9746800037296</v>
      </c>
      <c r="U504" s="170">
        <v>2362.3390632749915</v>
      </c>
      <c r="V504" s="170">
        <v>2202.5297943399542</v>
      </c>
      <c r="W504" s="170">
        <v>3075.9275646520928</v>
      </c>
      <c r="X504" s="170">
        <v>2867.8449303486527</v>
      </c>
      <c r="Y504" s="170"/>
      <c r="Z504" s="170"/>
      <c r="AA504" s="170"/>
      <c r="AB504" s="170"/>
      <c r="AC504" s="170">
        <v>34.14</v>
      </c>
      <c r="AD504" s="170">
        <v>32.11</v>
      </c>
      <c r="AE504" s="170">
        <v>34309.4</v>
      </c>
      <c r="AF504" s="170">
        <v>31988.412205809884</v>
      </c>
      <c r="AG504" s="170">
        <v>1657.7619999999999</v>
      </c>
      <c r="AH504" s="170">
        <v>1545.616483970218</v>
      </c>
      <c r="AI504" s="170">
        <v>703.048</v>
      </c>
      <c r="AJ504" s="170">
        <v>655.48768630376014</v>
      </c>
      <c r="AK504" s="170">
        <v>119.7</v>
      </c>
      <c r="AL504" s="170">
        <v>111.60244542415323</v>
      </c>
      <c r="AM504" s="170">
        <v>127.71</v>
      </c>
      <c r="AN504" s="170">
        <v>119.0705789901304</v>
      </c>
      <c r="AO504" s="170"/>
      <c r="AP504" s="170"/>
      <c r="AS504" s="167"/>
      <c r="AT504" s="1170"/>
      <c r="AU504" s="1171"/>
      <c r="AV504" s="1171"/>
      <c r="AW504" s="1172"/>
      <c r="AX504" s="1172"/>
      <c r="AY504" s="1172"/>
      <c r="AZ504" s="1172"/>
      <c r="BA504" s="1283" t="s">
        <v>40</v>
      </c>
      <c r="BB504" s="1237">
        <v>2011</v>
      </c>
      <c r="BC504" s="1236" t="s">
        <v>291</v>
      </c>
      <c r="BD504" s="1236"/>
      <c r="BE504" s="1238">
        <v>27231574.718745954</v>
      </c>
      <c r="BF504" s="1239">
        <v>4.3193462008986577E-4</v>
      </c>
      <c r="BG504" s="1236"/>
      <c r="BH504" s="1292" t="s">
        <v>32</v>
      </c>
      <c r="BI504" s="1292" t="s">
        <v>307</v>
      </c>
      <c r="BJ504" s="1292" t="s">
        <v>330</v>
      </c>
      <c r="BK504" s="1292">
        <v>5</v>
      </c>
      <c r="BL504" s="1293">
        <v>612624000</v>
      </c>
      <c r="BM504" s="1239">
        <v>5.0976813448231649E-2</v>
      </c>
      <c r="BN504" s="1236">
        <v>2007</v>
      </c>
      <c r="BO504" s="174"/>
      <c r="BP504" s="174"/>
      <c r="BQ504" s="174"/>
      <c r="BR504" s="174"/>
      <c r="BS504" s="174"/>
      <c r="BT504" s="174"/>
      <c r="BU504" s="174"/>
      <c r="BV504" s="174"/>
      <c r="BW504" s="174"/>
      <c r="BX504" s="174"/>
    </row>
    <row r="505" spans="1:76" s="152" customFormat="1" ht="15" customHeight="1" x14ac:dyDescent="0.25">
      <c r="A505" s="152">
        <f t="shared" si="14"/>
        <v>2012</v>
      </c>
      <c r="B505" s="152" t="str">
        <f t="shared" si="15"/>
        <v>2011-12</v>
      </c>
      <c r="C505" s="173">
        <v>40969</v>
      </c>
      <c r="D505" s="154">
        <v>1.0543272727272726</v>
      </c>
      <c r="E505" s="155">
        <v>315.19499685879708</v>
      </c>
      <c r="F505" s="155">
        <v>298.95365984744848</v>
      </c>
      <c r="G505" s="155"/>
      <c r="H505" s="155"/>
      <c r="I505" s="156">
        <v>1673.7729999999999</v>
      </c>
      <c r="J505" s="156">
        <v>1599.14</v>
      </c>
      <c r="K505" s="157">
        <v>144.65</v>
      </c>
      <c r="L505" s="158">
        <v>137.19648892874392</v>
      </c>
      <c r="M505" s="159">
        <v>18701.59</v>
      </c>
      <c r="N505" s="159">
        <v>17737.936297164935</v>
      </c>
      <c r="O505" s="175">
        <v>8457.0499999999993</v>
      </c>
      <c r="P505" s="175">
        <v>8021.2759536455824</v>
      </c>
      <c r="Q505" s="175">
        <v>2060.5700000000002</v>
      </c>
      <c r="R505" s="175">
        <v>1954.3931503069605</v>
      </c>
      <c r="S505" s="175">
        <v>2033.86</v>
      </c>
      <c r="T505" s="175">
        <v>1929.0594605780509</v>
      </c>
      <c r="U505" s="161">
        <v>2394.5837468819391</v>
      </c>
      <c r="V505" s="161">
        <v>2271.1958694644868</v>
      </c>
      <c r="W505" s="161">
        <v>3473.5400254405649</v>
      </c>
      <c r="X505" s="161">
        <v>3294.55579428901</v>
      </c>
      <c r="Y505" s="162"/>
      <c r="Z505" s="162"/>
      <c r="AA505" s="162"/>
      <c r="AB505" s="162"/>
      <c r="AC505" s="163">
        <v>32.953000000000003</v>
      </c>
      <c r="AD505" s="163">
        <v>31.62</v>
      </c>
      <c r="AE505" s="163">
        <v>31966.95</v>
      </c>
      <c r="AF505" s="163">
        <v>30319.760122784031</v>
      </c>
      <c r="AG505" s="163">
        <v>1655.4090000000001</v>
      </c>
      <c r="AH505" s="163">
        <v>1570.1092467407054</v>
      </c>
      <c r="AI505" s="163">
        <v>684.45500000000004</v>
      </c>
      <c r="AJ505" s="163">
        <v>649.18646961440311</v>
      </c>
      <c r="AK505" s="164">
        <v>124.93</v>
      </c>
      <c r="AL505" s="164">
        <v>118.49261916258538</v>
      </c>
      <c r="AM505" s="164">
        <v>134.03</v>
      </c>
      <c r="AN505" s="164">
        <v>127.12371525143135</v>
      </c>
      <c r="AO505" s="164"/>
      <c r="AP505" s="164"/>
      <c r="AS505" s="167"/>
      <c r="AT505" s="1170"/>
      <c r="AU505" s="1171"/>
      <c r="AV505" s="1171"/>
      <c r="AW505" s="1172"/>
      <c r="AX505" s="1172"/>
      <c r="AY505" s="1172"/>
      <c r="AZ505" s="1172"/>
      <c r="BA505" s="1283" t="s">
        <v>40</v>
      </c>
      <c r="BB505" s="1237">
        <v>2011</v>
      </c>
      <c r="BC505" s="1236" t="s">
        <v>292</v>
      </c>
      <c r="BD505" s="1236"/>
      <c r="BE505" s="1238">
        <v>63045594060.231415</v>
      </c>
      <c r="BF505" s="1239"/>
      <c r="BG505" s="1236"/>
      <c r="BH505" s="1292" t="s">
        <v>32</v>
      </c>
      <c r="BI505" s="1292" t="s">
        <v>307</v>
      </c>
      <c r="BJ505" s="1292" t="s">
        <v>323</v>
      </c>
      <c r="BK505" s="1292">
        <v>6</v>
      </c>
      <c r="BL505" s="1293">
        <v>566331000</v>
      </c>
      <c r="BM505" s="1239">
        <v>4.7124744928292849E-2</v>
      </c>
      <c r="BN505" s="1236">
        <v>2007</v>
      </c>
      <c r="BO505" s="174"/>
      <c r="BP505" s="174"/>
      <c r="BQ505" s="174"/>
      <c r="BR505" s="174"/>
      <c r="BS505" s="174"/>
      <c r="BT505" s="174"/>
      <c r="BU505" s="174"/>
      <c r="BV505" s="174"/>
      <c r="BW505" s="174"/>
      <c r="BX505" s="174"/>
    </row>
    <row r="506" spans="1:76" s="152" customFormat="1" ht="15" customHeight="1" x14ac:dyDescent="0.25">
      <c r="A506" s="152">
        <f t="shared" si="14"/>
        <v>2012</v>
      </c>
      <c r="B506" s="152" t="str">
        <f t="shared" si="15"/>
        <v>2011-12</v>
      </c>
      <c r="C506" s="173">
        <v>41000</v>
      </c>
      <c r="D506" s="169">
        <v>1.0350333333333335</v>
      </c>
      <c r="E506" s="170">
        <v>313.46319807358583</v>
      </c>
      <c r="F506" s="170">
        <v>302.85323958028965</v>
      </c>
      <c r="G506" s="170"/>
      <c r="H506" s="170"/>
      <c r="I506" s="169">
        <v>1650.066</v>
      </c>
      <c r="J506" s="169">
        <v>1603.44</v>
      </c>
      <c r="K506" s="169">
        <v>147.69999999999999</v>
      </c>
      <c r="L506" s="170">
        <v>142.70071817332772</v>
      </c>
      <c r="M506" s="170">
        <v>17897.37</v>
      </c>
      <c r="N506" s="170">
        <v>17291.588032591539</v>
      </c>
      <c r="O506" s="170">
        <v>8259.6299999999992</v>
      </c>
      <c r="P506" s="170">
        <v>7980.0618337573651</v>
      </c>
      <c r="Q506" s="170">
        <v>2063.0500000000002</v>
      </c>
      <c r="R506" s="170">
        <v>1993.2208302470128</v>
      </c>
      <c r="S506" s="170">
        <v>1996.74</v>
      </c>
      <c r="T506" s="170">
        <v>1929.1552607001383</v>
      </c>
      <c r="U506" s="170">
        <v>2299.4892783867872</v>
      </c>
      <c r="V506" s="170">
        <v>2221.6572204310201</v>
      </c>
      <c r="W506" s="170">
        <v>3449.100490811592</v>
      </c>
      <c r="X506" s="170">
        <v>3332.3569200459806</v>
      </c>
      <c r="Y506" s="170"/>
      <c r="Z506" s="170"/>
      <c r="AA506" s="170"/>
      <c r="AB506" s="170"/>
      <c r="AC506" s="170">
        <v>31.552</v>
      </c>
      <c r="AD506" s="170">
        <v>30.88</v>
      </c>
      <c r="AE506" s="170">
        <v>32655.95</v>
      </c>
      <c r="AF506" s="170">
        <v>31550.626388844157</v>
      </c>
      <c r="AG506" s="170">
        <v>1585.1579999999999</v>
      </c>
      <c r="AH506" s="170">
        <v>1531.5042993784416</v>
      </c>
      <c r="AI506" s="170">
        <v>655.57899999999995</v>
      </c>
      <c r="AJ506" s="170">
        <v>633.38926282567377</v>
      </c>
      <c r="AK506" s="170">
        <v>120.46</v>
      </c>
      <c r="AL506" s="170">
        <v>116.3827251940356</v>
      </c>
      <c r="AM506" s="170">
        <v>129.59</v>
      </c>
      <c r="AN506" s="170">
        <v>125.20369714340922</v>
      </c>
      <c r="AO506" s="170"/>
      <c r="AP506" s="170"/>
      <c r="AS506" s="167"/>
      <c r="AT506" s="1170"/>
      <c r="AU506" s="1171"/>
      <c r="AV506" s="1171"/>
      <c r="AW506" s="1172"/>
      <c r="AX506" s="1172"/>
      <c r="AY506" s="1172"/>
      <c r="AZ506" s="1172"/>
      <c r="BA506" s="1283" t="s">
        <v>40</v>
      </c>
      <c r="BB506" s="1237">
        <v>2010</v>
      </c>
      <c r="BC506" s="1236" t="s">
        <v>281</v>
      </c>
      <c r="BD506" s="1236">
        <v>1</v>
      </c>
      <c r="BE506" s="1238">
        <v>35057809265.178223</v>
      </c>
      <c r="BF506" s="1239">
        <v>0.69189485800000317</v>
      </c>
      <c r="BG506" s="1236"/>
      <c r="BH506" s="1292" t="s">
        <v>32</v>
      </c>
      <c r="BI506" s="1292" t="s">
        <v>307</v>
      </c>
      <c r="BJ506" s="1292" t="s">
        <v>306</v>
      </c>
      <c r="BK506" s="1292">
        <v>7</v>
      </c>
      <c r="BL506" s="1293">
        <v>528556000</v>
      </c>
      <c r="BM506" s="1239">
        <v>4.3981464338555994E-2</v>
      </c>
      <c r="BN506" s="1236">
        <v>2007</v>
      </c>
      <c r="BO506" s="174"/>
      <c r="BP506" s="174"/>
      <c r="BQ506" s="174"/>
      <c r="BR506" s="174"/>
      <c r="BS506" s="174"/>
      <c r="BT506" s="174"/>
      <c r="BU506" s="174"/>
      <c r="BV506" s="174"/>
      <c r="BW506" s="174"/>
      <c r="BX506" s="174"/>
    </row>
    <row r="507" spans="1:76" s="152" customFormat="1" ht="15" customHeight="1" x14ac:dyDescent="0.25">
      <c r="A507" s="152">
        <f t="shared" si="14"/>
        <v>2012</v>
      </c>
      <c r="B507" s="152" t="str">
        <f t="shared" si="15"/>
        <v>2011-12</v>
      </c>
      <c r="C507" s="173">
        <v>41030</v>
      </c>
      <c r="D507" s="154">
        <v>0.99927826086956517</v>
      </c>
      <c r="E507" s="155">
        <v>308.56215456108868</v>
      </c>
      <c r="F507" s="155">
        <v>308.78501679059843</v>
      </c>
      <c r="G507" s="155"/>
      <c r="H507" s="155"/>
      <c r="I507" s="156">
        <v>1585.5050000000001</v>
      </c>
      <c r="J507" s="156">
        <v>1601.99</v>
      </c>
      <c r="K507" s="157">
        <v>135.875</v>
      </c>
      <c r="L507" s="158">
        <v>135.9731371337574</v>
      </c>
      <c r="M507" s="159">
        <v>17020</v>
      </c>
      <c r="N507" s="159">
        <v>17032.292872246926</v>
      </c>
      <c r="O507" s="175">
        <v>7919.9309999999996</v>
      </c>
      <c r="P507" s="175">
        <v>7925.6512526432116</v>
      </c>
      <c r="Q507" s="175">
        <v>1998.9091000000001</v>
      </c>
      <c r="R507" s="175">
        <v>2000.3528329141905</v>
      </c>
      <c r="S507" s="175">
        <v>1930.0227</v>
      </c>
      <c r="T507" s="175">
        <v>1931.4166789944047</v>
      </c>
      <c r="U507" s="161">
        <v>2525.4005053893479</v>
      </c>
      <c r="V507" s="161">
        <v>2527.2245022039824</v>
      </c>
      <c r="W507" s="161">
        <v>3483.4833872773775</v>
      </c>
      <c r="X507" s="161">
        <v>3485.9993694309669</v>
      </c>
      <c r="Y507" s="162"/>
      <c r="Z507" s="162"/>
      <c r="AA507" s="162"/>
      <c r="AB507" s="162"/>
      <c r="AC507" s="163">
        <v>28.666</v>
      </c>
      <c r="AD507" s="163">
        <v>29.26</v>
      </c>
      <c r="AE507" s="163">
        <v>30794.32</v>
      </c>
      <c r="AF507" s="163">
        <v>30816.561518313218</v>
      </c>
      <c r="AG507" s="163">
        <v>1468</v>
      </c>
      <c r="AH507" s="163">
        <v>1469.0602782878077</v>
      </c>
      <c r="AI507" s="163">
        <v>618.04499999999996</v>
      </c>
      <c r="AJ507" s="163">
        <v>618.49138943759408</v>
      </c>
      <c r="AK507" s="164">
        <v>110.15</v>
      </c>
      <c r="AL507" s="164">
        <v>110.22955698460629</v>
      </c>
      <c r="AM507" s="164">
        <v>118.76</v>
      </c>
      <c r="AN507" s="164">
        <v>118.84577564677116</v>
      </c>
      <c r="AO507" s="164"/>
      <c r="AP507" s="164"/>
      <c r="AS507" s="167"/>
      <c r="AT507" s="1170"/>
      <c r="AU507" s="1171"/>
      <c r="AV507" s="1171"/>
      <c r="AW507" s="1172"/>
      <c r="AX507" s="1172"/>
      <c r="AY507" s="1172"/>
      <c r="AZ507" s="1172"/>
      <c r="BA507" s="1283" t="s">
        <v>40</v>
      </c>
      <c r="BB507" s="1237">
        <v>2010</v>
      </c>
      <c r="BC507" s="1236" t="s">
        <v>308</v>
      </c>
      <c r="BD507" s="1236">
        <v>2</v>
      </c>
      <c r="BE507" s="1238">
        <v>9068999543.5983448</v>
      </c>
      <c r="BF507" s="1239">
        <v>0.17898420588569461</v>
      </c>
      <c r="BG507" s="1236"/>
      <c r="BH507" s="1292" t="s">
        <v>32</v>
      </c>
      <c r="BI507" s="1292" t="s">
        <v>307</v>
      </c>
      <c r="BJ507" s="1292" t="s">
        <v>320</v>
      </c>
      <c r="BK507" s="1292">
        <v>8</v>
      </c>
      <c r="BL507" s="1293">
        <v>187138000</v>
      </c>
      <c r="BM507" s="1239">
        <v>1.5571866128449382E-2</v>
      </c>
      <c r="BN507" s="1236">
        <v>2007</v>
      </c>
      <c r="BO507" s="174"/>
      <c r="BP507" s="174"/>
      <c r="BQ507" s="174"/>
      <c r="BR507" s="174"/>
      <c r="BS507" s="174"/>
      <c r="BT507" s="174"/>
      <c r="BU507" s="174"/>
      <c r="BV507" s="174"/>
      <c r="BW507" s="174"/>
      <c r="BX507" s="174"/>
    </row>
    <row r="508" spans="1:76" s="152" customFormat="1" ht="15" customHeight="1" x14ac:dyDescent="0.25">
      <c r="A508" s="152">
        <f t="shared" si="14"/>
        <v>2012</v>
      </c>
      <c r="B508" s="152" t="str">
        <f t="shared" si="15"/>
        <v>2011-12</v>
      </c>
      <c r="C508" s="173">
        <v>41061</v>
      </c>
      <c r="D508" s="169">
        <v>0.99863999999999997</v>
      </c>
      <c r="E508" s="170">
        <v>297.78270690971738</v>
      </c>
      <c r="F508" s="170">
        <v>298.18824292008873</v>
      </c>
      <c r="G508" s="170"/>
      <c r="H508" s="170"/>
      <c r="I508" s="169">
        <v>1596.6969999999999</v>
      </c>
      <c r="J508" s="169">
        <v>1606.88</v>
      </c>
      <c r="K508" s="169">
        <v>134.56</v>
      </c>
      <c r="L508" s="170">
        <v>134.74325082111673</v>
      </c>
      <c r="M508" s="170">
        <v>16539.21</v>
      </c>
      <c r="N508" s="170">
        <v>16561.733958183129</v>
      </c>
      <c r="O508" s="170">
        <v>7420.1</v>
      </c>
      <c r="P508" s="170">
        <v>7430.2050789073146</v>
      </c>
      <c r="Q508" s="170">
        <v>1854.74</v>
      </c>
      <c r="R508" s="170">
        <v>1857.2658815989746</v>
      </c>
      <c r="S508" s="170">
        <v>1855.79</v>
      </c>
      <c r="T508" s="170">
        <v>1858.3173115436994</v>
      </c>
      <c r="U508" s="170">
        <v>2479.9829658642675</v>
      </c>
      <c r="V508" s="170">
        <v>2483.3603359211202</v>
      </c>
      <c r="W508" s="170">
        <v>3554.4364328876954</v>
      </c>
      <c r="X508" s="170">
        <v>3559.2770496752537</v>
      </c>
      <c r="Y508" s="170"/>
      <c r="Z508" s="170"/>
      <c r="AA508" s="170"/>
      <c r="AB508" s="170"/>
      <c r="AC508" s="170">
        <v>28.047000000000001</v>
      </c>
      <c r="AD508" s="170">
        <v>28.42</v>
      </c>
      <c r="AE508" s="170">
        <v>29065.79</v>
      </c>
      <c r="AF508" s="170">
        <v>29105.373307698472</v>
      </c>
      <c r="AG508" s="170">
        <v>1447.7370000000001</v>
      </c>
      <c r="AH508" s="170">
        <v>1449.7086037010336</v>
      </c>
      <c r="AI508" s="170">
        <v>613.10500000000002</v>
      </c>
      <c r="AJ508" s="170">
        <v>613.93995834334703</v>
      </c>
      <c r="AK508" s="170">
        <v>95.59</v>
      </c>
      <c r="AL508" s="170">
        <v>95.720179444043907</v>
      </c>
      <c r="AM508" s="170">
        <v>97.94</v>
      </c>
      <c r="AN508" s="170">
        <v>98.07337979652327</v>
      </c>
      <c r="AO508" s="170"/>
      <c r="AP508" s="170"/>
      <c r="AS508" s="167"/>
      <c r="AT508" s="1170"/>
      <c r="AU508" s="1171"/>
      <c r="AV508" s="1171"/>
      <c r="AW508" s="1172"/>
      <c r="AX508" s="1172"/>
      <c r="AY508" s="1172"/>
      <c r="AZ508" s="1172"/>
      <c r="BA508" s="1283" t="s">
        <v>40</v>
      </c>
      <c r="BB508" s="1237">
        <v>2010</v>
      </c>
      <c r="BC508" s="1236" t="s">
        <v>320</v>
      </c>
      <c r="BD508" s="1236">
        <v>3</v>
      </c>
      <c r="BE508" s="1238">
        <v>4651050621.4142771</v>
      </c>
      <c r="BF508" s="1239">
        <v>9.1792330345371306E-2</v>
      </c>
      <c r="BG508" s="1236"/>
      <c r="BH508" s="1292" t="s">
        <v>32</v>
      </c>
      <c r="BI508" s="1292" t="s">
        <v>307</v>
      </c>
      <c r="BJ508" s="1292" t="s">
        <v>308</v>
      </c>
      <c r="BK508" s="1292">
        <v>9</v>
      </c>
      <c r="BL508" s="1293">
        <v>92694000</v>
      </c>
      <c r="BM508" s="1239">
        <v>7.713123785177179E-3</v>
      </c>
      <c r="BN508" s="1236">
        <v>2007</v>
      </c>
      <c r="BO508" s="174"/>
      <c r="BP508" s="174"/>
      <c r="BQ508" s="174"/>
      <c r="BR508" s="174"/>
      <c r="BS508" s="174"/>
      <c r="BT508" s="174"/>
      <c r="BU508" s="174"/>
      <c r="BV508" s="174"/>
      <c r="BW508" s="174"/>
      <c r="BX508" s="174"/>
    </row>
    <row r="509" spans="1:76" s="152" customFormat="1" ht="15" customHeight="1" x14ac:dyDescent="0.25">
      <c r="A509" s="152">
        <f t="shared" si="14"/>
        <v>2012</v>
      </c>
      <c r="B509" s="152" t="str">
        <f t="shared" si="15"/>
        <v>2012-13</v>
      </c>
      <c r="C509" s="173">
        <v>41091</v>
      </c>
      <c r="D509" s="154">
        <v>1.0292636363636363</v>
      </c>
      <c r="E509" s="155">
        <v>288.41315719856448</v>
      </c>
      <c r="F509" s="155">
        <v>280.2131028523666</v>
      </c>
      <c r="G509" s="155"/>
      <c r="H509" s="155"/>
      <c r="I509" s="156">
        <v>1593.9090000000001</v>
      </c>
      <c r="J509" s="156">
        <v>1555.97</v>
      </c>
      <c r="K509" s="157">
        <v>127.27500000000001</v>
      </c>
      <c r="L509" s="158">
        <v>123.65636509773097</v>
      </c>
      <c r="M509" s="159">
        <v>16159.090899999999</v>
      </c>
      <c r="N509" s="159">
        <v>15699.661708723801</v>
      </c>
      <c r="O509" s="175">
        <v>7589.3864000000003</v>
      </c>
      <c r="P509" s="175">
        <v>7373.6078220086747</v>
      </c>
      <c r="Q509" s="175">
        <v>1876.3864000000001</v>
      </c>
      <c r="R509" s="175">
        <v>1823.0376880205622</v>
      </c>
      <c r="S509" s="175">
        <v>1851.1818000000001</v>
      </c>
      <c r="T509" s="175">
        <v>1798.5496957224495</v>
      </c>
      <c r="U509" s="161">
        <v>2507.4939735105222</v>
      </c>
      <c r="V509" s="161">
        <v>2436.2018485073836</v>
      </c>
      <c r="W509" s="161">
        <v>3205.9795017104811</v>
      </c>
      <c r="X509" s="161">
        <v>3114.8282990324324</v>
      </c>
      <c r="Y509" s="162"/>
      <c r="Z509" s="162"/>
      <c r="AA509" s="162"/>
      <c r="AB509" s="162"/>
      <c r="AC509" s="163">
        <v>27.431999999999999</v>
      </c>
      <c r="AD509" s="163">
        <v>26.96</v>
      </c>
      <c r="AE509" s="163">
        <v>29131.818200000002</v>
      </c>
      <c r="AF509" s="163">
        <v>28303.553308190327</v>
      </c>
      <c r="AG509" s="163">
        <v>1425.818</v>
      </c>
      <c r="AH509" s="163">
        <v>1385.279679205787</v>
      </c>
      <c r="AI509" s="163">
        <v>579.54499999999996</v>
      </c>
      <c r="AJ509" s="163">
        <v>563.06759466167341</v>
      </c>
      <c r="AK509" s="164">
        <v>103.14</v>
      </c>
      <c r="AL509" s="164">
        <v>100.20756233494379</v>
      </c>
      <c r="AM509" s="164">
        <v>109.63</v>
      </c>
      <c r="AN509" s="164">
        <v>106.51304109734232</v>
      </c>
      <c r="AO509" s="164"/>
      <c r="AP509" s="164"/>
      <c r="AS509" s="167"/>
      <c r="AT509" s="1170"/>
      <c r="AU509" s="1171"/>
      <c r="AV509" s="1171"/>
      <c r="AW509" s="1172"/>
      <c r="AX509" s="1172"/>
      <c r="AY509" s="1172"/>
      <c r="AZ509" s="1172"/>
      <c r="BA509" s="1283" t="s">
        <v>40</v>
      </c>
      <c r="BB509" s="1237">
        <v>2010</v>
      </c>
      <c r="BC509" s="1236" t="s">
        <v>315</v>
      </c>
      <c r="BD509" s="1236">
        <v>4</v>
      </c>
      <c r="BE509" s="1238">
        <v>1555990190.6311243</v>
      </c>
      <c r="BF509" s="1239">
        <v>3.0708753186852809E-2</v>
      </c>
      <c r="BG509" s="1236"/>
      <c r="BH509" s="1292" t="s">
        <v>32</v>
      </c>
      <c r="BI509" s="1292" t="s">
        <v>307</v>
      </c>
      <c r="BJ509" s="1292" t="s">
        <v>329</v>
      </c>
      <c r="BK509" s="1292">
        <v>10</v>
      </c>
      <c r="BL509" s="1293">
        <v>51029000</v>
      </c>
      <c r="BM509" s="1239">
        <v>4.2461539434462455E-3</v>
      </c>
      <c r="BN509" s="1236">
        <v>2007</v>
      </c>
      <c r="BO509" s="174"/>
      <c r="BP509" s="174"/>
      <c r="BQ509" s="174"/>
      <c r="BR509" s="174"/>
      <c r="BS509" s="174"/>
      <c r="BT509" s="174"/>
      <c r="BU509" s="174"/>
      <c r="BV509" s="174"/>
      <c r="BW509" s="174"/>
      <c r="BX509" s="174"/>
    </row>
    <row r="510" spans="1:76" s="152" customFormat="1" ht="15" customHeight="1" x14ac:dyDescent="0.25">
      <c r="A510" s="152">
        <f t="shared" si="14"/>
        <v>2012</v>
      </c>
      <c r="B510" s="152" t="str">
        <f t="shared" si="15"/>
        <v>2012-13</v>
      </c>
      <c r="C510" s="173">
        <v>41122</v>
      </c>
      <c r="D510" s="169">
        <v>1.0468000000000002</v>
      </c>
      <c r="E510" s="170">
        <v>279.95993211248521</v>
      </c>
      <c r="F510" s="170">
        <v>267.44357290073094</v>
      </c>
      <c r="G510" s="170"/>
      <c r="H510" s="170"/>
      <c r="I510" s="169">
        <v>1626.0340000000001</v>
      </c>
      <c r="J510" s="169">
        <v>1562.01</v>
      </c>
      <c r="K510" s="169">
        <v>105.9</v>
      </c>
      <c r="L510" s="170">
        <v>101.16545662972868</v>
      </c>
      <c r="M510" s="170">
        <v>15657.7273</v>
      </c>
      <c r="N510" s="170">
        <v>14957.706629728695</v>
      </c>
      <c r="O510" s="170">
        <v>7492.4544999999998</v>
      </c>
      <c r="P510" s="170">
        <v>7157.4842376767274</v>
      </c>
      <c r="Q510" s="170">
        <v>1895.75</v>
      </c>
      <c r="R510" s="170">
        <v>1810.9954145968663</v>
      </c>
      <c r="S510" s="170">
        <v>1813.7954999999999</v>
      </c>
      <c r="T510" s="170">
        <v>1732.7049102025217</v>
      </c>
      <c r="U510" s="170">
        <v>2473.6745140714929</v>
      </c>
      <c r="V510" s="170">
        <v>2363.0822641110935</v>
      </c>
      <c r="W510" s="170">
        <v>3081.289745281535</v>
      </c>
      <c r="X510" s="170">
        <v>2943.5324276667316</v>
      </c>
      <c r="Y510" s="170"/>
      <c r="Z510" s="170"/>
      <c r="AA510" s="170"/>
      <c r="AB510" s="170"/>
      <c r="AC510" s="170">
        <v>28.696999999999999</v>
      </c>
      <c r="AD510" s="170">
        <v>27.83</v>
      </c>
      <c r="AE510" s="170">
        <v>29207.272700000001</v>
      </c>
      <c r="AF510" s="170">
        <v>27901.483282384404</v>
      </c>
      <c r="AG510" s="170">
        <v>1449.4549999999999</v>
      </c>
      <c r="AH510" s="170">
        <v>1384.6532288880394</v>
      </c>
      <c r="AI510" s="170">
        <v>600.11400000000003</v>
      </c>
      <c r="AJ510" s="170">
        <v>573.28429499426818</v>
      </c>
      <c r="AK510" s="170">
        <v>113.34</v>
      </c>
      <c r="AL510" s="170">
        <v>108.27283148643484</v>
      </c>
      <c r="AM510" s="170">
        <v>119.68</v>
      </c>
      <c r="AN510" s="170">
        <v>114.32938479174626</v>
      </c>
      <c r="AO510" s="170"/>
      <c r="AP510" s="170"/>
      <c r="AS510" s="167"/>
      <c r="AT510" s="1170"/>
      <c r="AU510" s="1171"/>
      <c r="AV510" s="1171"/>
      <c r="AW510" s="1172"/>
      <c r="AX510" s="1172"/>
      <c r="AY510" s="1172"/>
      <c r="AZ510" s="1172"/>
      <c r="BA510" s="1283" t="s">
        <v>40</v>
      </c>
      <c r="BB510" s="1237">
        <v>2010</v>
      </c>
      <c r="BC510" s="1236" t="s">
        <v>328</v>
      </c>
      <c r="BD510" s="1236">
        <v>5</v>
      </c>
      <c r="BE510" s="1238">
        <v>119013969.04855077</v>
      </c>
      <c r="BF510" s="1239">
        <v>2.3488391014966975E-3</v>
      </c>
      <c r="BG510" s="1236"/>
      <c r="BH510" s="1292" t="s">
        <v>32</v>
      </c>
      <c r="BI510" s="1292" t="s">
        <v>307</v>
      </c>
      <c r="BJ510" s="1292" t="s">
        <v>291</v>
      </c>
      <c r="BK510" s="1292"/>
      <c r="BL510" s="1293">
        <v>105958000</v>
      </c>
      <c r="BM510" s="1239">
        <v>8.8168292449328275E-3</v>
      </c>
      <c r="BN510" s="1236">
        <v>2007</v>
      </c>
      <c r="BO510" s="174"/>
      <c r="BP510" s="174"/>
      <c r="BQ510" s="174"/>
      <c r="BR510" s="174"/>
      <c r="BS510" s="174"/>
      <c r="BT510" s="174"/>
      <c r="BU510" s="174"/>
      <c r="BV510" s="174"/>
      <c r="BW510" s="174"/>
      <c r="BX510" s="174"/>
    </row>
    <row r="511" spans="1:76" s="152" customFormat="1" ht="15" customHeight="1" x14ac:dyDescent="0.25">
      <c r="A511" s="152">
        <f t="shared" si="14"/>
        <v>2012</v>
      </c>
      <c r="B511" s="152" t="str">
        <f t="shared" si="15"/>
        <v>2012-13</v>
      </c>
      <c r="C511" s="173">
        <v>41153</v>
      </c>
      <c r="D511" s="154">
        <v>1.0394649999999999</v>
      </c>
      <c r="E511" s="155">
        <v>276.81519968902808</v>
      </c>
      <c r="F511" s="155">
        <v>266.30545491096683</v>
      </c>
      <c r="G511" s="155"/>
      <c r="H511" s="155"/>
      <c r="I511" s="156">
        <v>1744.45</v>
      </c>
      <c r="J511" s="156">
        <v>1684.95</v>
      </c>
      <c r="K511" s="157">
        <v>100.3</v>
      </c>
      <c r="L511" s="158">
        <v>96.491945375746184</v>
      </c>
      <c r="M511" s="159">
        <v>17215.5</v>
      </c>
      <c r="N511" s="159">
        <v>16561.885200559907</v>
      </c>
      <c r="O511" s="175">
        <v>8068.37</v>
      </c>
      <c r="P511" s="175">
        <v>7762.0410499632035</v>
      </c>
      <c r="Q511" s="175">
        <v>2169.27</v>
      </c>
      <c r="R511" s="175">
        <v>2086.9100931729304</v>
      </c>
      <c r="S511" s="175">
        <v>2002.1</v>
      </c>
      <c r="T511" s="175">
        <v>1926.0869774355078</v>
      </c>
      <c r="U511" s="161">
        <v>2424.9608855610109</v>
      </c>
      <c r="V511" s="161">
        <v>2332.8932533187854</v>
      </c>
      <c r="W511" s="161">
        <v>3092.151180984481</v>
      </c>
      <c r="X511" s="161">
        <v>2974.7525707786999</v>
      </c>
      <c r="Y511" s="162"/>
      <c r="Z511" s="162"/>
      <c r="AA511" s="162"/>
      <c r="AB511" s="162"/>
      <c r="AC511" s="163">
        <v>33.609000000000002</v>
      </c>
      <c r="AD511" s="163">
        <v>32.71</v>
      </c>
      <c r="AE511" s="163">
        <v>29467.5</v>
      </c>
      <c r="AF511" s="163">
        <v>28348.717850047866</v>
      </c>
      <c r="AG511" s="163">
        <v>1623.65</v>
      </c>
      <c r="AH511" s="163">
        <v>1562.0054547291159</v>
      </c>
      <c r="AI511" s="163">
        <v>657.85</v>
      </c>
      <c r="AJ511" s="163">
        <v>632.87364172915886</v>
      </c>
      <c r="AK511" s="164">
        <v>113.48</v>
      </c>
      <c r="AL511" s="164">
        <v>109.17154497746439</v>
      </c>
      <c r="AM511" s="164">
        <v>118.99</v>
      </c>
      <c r="AN511" s="164">
        <v>114.47234875633139</v>
      </c>
      <c r="AO511" s="164"/>
      <c r="AP511" s="164"/>
      <c r="AS511" s="167"/>
      <c r="AT511" s="1170"/>
      <c r="AU511" s="1171"/>
      <c r="AV511" s="1171"/>
      <c r="AW511" s="1172"/>
      <c r="AX511" s="1172"/>
      <c r="AY511" s="1172"/>
      <c r="AZ511" s="1172"/>
      <c r="BA511" s="1283" t="s">
        <v>40</v>
      </c>
      <c r="BB511" s="1237">
        <v>2010</v>
      </c>
      <c r="BC511" s="1236" t="s">
        <v>291</v>
      </c>
      <c r="BD511" s="1236"/>
      <c r="BE511" s="1238">
        <v>216409146.91004679</v>
      </c>
      <c r="BF511" s="1239">
        <v>4.2710134805814277E-3</v>
      </c>
      <c r="BG511" s="1236"/>
      <c r="BH511" s="1292" t="s">
        <v>32</v>
      </c>
      <c r="BI511" s="1292" t="s">
        <v>307</v>
      </c>
      <c r="BJ511" s="1292" t="s">
        <v>292</v>
      </c>
      <c r="BK511" s="1292"/>
      <c r="BL511" s="1293">
        <v>12017699000</v>
      </c>
      <c r="BM511" s="1239">
        <v>1</v>
      </c>
      <c r="BN511" s="1236">
        <v>2007</v>
      </c>
      <c r="BO511" s="174"/>
      <c r="BP511" s="174"/>
      <c r="BQ511" s="174"/>
      <c r="BR511" s="174"/>
      <c r="BS511" s="174"/>
      <c r="BT511" s="174"/>
      <c r="BU511" s="174"/>
      <c r="BV511" s="174"/>
      <c r="BW511" s="174"/>
      <c r="BX511" s="174"/>
    </row>
    <row r="512" spans="1:76" s="152" customFormat="1" ht="15" customHeight="1" x14ac:dyDescent="0.25">
      <c r="A512" s="152">
        <f t="shared" si="14"/>
        <v>2012</v>
      </c>
      <c r="B512" s="152" t="str">
        <f t="shared" si="15"/>
        <v>2012-13</v>
      </c>
      <c r="C512" s="173">
        <v>41183</v>
      </c>
      <c r="D512" s="169">
        <v>1.0292136363636364</v>
      </c>
      <c r="E512" s="170">
        <v>291.29280959723928</v>
      </c>
      <c r="F512" s="170">
        <v>283.02463094680689</v>
      </c>
      <c r="G512" s="170"/>
      <c r="H512" s="170"/>
      <c r="I512" s="169">
        <v>1747.011</v>
      </c>
      <c r="J512" s="169">
        <v>1705.69</v>
      </c>
      <c r="K512" s="169">
        <v>113.4</v>
      </c>
      <c r="L512" s="170">
        <v>110.18120630490181</v>
      </c>
      <c r="M512" s="170">
        <v>17245.434799999999</v>
      </c>
      <c r="N512" s="170">
        <v>16755.93306451969</v>
      </c>
      <c r="O512" s="170">
        <v>8069.5217000000002</v>
      </c>
      <c r="P512" s="170">
        <v>7840.4729736294703</v>
      </c>
      <c r="Q512" s="170">
        <v>2153.3042999999998</v>
      </c>
      <c r="R512" s="170">
        <v>2092.1839974914651</v>
      </c>
      <c r="S512" s="170">
        <v>1911.7826</v>
      </c>
      <c r="T512" s="170">
        <v>1857.5177518582148</v>
      </c>
      <c r="U512" s="170">
        <v>2005.6442740574098</v>
      </c>
      <c r="V512" s="170">
        <v>1948.7152163506566</v>
      </c>
      <c r="W512" s="170">
        <v>3004.4476631019606</v>
      </c>
      <c r="X512" s="170">
        <v>2919.1681463890409</v>
      </c>
      <c r="Y512" s="170"/>
      <c r="Z512" s="170"/>
      <c r="AA512" s="170"/>
      <c r="AB512" s="170"/>
      <c r="AC512" s="170">
        <v>33.186999999999998</v>
      </c>
      <c r="AD512" s="170">
        <v>32.57</v>
      </c>
      <c r="AE512" s="170">
        <v>27097.826099999998</v>
      </c>
      <c r="AF512" s="170">
        <v>26328.669911273832</v>
      </c>
      <c r="AG512" s="170">
        <v>1635.826</v>
      </c>
      <c r="AH512" s="170">
        <v>1589.3940210310607</v>
      </c>
      <c r="AI512" s="170">
        <v>633.37</v>
      </c>
      <c r="AJ512" s="170">
        <v>615.39215729572891</v>
      </c>
      <c r="AK512" s="170">
        <v>111.97</v>
      </c>
      <c r="AL512" s="170">
        <v>108.79179603139201</v>
      </c>
      <c r="AM512" s="170">
        <v>114.27</v>
      </c>
      <c r="AN512" s="170">
        <v>111.02651185591823</v>
      </c>
      <c r="AO512" s="170"/>
      <c r="AP512" s="170"/>
      <c r="AS512" s="167"/>
      <c r="AT512" s="1170"/>
      <c r="AU512" s="1171"/>
      <c r="AV512" s="1171"/>
      <c r="AW512" s="1172"/>
      <c r="AX512" s="1172"/>
      <c r="AY512" s="1172"/>
      <c r="AZ512" s="1172"/>
      <c r="BA512" s="1283" t="s">
        <v>40</v>
      </c>
      <c r="BB512" s="1237">
        <v>2010</v>
      </c>
      <c r="BC512" s="1236" t="s">
        <v>292</v>
      </c>
      <c r="BD512" s="1236"/>
      <c r="BE512" s="1238">
        <v>50669272736.780563</v>
      </c>
      <c r="BF512" s="1239"/>
      <c r="BG512" s="1236"/>
      <c r="BH512" s="1294" t="s">
        <v>32</v>
      </c>
      <c r="BI512" s="1294" t="s">
        <v>303</v>
      </c>
      <c r="BJ512" s="1294" t="s">
        <v>314</v>
      </c>
      <c r="BK512" s="1294">
        <v>1</v>
      </c>
      <c r="BL512" s="1295">
        <v>7016292000</v>
      </c>
      <c r="BM512" s="1239">
        <v>0.41645290906604471</v>
      </c>
      <c r="BN512" s="1236">
        <v>2008</v>
      </c>
      <c r="BO512" s="174"/>
      <c r="BP512" s="174"/>
      <c r="BQ512" s="174"/>
      <c r="BR512" s="174"/>
      <c r="BS512" s="174"/>
      <c r="BT512" s="174"/>
      <c r="BU512" s="174"/>
      <c r="BV512" s="174"/>
      <c r="BW512" s="174"/>
      <c r="BX512" s="174"/>
    </row>
    <row r="513" spans="1:76" s="152" customFormat="1" ht="15" customHeight="1" x14ac:dyDescent="0.25">
      <c r="A513" s="152">
        <f t="shared" si="14"/>
        <v>2012</v>
      </c>
      <c r="B513" s="152" t="str">
        <f t="shared" si="15"/>
        <v>2012-13</v>
      </c>
      <c r="C513" s="173">
        <v>41214</v>
      </c>
      <c r="D513" s="154">
        <v>1.0410227272727273</v>
      </c>
      <c r="E513" s="155">
        <v>288.4102563844221</v>
      </c>
      <c r="F513" s="155">
        <v>277.04511037909776</v>
      </c>
      <c r="G513" s="155"/>
      <c r="H513" s="155"/>
      <c r="I513" s="156">
        <v>1721.136</v>
      </c>
      <c r="J513" s="156">
        <v>1665.03</v>
      </c>
      <c r="K513" s="157">
        <v>119.9</v>
      </c>
      <c r="L513" s="158">
        <v>115.1751992140596</v>
      </c>
      <c r="M513" s="159">
        <v>16297.5</v>
      </c>
      <c r="N513" s="159">
        <v>15655.277808099552</v>
      </c>
      <c r="O513" s="175">
        <v>7694.2044999999998</v>
      </c>
      <c r="P513" s="175">
        <v>7391.0053050976967</v>
      </c>
      <c r="Q513" s="175">
        <v>2179.4773</v>
      </c>
      <c r="R513" s="175">
        <v>2093.5924287741514</v>
      </c>
      <c r="S513" s="175">
        <v>1904.2954999999999</v>
      </c>
      <c r="T513" s="175">
        <v>1829.2544918676999</v>
      </c>
      <c r="U513" s="161">
        <v>1607.5141272431133</v>
      </c>
      <c r="V513" s="161">
        <v>1544.1681388210236</v>
      </c>
      <c r="W513" s="161">
        <v>2862.6236321989568</v>
      </c>
      <c r="X513" s="161">
        <v>2749.818574757212</v>
      </c>
      <c r="Y513" s="162"/>
      <c r="Z513" s="162"/>
      <c r="AA513" s="162"/>
      <c r="AB513" s="162"/>
      <c r="AC513" s="163">
        <v>32.773000000000003</v>
      </c>
      <c r="AD513" s="163">
        <v>31.84</v>
      </c>
      <c r="AE513" s="163">
        <v>23513.636399999999</v>
      </c>
      <c r="AF513" s="163">
        <v>22587.053850016375</v>
      </c>
      <c r="AG513" s="163">
        <v>1576.364</v>
      </c>
      <c r="AH513" s="163">
        <v>1514.2455190481389</v>
      </c>
      <c r="AI513" s="163">
        <v>636.5</v>
      </c>
      <c r="AJ513" s="163">
        <v>611.41796747080014</v>
      </c>
      <c r="AK513" s="164">
        <v>109.71</v>
      </c>
      <c r="AL513" s="164">
        <v>105.38674817159698</v>
      </c>
      <c r="AM513" s="164">
        <v>112.5</v>
      </c>
      <c r="AN513" s="164">
        <v>108.06680493395918</v>
      </c>
      <c r="AO513" s="164"/>
      <c r="AP513" s="164"/>
      <c r="AS513" s="167"/>
      <c r="AT513" s="1170"/>
      <c r="AU513" s="1171"/>
      <c r="AV513" s="1171"/>
      <c r="AW513" s="1172"/>
      <c r="AX513" s="1172"/>
      <c r="AY513" s="1172"/>
      <c r="AZ513" s="1172"/>
      <c r="BA513" s="1283" t="s">
        <v>40</v>
      </c>
      <c r="BB513" s="1237">
        <v>2009</v>
      </c>
      <c r="BC513" s="1236" t="s">
        <v>281</v>
      </c>
      <c r="BD513" s="1236">
        <v>1</v>
      </c>
      <c r="BE513" s="1238">
        <v>20020560972.525166</v>
      </c>
      <c r="BF513" s="1239">
        <v>0.71219870043194333</v>
      </c>
      <c r="BG513" s="1236"/>
      <c r="BH513" s="1294" t="s">
        <v>32</v>
      </c>
      <c r="BI513" s="1294" t="s">
        <v>303</v>
      </c>
      <c r="BJ513" s="1294" t="s">
        <v>287</v>
      </c>
      <c r="BK513" s="1294">
        <v>2</v>
      </c>
      <c r="BL513" s="1295">
        <v>5690369000</v>
      </c>
      <c r="BM513" s="1239">
        <v>0.33775257981127921</v>
      </c>
      <c r="BN513" s="1236">
        <v>2008</v>
      </c>
      <c r="BO513" s="174"/>
      <c r="BP513" s="174"/>
      <c r="BQ513" s="174"/>
      <c r="BR513" s="174"/>
      <c r="BS513" s="174"/>
      <c r="BT513" s="174"/>
      <c r="BU513" s="174"/>
      <c r="BV513" s="174"/>
      <c r="BW513" s="174"/>
      <c r="BX513" s="174"/>
    </row>
    <row r="514" spans="1:76" s="152" customFormat="1" ht="15" customHeight="1" x14ac:dyDescent="0.25">
      <c r="A514" s="152">
        <f t="shared" si="14"/>
        <v>2012</v>
      </c>
      <c r="B514" s="152" t="str">
        <f t="shared" si="15"/>
        <v>2012-13</v>
      </c>
      <c r="C514" s="173">
        <v>41244</v>
      </c>
      <c r="D514" s="169">
        <v>1.046836842105263</v>
      </c>
      <c r="E514" s="170">
        <v>286.11865285271159</v>
      </c>
      <c r="F514" s="170">
        <v>273.31733212341544</v>
      </c>
      <c r="G514" s="170"/>
      <c r="H514" s="170"/>
      <c r="I514" s="169">
        <v>1688.529</v>
      </c>
      <c r="J514" s="169">
        <v>1620.3</v>
      </c>
      <c r="K514" s="169">
        <v>131.27500000000001</v>
      </c>
      <c r="L514" s="170">
        <v>125.4015857294406</v>
      </c>
      <c r="M514" s="170">
        <v>17406.5789</v>
      </c>
      <c r="N514" s="170">
        <v>16627.785916470173</v>
      </c>
      <c r="O514" s="170">
        <v>7962.5789000000004</v>
      </c>
      <c r="P514" s="170">
        <v>7606.3227618037317</v>
      </c>
      <c r="Q514" s="170">
        <v>2275.5</v>
      </c>
      <c r="R514" s="170">
        <v>2173.6911698902463</v>
      </c>
      <c r="S514" s="170">
        <v>2037.5789</v>
      </c>
      <c r="T514" s="170">
        <v>1946.4149694065836</v>
      </c>
      <c r="U514" s="170">
        <v>1652.4216125903772</v>
      </c>
      <c r="V514" s="170">
        <v>1578.4901200718541</v>
      </c>
      <c r="W514" s="170">
        <v>2768.6145796540623</v>
      </c>
      <c r="X514" s="170">
        <v>2644.7431617769416</v>
      </c>
      <c r="Y514" s="170"/>
      <c r="Z514" s="170"/>
      <c r="AA514" s="170"/>
      <c r="AB514" s="170"/>
      <c r="AC514" s="170">
        <v>31.963000000000001</v>
      </c>
      <c r="AD514" s="170">
        <v>30.91</v>
      </c>
      <c r="AE514" s="170">
        <v>24036.842100000002</v>
      </c>
      <c r="AF514" s="170">
        <v>22961.402515849761</v>
      </c>
      <c r="AG514" s="170">
        <v>1591.2940000000001</v>
      </c>
      <c r="AH514" s="170">
        <v>1520.0974363873124</v>
      </c>
      <c r="AI514" s="170">
        <v>691.35299999999995</v>
      </c>
      <c r="AJ514" s="170">
        <v>660.42096742567844</v>
      </c>
      <c r="AK514" s="170">
        <v>109.54</v>
      </c>
      <c r="AL514" s="170">
        <v>104.63903790365967</v>
      </c>
      <c r="AM514" s="170">
        <v>113.07</v>
      </c>
      <c r="AN514" s="170">
        <v>108.01110111161948</v>
      </c>
      <c r="AO514" s="170"/>
      <c r="AP514" s="170"/>
      <c r="AS514" s="167"/>
      <c r="AT514" s="1170"/>
      <c r="AU514" s="1171"/>
      <c r="AV514" s="1171"/>
      <c r="AW514" s="1172"/>
      <c r="AX514" s="1172"/>
      <c r="AY514" s="1172"/>
      <c r="AZ514" s="1172"/>
      <c r="BA514" s="1283" t="s">
        <v>40</v>
      </c>
      <c r="BB514" s="1237">
        <v>2009</v>
      </c>
      <c r="BC514" s="1236" t="s">
        <v>308</v>
      </c>
      <c r="BD514" s="1236">
        <v>2</v>
      </c>
      <c r="BE514" s="1238">
        <v>4933322680.1497345</v>
      </c>
      <c r="BF514" s="1239">
        <v>0.17549488280751799</v>
      </c>
      <c r="BG514" s="1236"/>
      <c r="BH514" s="1294" t="s">
        <v>32</v>
      </c>
      <c r="BI514" s="1294" t="s">
        <v>303</v>
      </c>
      <c r="BJ514" s="1294" t="s">
        <v>323</v>
      </c>
      <c r="BK514" s="1294">
        <v>3</v>
      </c>
      <c r="BL514" s="1295">
        <v>1310727000</v>
      </c>
      <c r="BM514" s="1239">
        <v>7.7798368731148815E-2</v>
      </c>
      <c r="BN514" s="1236">
        <v>2008</v>
      </c>
      <c r="BO514" s="174"/>
      <c r="BP514" s="174"/>
      <c r="BQ514" s="174"/>
      <c r="BR514" s="174"/>
      <c r="BS514" s="174"/>
      <c r="BT514" s="174"/>
      <c r="BU514" s="174"/>
      <c r="BV514" s="174"/>
      <c r="BW514" s="174"/>
      <c r="BX514" s="174"/>
    </row>
    <row r="515" spans="1:76" s="152" customFormat="1" ht="15" customHeight="1" x14ac:dyDescent="0.25">
      <c r="A515" s="152">
        <f t="shared" si="14"/>
        <v>2013</v>
      </c>
      <c r="B515" s="152" t="str">
        <f t="shared" si="15"/>
        <v>2012-13</v>
      </c>
      <c r="C515" s="173">
        <v>41275</v>
      </c>
      <c r="D515" s="154">
        <v>1.0502857142857145</v>
      </c>
      <c r="E515" s="155">
        <v>304.38763155067988</v>
      </c>
      <c r="F515" s="155">
        <v>289.81412144379198</v>
      </c>
      <c r="G515" s="155"/>
      <c r="H515" s="155"/>
      <c r="I515" s="156">
        <v>1670.9549999999999</v>
      </c>
      <c r="J515" s="156">
        <v>1600.05</v>
      </c>
      <c r="K515" s="157">
        <v>150.47499999999999</v>
      </c>
      <c r="L515" s="158">
        <v>143.27053862894448</v>
      </c>
      <c r="M515" s="159">
        <v>17464.772700000001</v>
      </c>
      <c r="N515" s="159">
        <v>16628.592070184983</v>
      </c>
      <c r="O515" s="175">
        <v>8049.2727000000004</v>
      </c>
      <c r="P515" s="175">
        <v>7663.8885881392807</v>
      </c>
      <c r="Q515" s="175">
        <v>2340.2727</v>
      </c>
      <c r="R515" s="175">
        <v>2228.224823177366</v>
      </c>
      <c r="S515" s="175">
        <v>2033.1591000000001</v>
      </c>
      <c r="T515" s="175">
        <v>1935.8152475516863</v>
      </c>
      <c r="U515" s="161">
        <v>1307.965292465607</v>
      </c>
      <c r="V515" s="161">
        <v>1245.3423622496257</v>
      </c>
      <c r="W515" s="161">
        <v>2704.1069103725272</v>
      </c>
      <c r="X515" s="161">
        <v>2574.6393325092067</v>
      </c>
      <c r="Y515" s="162"/>
      <c r="Z515" s="162"/>
      <c r="AA515" s="162"/>
      <c r="AB515" s="162"/>
      <c r="AC515" s="163">
        <v>31.111999999999998</v>
      </c>
      <c r="AD515" s="163">
        <v>29.96</v>
      </c>
      <c r="AE515" s="163">
        <v>26125</v>
      </c>
      <c r="AF515" s="163">
        <v>24874.183895538623</v>
      </c>
      <c r="AG515" s="163">
        <v>1643.9770000000001</v>
      </c>
      <c r="AH515" s="163">
        <v>1565.2664581066374</v>
      </c>
      <c r="AI515" s="163">
        <v>712.56799999999998</v>
      </c>
      <c r="AJ515" s="163">
        <v>678.45157780195848</v>
      </c>
      <c r="AK515" s="164">
        <v>112.97</v>
      </c>
      <c r="AL515" s="164">
        <v>107.56120783460281</v>
      </c>
      <c r="AM515" s="164">
        <v>117.28</v>
      </c>
      <c r="AN515" s="164">
        <v>111.66485310119694</v>
      </c>
      <c r="AO515" s="164"/>
      <c r="AP515" s="164"/>
      <c r="AS515" s="167"/>
      <c r="AT515" s="1170"/>
      <c r="AU515" s="1171"/>
      <c r="AV515" s="1171"/>
      <c r="AW515" s="1172"/>
      <c r="AX515" s="1172"/>
      <c r="AY515" s="1172"/>
      <c r="AZ515" s="1172"/>
      <c r="BA515" s="1283" t="s">
        <v>40</v>
      </c>
      <c r="BB515" s="1237">
        <v>2009</v>
      </c>
      <c r="BC515" s="1236" t="s">
        <v>320</v>
      </c>
      <c r="BD515" s="1236">
        <v>3</v>
      </c>
      <c r="BE515" s="1238">
        <v>2237568097.4908104</v>
      </c>
      <c r="BF515" s="1239">
        <v>7.9597824124302413E-2</v>
      </c>
      <c r="BG515" s="1236"/>
      <c r="BH515" s="1294" t="s">
        <v>32</v>
      </c>
      <c r="BI515" s="1294" t="s">
        <v>303</v>
      </c>
      <c r="BJ515" s="1294" t="s">
        <v>279</v>
      </c>
      <c r="BK515" s="1294">
        <v>4</v>
      </c>
      <c r="BL515" s="1295">
        <v>1299674000</v>
      </c>
      <c r="BM515" s="1239">
        <v>7.7142316502434985E-2</v>
      </c>
      <c r="BN515" s="1236">
        <v>2008</v>
      </c>
      <c r="BO515" s="174"/>
      <c r="BP515" s="174"/>
      <c r="BQ515" s="174"/>
      <c r="BR515" s="174"/>
      <c r="BS515" s="174"/>
      <c r="BT515" s="174"/>
      <c r="BU515" s="174"/>
      <c r="BV515" s="174"/>
      <c r="BW515" s="174"/>
      <c r="BX515" s="174"/>
    </row>
    <row r="516" spans="1:76" s="152" customFormat="1" ht="15" customHeight="1" x14ac:dyDescent="0.25">
      <c r="A516" s="152">
        <f t="shared" si="14"/>
        <v>2013</v>
      </c>
      <c r="B516" s="152" t="str">
        <f t="shared" si="15"/>
        <v>2012-13</v>
      </c>
      <c r="C516" s="173">
        <v>41306</v>
      </c>
      <c r="D516" s="169">
        <v>1.0319199999999999</v>
      </c>
      <c r="E516" s="170">
        <v>301.10186325243382</v>
      </c>
      <c r="F516" s="170">
        <v>291.78799059271438</v>
      </c>
      <c r="G516" s="170"/>
      <c r="H516" s="170"/>
      <c r="I516" s="169">
        <v>1627.5</v>
      </c>
      <c r="J516" s="169">
        <v>1588.9</v>
      </c>
      <c r="K516" s="169">
        <v>154.25</v>
      </c>
      <c r="L516" s="170">
        <v>149.47864175517483</v>
      </c>
      <c r="M516" s="170">
        <v>17733.75</v>
      </c>
      <c r="N516" s="170">
        <v>17185.198464997287</v>
      </c>
      <c r="O516" s="170">
        <v>8070.4750000000004</v>
      </c>
      <c r="P516" s="170">
        <v>7820.833979378247</v>
      </c>
      <c r="Q516" s="170">
        <v>2376.1999999999998</v>
      </c>
      <c r="R516" s="170">
        <v>2302.6978835568648</v>
      </c>
      <c r="S516" s="170">
        <v>2129.2750000000001</v>
      </c>
      <c r="T516" s="170">
        <v>2063.4109233273898</v>
      </c>
      <c r="U516" s="170">
        <v>1272.8703467940968</v>
      </c>
      <c r="V516" s="170">
        <v>1233.4971187631763</v>
      </c>
      <c r="W516" s="170">
        <v>2661.0957085238038</v>
      </c>
      <c r="X516" s="170">
        <v>2578.7810184159662</v>
      </c>
      <c r="Y516" s="170"/>
      <c r="Z516" s="170"/>
      <c r="AA516" s="170"/>
      <c r="AB516" s="170"/>
      <c r="AC516" s="170">
        <v>30.329000000000001</v>
      </c>
      <c r="AD516" s="170">
        <v>29.76</v>
      </c>
      <c r="AE516" s="170">
        <v>25515</v>
      </c>
      <c r="AF516" s="170">
        <v>24725.753934413522</v>
      </c>
      <c r="AG516" s="170">
        <v>1674.55</v>
      </c>
      <c r="AH516" s="170">
        <v>1622.7517637026126</v>
      </c>
      <c r="AI516" s="170">
        <v>751.9</v>
      </c>
      <c r="AJ516" s="170">
        <v>728.64175517481976</v>
      </c>
      <c r="AK516" s="170">
        <v>116.45</v>
      </c>
      <c r="AL516" s="170">
        <v>112.84789518567332</v>
      </c>
      <c r="AM516" s="170">
        <v>122.43</v>
      </c>
      <c r="AN516" s="170">
        <v>118.64291805566324</v>
      </c>
      <c r="AO516" s="170"/>
      <c r="AP516" s="170"/>
      <c r="AS516" s="167"/>
      <c r="AT516" s="1170"/>
      <c r="AU516" s="1171"/>
      <c r="AV516" s="1171"/>
      <c r="AW516" s="1172"/>
      <c r="AX516" s="1172"/>
      <c r="AY516" s="1172"/>
      <c r="AZ516" s="1172"/>
      <c r="BA516" s="1283" t="s">
        <v>40</v>
      </c>
      <c r="BB516" s="1237">
        <v>2009</v>
      </c>
      <c r="BC516" s="1236" t="s">
        <v>315</v>
      </c>
      <c r="BD516" s="1236">
        <v>4</v>
      </c>
      <c r="BE516" s="1238">
        <v>748320084.78367472</v>
      </c>
      <c r="BF516" s="1239">
        <v>2.6620262670034176E-2</v>
      </c>
      <c r="BG516" s="1236"/>
      <c r="BH516" s="1294" t="s">
        <v>32</v>
      </c>
      <c r="BI516" s="1294" t="s">
        <v>303</v>
      </c>
      <c r="BJ516" s="1294" t="s">
        <v>306</v>
      </c>
      <c r="BK516" s="1294">
        <v>5</v>
      </c>
      <c r="BL516" s="1295">
        <v>731005000</v>
      </c>
      <c r="BM516" s="1239">
        <v>4.3388895272862646E-2</v>
      </c>
      <c r="BN516" s="1236">
        <v>2008</v>
      </c>
      <c r="BO516" s="174"/>
      <c r="BP516" s="174"/>
      <c r="BQ516" s="174"/>
      <c r="BR516" s="174"/>
      <c r="BS516" s="174"/>
      <c r="BT516" s="174"/>
      <c r="BU516" s="174"/>
      <c r="BV516" s="174"/>
      <c r="BW516" s="174"/>
      <c r="BX516" s="174"/>
    </row>
    <row r="517" spans="1:76" s="152" customFormat="1" ht="15" customHeight="1" x14ac:dyDescent="0.25">
      <c r="A517" s="152">
        <f t="shared" si="14"/>
        <v>2013</v>
      </c>
      <c r="B517" s="152" t="str">
        <f t="shared" si="15"/>
        <v>2012-13</v>
      </c>
      <c r="C517" s="173">
        <v>41334</v>
      </c>
      <c r="D517" s="154">
        <v>1.03331</v>
      </c>
      <c r="E517" s="155">
        <v>311.70107397282993</v>
      </c>
      <c r="F517" s="155">
        <v>301.65301213849665</v>
      </c>
      <c r="G517" s="155"/>
      <c r="H517" s="155"/>
      <c r="I517" s="156">
        <v>1592.8630000000001</v>
      </c>
      <c r="J517" s="156">
        <v>1549.48</v>
      </c>
      <c r="K517" s="157">
        <v>140.82</v>
      </c>
      <c r="L517" s="158">
        <v>136.2804966563761</v>
      </c>
      <c r="M517" s="159">
        <v>16727.75</v>
      </c>
      <c r="N517" s="159">
        <v>16188.510708306318</v>
      </c>
      <c r="O517" s="175">
        <v>7662.9</v>
      </c>
      <c r="P517" s="175">
        <v>7415.8771327094482</v>
      </c>
      <c r="Q517" s="175">
        <v>2183.4749999999999</v>
      </c>
      <c r="R517" s="175">
        <v>2113.088037471814</v>
      </c>
      <c r="S517" s="175">
        <v>1935.9</v>
      </c>
      <c r="T517" s="175">
        <v>1873.4939176045912</v>
      </c>
      <c r="U517" s="161">
        <v>1209.0436323557874</v>
      </c>
      <c r="V517" s="161">
        <v>1170.0686457653439</v>
      </c>
      <c r="W517" s="161">
        <v>2576.4370567472797</v>
      </c>
      <c r="X517" s="161">
        <v>2493.3824861341513</v>
      </c>
      <c r="Y517" s="162"/>
      <c r="Z517" s="162"/>
      <c r="AA517" s="162"/>
      <c r="AB517" s="162"/>
      <c r="AC517" s="163">
        <v>28.798999999999999</v>
      </c>
      <c r="AD517" s="163">
        <v>28.24</v>
      </c>
      <c r="AE517" s="163">
        <v>25525</v>
      </c>
      <c r="AF517" s="163">
        <v>24702.170694176966</v>
      </c>
      <c r="AG517" s="163">
        <v>1583.3</v>
      </c>
      <c r="AH517" s="163">
        <v>1532.2604058801328</v>
      </c>
      <c r="AI517" s="163">
        <v>756.65</v>
      </c>
      <c r="AJ517" s="163">
        <v>732.2584703525564</v>
      </c>
      <c r="AK517" s="164">
        <v>109.24</v>
      </c>
      <c r="AL517" s="164">
        <v>105.71851622455991</v>
      </c>
      <c r="AM517" s="164">
        <v>115.85</v>
      </c>
      <c r="AN517" s="164">
        <v>112.11543486465824</v>
      </c>
      <c r="AO517" s="164"/>
      <c r="AP517" s="164"/>
      <c r="AS517" s="167"/>
      <c r="AT517" s="1170"/>
      <c r="AU517" s="1171"/>
      <c r="AV517" s="1171"/>
      <c r="AW517" s="1172"/>
      <c r="AX517" s="1172"/>
      <c r="AY517" s="1172"/>
      <c r="AZ517" s="1172"/>
      <c r="BA517" s="1283" t="s">
        <v>40</v>
      </c>
      <c r="BB517" s="1237">
        <v>2009</v>
      </c>
      <c r="BC517" s="1236" t="s">
        <v>341</v>
      </c>
      <c r="BD517" s="1236">
        <v>5</v>
      </c>
      <c r="BE517" s="1238">
        <v>55577725.138101906</v>
      </c>
      <c r="BF517" s="1239">
        <v>1.9770866396121491E-3</v>
      </c>
      <c r="BG517" s="1236"/>
      <c r="BH517" s="1294" t="s">
        <v>32</v>
      </c>
      <c r="BI517" s="1294" t="s">
        <v>303</v>
      </c>
      <c r="BJ517" s="1294" t="s">
        <v>328</v>
      </c>
      <c r="BK517" s="1294">
        <v>6</v>
      </c>
      <c r="BL517" s="1295">
        <v>337708000</v>
      </c>
      <c r="BM517" s="1239">
        <v>2.0044701533926443E-2</v>
      </c>
      <c r="BN517" s="1236">
        <v>2008</v>
      </c>
      <c r="BO517" s="174"/>
      <c r="BP517" s="174"/>
      <c r="BQ517" s="174"/>
      <c r="BR517" s="174"/>
      <c r="BS517" s="174"/>
      <c r="BT517" s="174"/>
      <c r="BU517" s="174"/>
      <c r="BV517" s="174"/>
      <c r="BW517" s="174"/>
      <c r="BX517" s="174"/>
    </row>
    <row r="518" spans="1:76" s="152" customFormat="1" ht="15" customHeight="1" x14ac:dyDescent="0.25">
      <c r="A518" s="152">
        <f t="shared" si="14"/>
        <v>2013</v>
      </c>
      <c r="B518" s="152" t="str">
        <f t="shared" si="15"/>
        <v>2012-13</v>
      </c>
      <c r="C518" s="173">
        <v>41365</v>
      </c>
      <c r="D518" s="169">
        <v>1.0387249999999999</v>
      </c>
      <c r="E518" s="170">
        <v>300.82914698402794</v>
      </c>
      <c r="F518" s="170">
        <v>289.61385061881441</v>
      </c>
      <c r="G518" s="170"/>
      <c r="H518" s="170"/>
      <c r="I518" s="169">
        <v>1485.0830000000001</v>
      </c>
      <c r="J518" s="169">
        <v>1441.66</v>
      </c>
      <c r="K518" s="169">
        <v>137.25</v>
      </c>
      <c r="L518" s="170">
        <v>132.1331439986522</v>
      </c>
      <c r="M518" s="170">
        <v>15635</v>
      </c>
      <c r="N518" s="170">
        <v>15052.107150593278</v>
      </c>
      <c r="O518" s="170">
        <v>7203.3571000000002</v>
      </c>
      <c r="P518" s="170">
        <v>6934.8067101494626</v>
      </c>
      <c r="Q518" s="170">
        <v>2030.2619</v>
      </c>
      <c r="R518" s="170">
        <v>1954.5711328792511</v>
      </c>
      <c r="S518" s="170">
        <v>1852.9048</v>
      </c>
      <c r="T518" s="170">
        <v>1783.826132999591</v>
      </c>
      <c r="U518" s="170">
        <v>1155.410857625156</v>
      </c>
      <c r="V518" s="170">
        <v>1112.3356592217922</v>
      </c>
      <c r="W518" s="170">
        <v>2583.7525980171145</v>
      </c>
      <c r="X518" s="170">
        <v>2487.426987910289</v>
      </c>
      <c r="Y518" s="170"/>
      <c r="Z518" s="170"/>
      <c r="AA518" s="170"/>
      <c r="AB518" s="170"/>
      <c r="AC518" s="170">
        <v>25.199000000000002</v>
      </c>
      <c r="AD518" s="170">
        <v>24.8</v>
      </c>
      <c r="AE518" s="170">
        <v>26165</v>
      </c>
      <c r="AF518" s="170">
        <v>25189.535247539054</v>
      </c>
      <c r="AG518" s="170">
        <v>1489.1189999999999</v>
      </c>
      <c r="AH518" s="170">
        <v>1433.6027341211582</v>
      </c>
      <c r="AI518" s="170">
        <v>703.024</v>
      </c>
      <c r="AJ518" s="170">
        <v>676.81436376326758</v>
      </c>
      <c r="AK518" s="170">
        <v>102.87</v>
      </c>
      <c r="AL518" s="170">
        <v>99.034874485547206</v>
      </c>
      <c r="AM518" s="170">
        <v>108.41</v>
      </c>
      <c r="AN518" s="170">
        <v>104.36833618137621</v>
      </c>
      <c r="AO518" s="170"/>
      <c r="AP518" s="170"/>
      <c r="AS518" s="167"/>
      <c r="AT518" s="1170"/>
      <c r="AU518" s="1171"/>
      <c r="AV518" s="1171"/>
      <c r="AW518" s="1172"/>
      <c r="AX518" s="1172"/>
      <c r="AY518" s="1172"/>
      <c r="AZ518" s="1172"/>
      <c r="BA518" s="1283" t="s">
        <v>40</v>
      </c>
      <c r="BB518" s="1237">
        <v>2009</v>
      </c>
      <c r="BC518" s="1236" t="s">
        <v>291</v>
      </c>
      <c r="BD518" s="1236"/>
      <c r="BE518" s="1238">
        <v>115570833.87397581</v>
      </c>
      <c r="BF518" s="1239">
        <v>4.1112433265899648E-3</v>
      </c>
      <c r="BG518" s="1236"/>
      <c r="BH518" s="1294" t="s">
        <v>32</v>
      </c>
      <c r="BI518" s="1294" t="s">
        <v>303</v>
      </c>
      <c r="BJ518" s="1294" t="s">
        <v>320</v>
      </c>
      <c r="BK518" s="1294">
        <v>7</v>
      </c>
      <c r="BL518" s="1295">
        <v>285059000</v>
      </c>
      <c r="BM518" s="1239">
        <v>1.6919713404952023E-2</v>
      </c>
      <c r="BN518" s="1236">
        <v>2008</v>
      </c>
      <c r="BO518" s="174"/>
      <c r="BP518" s="174"/>
      <c r="BQ518" s="174"/>
      <c r="BR518" s="174"/>
      <c r="BS518" s="174"/>
      <c r="BT518" s="174"/>
      <c r="BU518" s="174"/>
      <c r="BV518" s="174"/>
      <c r="BW518" s="174"/>
      <c r="BX518" s="174"/>
    </row>
    <row r="519" spans="1:76" s="152" customFormat="1" ht="15" customHeight="1" x14ac:dyDescent="0.25">
      <c r="A519" s="152">
        <f t="shared" si="14"/>
        <v>2013</v>
      </c>
      <c r="B519" s="152" t="str">
        <f t="shared" si="15"/>
        <v>2012-13</v>
      </c>
      <c r="C519" s="173">
        <v>41395</v>
      </c>
      <c r="D519" s="154">
        <v>0.99198260869565236</v>
      </c>
      <c r="E519" s="155">
        <v>289.19266584301459</v>
      </c>
      <c r="F519" s="155">
        <v>291.52997573543252</v>
      </c>
      <c r="G519" s="155"/>
      <c r="H519" s="155"/>
      <c r="I519" s="156">
        <v>1413.7860000000001</v>
      </c>
      <c r="J519" s="156">
        <v>1437.27</v>
      </c>
      <c r="K519" s="157">
        <v>122.88</v>
      </c>
      <c r="L519" s="158">
        <v>123.87313943091566</v>
      </c>
      <c r="M519" s="159">
        <v>14950.9524</v>
      </c>
      <c r="N519" s="159">
        <v>15071.788828696153</v>
      </c>
      <c r="O519" s="175">
        <v>7229.1666999999998</v>
      </c>
      <c r="P519" s="175">
        <v>7287.594194323181</v>
      </c>
      <c r="Q519" s="175">
        <v>2028.2856999999999</v>
      </c>
      <c r="R519" s="175">
        <v>2044.6786891425161</v>
      </c>
      <c r="S519" s="175">
        <v>1829.0237999999999</v>
      </c>
      <c r="T519" s="175">
        <v>1843.8063167306575</v>
      </c>
      <c r="U519" s="161">
        <v>1148.4113305118492</v>
      </c>
      <c r="V519" s="161">
        <v>1157.6930083702609</v>
      </c>
      <c r="W519" s="161">
        <v>2628.9977345499888</v>
      </c>
      <c r="X519" s="161">
        <v>2650.2457921181003</v>
      </c>
      <c r="Y519" s="162"/>
      <c r="Z519" s="162"/>
      <c r="AA519" s="162"/>
      <c r="AB519" s="162"/>
      <c r="AC519" s="163">
        <v>23.012</v>
      </c>
      <c r="AD519" s="163">
        <v>23.61</v>
      </c>
      <c r="AE519" s="163">
        <v>27880.952399999998</v>
      </c>
      <c r="AF519" s="163">
        <v>28106.291537369161</v>
      </c>
      <c r="AG519" s="163">
        <v>1474.905</v>
      </c>
      <c r="AH519" s="163">
        <v>1486.8254615263238</v>
      </c>
      <c r="AI519" s="163">
        <v>720.19</v>
      </c>
      <c r="AJ519" s="163">
        <v>726.01071196900364</v>
      </c>
      <c r="AK519" s="164">
        <v>103.03</v>
      </c>
      <c r="AL519" s="164">
        <v>103.86270797173862</v>
      </c>
      <c r="AM519" s="164">
        <v>108.46</v>
      </c>
      <c r="AN519" s="164">
        <v>109.33659426006764</v>
      </c>
      <c r="AO519" s="164"/>
      <c r="AP519" s="164"/>
      <c r="AS519" s="167"/>
      <c r="AT519" s="1170"/>
      <c r="AU519" s="1171"/>
      <c r="AV519" s="1171"/>
      <c r="AW519" s="1172"/>
      <c r="AX519" s="1172"/>
      <c r="AY519" s="1172"/>
      <c r="AZ519" s="1172"/>
      <c r="BA519" s="1283" t="s">
        <v>40</v>
      </c>
      <c r="BB519" s="1237">
        <v>2009</v>
      </c>
      <c r="BC519" s="1236" t="s">
        <v>292</v>
      </c>
      <c r="BD519" s="1236"/>
      <c r="BE519" s="1238">
        <v>28110920393.961464</v>
      </c>
      <c r="BF519" s="1239"/>
      <c r="BG519" s="1236"/>
      <c r="BH519" s="1294" t="s">
        <v>32</v>
      </c>
      <c r="BI519" s="1294" t="s">
        <v>303</v>
      </c>
      <c r="BJ519" s="1294" t="s">
        <v>327</v>
      </c>
      <c r="BK519" s="1294">
        <v>8</v>
      </c>
      <c r="BL519" s="1295">
        <v>80396000</v>
      </c>
      <c r="BM519" s="1239">
        <v>4.7719148629038997E-3</v>
      </c>
      <c r="BN519" s="1236">
        <v>2008</v>
      </c>
      <c r="BO519" s="174"/>
      <c r="BP519" s="174"/>
      <c r="BQ519" s="174"/>
      <c r="BR519" s="174"/>
      <c r="BS519" s="174"/>
      <c r="BT519" s="174"/>
      <c r="BU519" s="174"/>
      <c r="BV519" s="174"/>
      <c r="BW519" s="174"/>
      <c r="BX519" s="174"/>
    </row>
    <row r="520" spans="1:76" s="152" customFormat="1" ht="15" customHeight="1" x14ac:dyDescent="0.25">
      <c r="A520" s="152">
        <f t="shared" si="14"/>
        <v>2013</v>
      </c>
      <c r="B520" s="152" t="str">
        <f t="shared" si="15"/>
        <v>2012-13</v>
      </c>
      <c r="C520" s="173">
        <v>41426</v>
      </c>
      <c r="D520" s="169">
        <v>0.9432315789473682</v>
      </c>
      <c r="E520" s="170">
        <v>289.95390819412461</v>
      </c>
      <c r="F520" s="170">
        <v>307.40479291173506</v>
      </c>
      <c r="G520" s="170"/>
      <c r="H520" s="170"/>
      <c r="I520" s="169">
        <v>1341.463</v>
      </c>
      <c r="J520" s="169">
        <v>1433.1</v>
      </c>
      <c r="K520" s="169">
        <v>114.9</v>
      </c>
      <c r="L520" s="170">
        <v>121.81525996852928</v>
      </c>
      <c r="M520" s="170">
        <v>14270.5</v>
      </c>
      <c r="N520" s="170">
        <v>15129.37047328892</v>
      </c>
      <c r="O520" s="170">
        <v>7004.05</v>
      </c>
      <c r="P520" s="170">
        <v>7425.5889606838773</v>
      </c>
      <c r="Q520" s="170">
        <v>2103.8249999999998</v>
      </c>
      <c r="R520" s="170">
        <v>2230.4437711339519</v>
      </c>
      <c r="S520" s="170">
        <v>1839.2249999999999</v>
      </c>
      <c r="T520" s="170">
        <v>1949.9188121463728</v>
      </c>
      <c r="U520" s="170">
        <v>1214.0999186615168</v>
      </c>
      <c r="V520" s="170">
        <v>1287.1705589166484</v>
      </c>
      <c r="W520" s="170">
        <v>2658.8526790184628</v>
      </c>
      <c r="X520" s="170">
        <v>2818.875807768969</v>
      </c>
      <c r="Y520" s="170"/>
      <c r="Z520" s="170"/>
      <c r="AA520" s="170"/>
      <c r="AB520" s="170"/>
      <c r="AC520" s="170">
        <v>21.109000000000002</v>
      </c>
      <c r="AD520" s="170">
        <v>22.77</v>
      </c>
      <c r="AE520" s="170">
        <v>30530</v>
      </c>
      <c r="AF520" s="170">
        <v>32367.448971620528</v>
      </c>
      <c r="AG520" s="170">
        <v>1430.2249999999999</v>
      </c>
      <c r="AH520" s="170">
        <v>1516.3031347997369</v>
      </c>
      <c r="AI520" s="170">
        <v>713.52499999999998</v>
      </c>
      <c r="AJ520" s="170">
        <v>756.46852366444602</v>
      </c>
      <c r="AK520" s="170">
        <v>103.11</v>
      </c>
      <c r="AL520" s="170">
        <v>109.31567846262013</v>
      </c>
      <c r="AM520" s="170">
        <v>109.77</v>
      </c>
      <c r="AN520" s="170">
        <v>116.37651076366804</v>
      </c>
      <c r="AO520" s="170"/>
      <c r="AP520" s="170"/>
      <c r="AS520" s="167"/>
      <c r="AT520" s="1170"/>
      <c r="AU520" s="1171"/>
      <c r="AV520" s="1171"/>
      <c r="AW520" s="1172"/>
      <c r="AX520" s="1172"/>
      <c r="AY520" s="1172"/>
      <c r="AZ520" s="1172"/>
      <c r="BA520" s="1283" t="s">
        <v>40</v>
      </c>
      <c r="BB520" s="1237">
        <v>2008</v>
      </c>
      <c r="BC520" s="1236" t="s">
        <v>281</v>
      </c>
      <c r="BD520" s="1236">
        <v>1</v>
      </c>
      <c r="BE520" s="1238">
        <v>19120970618.376392</v>
      </c>
      <c r="BF520" s="1239">
        <v>0.59469863864212491</v>
      </c>
      <c r="BG520" s="1236"/>
      <c r="BH520" s="1294" t="s">
        <v>32</v>
      </c>
      <c r="BI520" s="1294" t="s">
        <v>303</v>
      </c>
      <c r="BJ520" s="1294" t="s">
        <v>334</v>
      </c>
      <c r="BK520" s="1294">
        <v>9</v>
      </c>
      <c r="BL520" s="1295">
        <v>31046000</v>
      </c>
      <c r="BM520" s="1239">
        <v>1.8427393008820646E-3</v>
      </c>
      <c r="BN520" s="1236">
        <v>2008</v>
      </c>
      <c r="BO520" s="174"/>
      <c r="BP520" s="174"/>
      <c r="BQ520" s="174"/>
      <c r="BR520" s="174"/>
      <c r="BS520" s="174"/>
      <c r="BT520" s="174"/>
      <c r="BU520" s="174"/>
      <c r="BV520" s="174"/>
      <c r="BW520" s="174"/>
      <c r="BX520" s="174"/>
    </row>
    <row r="521" spans="1:76" s="152" customFormat="1" ht="15" customHeight="1" x14ac:dyDescent="0.25">
      <c r="A521" s="152">
        <f t="shared" si="14"/>
        <v>2013</v>
      </c>
      <c r="B521" s="152" t="str">
        <f t="shared" si="15"/>
        <v>2013-14</v>
      </c>
      <c r="C521" s="173">
        <v>41456</v>
      </c>
      <c r="D521" s="154">
        <v>0.91721739130434787</v>
      </c>
      <c r="E521" s="155">
        <v>288.85356218970736</v>
      </c>
      <c r="F521" s="155">
        <v>314.92377371839535</v>
      </c>
      <c r="G521" s="155"/>
      <c r="H521" s="155"/>
      <c r="I521" s="156">
        <v>1286.7239999999999</v>
      </c>
      <c r="J521" s="156">
        <v>1410.13</v>
      </c>
      <c r="K521" s="157">
        <v>128.42500000000001</v>
      </c>
      <c r="L521" s="158">
        <v>140.01587978763746</v>
      </c>
      <c r="M521" s="159">
        <v>13705</v>
      </c>
      <c r="N521" s="159">
        <v>14941.932119833144</v>
      </c>
      <c r="O521" s="175">
        <v>6892.98</v>
      </c>
      <c r="P521" s="175">
        <v>7515.0995449374277</v>
      </c>
      <c r="Q521" s="175">
        <v>2048.2399999999998</v>
      </c>
      <c r="R521" s="175">
        <v>2233.1020098596887</v>
      </c>
      <c r="S521" s="175">
        <v>1835.89</v>
      </c>
      <c r="T521" s="175">
        <v>2001.5865566932121</v>
      </c>
      <c r="U521" s="161">
        <v>1240.9735527940807</v>
      </c>
      <c r="V521" s="161">
        <v>1352.9764748892612</v>
      </c>
      <c r="W521" s="161">
        <v>2565.5054095580899</v>
      </c>
      <c r="X521" s="161">
        <v>2797.0527313157027</v>
      </c>
      <c r="Y521" s="162"/>
      <c r="Z521" s="162"/>
      <c r="AA521" s="162"/>
      <c r="AB521" s="162"/>
      <c r="AC521" s="163">
        <v>19.71</v>
      </c>
      <c r="AD521" s="163">
        <v>21.93</v>
      </c>
      <c r="AE521" s="163">
        <v>29374.35</v>
      </c>
      <c r="AF521" s="163">
        <v>32025.504835039814</v>
      </c>
      <c r="AG521" s="163">
        <v>1401.4780000000001</v>
      </c>
      <c r="AH521" s="163">
        <v>1527.9671027682973</v>
      </c>
      <c r="AI521" s="163">
        <v>718.02200000000005</v>
      </c>
      <c r="AJ521" s="163">
        <v>782.82641259006448</v>
      </c>
      <c r="AK521" s="164">
        <v>107.72</v>
      </c>
      <c r="AL521" s="164">
        <v>117.44216913158893</v>
      </c>
      <c r="AM521" s="164">
        <v>113.19</v>
      </c>
      <c r="AN521" s="164">
        <v>123.40585893060295</v>
      </c>
      <c r="AO521" s="164"/>
      <c r="AP521" s="164"/>
      <c r="AS521" s="167"/>
      <c r="AT521" s="1170"/>
      <c r="AU521" s="1171"/>
      <c r="AV521" s="1171"/>
      <c r="AW521" s="1172"/>
      <c r="AX521" s="1172"/>
      <c r="AY521" s="1172"/>
      <c r="AZ521" s="1172"/>
      <c r="BA521" s="1283" t="s">
        <v>40</v>
      </c>
      <c r="BB521" s="1237">
        <v>2008</v>
      </c>
      <c r="BC521" s="1236" t="s">
        <v>308</v>
      </c>
      <c r="BD521" s="1236">
        <v>2</v>
      </c>
      <c r="BE521" s="1238">
        <v>7615567318.5996027</v>
      </c>
      <c r="BF521" s="1239">
        <v>0.23685866200254674</v>
      </c>
      <c r="BG521" s="1236"/>
      <c r="BH521" s="1294" t="s">
        <v>32</v>
      </c>
      <c r="BI521" s="1294" t="s">
        <v>303</v>
      </c>
      <c r="BJ521" s="1294" t="s">
        <v>332</v>
      </c>
      <c r="BK521" s="1294">
        <v>10</v>
      </c>
      <c r="BL521" s="1295">
        <v>23174000</v>
      </c>
      <c r="BM521" s="1239">
        <v>1.3754957340282473E-3</v>
      </c>
      <c r="BN521" s="1236">
        <v>2008</v>
      </c>
      <c r="BO521" s="174"/>
      <c r="BP521" s="174"/>
      <c r="BQ521" s="174"/>
      <c r="BR521" s="174"/>
      <c r="BS521" s="174"/>
      <c r="BT521" s="174"/>
      <c r="BU521" s="174"/>
      <c r="BV521" s="174"/>
      <c r="BW521" s="174"/>
      <c r="BX521" s="174"/>
    </row>
    <row r="522" spans="1:76" s="152" customFormat="1" ht="15" customHeight="1" x14ac:dyDescent="0.25">
      <c r="A522" s="152">
        <f t="shared" si="14"/>
        <v>2013</v>
      </c>
      <c r="B522" s="152" t="str">
        <f t="shared" si="15"/>
        <v>2013-14</v>
      </c>
      <c r="C522" s="173">
        <v>41487</v>
      </c>
      <c r="D522" s="169">
        <v>0.90432380952380975</v>
      </c>
      <c r="E522" s="170">
        <v>281.95547867368794</v>
      </c>
      <c r="F522" s="170">
        <v>311.78597279458711</v>
      </c>
      <c r="G522" s="170"/>
      <c r="H522" s="170"/>
      <c r="I522" s="169">
        <v>1347.095</v>
      </c>
      <c r="J522" s="169">
        <v>1507.65</v>
      </c>
      <c r="K522" s="169">
        <v>135.47999999999999</v>
      </c>
      <c r="L522" s="170">
        <v>149.81359395075506</v>
      </c>
      <c r="M522" s="170">
        <v>14282.142900000001</v>
      </c>
      <c r="N522" s="170">
        <v>15793.173584051221</v>
      </c>
      <c r="O522" s="170">
        <v>7182.2619000000004</v>
      </c>
      <c r="P522" s="170">
        <v>7942.1351338542854</v>
      </c>
      <c r="Q522" s="170">
        <v>2173.4524000000001</v>
      </c>
      <c r="R522" s="170">
        <v>2403.4006150346477</v>
      </c>
      <c r="S522" s="170">
        <v>1894.6189999999999</v>
      </c>
      <c r="T522" s="170">
        <v>2095.0670324578209</v>
      </c>
      <c r="U522" s="170">
        <v>1231.6870282975747</v>
      </c>
      <c r="V522" s="170">
        <v>1361.9977880999779</v>
      </c>
      <c r="W522" s="170">
        <v>2568.0506683459812</v>
      </c>
      <c r="X522" s="170">
        <v>2839.7468266352967</v>
      </c>
      <c r="Y522" s="170"/>
      <c r="Z522" s="170"/>
      <c r="AA522" s="170"/>
      <c r="AB522" s="170"/>
      <c r="AC522" s="170">
        <v>21.838000000000001</v>
      </c>
      <c r="AD522" s="170">
        <v>24.8</v>
      </c>
      <c r="AE522" s="170">
        <v>27121.666700000002</v>
      </c>
      <c r="AF522" s="170">
        <v>29991.100991006166</v>
      </c>
      <c r="AG522" s="170">
        <v>1494.095</v>
      </c>
      <c r="AH522" s="170">
        <v>1652.1681551066829</v>
      </c>
      <c r="AI522" s="170">
        <v>740.57100000000003</v>
      </c>
      <c r="AJ522" s="170">
        <v>818.92237293847529</v>
      </c>
      <c r="AK522" s="170">
        <v>110.97</v>
      </c>
      <c r="AL522" s="170">
        <v>122.71047033300331</v>
      </c>
      <c r="AM522" s="170">
        <v>116.61</v>
      </c>
      <c r="AN522" s="170">
        <v>128.94717442129871</v>
      </c>
      <c r="AO522" s="170"/>
      <c r="AP522" s="170"/>
      <c r="AS522" s="167"/>
      <c r="AT522" s="1170"/>
      <c r="AU522" s="1171"/>
      <c r="AV522" s="1171"/>
      <c r="AW522" s="1172"/>
      <c r="AX522" s="1172"/>
      <c r="AY522" s="1172"/>
      <c r="AZ522" s="1172"/>
      <c r="BA522" s="1283" t="s">
        <v>40</v>
      </c>
      <c r="BB522" s="1237">
        <v>2008</v>
      </c>
      <c r="BC522" s="1236" t="s">
        <v>320</v>
      </c>
      <c r="BD522" s="1236">
        <v>3</v>
      </c>
      <c r="BE522" s="1238">
        <v>3789500406.7640591</v>
      </c>
      <c r="BF522" s="1239">
        <v>0.11786068699203534</v>
      </c>
      <c r="BG522" s="1236"/>
      <c r="BH522" s="1294" t="s">
        <v>32</v>
      </c>
      <c r="BI522" s="1294" t="s">
        <v>303</v>
      </c>
      <c r="BJ522" s="1294" t="s">
        <v>291</v>
      </c>
      <c r="BK522" s="1294"/>
      <c r="BL522" s="1295">
        <v>42294000</v>
      </c>
      <c r="BM522" s="1239">
        <v>2.510365779537011E-3</v>
      </c>
      <c r="BN522" s="1236">
        <v>2008</v>
      </c>
      <c r="BO522" s="174"/>
      <c r="BP522" s="174"/>
      <c r="BQ522" s="174"/>
      <c r="BR522" s="174"/>
      <c r="BS522" s="174"/>
      <c r="BT522" s="174"/>
      <c r="BU522" s="174"/>
      <c r="BV522" s="174"/>
      <c r="BW522" s="174"/>
      <c r="BX522" s="174"/>
    </row>
    <row r="523" spans="1:76" s="152" customFormat="1" ht="15" customHeight="1" x14ac:dyDescent="0.25">
      <c r="A523" s="152">
        <f t="shared" si="14"/>
        <v>2013</v>
      </c>
      <c r="B523" s="152" t="str">
        <f t="shared" si="15"/>
        <v>2013-14</v>
      </c>
      <c r="C523" s="173">
        <v>41518</v>
      </c>
      <c r="D523" s="154">
        <v>0.92778571428571444</v>
      </c>
      <c r="E523" s="155">
        <v>283.80380529573353</v>
      </c>
      <c r="F523" s="155">
        <v>305.89370037264365</v>
      </c>
      <c r="G523" s="155"/>
      <c r="H523" s="155"/>
      <c r="I523" s="156">
        <v>1348.798</v>
      </c>
      <c r="J523" s="156">
        <v>1469.65</v>
      </c>
      <c r="K523" s="157">
        <v>133.07499999999999</v>
      </c>
      <c r="L523" s="158">
        <v>143.43290476557084</v>
      </c>
      <c r="M523" s="159">
        <v>13779.523800000001</v>
      </c>
      <c r="N523" s="159">
        <v>14852.054292093308</v>
      </c>
      <c r="O523" s="175">
        <v>7161.4286000000002</v>
      </c>
      <c r="P523" s="175">
        <v>7718.8390484255897</v>
      </c>
      <c r="Q523" s="175">
        <v>2088.4047999999998</v>
      </c>
      <c r="R523" s="175">
        <v>2250.9559781353446</v>
      </c>
      <c r="S523" s="175">
        <v>1848.4286</v>
      </c>
      <c r="T523" s="175">
        <v>1992.3012087150662</v>
      </c>
      <c r="U523" s="161">
        <v>1259.3776207520893</v>
      </c>
      <c r="V523" s="161">
        <v>1357.4013927576602</v>
      </c>
      <c r="W523" s="161">
        <v>2487.2769387126391</v>
      </c>
      <c r="X523" s="161">
        <v>2680.874366154203</v>
      </c>
      <c r="Y523" s="162"/>
      <c r="Z523" s="162"/>
      <c r="AA523" s="162"/>
      <c r="AB523" s="162"/>
      <c r="AC523" s="163">
        <v>22.564</v>
      </c>
      <c r="AD523" s="163">
        <v>24.87</v>
      </c>
      <c r="AE523" s="163">
        <v>28607.381000000001</v>
      </c>
      <c r="AF523" s="163">
        <v>30834.039110016165</v>
      </c>
      <c r="AG523" s="163">
        <v>1456.857</v>
      </c>
      <c r="AH523" s="163">
        <v>1570.2515975055815</v>
      </c>
      <c r="AI523" s="163">
        <v>709.14300000000003</v>
      </c>
      <c r="AJ523" s="163">
        <v>764.33921010085453</v>
      </c>
      <c r="AK523" s="164">
        <v>111.62</v>
      </c>
      <c r="AL523" s="164">
        <v>120.30795288320886</v>
      </c>
      <c r="AM523" s="164">
        <v>118.25</v>
      </c>
      <c r="AN523" s="164">
        <v>127.45399953807066</v>
      </c>
      <c r="AO523" s="164"/>
      <c r="AP523" s="164"/>
      <c r="AS523" s="167"/>
      <c r="AT523" s="1170"/>
      <c r="AU523" s="1171"/>
      <c r="AV523" s="1171"/>
      <c r="AW523" s="1172"/>
      <c r="AX523" s="1172"/>
      <c r="AY523" s="1172"/>
      <c r="AZ523" s="1172"/>
      <c r="BA523" s="1283" t="s">
        <v>40</v>
      </c>
      <c r="BB523" s="1237">
        <v>2008</v>
      </c>
      <c r="BC523" s="1236" t="s">
        <v>315</v>
      </c>
      <c r="BD523" s="1236">
        <v>4</v>
      </c>
      <c r="BE523" s="1238">
        <v>1112538865.7145638</v>
      </c>
      <c r="BF523" s="1239">
        <v>3.4602079679001412E-2</v>
      </c>
      <c r="BG523" s="1236"/>
      <c r="BH523" s="1294" t="s">
        <v>32</v>
      </c>
      <c r="BI523" s="1294" t="s">
        <v>303</v>
      </c>
      <c r="BJ523" s="1294" t="s">
        <v>292</v>
      </c>
      <c r="BK523" s="1294"/>
      <c r="BL523" s="1295">
        <v>16847744000</v>
      </c>
      <c r="BM523" s="1239">
        <v>1</v>
      </c>
      <c r="BN523" s="1236">
        <v>2008</v>
      </c>
      <c r="BO523" s="174"/>
      <c r="BP523" s="174"/>
      <c r="BQ523" s="174"/>
      <c r="BR523" s="174"/>
      <c r="BS523" s="174"/>
      <c r="BT523" s="174"/>
      <c r="BU523" s="174"/>
      <c r="BV523" s="174"/>
      <c r="BW523" s="174"/>
      <c r="BX523" s="174"/>
    </row>
    <row r="524" spans="1:76" s="152" customFormat="1" ht="15" customHeight="1" x14ac:dyDescent="0.25">
      <c r="A524" s="152">
        <f t="shared" ref="A524:A587" si="16">YEAR(C524)</f>
        <v>2013</v>
      </c>
      <c r="B524" s="152" t="str">
        <f t="shared" ref="B524:B587" si="17">IF(MONTH(C524) &gt;= 7, A524 &amp; "-" &amp; RIGHT(A524+1, 2), A524-1 &amp; "-" &amp; RIGHT(A524, 2))</f>
        <v>2013-14</v>
      </c>
      <c r="C524" s="173">
        <v>41548</v>
      </c>
      <c r="D524" s="169">
        <v>0.95162727272727288</v>
      </c>
      <c r="E524" s="170">
        <v>282.20217016310312</v>
      </c>
      <c r="F524" s="170">
        <v>296.54695514803677</v>
      </c>
      <c r="G524" s="170"/>
      <c r="H524" s="170"/>
      <c r="I524" s="169">
        <v>1316.1849999999999</v>
      </c>
      <c r="J524" s="169">
        <v>1392.46</v>
      </c>
      <c r="K524" s="169">
        <v>133.05000000000001</v>
      </c>
      <c r="L524" s="170">
        <v>139.81314303728541</v>
      </c>
      <c r="M524" s="170">
        <v>14069.7826</v>
      </c>
      <c r="N524" s="170">
        <v>14784.972019220662</v>
      </c>
      <c r="O524" s="170">
        <v>7188.7390999999998</v>
      </c>
      <c r="P524" s="170">
        <v>7554.1541378882093</v>
      </c>
      <c r="Q524" s="170">
        <v>2111.4564999999998</v>
      </c>
      <c r="R524" s="170">
        <v>2218.7851909169931</v>
      </c>
      <c r="S524" s="170">
        <v>1882.8261</v>
      </c>
      <c r="T524" s="170">
        <v>1978.5331441836468</v>
      </c>
      <c r="U524" s="170">
        <v>1170.3944561685537</v>
      </c>
      <c r="V524" s="170">
        <v>1229.887467195339</v>
      </c>
      <c r="W524" s="170">
        <v>2448.5877440121499</v>
      </c>
      <c r="X524" s="170">
        <v>2573.0533520700087</v>
      </c>
      <c r="Y524" s="170"/>
      <c r="Z524" s="170"/>
      <c r="AA524" s="170"/>
      <c r="AB524" s="170"/>
      <c r="AC524" s="170">
        <v>21.917000000000002</v>
      </c>
      <c r="AD524" s="170">
        <v>23.49</v>
      </c>
      <c r="AE524" s="170">
        <v>27173.913</v>
      </c>
      <c r="AF524" s="170">
        <v>28555.206201816978</v>
      </c>
      <c r="AG524" s="170">
        <v>1413.4780000000001</v>
      </c>
      <c r="AH524" s="170">
        <v>1485.3273340402563</v>
      </c>
      <c r="AI524" s="170">
        <v>724.60900000000004</v>
      </c>
      <c r="AJ524" s="170">
        <v>761.44202753178763</v>
      </c>
      <c r="AK524" s="170">
        <v>109.48</v>
      </c>
      <c r="AL524" s="170">
        <v>115.04504246314923</v>
      </c>
      <c r="AM524" s="170">
        <v>116.47</v>
      </c>
      <c r="AN524" s="170">
        <v>122.39035527660751</v>
      </c>
      <c r="AO524" s="170"/>
      <c r="AP524" s="170"/>
      <c r="AS524" s="167"/>
      <c r="AT524" s="1170"/>
      <c r="AU524" s="1171"/>
      <c r="AV524" s="1171"/>
      <c r="AW524" s="1172"/>
      <c r="AX524" s="1172"/>
      <c r="AY524" s="1172"/>
      <c r="AZ524" s="1172"/>
      <c r="BA524" s="1283" t="s">
        <v>40</v>
      </c>
      <c r="BB524" s="1237">
        <v>2008</v>
      </c>
      <c r="BC524" s="1236" t="s">
        <v>337</v>
      </c>
      <c r="BD524" s="1236">
        <v>5</v>
      </c>
      <c r="BE524" s="1238">
        <v>206376220.06046522</v>
      </c>
      <c r="BF524" s="1239">
        <v>6.4186938815811896E-3</v>
      </c>
      <c r="BG524" s="1236"/>
      <c r="BH524" s="1296" t="s">
        <v>32</v>
      </c>
      <c r="BI524" s="1296" t="s">
        <v>302</v>
      </c>
      <c r="BJ524" s="1296" t="s">
        <v>287</v>
      </c>
      <c r="BK524" s="1296">
        <v>1</v>
      </c>
      <c r="BL524" s="1297">
        <v>7125640000</v>
      </c>
      <c r="BM524" s="1239">
        <v>0.52169148450470193</v>
      </c>
      <c r="BN524" s="1236">
        <v>2009</v>
      </c>
      <c r="BO524" s="174"/>
      <c r="BP524" s="174"/>
      <c r="BQ524" s="174"/>
      <c r="BR524" s="174"/>
      <c r="BS524" s="174"/>
      <c r="BT524" s="174"/>
      <c r="BU524" s="174"/>
      <c r="BV524" s="174"/>
      <c r="BW524" s="174"/>
      <c r="BX524" s="174"/>
    </row>
    <row r="525" spans="1:76" s="152" customFormat="1" ht="15" customHeight="1" x14ac:dyDescent="0.25">
      <c r="A525" s="152">
        <f t="shared" si="16"/>
        <v>2013</v>
      </c>
      <c r="B525" s="152" t="str">
        <f t="shared" si="17"/>
        <v>2013-14</v>
      </c>
      <c r="C525" s="173">
        <v>41579</v>
      </c>
      <c r="D525" s="154">
        <v>0.93309523809523809</v>
      </c>
      <c r="E525" s="155">
        <v>282.37089284880852</v>
      </c>
      <c r="F525" s="155">
        <v>302.61744066470931</v>
      </c>
      <c r="G525" s="155"/>
      <c r="H525" s="155"/>
      <c r="I525" s="156">
        <v>1275.8209999999999</v>
      </c>
      <c r="J525" s="156">
        <v>1378.73</v>
      </c>
      <c r="K525" s="157">
        <v>136.18</v>
      </c>
      <c r="L525" s="158">
        <v>145.94437356468487</v>
      </c>
      <c r="M525" s="159">
        <v>13729.0476</v>
      </c>
      <c r="N525" s="159">
        <v>14713.447287573361</v>
      </c>
      <c r="O525" s="175">
        <v>7066.4048000000003</v>
      </c>
      <c r="P525" s="175">
        <v>7573.0799081398318</v>
      </c>
      <c r="Q525" s="175">
        <v>2090.1905000000002</v>
      </c>
      <c r="R525" s="175">
        <v>2240.0612656289873</v>
      </c>
      <c r="S525" s="175">
        <v>1868.6667</v>
      </c>
      <c r="T525" s="175">
        <v>2002.6537739219189</v>
      </c>
      <c r="U525" s="161">
        <v>1056.4199556536562</v>
      </c>
      <c r="V525" s="161">
        <v>1132.1673421141506</v>
      </c>
      <c r="W525" s="161">
        <v>2594.4786413564211</v>
      </c>
      <c r="X525" s="161">
        <v>2780.5078575394155</v>
      </c>
      <c r="Y525" s="162"/>
      <c r="Z525" s="162"/>
      <c r="AA525" s="162"/>
      <c r="AB525" s="162"/>
      <c r="AC525" s="163">
        <v>20.757999999999999</v>
      </c>
      <c r="AD525" s="163">
        <v>22.66</v>
      </c>
      <c r="AE525" s="163">
        <v>26778.571400000001</v>
      </c>
      <c r="AF525" s="163">
        <v>28698.647583567239</v>
      </c>
      <c r="AG525" s="163">
        <v>1420.095</v>
      </c>
      <c r="AH525" s="163">
        <v>1521.9186016841031</v>
      </c>
      <c r="AI525" s="163">
        <v>733.35699999999997</v>
      </c>
      <c r="AJ525" s="163">
        <v>785.94013779025261</v>
      </c>
      <c r="AK525" s="164">
        <v>108.08</v>
      </c>
      <c r="AL525" s="164">
        <v>115.82954835417198</v>
      </c>
      <c r="AM525" s="164">
        <v>115.35</v>
      </c>
      <c r="AN525" s="164">
        <v>123.620821638173</v>
      </c>
      <c r="AO525" s="164"/>
      <c r="AP525" s="164"/>
      <c r="AS525" s="167"/>
      <c r="AT525" s="1170"/>
      <c r="AU525" s="1171"/>
      <c r="AV525" s="1171"/>
      <c r="AW525" s="1172"/>
      <c r="AX525" s="1172"/>
      <c r="AY525" s="1172"/>
      <c r="AZ525" s="1172"/>
      <c r="BA525" s="1283" t="s">
        <v>40</v>
      </c>
      <c r="BB525" s="1237">
        <v>2008</v>
      </c>
      <c r="BC525" s="1236" t="s">
        <v>291</v>
      </c>
      <c r="BD525" s="1236"/>
      <c r="BE525" s="1238">
        <v>307416486.84338468</v>
      </c>
      <c r="BF525" s="1239">
        <v>9.5612388027103857E-3</v>
      </c>
      <c r="BG525" s="1236"/>
      <c r="BH525" s="1296" t="s">
        <v>32</v>
      </c>
      <c r="BI525" s="1296" t="s">
        <v>302</v>
      </c>
      <c r="BJ525" s="1296" t="s">
        <v>314</v>
      </c>
      <c r="BK525" s="1296">
        <v>2</v>
      </c>
      <c r="BL525" s="1297">
        <v>4162595000</v>
      </c>
      <c r="BM525" s="1239">
        <v>0.30475723793818515</v>
      </c>
      <c r="BN525" s="1236">
        <v>2009</v>
      </c>
      <c r="BO525" s="174"/>
      <c r="BP525" s="174"/>
      <c r="BQ525" s="174"/>
      <c r="BR525" s="174"/>
      <c r="BS525" s="174"/>
      <c r="BT525" s="174"/>
      <c r="BU525" s="174"/>
      <c r="BV525" s="174"/>
      <c r="BW525" s="174"/>
      <c r="BX525" s="174"/>
    </row>
    <row r="526" spans="1:76" s="152" customFormat="1" ht="15" customHeight="1" x14ac:dyDescent="0.25">
      <c r="A526" s="152">
        <f t="shared" si="16"/>
        <v>2013</v>
      </c>
      <c r="B526" s="152" t="str">
        <f t="shared" si="17"/>
        <v>2013-14</v>
      </c>
      <c r="C526" s="173">
        <v>41609</v>
      </c>
      <c r="D526" s="169">
        <v>0.89888500000000016</v>
      </c>
      <c r="E526" s="170">
        <v>276.49882456571385</v>
      </c>
      <c r="F526" s="170">
        <v>307.60200088522311</v>
      </c>
      <c r="G526" s="170"/>
      <c r="H526" s="170"/>
      <c r="I526" s="169">
        <v>1224.145</v>
      </c>
      <c r="J526" s="169">
        <v>1373.28</v>
      </c>
      <c r="K526" s="169">
        <v>135.47499999999999</v>
      </c>
      <c r="L526" s="170">
        <v>150.71449629262918</v>
      </c>
      <c r="M526" s="170">
        <v>13914.5</v>
      </c>
      <c r="N526" s="170">
        <v>15479.733225051034</v>
      </c>
      <c r="O526" s="170">
        <v>7202.95</v>
      </c>
      <c r="P526" s="170">
        <v>8013.2052487248075</v>
      </c>
      <c r="Q526" s="170">
        <v>2133</v>
      </c>
      <c r="R526" s="170">
        <v>2372.9398087630784</v>
      </c>
      <c r="S526" s="170">
        <v>1974.2</v>
      </c>
      <c r="T526" s="170">
        <v>2196.2764981059863</v>
      </c>
      <c r="U526" s="170">
        <v>1099.0762742295715</v>
      </c>
      <c r="V526" s="170">
        <v>1222.7106629096841</v>
      </c>
      <c r="W526" s="170">
        <v>2592.9830701990163</v>
      </c>
      <c r="X526" s="170">
        <v>2884.6660809770055</v>
      </c>
      <c r="Y526" s="170"/>
      <c r="Z526" s="170"/>
      <c r="AA526" s="170"/>
      <c r="AB526" s="170"/>
      <c r="AC526" s="170">
        <v>19.609000000000002</v>
      </c>
      <c r="AD526" s="170">
        <v>22.31</v>
      </c>
      <c r="AE526" s="170">
        <v>26932.5</v>
      </c>
      <c r="AF526" s="170">
        <v>29962.119737230008</v>
      </c>
      <c r="AG526" s="170">
        <v>1358.722</v>
      </c>
      <c r="AH526" s="170">
        <v>1511.5637706714426</v>
      </c>
      <c r="AI526" s="170">
        <v>719.83299999999997</v>
      </c>
      <c r="AJ526" s="170">
        <v>800.80655478731967</v>
      </c>
      <c r="AK526" s="170">
        <v>110.67</v>
      </c>
      <c r="AL526" s="170">
        <v>123.11919767267223</v>
      </c>
      <c r="AM526" s="170">
        <v>119.81</v>
      </c>
      <c r="AN526" s="170">
        <v>133.28735043971139</v>
      </c>
      <c r="AO526" s="170"/>
      <c r="AP526" s="170"/>
      <c r="AS526" s="167"/>
      <c r="AT526" s="1170"/>
      <c r="AU526" s="1171"/>
      <c r="AV526" s="1171"/>
      <c r="AW526" s="1172"/>
      <c r="AX526" s="1172"/>
      <c r="AY526" s="1172"/>
      <c r="AZ526" s="1172"/>
      <c r="BA526" s="1283" t="s">
        <v>40</v>
      </c>
      <c r="BB526" s="1237">
        <v>2008</v>
      </c>
      <c r="BC526" s="1236" t="s">
        <v>292</v>
      </c>
      <c r="BD526" s="1236"/>
      <c r="BE526" s="1238">
        <v>32152369916.358471</v>
      </c>
      <c r="BF526" s="1239"/>
      <c r="BG526" s="1236"/>
      <c r="BH526" s="1296" t="s">
        <v>32</v>
      </c>
      <c r="BI526" s="1296" t="s">
        <v>302</v>
      </c>
      <c r="BJ526" s="1296" t="s">
        <v>323</v>
      </c>
      <c r="BK526" s="1296">
        <v>3</v>
      </c>
      <c r="BL526" s="1297">
        <v>1314187000</v>
      </c>
      <c r="BM526" s="1239">
        <v>9.6215942279820568E-2</v>
      </c>
      <c r="BN526" s="1236">
        <v>2009</v>
      </c>
      <c r="BO526" s="174"/>
      <c r="BP526" s="174"/>
      <c r="BQ526" s="174"/>
      <c r="BR526" s="174"/>
      <c r="BS526" s="174"/>
      <c r="BT526" s="174"/>
      <c r="BU526" s="174"/>
      <c r="BV526" s="174"/>
      <c r="BW526" s="174"/>
      <c r="BX526" s="174"/>
    </row>
    <row r="527" spans="1:76" s="152" customFormat="1" ht="15" customHeight="1" x14ac:dyDescent="0.25">
      <c r="A527" s="152">
        <f t="shared" si="16"/>
        <v>2014</v>
      </c>
      <c r="B527" s="152" t="str">
        <f t="shared" si="17"/>
        <v>2013-14</v>
      </c>
      <c r="C527" s="173">
        <v>41640</v>
      </c>
      <c r="D527" s="154">
        <v>0.88648095238095237</v>
      </c>
      <c r="E527" s="155">
        <v>286.14712698814168</v>
      </c>
      <c r="F527" s="155">
        <v>322.78993273300932</v>
      </c>
      <c r="G527" s="155"/>
      <c r="H527" s="155"/>
      <c r="I527" s="156">
        <v>1244.7950000000001</v>
      </c>
      <c r="J527" s="156">
        <v>1411.08</v>
      </c>
      <c r="K527" s="157">
        <v>127.98</v>
      </c>
      <c r="L527" s="158">
        <v>144.3685841825087</v>
      </c>
      <c r="M527" s="159">
        <v>14079.3182</v>
      </c>
      <c r="N527" s="159">
        <v>15882.256874425901</v>
      </c>
      <c r="O527" s="175">
        <v>7294.8864000000003</v>
      </c>
      <c r="P527" s="175">
        <v>8229.0390790767142</v>
      </c>
      <c r="Q527" s="175">
        <v>2148.8863999999999</v>
      </c>
      <c r="R527" s="175">
        <v>2424.0638157293956</v>
      </c>
      <c r="S527" s="175">
        <v>2038.4091000000001</v>
      </c>
      <c r="T527" s="175">
        <v>2299.4392541939505</v>
      </c>
      <c r="U527" s="161">
        <v>1093.3375338190003</v>
      </c>
      <c r="V527" s="161">
        <v>1233.3457711442786</v>
      </c>
      <c r="W527" s="161">
        <v>2588.4286476203279</v>
      </c>
      <c r="X527" s="161">
        <v>2919.8920074573562</v>
      </c>
      <c r="Y527" s="162"/>
      <c r="Z527" s="162"/>
      <c r="AA527" s="162"/>
      <c r="AB527" s="162"/>
      <c r="AC527" s="163">
        <v>19.905999999999999</v>
      </c>
      <c r="AD527" s="163">
        <v>22.89</v>
      </c>
      <c r="AE527" s="163">
        <v>28818.181799999998</v>
      </c>
      <c r="AF527" s="163">
        <v>32508.517777622594</v>
      </c>
      <c r="AG527" s="163">
        <v>1423.182</v>
      </c>
      <c r="AH527" s="163">
        <v>1605.4287417880223</v>
      </c>
      <c r="AI527" s="163">
        <v>734.13599999999997</v>
      </c>
      <c r="AJ527" s="163">
        <v>828.14638941561338</v>
      </c>
      <c r="AK527" s="164">
        <v>107.42</v>
      </c>
      <c r="AL527" s="164">
        <v>121.17575646886297</v>
      </c>
      <c r="AM527" s="164">
        <v>114.98</v>
      </c>
      <c r="AN527" s="164">
        <v>129.70385848808291</v>
      </c>
      <c r="AO527" s="164"/>
      <c r="AP527" s="164"/>
      <c r="AS527" s="167"/>
      <c r="AT527" s="1170"/>
      <c r="AU527" s="1171"/>
      <c r="AV527" s="1171"/>
      <c r="AW527" s="1172"/>
      <c r="AX527" s="1172"/>
      <c r="AY527" s="1172"/>
      <c r="AZ527" s="1172"/>
      <c r="BA527" s="1283" t="s">
        <v>40</v>
      </c>
      <c r="BB527" s="1237">
        <v>2007</v>
      </c>
      <c r="BC527" s="1236" t="s">
        <v>281</v>
      </c>
      <c r="BD527" s="1236">
        <v>1</v>
      </c>
      <c r="BE527" s="1238">
        <v>8692795558.0471916</v>
      </c>
      <c r="BF527" s="1239">
        <v>0.53354838462399057</v>
      </c>
      <c r="BG527" s="1236"/>
      <c r="BH527" s="1296" t="s">
        <v>32</v>
      </c>
      <c r="BI527" s="1296" t="s">
        <v>302</v>
      </c>
      <c r="BJ527" s="1296" t="s">
        <v>306</v>
      </c>
      <c r="BK527" s="1296">
        <v>4</v>
      </c>
      <c r="BL527" s="1297">
        <v>441682000</v>
      </c>
      <c r="BM527" s="1239">
        <v>3.2336988433180142E-2</v>
      </c>
      <c r="BN527" s="1236">
        <v>2009</v>
      </c>
      <c r="BO527" s="174"/>
      <c r="BP527" s="174"/>
      <c r="BQ527" s="174"/>
      <c r="BR527" s="174"/>
      <c r="BS527" s="174"/>
      <c r="BT527" s="174"/>
      <c r="BU527" s="174"/>
      <c r="BV527" s="174"/>
      <c r="BW527" s="174"/>
      <c r="BX527" s="174"/>
    </row>
    <row r="528" spans="1:76" s="152" customFormat="1" ht="15" customHeight="1" x14ac:dyDescent="0.25">
      <c r="A528" s="152">
        <f t="shared" si="16"/>
        <v>2014</v>
      </c>
      <c r="B528" s="152" t="str">
        <f t="shared" si="17"/>
        <v>2013-14</v>
      </c>
      <c r="C528" s="173">
        <v>41671</v>
      </c>
      <c r="D528" s="169">
        <v>0.89660999999999991</v>
      </c>
      <c r="E528" s="170">
        <v>289.13392010677745</v>
      </c>
      <c r="F528" s="170">
        <v>322.47456542619142</v>
      </c>
      <c r="G528" s="170"/>
      <c r="H528" s="170"/>
      <c r="I528" s="169">
        <v>1300.9749999999999</v>
      </c>
      <c r="J528" s="169">
        <v>1458.63</v>
      </c>
      <c r="K528" s="169">
        <v>121.15</v>
      </c>
      <c r="L528" s="170">
        <v>135.12006334972844</v>
      </c>
      <c r="M528" s="170">
        <v>14194.5</v>
      </c>
      <c r="N528" s="170">
        <v>15831.297888714158</v>
      </c>
      <c r="O528" s="170">
        <v>7152.15</v>
      </c>
      <c r="P528" s="170">
        <v>7976.8795797503935</v>
      </c>
      <c r="Q528" s="170">
        <v>2110.4749999999999</v>
      </c>
      <c r="R528" s="170">
        <v>2353.8383466613132</v>
      </c>
      <c r="S528" s="170">
        <v>2035.4</v>
      </c>
      <c r="T528" s="170">
        <v>2270.1062892450454</v>
      </c>
      <c r="U528" s="170">
        <v>1045.1332170706241</v>
      </c>
      <c r="V528" s="170">
        <v>1165.6497441146366</v>
      </c>
      <c r="W528" s="170">
        <v>2567.7655354489375</v>
      </c>
      <c r="X528" s="170">
        <v>2863.860023253073</v>
      </c>
      <c r="Y528" s="170"/>
      <c r="Z528" s="170"/>
      <c r="AA528" s="170"/>
      <c r="AB528" s="170"/>
      <c r="AC528" s="170">
        <v>20.827999999999999</v>
      </c>
      <c r="AD528" s="170">
        <v>23.59</v>
      </c>
      <c r="AE528" s="170">
        <v>31515.5</v>
      </c>
      <c r="AF528" s="170">
        <v>35149.619120910989</v>
      </c>
      <c r="AG528" s="170">
        <v>1410.5</v>
      </c>
      <c r="AH528" s="170">
        <v>1573.1477453965495</v>
      </c>
      <c r="AI528" s="170">
        <v>728.55</v>
      </c>
      <c r="AJ528" s="170">
        <v>812.56064509653027</v>
      </c>
      <c r="AK528" s="170">
        <v>108.81</v>
      </c>
      <c r="AL528" s="170">
        <v>121.35711178773381</v>
      </c>
      <c r="AM528" s="170">
        <v>114.41</v>
      </c>
      <c r="AN528" s="170">
        <v>127.60285966027594</v>
      </c>
      <c r="AO528" s="170"/>
      <c r="AP528" s="170"/>
      <c r="AS528" s="167"/>
      <c r="AT528" s="1170"/>
      <c r="AU528" s="1171"/>
      <c r="AV528" s="1171"/>
      <c r="AW528" s="1172"/>
      <c r="AX528" s="1172"/>
      <c r="AY528" s="1172"/>
      <c r="AZ528" s="1172"/>
      <c r="BA528" s="1283" t="s">
        <v>40</v>
      </c>
      <c r="BB528" s="1237">
        <v>2007</v>
      </c>
      <c r="BC528" s="1236" t="s">
        <v>308</v>
      </c>
      <c r="BD528" s="1236">
        <v>2</v>
      </c>
      <c r="BE528" s="1238">
        <v>4869773185.7839947</v>
      </c>
      <c r="BF528" s="1239">
        <v>0.29889804717137114</v>
      </c>
      <c r="BG528" s="1236"/>
      <c r="BH528" s="1296" t="s">
        <v>32</v>
      </c>
      <c r="BI528" s="1296" t="s">
        <v>302</v>
      </c>
      <c r="BJ528" s="1296" t="s">
        <v>320</v>
      </c>
      <c r="BK528" s="1296">
        <v>5</v>
      </c>
      <c r="BL528" s="1297">
        <v>381255000</v>
      </c>
      <c r="BM528" s="1239">
        <v>2.791292949473172E-2</v>
      </c>
      <c r="BN528" s="1236">
        <v>2009</v>
      </c>
      <c r="BO528" s="174"/>
      <c r="BP528" s="174"/>
      <c r="BQ528" s="174"/>
      <c r="BR528" s="174"/>
      <c r="BS528" s="174"/>
      <c r="BT528" s="174"/>
      <c r="BU528" s="174"/>
      <c r="BV528" s="174"/>
      <c r="BW528" s="174"/>
      <c r="BX528" s="174"/>
    </row>
    <row r="529" spans="1:76" s="152" customFormat="1" ht="15" customHeight="1" x14ac:dyDescent="0.25">
      <c r="A529" s="152">
        <f t="shared" si="16"/>
        <v>2014</v>
      </c>
      <c r="B529" s="152" t="str">
        <f t="shared" si="17"/>
        <v>2013-14</v>
      </c>
      <c r="C529" s="173">
        <v>41699</v>
      </c>
      <c r="D529" s="154">
        <v>0.9071095238095237</v>
      </c>
      <c r="E529" s="155">
        <v>284.0090103739301</v>
      </c>
      <c r="F529" s="155">
        <v>313.09230354147041</v>
      </c>
      <c r="G529" s="155"/>
      <c r="H529" s="155"/>
      <c r="I529" s="156">
        <v>1336.0830000000001</v>
      </c>
      <c r="J529" s="156">
        <v>1485.19</v>
      </c>
      <c r="K529" s="157">
        <v>111.825</v>
      </c>
      <c r="L529" s="158">
        <v>123.27618337681702</v>
      </c>
      <c r="M529" s="159">
        <v>15659.7619</v>
      </c>
      <c r="N529" s="159">
        <v>17263.364002876748</v>
      </c>
      <c r="O529" s="175">
        <v>6667.8333000000002</v>
      </c>
      <c r="P529" s="175">
        <v>7350.637519488906</v>
      </c>
      <c r="Q529" s="175">
        <v>2056.3571000000002</v>
      </c>
      <c r="R529" s="175">
        <v>2266.9336458557536</v>
      </c>
      <c r="S529" s="175">
        <v>2014.4048</v>
      </c>
      <c r="T529" s="175">
        <v>2220.6853165208172</v>
      </c>
      <c r="U529" s="161">
        <v>1027.2584724164997</v>
      </c>
      <c r="V529" s="161">
        <v>1132.4525269036917</v>
      </c>
      <c r="W529" s="161">
        <v>2538.5251092079739</v>
      </c>
      <c r="X529" s="161">
        <v>2798.4769673094265</v>
      </c>
      <c r="Y529" s="162"/>
      <c r="Z529" s="162"/>
      <c r="AA529" s="162"/>
      <c r="AB529" s="162"/>
      <c r="AC529" s="163">
        <v>20.736000000000001</v>
      </c>
      <c r="AD529" s="163">
        <v>23.23</v>
      </c>
      <c r="AE529" s="163">
        <v>30885.7143</v>
      </c>
      <c r="AF529" s="163">
        <v>34048.495236045426</v>
      </c>
      <c r="AG529" s="163">
        <v>1451.6189999999999</v>
      </c>
      <c r="AH529" s="163">
        <v>1600.268723785126</v>
      </c>
      <c r="AI529" s="163">
        <v>773.07100000000003</v>
      </c>
      <c r="AJ529" s="163">
        <v>852.23556771114966</v>
      </c>
      <c r="AK529" s="164">
        <v>107.4</v>
      </c>
      <c r="AL529" s="164">
        <v>118.39805137196645</v>
      </c>
      <c r="AM529" s="164">
        <v>113.4</v>
      </c>
      <c r="AN529" s="164">
        <v>125.01246764972993</v>
      </c>
      <c r="AO529" s="164"/>
      <c r="AP529" s="164"/>
      <c r="AS529" s="167"/>
      <c r="AT529" s="1170"/>
      <c r="AU529" s="1171"/>
      <c r="AV529" s="1171"/>
      <c r="AW529" s="1172"/>
      <c r="AX529" s="1172"/>
      <c r="AY529" s="1172"/>
      <c r="AZ529" s="1172"/>
      <c r="BA529" s="1283" t="s">
        <v>40</v>
      </c>
      <c r="BB529" s="1237">
        <v>2007</v>
      </c>
      <c r="BC529" s="1236" t="s">
        <v>320</v>
      </c>
      <c r="BD529" s="1236">
        <v>3</v>
      </c>
      <c r="BE529" s="1238">
        <v>1796894750.4024489</v>
      </c>
      <c r="BF529" s="1239">
        <v>0.11029021504238977</v>
      </c>
      <c r="BG529" s="1236"/>
      <c r="BH529" s="1296" t="s">
        <v>32</v>
      </c>
      <c r="BI529" s="1296" t="s">
        <v>302</v>
      </c>
      <c r="BJ529" s="1296" t="s">
        <v>286</v>
      </c>
      <c r="BK529" s="1296">
        <v>6</v>
      </c>
      <c r="BL529" s="1297">
        <v>84105000</v>
      </c>
      <c r="BM529" s="1239">
        <v>6.1576030088901423E-3</v>
      </c>
      <c r="BN529" s="1236">
        <v>2009</v>
      </c>
      <c r="BO529" s="174"/>
      <c r="BP529" s="174"/>
      <c r="BQ529" s="174"/>
      <c r="BR529" s="174"/>
      <c r="BS529" s="174"/>
      <c r="BT529" s="174"/>
      <c r="BU529" s="174"/>
      <c r="BV529" s="174"/>
      <c r="BW529" s="174"/>
      <c r="BX529" s="174"/>
    </row>
    <row r="530" spans="1:76" s="152" customFormat="1" ht="15" customHeight="1" x14ac:dyDescent="0.25">
      <c r="A530" s="152">
        <f t="shared" si="16"/>
        <v>2014</v>
      </c>
      <c r="B530" s="152" t="str">
        <f t="shared" si="17"/>
        <v>2013-14</v>
      </c>
      <c r="C530" s="173">
        <v>41730</v>
      </c>
      <c r="D530" s="169">
        <v>0.93137894736842097</v>
      </c>
      <c r="E530" s="170">
        <v>285.32148706406321</v>
      </c>
      <c r="F530" s="170">
        <v>306.34307106707661</v>
      </c>
      <c r="G530" s="170"/>
      <c r="H530" s="170"/>
      <c r="I530" s="169">
        <v>1299</v>
      </c>
      <c r="J530" s="169">
        <v>1405.39</v>
      </c>
      <c r="K530" s="169">
        <v>115.03</v>
      </c>
      <c r="L530" s="170">
        <v>123.50504628112252</v>
      </c>
      <c r="M530" s="170">
        <v>17375</v>
      </c>
      <c r="N530" s="170">
        <v>18655.135000734623</v>
      </c>
      <c r="O530" s="170">
        <v>6670.8249999999998</v>
      </c>
      <c r="P530" s="170">
        <v>7162.3102700014697</v>
      </c>
      <c r="Q530" s="170">
        <v>2085.9499999999998</v>
      </c>
      <c r="R530" s="170">
        <v>2239.6361930810003</v>
      </c>
      <c r="S530" s="170">
        <v>2030.6</v>
      </c>
      <c r="T530" s="170">
        <v>2180.2081802872935</v>
      </c>
      <c r="U530" s="170">
        <v>1106.9922364602828</v>
      </c>
      <c r="V530" s="170">
        <v>1188.551920341394</v>
      </c>
      <c r="W530" s="170">
        <v>2541.0390695235815</v>
      </c>
      <c r="X530" s="170">
        <v>2728.2547846966045</v>
      </c>
      <c r="Y530" s="170"/>
      <c r="Z530" s="170"/>
      <c r="AA530" s="170"/>
      <c r="AB530" s="170"/>
      <c r="AC530" s="170">
        <v>19.71</v>
      </c>
      <c r="AD530" s="170">
        <v>21.59</v>
      </c>
      <c r="AE530" s="170">
        <v>30235</v>
      </c>
      <c r="AF530" s="170">
        <v>32462.619093364679</v>
      </c>
      <c r="AG530" s="170">
        <v>1431.5</v>
      </c>
      <c r="AH530" s="170">
        <v>1536.968388693618</v>
      </c>
      <c r="AI530" s="170">
        <v>792.32500000000005</v>
      </c>
      <c r="AJ530" s="170">
        <v>850.70099795436317</v>
      </c>
      <c r="AK530" s="170">
        <v>107.79</v>
      </c>
      <c r="AL530" s="170">
        <v>115.73162599880202</v>
      </c>
      <c r="AM530" s="170">
        <v>114.13</v>
      </c>
      <c r="AN530" s="170">
        <v>122.53873713000532</v>
      </c>
      <c r="AO530" s="170"/>
      <c r="AP530" s="170"/>
      <c r="AS530" s="167"/>
      <c r="AT530" s="1170"/>
      <c r="AU530" s="1171"/>
      <c r="AV530" s="1171"/>
      <c r="AW530" s="1172"/>
      <c r="AX530" s="1172"/>
      <c r="AY530" s="1172"/>
      <c r="AZ530" s="1172"/>
      <c r="BA530" s="1283" t="s">
        <v>40</v>
      </c>
      <c r="BB530" s="1237">
        <v>2007</v>
      </c>
      <c r="BC530" s="1236" t="s">
        <v>315</v>
      </c>
      <c r="BD530" s="1236">
        <v>4</v>
      </c>
      <c r="BE530" s="1238">
        <v>635743495.43354642</v>
      </c>
      <c r="BF530" s="1239">
        <v>3.9020808985869924E-2</v>
      </c>
      <c r="BG530" s="1236"/>
      <c r="BH530" s="1296" t="s">
        <v>32</v>
      </c>
      <c r="BI530" s="1296" t="s">
        <v>302</v>
      </c>
      <c r="BJ530" s="1296" t="s">
        <v>334</v>
      </c>
      <c r="BK530" s="1296">
        <v>7</v>
      </c>
      <c r="BL530" s="1297">
        <v>51261000</v>
      </c>
      <c r="BM530" s="1239">
        <v>3.7529860036706209E-3</v>
      </c>
      <c r="BN530" s="1236">
        <v>2009</v>
      </c>
      <c r="BO530" s="174"/>
      <c r="BP530" s="174"/>
      <c r="BQ530" s="174"/>
      <c r="BR530" s="174"/>
      <c r="BS530" s="174"/>
      <c r="BT530" s="174"/>
      <c r="BU530" s="174"/>
      <c r="BV530" s="174"/>
      <c r="BW530" s="174"/>
      <c r="BX530" s="174"/>
    </row>
    <row r="531" spans="1:76" s="152" customFormat="1" ht="15" customHeight="1" x14ac:dyDescent="0.25">
      <c r="A531" s="152">
        <f t="shared" si="16"/>
        <v>2014</v>
      </c>
      <c r="B531" s="152" t="str">
        <f t="shared" si="17"/>
        <v>2013-14</v>
      </c>
      <c r="C531" s="173">
        <v>41760</v>
      </c>
      <c r="D531" s="154">
        <v>0.93091818181818187</v>
      </c>
      <c r="E531" s="155">
        <v>297.55868763636363</v>
      </c>
      <c r="F531" s="155">
        <v>319.64</v>
      </c>
      <c r="G531" s="155"/>
      <c r="H531" s="155"/>
      <c r="I531" s="156">
        <v>1287.5250000000001</v>
      </c>
      <c r="J531" s="156">
        <v>1396.41</v>
      </c>
      <c r="K531" s="157">
        <v>99.74</v>
      </c>
      <c r="L531" s="158">
        <v>107.1415318209783</v>
      </c>
      <c r="M531" s="159">
        <v>19439.75</v>
      </c>
      <c r="N531" s="159">
        <v>20882.340016210779</v>
      </c>
      <c r="O531" s="175">
        <v>6883.875</v>
      </c>
      <c r="P531" s="175">
        <v>7394.7153836388316</v>
      </c>
      <c r="Q531" s="175">
        <v>2097.125</v>
      </c>
      <c r="R531" s="175">
        <v>2252.7489965918298</v>
      </c>
      <c r="S531" s="175">
        <v>2060.3000000000002</v>
      </c>
      <c r="T531" s="175">
        <v>2213.1912774289312</v>
      </c>
      <c r="U531" s="161">
        <v>1005.3737340909092</v>
      </c>
      <c r="V531" s="161">
        <v>1079.9807692307693</v>
      </c>
      <c r="W531" s="161">
        <v>2559.0060770548084</v>
      </c>
      <c r="X531" s="161">
        <v>2748.9054645562924</v>
      </c>
      <c r="Y531" s="162"/>
      <c r="Z531" s="162"/>
      <c r="AA531" s="162"/>
      <c r="AB531" s="162"/>
      <c r="AC531" s="163">
        <v>19.36</v>
      </c>
      <c r="AD531" s="163">
        <v>21.18</v>
      </c>
      <c r="AE531" s="163">
        <v>30390</v>
      </c>
      <c r="AF531" s="163">
        <v>32645.189011826056</v>
      </c>
      <c r="AG531" s="163">
        <v>1456.425</v>
      </c>
      <c r="AH531" s="163">
        <v>1564.5037646116737</v>
      </c>
      <c r="AI531" s="163">
        <v>821.05</v>
      </c>
      <c r="AJ531" s="163">
        <v>881.9786916143396</v>
      </c>
      <c r="AK531" s="164">
        <v>109.71</v>
      </c>
      <c r="AL531" s="164">
        <v>117.8513881700374</v>
      </c>
      <c r="AM531" s="164">
        <v>114.44</v>
      </c>
      <c r="AN531" s="164">
        <v>122.93239323834727</v>
      </c>
      <c r="AO531" s="164"/>
      <c r="AP531" s="164"/>
      <c r="AS531" s="167"/>
      <c r="AT531" s="1170"/>
      <c r="AU531" s="1171"/>
      <c r="AV531" s="1171"/>
      <c r="AW531" s="1172"/>
      <c r="AX531" s="1172"/>
      <c r="AY531" s="1172"/>
      <c r="AZ531" s="1172"/>
      <c r="BA531" s="1283" t="s">
        <v>40</v>
      </c>
      <c r="BB531" s="1237">
        <v>2007</v>
      </c>
      <c r="BC531" s="1236" t="s">
        <v>337</v>
      </c>
      <c r="BD531" s="1236">
        <v>5</v>
      </c>
      <c r="BE531" s="1238">
        <v>149090322.47448826</v>
      </c>
      <c r="BF531" s="1239">
        <v>9.1508997523465294E-3</v>
      </c>
      <c r="BG531" s="1236"/>
      <c r="BH531" s="1296" t="s">
        <v>32</v>
      </c>
      <c r="BI531" s="1296" t="s">
        <v>302</v>
      </c>
      <c r="BJ531" s="1296" t="s">
        <v>327</v>
      </c>
      <c r="BK531" s="1296">
        <v>8</v>
      </c>
      <c r="BL531" s="1297">
        <v>40038000</v>
      </c>
      <c r="BM531" s="1239">
        <v>2.9313133496218242E-3</v>
      </c>
      <c r="BN531" s="1236">
        <v>2009</v>
      </c>
      <c r="BO531" s="174"/>
      <c r="BP531" s="174"/>
      <c r="BQ531" s="174"/>
      <c r="BR531" s="174"/>
      <c r="BS531" s="174"/>
      <c r="BT531" s="174"/>
      <c r="BU531" s="174"/>
      <c r="BV531" s="174"/>
      <c r="BW531" s="174"/>
      <c r="BX531" s="174"/>
    </row>
    <row r="532" spans="1:76" s="152" customFormat="1" ht="15" customHeight="1" x14ac:dyDescent="0.25">
      <c r="A532" s="152">
        <f t="shared" si="16"/>
        <v>2014</v>
      </c>
      <c r="B532" s="152" t="str">
        <f t="shared" si="17"/>
        <v>2013-14</v>
      </c>
      <c r="C532" s="173">
        <v>41791</v>
      </c>
      <c r="D532" s="169">
        <v>0.93682500000000002</v>
      </c>
      <c r="E532" s="170">
        <v>283.18165899071772</v>
      </c>
      <c r="F532" s="170">
        <v>302.27807647182527</v>
      </c>
      <c r="G532" s="170"/>
      <c r="H532" s="170"/>
      <c r="I532" s="169">
        <v>1279.095</v>
      </c>
      <c r="J532" s="169">
        <v>1375.63</v>
      </c>
      <c r="K532" s="169">
        <v>93</v>
      </c>
      <c r="L532" s="170">
        <v>99.271475462332873</v>
      </c>
      <c r="M532" s="170">
        <v>18573.571400000001</v>
      </c>
      <c r="N532" s="170">
        <v>19826.08427401062</v>
      </c>
      <c r="O532" s="170">
        <v>6806.0951999999997</v>
      </c>
      <c r="P532" s="170">
        <v>7265.0657273236729</v>
      </c>
      <c r="Q532" s="170">
        <v>2103.3094999999998</v>
      </c>
      <c r="R532" s="170">
        <v>2245.1466389133507</v>
      </c>
      <c r="S532" s="170">
        <v>2126.7856999999999</v>
      </c>
      <c r="T532" s="170">
        <v>2270.2059616257038</v>
      </c>
      <c r="U532" s="170">
        <v>1049.3559201913476</v>
      </c>
      <c r="V532" s="170">
        <v>1120.1194675540764</v>
      </c>
      <c r="W532" s="170">
        <v>2555.4858325695909</v>
      </c>
      <c r="X532" s="170">
        <v>2727.8155819599083</v>
      </c>
      <c r="Y532" s="170"/>
      <c r="Z532" s="170"/>
      <c r="AA532" s="170"/>
      <c r="AB532" s="170"/>
      <c r="AC532" s="170">
        <v>19.780999999999999</v>
      </c>
      <c r="AD532" s="170">
        <v>21.59</v>
      </c>
      <c r="AE532" s="170">
        <v>30546.428599999999</v>
      </c>
      <c r="AF532" s="170">
        <v>32606.333733621541</v>
      </c>
      <c r="AG532" s="170">
        <v>1452.7619999999999</v>
      </c>
      <c r="AH532" s="170">
        <v>1550.729325114082</v>
      </c>
      <c r="AI532" s="170">
        <v>832.23800000000006</v>
      </c>
      <c r="AJ532" s="170">
        <v>888.36015264323646</v>
      </c>
      <c r="AK532" s="170">
        <v>111.87</v>
      </c>
      <c r="AL532" s="170">
        <v>119.41397806420623</v>
      </c>
      <c r="AM532" s="170">
        <v>116.42</v>
      </c>
      <c r="AN532" s="170">
        <v>124.27080831532037</v>
      </c>
      <c r="AO532" s="170"/>
      <c r="AP532" s="170"/>
      <c r="AS532" s="167"/>
      <c r="AT532" s="1170"/>
      <c r="AU532" s="1171"/>
      <c r="AV532" s="1171"/>
      <c r="AW532" s="1172"/>
      <c r="AX532" s="1172"/>
      <c r="AY532" s="1172"/>
      <c r="AZ532" s="1172"/>
      <c r="BA532" s="1283" t="s">
        <v>40</v>
      </c>
      <c r="BB532" s="1237">
        <v>2007</v>
      </c>
      <c r="BC532" s="1236" t="s">
        <v>291</v>
      </c>
      <c r="BD532" s="1236"/>
      <c r="BE532" s="1238">
        <v>148124909.64669728</v>
      </c>
      <c r="BF532" s="1239">
        <v>9.0916444240320016E-3</v>
      </c>
      <c r="BG532" s="1236"/>
      <c r="BH532" s="1296" t="s">
        <v>32</v>
      </c>
      <c r="BI532" s="1296" t="s">
        <v>302</v>
      </c>
      <c r="BJ532" s="1296" t="s">
        <v>330</v>
      </c>
      <c r="BK532" s="1296">
        <v>9</v>
      </c>
      <c r="BL532" s="1297">
        <v>19093000</v>
      </c>
      <c r="BM532" s="1239">
        <v>1.3978611764905711E-3</v>
      </c>
      <c r="BN532" s="1236">
        <v>2009</v>
      </c>
      <c r="BO532" s="174"/>
      <c r="BP532" s="174"/>
      <c r="BQ532" s="174"/>
      <c r="BR532" s="174"/>
      <c r="BS532" s="174"/>
      <c r="BT532" s="174"/>
      <c r="BU532" s="174"/>
      <c r="BV532" s="174"/>
      <c r="BW532" s="174"/>
      <c r="BX532" s="174"/>
    </row>
    <row r="533" spans="1:76" s="152" customFormat="1" ht="15" customHeight="1" x14ac:dyDescent="0.25">
      <c r="A533" s="152">
        <f t="shared" si="16"/>
        <v>2014</v>
      </c>
      <c r="B533" s="152" t="str">
        <f t="shared" si="17"/>
        <v>2014-15</v>
      </c>
      <c r="C533" s="173">
        <v>41821</v>
      </c>
      <c r="D533" s="154">
        <v>0.93920000000000003</v>
      </c>
      <c r="E533" s="155">
        <v>290.88153628463135</v>
      </c>
      <c r="F533" s="155">
        <v>309.71202756029743</v>
      </c>
      <c r="G533" s="155"/>
      <c r="H533" s="155"/>
      <c r="I533" s="156">
        <v>1310.9670000000001</v>
      </c>
      <c r="J533" s="156">
        <v>1407.7</v>
      </c>
      <c r="K533" s="157">
        <v>96.08</v>
      </c>
      <c r="L533" s="158">
        <v>102.29982964224871</v>
      </c>
      <c r="M533" s="159">
        <v>19050.434799999999</v>
      </c>
      <c r="N533" s="159">
        <v>20283.682708688244</v>
      </c>
      <c r="O533" s="175">
        <v>7104.5</v>
      </c>
      <c r="P533" s="175">
        <v>7564.4165247018736</v>
      </c>
      <c r="Q533" s="175">
        <v>2189.2609000000002</v>
      </c>
      <c r="R533" s="175">
        <v>2330.9847742759798</v>
      </c>
      <c r="S533" s="175">
        <v>2311.0216999999998</v>
      </c>
      <c r="T533" s="175">
        <v>2460.6278747870524</v>
      </c>
      <c r="U533" s="161">
        <v>1062.6299284113761</v>
      </c>
      <c r="V533" s="161">
        <v>1131.4202815282965</v>
      </c>
      <c r="W533" s="161">
        <v>2546.7370786352976</v>
      </c>
      <c r="X533" s="161">
        <v>2711.6025113237833</v>
      </c>
      <c r="Y533" s="162"/>
      <c r="Z533" s="162"/>
      <c r="AA533" s="162"/>
      <c r="AB533" s="162"/>
      <c r="AC533" s="163">
        <v>20.925000000000001</v>
      </c>
      <c r="AD533" s="163">
        <v>22.7</v>
      </c>
      <c r="AE533" s="163">
        <v>32217.391299999999</v>
      </c>
      <c r="AF533" s="163">
        <v>34303.014586882455</v>
      </c>
      <c r="AG533" s="163">
        <v>1492.652</v>
      </c>
      <c r="AH533" s="163">
        <v>1589.2802385008517</v>
      </c>
      <c r="AI533" s="163">
        <v>871.69600000000003</v>
      </c>
      <c r="AJ533" s="163">
        <v>928.12606473594553</v>
      </c>
      <c r="AK533" s="164">
        <v>106.98</v>
      </c>
      <c r="AL533" s="164">
        <v>113.90545144804089</v>
      </c>
      <c r="AM533" s="164">
        <v>110.75</v>
      </c>
      <c r="AN533" s="164">
        <v>117.91950596252128</v>
      </c>
      <c r="AO533" s="164"/>
      <c r="AP533" s="164"/>
      <c r="AS533" s="167"/>
      <c r="AT533" s="1170"/>
      <c r="AU533" s="1171"/>
      <c r="AV533" s="1171"/>
      <c r="AW533" s="1172"/>
      <c r="AX533" s="1172"/>
      <c r="AY533" s="1172"/>
      <c r="AZ533" s="1172"/>
      <c r="BA533" s="1283" t="s">
        <v>40</v>
      </c>
      <c r="BB533" s="1237">
        <v>2007</v>
      </c>
      <c r="BC533" s="1236" t="s">
        <v>292</v>
      </c>
      <c r="BD533" s="1236"/>
      <c r="BE533" s="1238">
        <v>16292422221.788368</v>
      </c>
      <c r="BF533" s="1239"/>
      <c r="BG533" s="1236"/>
      <c r="BH533" s="1296" t="s">
        <v>32</v>
      </c>
      <c r="BI533" s="1296" t="s">
        <v>302</v>
      </c>
      <c r="BJ533" s="1296" t="s">
        <v>315</v>
      </c>
      <c r="BK533" s="1296">
        <v>10</v>
      </c>
      <c r="BL533" s="1297">
        <v>14166000</v>
      </c>
      <c r="BM533" s="1239">
        <v>1.0371393403951937E-3</v>
      </c>
      <c r="BN533" s="1236">
        <v>2009</v>
      </c>
      <c r="BO533" s="174"/>
      <c r="BP533" s="174"/>
      <c r="BQ533" s="174"/>
      <c r="BR533" s="174"/>
      <c r="BS533" s="174"/>
      <c r="BT533" s="174"/>
      <c r="BU533" s="174"/>
      <c r="BV533" s="174"/>
      <c r="BW533" s="174"/>
      <c r="BX533" s="174"/>
    </row>
    <row r="534" spans="1:76" s="152" customFormat="1" ht="15" customHeight="1" x14ac:dyDescent="0.25">
      <c r="A534" s="152">
        <f t="shared" si="16"/>
        <v>2014</v>
      </c>
      <c r="B534" s="152" t="str">
        <f t="shared" si="17"/>
        <v>2014-15</v>
      </c>
      <c r="C534" s="173">
        <v>41852</v>
      </c>
      <c r="D534" s="169">
        <v>0.93039000000000005</v>
      </c>
      <c r="E534" s="170">
        <v>289.70299482463952</v>
      </c>
      <c r="F534" s="170">
        <v>311.37801870682131</v>
      </c>
      <c r="G534" s="170"/>
      <c r="H534" s="170"/>
      <c r="I534" s="169">
        <v>1295.9880000000001</v>
      </c>
      <c r="J534" s="169">
        <v>1400.55</v>
      </c>
      <c r="K534" s="169">
        <v>92.46</v>
      </c>
      <c r="L534" s="170">
        <v>99.377680327604537</v>
      </c>
      <c r="M534" s="170">
        <v>18575.75</v>
      </c>
      <c r="N534" s="170">
        <v>19965.552080310408</v>
      </c>
      <c r="O534" s="170">
        <v>7000.55</v>
      </c>
      <c r="P534" s="170">
        <v>7524.3177592192524</v>
      </c>
      <c r="Q534" s="170">
        <v>2236.5749999999998</v>
      </c>
      <c r="R534" s="170">
        <v>2403.9112630187337</v>
      </c>
      <c r="S534" s="170">
        <v>2329.2249999999999</v>
      </c>
      <c r="T534" s="170">
        <v>2503.493158782876</v>
      </c>
      <c r="U534" s="170">
        <v>1054.9408659737767</v>
      </c>
      <c r="V534" s="170">
        <v>1133.8695235049568</v>
      </c>
      <c r="W534" s="170">
        <v>2597.7431904335767</v>
      </c>
      <c r="X534" s="170">
        <v>2792.1013665598048</v>
      </c>
      <c r="Y534" s="170"/>
      <c r="Z534" s="170"/>
      <c r="AA534" s="170"/>
      <c r="AB534" s="170"/>
      <c r="AC534" s="170">
        <v>19.800999999999998</v>
      </c>
      <c r="AD534" s="170">
        <v>21.63</v>
      </c>
      <c r="AE534" s="170">
        <v>32777.5</v>
      </c>
      <c r="AF534" s="170">
        <v>35229.84984791324</v>
      </c>
      <c r="AG534" s="170">
        <v>1447.85</v>
      </c>
      <c r="AH534" s="170">
        <v>1556.175367319081</v>
      </c>
      <c r="AI534" s="170">
        <v>875.8</v>
      </c>
      <c r="AJ534" s="170">
        <v>941.32568062855353</v>
      </c>
      <c r="AK534" s="170">
        <v>101.92</v>
      </c>
      <c r="AL534" s="170">
        <v>109.5454594309913</v>
      </c>
      <c r="AM534" s="170">
        <v>106.03</v>
      </c>
      <c r="AN534" s="170">
        <v>113.96296176872063</v>
      </c>
      <c r="AO534" s="170"/>
      <c r="AP534" s="170"/>
      <c r="AS534" s="167"/>
      <c r="AT534" s="1170"/>
      <c r="AU534" s="1171"/>
      <c r="AV534" s="1171"/>
      <c r="AW534" s="1172"/>
      <c r="AX534" s="1172"/>
      <c r="AY534" s="1172"/>
      <c r="AZ534" s="1172"/>
      <c r="BA534" s="1283" t="s">
        <v>71</v>
      </c>
      <c r="BB534" s="1237">
        <v>2015</v>
      </c>
      <c r="BC534" s="1236" t="s">
        <v>308</v>
      </c>
      <c r="BD534" s="1236">
        <v>1</v>
      </c>
      <c r="BE534" s="1238">
        <v>9930926886.8600082</v>
      </c>
      <c r="BF534" s="1239">
        <v>0.60402763945807469</v>
      </c>
      <c r="BG534" s="1236"/>
      <c r="BH534" s="1296" t="s">
        <v>32</v>
      </c>
      <c r="BI534" s="1296" t="s">
        <v>302</v>
      </c>
      <c r="BJ534" s="1296" t="s">
        <v>291</v>
      </c>
      <c r="BK534" s="1296"/>
      <c r="BL534" s="1297">
        <v>24702000</v>
      </c>
      <c r="BM534" s="1239">
        <v>1.808514470312161E-3</v>
      </c>
      <c r="BN534" s="1236">
        <v>2009</v>
      </c>
      <c r="BO534" s="174"/>
      <c r="BP534" s="174"/>
      <c r="BQ534" s="174"/>
      <c r="BR534" s="174"/>
      <c r="BS534" s="174"/>
      <c r="BT534" s="174"/>
      <c r="BU534" s="174"/>
      <c r="BV534" s="174"/>
      <c r="BW534" s="174"/>
      <c r="BX534" s="174"/>
    </row>
    <row r="535" spans="1:76" s="152" customFormat="1" ht="15" customHeight="1" x14ac:dyDescent="0.25">
      <c r="A535" s="152">
        <f t="shared" si="16"/>
        <v>2014</v>
      </c>
      <c r="B535" s="152" t="str">
        <f t="shared" si="17"/>
        <v>2014-15</v>
      </c>
      <c r="C535" s="173">
        <v>41883</v>
      </c>
      <c r="D535" s="154">
        <v>0.90617727272727278</v>
      </c>
      <c r="E535" s="155">
        <v>302.39145293991231</v>
      </c>
      <c r="F535" s="155">
        <v>333.70010707708559</v>
      </c>
      <c r="G535" s="155"/>
      <c r="H535" s="155"/>
      <c r="I535" s="156">
        <v>1238.818</v>
      </c>
      <c r="J535" s="156">
        <v>1376.33</v>
      </c>
      <c r="K535" s="157">
        <v>81.48</v>
      </c>
      <c r="L535" s="158">
        <v>89.916181361262844</v>
      </c>
      <c r="M535" s="159">
        <v>18079.318200000002</v>
      </c>
      <c r="N535" s="159">
        <v>19951.193595473494</v>
      </c>
      <c r="O535" s="175">
        <v>6872.2272999999996</v>
      </c>
      <c r="P535" s="175">
        <v>7583.7559678770449</v>
      </c>
      <c r="Q535" s="175">
        <v>2122.25</v>
      </c>
      <c r="R535" s="175">
        <v>2341.9810492628876</v>
      </c>
      <c r="S535" s="175">
        <v>2294.0455000000002</v>
      </c>
      <c r="T535" s="175">
        <v>2531.5637116959856</v>
      </c>
      <c r="U535" s="161">
        <v>1041.6392394099939</v>
      </c>
      <c r="V535" s="161">
        <v>1149.4872700515084</v>
      </c>
      <c r="W535" s="161">
        <v>3034.3249295169235</v>
      </c>
      <c r="X535" s="161">
        <v>3348.4893307737457</v>
      </c>
      <c r="Y535" s="162"/>
      <c r="Z535" s="162"/>
      <c r="AA535" s="162"/>
      <c r="AB535" s="162"/>
      <c r="AC535" s="163">
        <v>18.491</v>
      </c>
      <c r="AD535" s="163">
        <v>20.85</v>
      </c>
      <c r="AE535" s="163">
        <v>32820.4545</v>
      </c>
      <c r="AF535" s="163">
        <v>36218.580500504111</v>
      </c>
      <c r="AG535" s="163">
        <v>1362.364</v>
      </c>
      <c r="AH535" s="163">
        <v>1503.4188574380889</v>
      </c>
      <c r="AI535" s="163">
        <v>841.77300000000002</v>
      </c>
      <c r="AJ535" s="163">
        <v>928.92751267813344</v>
      </c>
      <c r="AK535" s="164">
        <v>97.34</v>
      </c>
      <c r="AL535" s="164">
        <v>107.41827557321214</v>
      </c>
      <c r="AM535" s="164">
        <v>101.96</v>
      </c>
      <c r="AN535" s="164">
        <v>112.51661575348992</v>
      </c>
      <c r="AO535" s="164"/>
      <c r="AP535" s="164"/>
      <c r="AS535" s="167"/>
      <c r="AT535" s="1170"/>
      <c r="AU535" s="1171"/>
      <c r="AV535" s="1171"/>
      <c r="AW535" s="1172"/>
      <c r="AX535" s="1172"/>
      <c r="AY535" s="1172"/>
      <c r="AZ535" s="1172"/>
      <c r="BA535" s="1283" t="s">
        <v>71</v>
      </c>
      <c r="BB535" s="1237">
        <v>2015</v>
      </c>
      <c r="BC535" s="1236" t="s">
        <v>281</v>
      </c>
      <c r="BD535" s="1236">
        <v>2</v>
      </c>
      <c r="BE535" s="1238">
        <v>1935234431.1799996</v>
      </c>
      <c r="BF535" s="1239">
        <v>0.1177065442713417</v>
      </c>
      <c r="BG535" s="1236"/>
      <c r="BH535" s="1296" t="s">
        <v>32</v>
      </c>
      <c r="BI535" s="1296" t="s">
        <v>302</v>
      </c>
      <c r="BJ535" s="1296" t="s">
        <v>292</v>
      </c>
      <c r="BK535" s="1296"/>
      <c r="BL535" s="1297">
        <v>13658724000</v>
      </c>
      <c r="BM535" s="1239">
        <v>1</v>
      </c>
      <c r="BN535" s="1236">
        <v>2009</v>
      </c>
      <c r="BO535" s="174"/>
      <c r="BP535" s="174"/>
      <c r="BQ535" s="174"/>
      <c r="BR535" s="174"/>
      <c r="BS535" s="174"/>
      <c r="BT535" s="174"/>
      <c r="BU535" s="174"/>
      <c r="BV535" s="174"/>
      <c r="BW535" s="174"/>
      <c r="BX535" s="174"/>
    </row>
    <row r="536" spans="1:76" s="152" customFormat="1" ht="15" customHeight="1" x14ac:dyDescent="0.25">
      <c r="A536" s="152">
        <f t="shared" si="16"/>
        <v>2014</v>
      </c>
      <c r="B536" s="152" t="str">
        <f t="shared" si="17"/>
        <v>2014-15</v>
      </c>
      <c r="C536" s="173">
        <v>41913</v>
      </c>
      <c r="D536" s="169">
        <v>0.87841363636363645</v>
      </c>
      <c r="E536" s="170">
        <v>309.63417908268383</v>
      </c>
      <c r="F536" s="170">
        <v>352.49245488090844</v>
      </c>
      <c r="G536" s="170"/>
      <c r="H536" s="170"/>
      <c r="I536" s="169">
        <v>1222.489</v>
      </c>
      <c r="J536" s="169">
        <v>1405.95</v>
      </c>
      <c r="K536" s="169">
        <v>78.349999999999994</v>
      </c>
      <c r="L536" s="170">
        <v>89.194881268402213</v>
      </c>
      <c r="M536" s="170">
        <v>15770.434800000001</v>
      </c>
      <c r="N536" s="170">
        <v>17953.312821149695</v>
      </c>
      <c r="O536" s="170">
        <v>6739.1957000000002</v>
      </c>
      <c r="P536" s="170">
        <v>7672.0071513213379</v>
      </c>
      <c r="Q536" s="170">
        <v>2038.087</v>
      </c>
      <c r="R536" s="170">
        <v>2320.1905294151129</v>
      </c>
      <c r="S536" s="170">
        <v>2272.6957000000002</v>
      </c>
      <c r="T536" s="170">
        <v>2587.2727903089763</v>
      </c>
      <c r="U536" s="170">
        <v>1001.6088652006157</v>
      </c>
      <c r="V536" s="170">
        <v>1140.247400241838</v>
      </c>
      <c r="W536" s="170">
        <v>2560.2194096469507</v>
      </c>
      <c r="X536" s="170">
        <v>2914.5943364967275</v>
      </c>
      <c r="Y536" s="170"/>
      <c r="Z536" s="170"/>
      <c r="AA536" s="170"/>
      <c r="AB536" s="170"/>
      <c r="AC536" s="170">
        <v>17.190000000000001</v>
      </c>
      <c r="AD536" s="170">
        <v>20.059999999999999</v>
      </c>
      <c r="AE536" s="170">
        <v>31847.826099999998</v>
      </c>
      <c r="AF536" s="170">
        <v>36256.069784891144</v>
      </c>
      <c r="AG536" s="170">
        <v>1259.761</v>
      </c>
      <c r="AH536" s="170">
        <v>1434.1318803007487</v>
      </c>
      <c r="AI536" s="170">
        <v>778.26099999999997</v>
      </c>
      <c r="AJ536" s="170">
        <v>885.98465208459447</v>
      </c>
      <c r="AK536" s="170">
        <v>87.27</v>
      </c>
      <c r="AL536" s="170">
        <v>99.349550584473022</v>
      </c>
      <c r="AM536" s="170">
        <v>90.95</v>
      </c>
      <c r="AN536" s="170">
        <v>103.53892088527355</v>
      </c>
      <c r="AO536" s="170"/>
      <c r="AP536" s="170"/>
      <c r="AS536" s="167"/>
      <c r="AT536" s="1170"/>
      <c r="AU536" s="1171"/>
      <c r="AV536" s="1171"/>
      <c r="AW536" s="1172"/>
      <c r="AX536" s="1172"/>
      <c r="AY536" s="1172"/>
      <c r="AZ536" s="1172"/>
      <c r="BA536" s="1283" t="s">
        <v>71</v>
      </c>
      <c r="BB536" s="1237">
        <v>2015</v>
      </c>
      <c r="BC536" s="1236" t="s">
        <v>320</v>
      </c>
      <c r="BD536" s="1236">
        <v>3</v>
      </c>
      <c r="BE536" s="1238">
        <v>1577110724.3700001</v>
      </c>
      <c r="BF536" s="1239">
        <v>9.5924426678205804E-2</v>
      </c>
      <c r="BG536" s="1236"/>
      <c r="BH536" s="1298" t="s">
        <v>32</v>
      </c>
      <c r="BI536" s="1298" t="s">
        <v>301</v>
      </c>
      <c r="BJ536" s="1298" t="s">
        <v>287</v>
      </c>
      <c r="BK536" s="1298">
        <v>1</v>
      </c>
      <c r="BL536" s="1299">
        <v>4236100000</v>
      </c>
      <c r="BM536" s="1239">
        <v>0.31617653370174942</v>
      </c>
      <c r="BN536" s="1236">
        <v>2010</v>
      </c>
      <c r="BO536" s="174"/>
      <c r="BP536" s="174"/>
      <c r="BQ536" s="174"/>
      <c r="BR536" s="174"/>
      <c r="BS536" s="174"/>
      <c r="BT536" s="174"/>
      <c r="BU536" s="174"/>
      <c r="BV536" s="174"/>
      <c r="BW536" s="174"/>
      <c r="BX536" s="174"/>
    </row>
    <row r="537" spans="1:76" s="152" customFormat="1" ht="15" customHeight="1" x14ac:dyDescent="0.25">
      <c r="A537" s="152">
        <f t="shared" si="16"/>
        <v>2014</v>
      </c>
      <c r="B537" s="152" t="str">
        <f t="shared" si="17"/>
        <v>2014-15</v>
      </c>
      <c r="C537" s="173">
        <v>41944</v>
      </c>
      <c r="D537" s="154">
        <v>0.865035</v>
      </c>
      <c r="E537" s="155">
        <v>308.50189465980407</v>
      </c>
      <c r="F537" s="155">
        <v>356.63515887773798</v>
      </c>
      <c r="G537" s="155"/>
      <c r="H537" s="155"/>
      <c r="I537" s="156">
        <v>1176.3</v>
      </c>
      <c r="J537" s="156">
        <v>1371.16</v>
      </c>
      <c r="K537" s="157">
        <v>71.94</v>
      </c>
      <c r="L537" s="158">
        <v>83.164265029738672</v>
      </c>
      <c r="M537" s="159">
        <v>15706.25</v>
      </c>
      <c r="N537" s="159">
        <v>18156.77978347697</v>
      </c>
      <c r="O537" s="175">
        <v>6701.125</v>
      </c>
      <c r="P537" s="175">
        <v>7746.6518695775312</v>
      </c>
      <c r="Q537" s="175">
        <v>2023.7249999999999</v>
      </c>
      <c r="R537" s="175">
        <v>2339.4718132792314</v>
      </c>
      <c r="S537" s="175">
        <v>2259.4250000000002</v>
      </c>
      <c r="T537" s="175">
        <v>2611.9463374314337</v>
      </c>
      <c r="U537" s="161">
        <v>1408.8993897826538</v>
      </c>
      <c r="V537" s="161">
        <v>1628.719519768164</v>
      </c>
      <c r="W537" s="161">
        <v>2583.9935716808095</v>
      </c>
      <c r="X537" s="161">
        <v>2987.1549378705017</v>
      </c>
      <c r="Y537" s="162"/>
      <c r="Z537" s="162"/>
      <c r="AA537" s="162"/>
      <c r="AB537" s="162"/>
      <c r="AC537" s="163">
        <v>15.973000000000001</v>
      </c>
      <c r="AD537" s="163">
        <v>18.95</v>
      </c>
      <c r="AE537" s="163">
        <v>31345</v>
      </c>
      <c r="AF537" s="163">
        <v>36235.528042217942</v>
      </c>
      <c r="AG537" s="163">
        <v>1208.8499999999999</v>
      </c>
      <c r="AH537" s="163">
        <v>1397.4579063274896</v>
      </c>
      <c r="AI537" s="163">
        <v>780.75</v>
      </c>
      <c r="AJ537" s="163">
        <v>902.56463611298966</v>
      </c>
      <c r="AK537" s="164">
        <v>78.44</v>
      </c>
      <c r="AL537" s="164">
        <v>90.678411856167671</v>
      </c>
      <c r="AM537" s="164">
        <v>82.27</v>
      </c>
      <c r="AN537" s="164">
        <v>95.105978370817368</v>
      </c>
      <c r="AO537" s="164"/>
      <c r="AP537" s="164"/>
      <c r="AS537" s="167"/>
      <c r="AT537" s="1170"/>
      <c r="AU537" s="1171"/>
      <c r="AV537" s="1171"/>
      <c r="AW537" s="1172"/>
      <c r="AX537" s="1172"/>
      <c r="AY537" s="1172"/>
      <c r="AZ537" s="1172"/>
      <c r="BA537" s="1283" t="s">
        <v>71</v>
      </c>
      <c r="BB537" s="1237">
        <v>2015</v>
      </c>
      <c r="BC537" s="1236" t="s">
        <v>306</v>
      </c>
      <c r="BD537" s="1236">
        <v>4</v>
      </c>
      <c r="BE537" s="1238">
        <v>1005907508.1399997</v>
      </c>
      <c r="BF537" s="1239">
        <v>6.1182198255722908E-2</v>
      </c>
      <c r="BG537" s="1236"/>
      <c r="BH537" s="1298" t="s">
        <v>32</v>
      </c>
      <c r="BI537" s="1298" t="s">
        <v>301</v>
      </c>
      <c r="BJ537" s="1298" t="s">
        <v>314</v>
      </c>
      <c r="BK537" s="1298">
        <v>2</v>
      </c>
      <c r="BL537" s="1299">
        <v>3500872000</v>
      </c>
      <c r="BM537" s="1239">
        <v>0.26130015200148976</v>
      </c>
      <c r="BN537" s="1236">
        <v>2010</v>
      </c>
      <c r="BO537" s="174"/>
      <c r="BP537" s="174"/>
      <c r="BQ537" s="174"/>
      <c r="BR537" s="174"/>
      <c r="BS537" s="174"/>
      <c r="BT537" s="174"/>
      <c r="BU537" s="174"/>
      <c r="BV537" s="174"/>
      <c r="BW537" s="174"/>
      <c r="BX537" s="174"/>
    </row>
    <row r="538" spans="1:76" s="152" customFormat="1" ht="15" customHeight="1" x14ac:dyDescent="0.25">
      <c r="A538" s="152">
        <f t="shared" si="16"/>
        <v>2014</v>
      </c>
      <c r="B538" s="152" t="str">
        <f t="shared" si="17"/>
        <v>2014-15</v>
      </c>
      <c r="C538" s="173">
        <v>41974</v>
      </c>
      <c r="D538" s="169">
        <v>0.82557619047619046</v>
      </c>
      <c r="E538" s="170">
        <v>319.20305004892583</v>
      </c>
      <c r="F538" s="170">
        <v>386.64275173053409</v>
      </c>
      <c r="G538" s="170"/>
      <c r="H538" s="170"/>
      <c r="I538" s="169">
        <v>1202.289</v>
      </c>
      <c r="J538" s="169">
        <v>1463.16</v>
      </c>
      <c r="K538" s="169">
        <v>67.2</v>
      </c>
      <c r="L538" s="170">
        <v>81.397696269849064</v>
      </c>
      <c r="M538" s="170">
        <v>15918.571400000001</v>
      </c>
      <c r="N538" s="170">
        <v>19281.771426593838</v>
      </c>
      <c r="O538" s="170">
        <v>6422.9524000000001</v>
      </c>
      <c r="P538" s="170">
        <v>7779.9632233764587</v>
      </c>
      <c r="Q538" s="170">
        <v>1936.0952</v>
      </c>
      <c r="R538" s="170">
        <v>2345.1441821296526</v>
      </c>
      <c r="S538" s="170">
        <v>2171.7143000000001</v>
      </c>
      <c r="T538" s="170">
        <v>2630.5437645280931</v>
      </c>
      <c r="U538" s="170">
        <v>1108.1130318947185</v>
      </c>
      <c r="V538" s="170">
        <v>1342.2298809944621</v>
      </c>
      <c r="W538" s="170">
        <v>2537.7577415179867</v>
      </c>
      <c r="X538" s="170">
        <v>3073.9231227758805</v>
      </c>
      <c r="Y538" s="170"/>
      <c r="Z538" s="170"/>
      <c r="AA538" s="170"/>
      <c r="AB538" s="170"/>
      <c r="AC538" s="170">
        <v>16.239999999999998</v>
      </c>
      <c r="AD538" s="170">
        <v>20.12</v>
      </c>
      <c r="AE538" s="170">
        <v>31499.047600000002</v>
      </c>
      <c r="AF538" s="170">
        <v>38154.016507951157</v>
      </c>
      <c r="AG538" s="170">
        <v>1217.316</v>
      </c>
      <c r="AH538" s="170">
        <v>1474.5047326254103</v>
      </c>
      <c r="AI538" s="170">
        <v>805.73699999999997</v>
      </c>
      <c r="AJ538" s="170">
        <v>975.96927975266908</v>
      </c>
      <c r="AK538" s="170">
        <v>62.55</v>
      </c>
      <c r="AL538" s="170">
        <v>75.765266394033603</v>
      </c>
      <c r="AM538" s="170">
        <v>66.069999999999993</v>
      </c>
      <c r="AN538" s="170">
        <v>80.028955246263791</v>
      </c>
      <c r="AO538" s="170"/>
      <c r="AP538" s="170"/>
      <c r="AS538" s="167"/>
      <c r="AT538" s="1170"/>
      <c r="AU538" s="1171"/>
      <c r="AV538" s="1171"/>
      <c r="AW538" s="1172"/>
      <c r="AX538" s="1172"/>
      <c r="AY538" s="1172"/>
      <c r="AZ538" s="1172"/>
      <c r="BA538" s="1283" t="s">
        <v>71</v>
      </c>
      <c r="BB538" s="1237">
        <v>2015</v>
      </c>
      <c r="BC538" s="1236" t="s">
        <v>323</v>
      </c>
      <c r="BD538" s="1236">
        <v>5</v>
      </c>
      <c r="BE538" s="1238">
        <v>477307499.00999993</v>
      </c>
      <c r="BF538" s="1239">
        <v>2.9031219865702323E-2</v>
      </c>
      <c r="BG538" s="1236"/>
      <c r="BH538" s="1298" t="s">
        <v>32</v>
      </c>
      <c r="BI538" s="1298" t="s">
        <v>301</v>
      </c>
      <c r="BJ538" s="1298" t="s">
        <v>323</v>
      </c>
      <c r="BK538" s="1298">
        <v>3</v>
      </c>
      <c r="BL538" s="1299">
        <v>2366506000</v>
      </c>
      <c r="BM538" s="1239">
        <v>0.17663267252057133</v>
      </c>
      <c r="BN538" s="1236">
        <v>2010</v>
      </c>
      <c r="BO538" s="174"/>
      <c r="BP538" s="174"/>
      <c r="BQ538" s="174"/>
      <c r="BR538" s="174"/>
      <c r="BS538" s="174"/>
      <c r="BT538" s="174"/>
      <c r="BU538" s="174"/>
      <c r="BV538" s="174"/>
      <c r="BW538" s="174"/>
      <c r="BX538" s="174"/>
    </row>
    <row r="539" spans="1:76" s="152" customFormat="1" ht="15" customHeight="1" x14ac:dyDescent="0.25">
      <c r="A539" s="152">
        <f t="shared" si="16"/>
        <v>2015</v>
      </c>
      <c r="B539" s="152" t="str">
        <f t="shared" si="17"/>
        <v>2014-15</v>
      </c>
      <c r="C539" s="173">
        <v>42005</v>
      </c>
      <c r="D539" s="154">
        <v>0.8091799999999999</v>
      </c>
      <c r="E539" s="155">
        <v>310.58171091757674</v>
      </c>
      <c r="F539" s="155">
        <v>383.82277233443335</v>
      </c>
      <c r="G539" s="155"/>
      <c r="H539" s="155"/>
      <c r="I539" s="156">
        <v>1251.845</v>
      </c>
      <c r="J539" s="156">
        <v>1559.8</v>
      </c>
      <c r="K539" s="157">
        <v>66.55</v>
      </c>
      <c r="L539" s="158">
        <v>82.243752935070077</v>
      </c>
      <c r="M539" s="159">
        <v>14770.9524</v>
      </c>
      <c r="N539" s="159">
        <v>18254.223287772809</v>
      </c>
      <c r="O539" s="175">
        <v>5815.8333000000002</v>
      </c>
      <c r="P539" s="175">
        <v>7187.317160582319</v>
      </c>
      <c r="Q539" s="175">
        <v>1829.1667</v>
      </c>
      <c r="R539" s="175">
        <v>2260.5189203885416</v>
      </c>
      <c r="S539" s="175">
        <v>2110.6428999999998</v>
      </c>
      <c r="T539" s="175">
        <v>2608.3725499888778</v>
      </c>
      <c r="U539" s="161">
        <v>1128.9234511701195</v>
      </c>
      <c r="V539" s="161">
        <v>1395.1450248030346</v>
      </c>
      <c r="W539" s="161">
        <v>2526.9659611654351</v>
      </c>
      <c r="X539" s="161">
        <v>3122.8724896381959</v>
      </c>
      <c r="Y539" s="162"/>
      <c r="Z539" s="162"/>
      <c r="AA539" s="162"/>
      <c r="AB539" s="162"/>
      <c r="AC539" s="163">
        <v>17.097999999999999</v>
      </c>
      <c r="AD539" s="163">
        <v>21.64</v>
      </c>
      <c r="AE539" s="163">
        <v>31112.857100000001</v>
      </c>
      <c r="AF539" s="163">
        <v>38449.859240218502</v>
      </c>
      <c r="AG539" s="163">
        <v>1243.4760000000001</v>
      </c>
      <c r="AH539" s="163">
        <v>1536.7112385377793</v>
      </c>
      <c r="AI539" s="163">
        <v>784.33299999999997</v>
      </c>
      <c r="AJ539" s="163">
        <v>969.29360587261192</v>
      </c>
      <c r="AK539" s="164">
        <v>48.07</v>
      </c>
      <c r="AL539" s="164">
        <v>59.405818235744839</v>
      </c>
      <c r="AM539" s="164">
        <v>50.28</v>
      </c>
      <c r="AN539" s="164">
        <v>62.136978175436873</v>
      </c>
      <c r="AO539" s="164"/>
      <c r="AP539" s="164"/>
      <c r="AS539" s="167"/>
      <c r="AT539" s="1170"/>
      <c r="AU539" s="1171"/>
      <c r="AV539" s="1171"/>
      <c r="AW539" s="1172"/>
      <c r="AX539" s="1172"/>
      <c r="AY539" s="1172"/>
      <c r="AZ539" s="1172"/>
      <c r="BA539" s="1283" t="s">
        <v>71</v>
      </c>
      <c r="BB539" s="1237">
        <v>2015</v>
      </c>
      <c r="BC539" s="1236" t="s">
        <v>285</v>
      </c>
      <c r="BD539" s="1236">
        <v>6</v>
      </c>
      <c r="BE539" s="1238">
        <v>420501760.13</v>
      </c>
      <c r="BF539" s="1239">
        <v>2.5576130853944723E-2</v>
      </c>
      <c r="BG539" s="1236"/>
      <c r="BH539" s="1298" t="s">
        <v>32</v>
      </c>
      <c r="BI539" s="1298" t="s">
        <v>301</v>
      </c>
      <c r="BJ539" s="1298" t="s">
        <v>306</v>
      </c>
      <c r="BK539" s="1298">
        <v>4</v>
      </c>
      <c r="BL539" s="1299">
        <v>1118250000</v>
      </c>
      <c r="BM539" s="1239">
        <v>8.3464603954576444E-2</v>
      </c>
      <c r="BN539" s="1236">
        <v>2010</v>
      </c>
      <c r="BO539" s="174"/>
      <c r="BP539" s="174"/>
      <c r="BQ539" s="174"/>
      <c r="BR539" s="174"/>
      <c r="BS539" s="174"/>
      <c r="BT539" s="174"/>
      <c r="BU539" s="174"/>
      <c r="BV539" s="174"/>
      <c r="BW539" s="174"/>
      <c r="BX539" s="174"/>
    </row>
    <row r="540" spans="1:76" s="152" customFormat="1" ht="15" customHeight="1" x14ac:dyDescent="0.25">
      <c r="A540" s="152">
        <f t="shared" si="16"/>
        <v>2015</v>
      </c>
      <c r="B540" s="152" t="str">
        <f t="shared" si="17"/>
        <v>2014-15</v>
      </c>
      <c r="C540" s="173">
        <v>42036</v>
      </c>
      <c r="D540" s="169">
        <v>0.77898500000000015</v>
      </c>
      <c r="E540" s="170">
        <v>306.50278030927109</v>
      </c>
      <c r="F540" s="170">
        <v>393.46429046678821</v>
      </c>
      <c r="G540" s="170"/>
      <c r="H540" s="177"/>
      <c r="I540" s="169">
        <v>1227.1880000000001</v>
      </c>
      <c r="J540" s="169">
        <v>1590.3</v>
      </c>
      <c r="K540" s="169">
        <v>61.43</v>
      </c>
      <c r="L540" s="170">
        <v>78.859028094250831</v>
      </c>
      <c r="M540" s="170">
        <v>14534.5</v>
      </c>
      <c r="N540" s="170">
        <v>18658.254010025863</v>
      </c>
      <c r="O540" s="170">
        <v>5702.0749999999998</v>
      </c>
      <c r="P540" s="170">
        <v>7319.877789687861</v>
      </c>
      <c r="Q540" s="170">
        <v>1804.675</v>
      </c>
      <c r="R540" s="170">
        <v>2316.7005783166551</v>
      </c>
      <c r="S540" s="170">
        <v>2103.125</v>
      </c>
      <c r="T540" s="170">
        <v>2699.827339422453</v>
      </c>
      <c r="U540" s="170">
        <v>1048.8728586865434</v>
      </c>
      <c r="V540" s="170">
        <v>1346.460918614021</v>
      </c>
      <c r="W540" s="170">
        <v>2439.4605947752584</v>
      </c>
      <c r="X540" s="170">
        <v>3131.5886631645767</v>
      </c>
      <c r="Y540" s="170"/>
      <c r="Z540" s="170"/>
      <c r="AA540" s="170"/>
      <c r="AB540" s="170"/>
      <c r="AC540" s="170">
        <v>16.843</v>
      </c>
      <c r="AD540" s="170">
        <v>22.06</v>
      </c>
      <c r="AE540" s="170">
        <v>29143.75</v>
      </c>
      <c r="AF540" s="170">
        <v>37412.466222071023</v>
      </c>
      <c r="AG540" s="170">
        <v>1197.5999999999999</v>
      </c>
      <c r="AH540" s="170">
        <v>1537.38518713454</v>
      </c>
      <c r="AI540" s="170">
        <v>786.25</v>
      </c>
      <c r="AJ540" s="170">
        <v>1009.3262386310389</v>
      </c>
      <c r="AK540" s="170">
        <v>57.93</v>
      </c>
      <c r="AL540" s="170">
        <v>74.366001912745418</v>
      </c>
      <c r="AM540" s="170">
        <v>59.79</v>
      </c>
      <c r="AN540" s="170">
        <v>76.753724397774008</v>
      </c>
      <c r="AO540" s="170"/>
      <c r="AP540" s="170"/>
      <c r="AS540" s="167"/>
      <c r="AT540" s="1170"/>
      <c r="AU540" s="1171"/>
      <c r="AV540" s="1171"/>
      <c r="AW540" s="1172"/>
      <c r="AX540" s="1172"/>
      <c r="AY540" s="1172"/>
      <c r="AZ540" s="1172"/>
      <c r="BA540" s="1283" t="s">
        <v>71</v>
      </c>
      <c r="BB540" s="1237">
        <v>2015</v>
      </c>
      <c r="BC540" s="1236" t="s">
        <v>287</v>
      </c>
      <c r="BD540" s="1236">
        <v>7</v>
      </c>
      <c r="BE540" s="1238">
        <v>313327772.19999999</v>
      </c>
      <c r="BF540" s="1239">
        <v>1.9057499544079693E-2</v>
      </c>
      <c r="BG540" s="1236"/>
      <c r="BH540" s="1298" t="s">
        <v>32</v>
      </c>
      <c r="BI540" s="1298" t="s">
        <v>301</v>
      </c>
      <c r="BJ540" s="1298" t="s">
        <v>281</v>
      </c>
      <c r="BK540" s="1298">
        <v>5</v>
      </c>
      <c r="BL540" s="1299">
        <v>632410000</v>
      </c>
      <c r="BM540" s="1239">
        <v>4.7202191090466077E-2</v>
      </c>
      <c r="BN540" s="1236">
        <v>2010</v>
      </c>
      <c r="BO540" s="174"/>
      <c r="BP540" s="174"/>
      <c r="BQ540" s="174"/>
      <c r="BR540" s="174"/>
      <c r="BS540" s="174"/>
      <c r="BT540" s="174"/>
      <c r="BU540" s="174"/>
      <c r="BV540" s="174"/>
      <c r="BW540" s="174"/>
      <c r="BX540" s="174"/>
    </row>
    <row r="541" spans="1:76" s="152" customFormat="1" ht="15" customHeight="1" x14ac:dyDescent="0.25">
      <c r="A541" s="152">
        <f t="shared" si="16"/>
        <v>2015</v>
      </c>
      <c r="B541" s="152" t="str">
        <f t="shared" si="17"/>
        <v>2014-15</v>
      </c>
      <c r="C541" s="173">
        <v>42064</v>
      </c>
      <c r="D541" s="154">
        <v>0.77311363636363639</v>
      </c>
      <c r="E541" s="155">
        <v>301.55613141997378</v>
      </c>
      <c r="F541" s="155">
        <v>390.05408420727417</v>
      </c>
      <c r="G541" s="155">
        <v>37.245395736111746</v>
      </c>
      <c r="H541" s="155">
        <v>48.175835975803764</v>
      </c>
      <c r="I541" s="156">
        <v>1178.6300000000001</v>
      </c>
      <c r="J541" s="156">
        <v>1536.21</v>
      </c>
      <c r="K541" s="157">
        <v>56.38</v>
      </c>
      <c r="L541" s="158">
        <v>72.925889996178384</v>
      </c>
      <c r="M541" s="159">
        <v>13745.6818</v>
      </c>
      <c r="N541" s="159">
        <v>17779.639568451068</v>
      </c>
      <c r="O541" s="175">
        <v>5925.8409000000001</v>
      </c>
      <c r="P541" s="175">
        <v>7664.9028309374726</v>
      </c>
      <c r="Q541" s="175">
        <v>1784.9773</v>
      </c>
      <c r="R541" s="175">
        <v>2308.8162154217007</v>
      </c>
      <c r="S541" s="175">
        <v>2029.0454999999999</v>
      </c>
      <c r="T541" s="175">
        <v>2624.5113325690095</v>
      </c>
      <c r="U541" s="161">
        <v>1084.3715919879057</v>
      </c>
      <c r="V541" s="161">
        <v>1402.6031116050167</v>
      </c>
      <c r="W541" s="161">
        <v>2376.4399901868305</v>
      </c>
      <c r="X541" s="161">
        <v>3073.856000476836</v>
      </c>
      <c r="Y541" s="162"/>
      <c r="Z541" s="162"/>
      <c r="AA541" s="162"/>
      <c r="AB541" s="162"/>
      <c r="AC541" s="163">
        <v>16.222000000000001</v>
      </c>
      <c r="AD541" s="163">
        <v>21.44</v>
      </c>
      <c r="AE541" s="163">
        <v>27684.090899999999</v>
      </c>
      <c r="AF541" s="163">
        <v>35808.566293323922</v>
      </c>
      <c r="AG541" s="163">
        <v>1138.636</v>
      </c>
      <c r="AH541" s="163">
        <v>1472.7925449040185</v>
      </c>
      <c r="AI541" s="163">
        <v>786.31799999999998</v>
      </c>
      <c r="AJ541" s="163">
        <v>1017.079460269865</v>
      </c>
      <c r="AK541" s="164">
        <v>55.79</v>
      </c>
      <c r="AL541" s="164">
        <v>72.162742158332591</v>
      </c>
      <c r="AM541" s="164">
        <v>58.28</v>
      </c>
      <c r="AN541" s="164">
        <v>75.383484728224118</v>
      </c>
      <c r="AO541" s="164"/>
      <c r="AP541" s="164"/>
      <c r="AS541" s="167"/>
      <c r="AT541" s="1170"/>
      <c r="AU541" s="1171"/>
      <c r="AV541" s="1171"/>
      <c r="AW541" s="1172"/>
      <c r="AX541" s="1172"/>
      <c r="AY541" s="1172"/>
      <c r="AZ541" s="1172"/>
      <c r="BA541" s="1283" t="s">
        <v>71</v>
      </c>
      <c r="BB541" s="1237">
        <v>2015</v>
      </c>
      <c r="BC541" s="1236" t="s">
        <v>286</v>
      </c>
      <c r="BD541" s="1236">
        <v>8</v>
      </c>
      <c r="BE541" s="1238">
        <v>217503493.50999999</v>
      </c>
      <c r="BF541" s="1239">
        <v>1.3229190311788663E-2</v>
      </c>
      <c r="BG541" s="1236"/>
      <c r="BH541" s="1298" t="s">
        <v>32</v>
      </c>
      <c r="BI541" s="1298" t="s">
        <v>301</v>
      </c>
      <c r="BJ541" s="1298" t="s">
        <v>327</v>
      </c>
      <c r="BK541" s="1298">
        <v>6</v>
      </c>
      <c r="BL541" s="1299">
        <v>629150000</v>
      </c>
      <c r="BM541" s="1239">
        <v>4.6958869285063064E-2</v>
      </c>
      <c r="BN541" s="1236">
        <v>2010</v>
      </c>
      <c r="BO541" s="174"/>
      <c r="BP541" s="174"/>
      <c r="BQ541" s="174"/>
      <c r="BR541" s="174"/>
      <c r="BS541" s="174"/>
      <c r="BT541" s="174"/>
      <c r="BU541" s="174"/>
      <c r="BV541" s="174"/>
      <c r="BW541" s="174"/>
      <c r="BX541" s="174"/>
    </row>
    <row r="542" spans="1:76" s="152" customFormat="1" ht="15" customHeight="1" x14ac:dyDescent="0.25">
      <c r="A542" s="152">
        <f t="shared" si="16"/>
        <v>2015</v>
      </c>
      <c r="B542" s="152" t="str">
        <f t="shared" si="17"/>
        <v>2014-15</v>
      </c>
      <c r="C542" s="173">
        <v>42095</v>
      </c>
      <c r="D542" s="169">
        <v>0.77392000000000016</v>
      </c>
      <c r="E542" s="170">
        <v>304.12455234859618</v>
      </c>
      <c r="F542" s="170">
        <v>392.96639490980482</v>
      </c>
      <c r="G542" s="170">
        <v>40.762774469698869</v>
      </c>
      <c r="H542" s="170">
        <v>52.670527276332002</v>
      </c>
      <c r="I542" s="169">
        <v>1197.9100000000001</v>
      </c>
      <c r="J542" s="169">
        <v>1565.5</v>
      </c>
      <c r="K542" s="169">
        <v>48.78</v>
      </c>
      <c r="L542" s="170">
        <v>63.029770518916671</v>
      </c>
      <c r="M542" s="170">
        <v>12782.75</v>
      </c>
      <c r="N542" s="170">
        <v>16516.888050444486</v>
      </c>
      <c r="O542" s="170">
        <v>6028.4750000000004</v>
      </c>
      <c r="P542" s="170">
        <v>7789.5325098201356</v>
      </c>
      <c r="Q542" s="170">
        <v>1999.8</v>
      </c>
      <c r="R542" s="170">
        <v>2583.9880090965466</v>
      </c>
      <c r="S542" s="170">
        <v>2206.9</v>
      </c>
      <c r="T542" s="170">
        <v>2851.5867273103158</v>
      </c>
      <c r="U542" s="170">
        <v>1032.7084613274983</v>
      </c>
      <c r="V542" s="170">
        <v>1334.3865791393143</v>
      </c>
      <c r="W542" s="170">
        <v>2313.6837147068836</v>
      </c>
      <c r="X542" s="170">
        <v>2989.564444266698</v>
      </c>
      <c r="Y542" s="170"/>
      <c r="Z542" s="170"/>
      <c r="AA542" s="170"/>
      <c r="AB542" s="170"/>
      <c r="AC542" s="170">
        <v>16.318999999999999</v>
      </c>
      <c r="AD542" s="170">
        <v>21.65</v>
      </c>
      <c r="AE542" s="170">
        <v>28790</v>
      </c>
      <c r="AF542" s="170">
        <v>37200.22741368616</v>
      </c>
      <c r="AG542" s="170">
        <v>1150.0999999999999</v>
      </c>
      <c r="AH542" s="170">
        <v>1486.0709117221413</v>
      </c>
      <c r="AI542" s="170">
        <v>768.8</v>
      </c>
      <c r="AJ542" s="170">
        <v>993.38432912962548</v>
      </c>
      <c r="AK542" s="170">
        <v>59.39</v>
      </c>
      <c r="AL542" s="170">
        <v>76.739197849906958</v>
      </c>
      <c r="AM542" s="170">
        <v>61.74</v>
      </c>
      <c r="AN542" s="170">
        <v>79.775687409551367</v>
      </c>
      <c r="AO542" s="170"/>
      <c r="AP542" s="170"/>
      <c r="AS542" s="167"/>
      <c r="AT542" s="1170"/>
      <c r="AU542" s="1171"/>
      <c r="AV542" s="1171"/>
      <c r="AW542" s="1172"/>
      <c r="AX542" s="1172"/>
      <c r="AY542" s="1172"/>
      <c r="AZ542" s="1172"/>
      <c r="BA542" s="1283" t="s">
        <v>71</v>
      </c>
      <c r="BB542" s="1237">
        <v>2015</v>
      </c>
      <c r="BC542" s="1236" t="s">
        <v>289</v>
      </c>
      <c r="BD542" s="1236">
        <v>9</v>
      </c>
      <c r="BE542" s="1238">
        <v>144891564.75</v>
      </c>
      <c r="BF542" s="1239">
        <v>8.8127232060411596E-3</v>
      </c>
      <c r="BG542" s="1236"/>
      <c r="BH542" s="1298" t="s">
        <v>32</v>
      </c>
      <c r="BI542" s="1298" t="s">
        <v>301</v>
      </c>
      <c r="BJ542" s="1298" t="s">
        <v>320</v>
      </c>
      <c r="BK542" s="1298">
        <v>7</v>
      </c>
      <c r="BL542" s="1299">
        <v>461246000</v>
      </c>
      <c r="BM542" s="1239">
        <v>3.4426751366539297E-2</v>
      </c>
      <c r="BN542" s="1236">
        <v>2010</v>
      </c>
      <c r="BO542" s="174"/>
      <c r="BP542" s="174"/>
      <c r="BQ542" s="174"/>
      <c r="BR542" s="174"/>
      <c r="BS542" s="174"/>
      <c r="BT542" s="174"/>
      <c r="BU542" s="174"/>
      <c r="BV542" s="174"/>
      <c r="BW542" s="174"/>
      <c r="BX542" s="174"/>
    </row>
    <row r="543" spans="1:76" s="152" customFormat="1" ht="15" customHeight="1" x14ac:dyDescent="0.25">
      <c r="A543" s="152">
        <f t="shared" si="16"/>
        <v>2015</v>
      </c>
      <c r="B543" s="152" t="str">
        <f t="shared" si="17"/>
        <v>2014-15</v>
      </c>
      <c r="C543" s="173">
        <v>42125</v>
      </c>
      <c r="D543" s="154">
        <v>0.79063000000000005</v>
      </c>
      <c r="E543" s="155">
        <v>307.80295065289096</v>
      </c>
      <c r="F543" s="155">
        <v>389.31352295370897</v>
      </c>
      <c r="G543" s="155">
        <v>37.902897801630303</v>
      </c>
      <c r="H543" s="155">
        <v>47.940120918293388</v>
      </c>
      <c r="I543" s="156">
        <v>1199.0530000000001</v>
      </c>
      <c r="J543" s="156">
        <v>1529.37</v>
      </c>
      <c r="K543" s="157">
        <v>58.41</v>
      </c>
      <c r="L543" s="158">
        <v>73.877793658221918</v>
      </c>
      <c r="M543" s="159">
        <v>13508.947399999999</v>
      </c>
      <c r="N543" s="159">
        <v>17086.307628094048</v>
      </c>
      <c r="O543" s="175">
        <v>6300.6053000000002</v>
      </c>
      <c r="P543" s="175">
        <v>7969.0946460417636</v>
      </c>
      <c r="Q543" s="175">
        <v>2003.8421000000001</v>
      </c>
      <c r="R543" s="175">
        <v>2534.4878135158037</v>
      </c>
      <c r="S543" s="175">
        <v>2289.6316000000002</v>
      </c>
      <c r="T543" s="175">
        <v>2895.9584129112227</v>
      </c>
      <c r="U543" s="161">
        <v>1041.9183916957106</v>
      </c>
      <c r="V543" s="161">
        <v>1317.8331099195711</v>
      </c>
      <c r="W543" s="161">
        <v>2328.7791429752961</v>
      </c>
      <c r="X543" s="161">
        <v>2945.4727786389285</v>
      </c>
      <c r="Y543" s="162"/>
      <c r="Z543" s="162"/>
      <c r="AA543" s="162"/>
      <c r="AB543" s="162"/>
      <c r="AC543" s="163">
        <v>16.800999999999998</v>
      </c>
      <c r="AD543" s="163">
        <v>21.74</v>
      </c>
      <c r="AE543" s="163">
        <v>30260.526300000001</v>
      </c>
      <c r="AF543" s="163">
        <v>38273.94141380924</v>
      </c>
      <c r="AG543" s="163">
        <v>1140.316</v>
      </c>
      <c r="AH543" s="163">
        <v>1442.2877958084059</v>
      </c>
      <c r="AI543" s="163">
        <v>784.36800000000005</v>
      </c>
      <c r="AJ543" s="163">
        <v>992.07973388310586</v>
      </c>
      <c r="AK543" s="164">
        <v>64.56</v>
      </c>
      <c r="AL543" s="164">
        <v>81.656400591933007</v>
      </c>
      <c r="AM543" s="164">
        <v>67.25</v>
      </c>
      <c r="AN543" s="164">
        <v>85.058750616596882</v>
      </c>
      <c r="AO543" s="164"/>
      <c r="AP543" s="164"/>
      <c r="AS543" s="167"/>
      <c r="AT543" s="1170"/>
      <c r="AU543" s="1171"/>
      <c r="AV543" s="1171"/>
      <c r="AW543" s="1172"/>
      <c r="AX543" s="1172"/>
      <c r="AY543" s="1172"/>
      <c r="AZ543" s="1172"/>
      <c r="BA543" s="1283" t="s">
        <v>71</v>
      </c>
      <c r="BB543" s="1237">
        <v>2015</v>
      </c>
      <c r="BC543" s="1236" t="s">
        <v>315</v>
      </c>
      <c r="BD543" s="1236">
        <v>10</v>
      </c>
      <c r="BE543" s="1238">
        <v>135237903.69</v>
      </c>
      <c r="BF543" s="1239">
        <v>8.225559674516679E-3</v>
      </c>
      <c r="BG543" s="1236"/>
      <c r="BH543" s="1298" t="s">
        <v>32</v>
      </c>
      <c r="BI543" s="1298" t="s">
        <v>301</v>
      </c>
      <c r="BJ543" s="1298" t="s">
        <v>286</v>
      </c>
      <c r="BK543" s="1298">
        <v>8</v>
      </c>
      <c r="BL543" s="1299">
        <v>165032000</v>
      </c>
      <c r="BM543" s="1239">
        <v>1.231775588627915E-2</v>
      </c>
      <c r="BN543" s="1236">
        <v>2010</v>
      </c>
      <c r="BO543" s="174"/>
      <c r="BP543" s="174"/>
      <c r="BQ543" s="174"/>
      <c r="BR543" s="174"/>
      <c r="BS543" s="174"/>
      <c r="BT543" s="174"/>
      <c r="BU543" s="174"/>
      <c r="BV543" s="174"/>
      <c r="BW543" s="174"/>
      <c r="BX543" s="174"/>
    </row>
    <row r="544" spans="1:76" s="152" customFormat="1" ht="15" customHeight="1" x14ac:dyDescent="0.25">
      <c r="A544" s="152">
        <f t="shared" si="16"/>
        <v>2015</v>
      </c>
      <c r="B544" s="152" t="str">
        <f t="shared" si="17"/>
        <v>2014-15</v>
      </c>
      <c r="C544" s="173">
        <v>42156</v>
      </c>
      <c r="D544" s="169">
        <v>0.77233333333333354</v>
      </c>
      <c r="E544" s="170">
        <v>304.0850714359002</v>
      </c>
      <c r="F544" s="170">
        <v>393.72257846685386</v>
      </c>
      <c r="G544" s="170">
        <v>38.255921668689872</v>
      </c>
      <c r="H544" s="170">
        <v>49.532915410474573</v>
      </c>
      <c r="I544" s="169">
        <v>1181.5050000000001</v>
      </c>
      <c r="J544" s="169">
        <v>1544.61</v>
      </c>
      <c r="K544" s="169">
        <v>61.3</v>
      </c>
      <c r="L544" s="170">
        <v>79.369874838152754</v>
      </c>
      <c r="M544" s="170">
        <v>12779.7727</v>
      </c>
      <c r="N544" s="170">
        <v>16546.965084160547</v>
      </c>
      <c r="O544" s="170">
        <v>5833.6135999999997</v>
      </c>
      <c r="P544" s="170">
        <v>7553.2329736728507</v>
      </c>
      <c r="Q544" s="170">
        <v>1836.3408999999999</v>
      </c>
      <c r="R544" s="170">
        <v>2377.6533016832104</v>
      </c>
      <c r="S544" s="170">
        <v>2087.4544999999998</v>
      </c>
      <c r="T544" s="170">
        <v>2702.7895986189028</v>
      </c>
      <c r="U544" s="170">
        <v>1051.958780654018</v>
      </c>
      <c r="V544" s="170">
        <v>1362.0528018826299</v>
      </c>
      <c r="W544" s="170">
        <v>2229.2491085111101</v>
      </c>
      <c r="X544" s="170">
        <v>2886.3820999280656</v>
      </c>
      <c r="Y544" s="170"/>
      <c r="Z544" s="170"/>
      <c r="AA544" s="170"/>
      <c r="AB544" s="170"/>
      <c r="AC544" s="170">
        <v>16.096</v>
      </c>
      <c r="AD544" s="170">
        <v>21.32</v>
      </c>
      <c r="AE544" s="170">
        <v>30661.590899999999</v>
      </c>
      <c r="AF544" s="170">
        <v>39699.945058264988</v>
      </c>
      <c r="AG544" s="170">
        <v>1088.7729999999999</v>
      </c>
      <c r="AH544" s="170">
        <v>1409.7190332326279</v>
      </c>
      <c r="AI544" s="170">
        <v>726.77300000000002</v>
      </c>
      <c r="AJ544" s="170">
        <v>941.00949503668517</v>
      </c>
      <c r="AK544" s="170">
        <v>62.34</v>
      </c>
      <c r="AL544" s="170">
        <v>80.716443677168741</v>
      </c>
      <c r="AM544" s="170">
        <v>64.989999999999995</v>
      </c>
      <c r="AN544" s="170">
        <v>84.147604661199793</v>
      </c>
      <c r="AO544" s="170"/>
      <c r="AP544" s="170"/>
      <c r="AS544" s="167"/>
      <c r="AT544" s="1170"/>
      <c r="AU544" s="1171"/>
      <c r="AV544" s="1171"/>
      <c r="AW544" s="1172"/>
      <c r="AX544" s="1172"/>
      <c r="AY544" s="1172"/>
      <c r="AZ544" s="1172"/>
      <c r="BA544" s="1283" t="s">
        <v>71</v>
      </c>
      <c r="BB544" s="1237">
        <v>2015</v>
      </c>
      <c r="BC544" s="1236" t="s">
        <v>291</v>
      </c>
      <c r="BD544" s="1236"/>
      <c r="BE544" s="1238">
        <v>283230028.28999901</v>
      </c>
      <c r="BF544" s="1239">
        <v>1.7226867880581493E-2</v>
      </c>
      <c r="BG544" s="1236"/>
      <c r="BH544" s="1298" t="s">
        <v>32</v>
      </c>
      <c r="BI544" s="1298" t="s">
        <v>301</v>
      </c>
      <c r="BJ544" s="1298" t="s">
        <v>330</v>
      </c>
      <c r="BK544" s="1298">
        <v>9</v>
      </c>
      <c r="BL544" s="1299">
        <v>145995000</v>
      </c>
      <c r="BM544" s="1239">
        <v>1.0896861036752414E-2</v>
      </c>
      <c r="BN544" s="1236">
        <v>2010</v>
      </c>
      <c r="BO544" s="174"/>
      <c r="BP544" s="174"/>
      <c r="BQ544" s="174"/>
      <c r="BR544" s="174"/>
      <c r="BS544" s="174"/>
      <c r="BT544" s="174"/>
      <c r="BU544" s="174"/>
      <c r="BV544" s="174"/>
      <c r="BW544" s="174"/>
      <c r="BX544" s="174"/>
    </row>
    <row r="545" spans="1:76" s="152" customFormat="1" ht="15" customHeight="1" x14ac:dyDescent="0.25">
      <c r="A545" s="152">
        <f t="shared" si="16"/>
        <v>2015</v>
      </c>
      <c r="B545" s="152" t="str">
        <f t="shared" si="17"/>
        <v>2015-16</v>
      </c>
      <c r="C545" s="173">
        <v>42186</v>
      </c>
      <c r="D545" s="154">
        <v>0.74231304347826088</v>
      </c>
      <c r="E545" s="155">
        <v>298.48905276853009</v>
      </c>
      <c r="F545" s="155">
        <v>402.10670604668087</v>
      </c>
      <c r="G545" s="155">
        <v>36.768929190700632</v>
      </c>
      <c r="H545" s="155">
        <v>49.532915410474573</v>
      </c>
      <c r="I545" s="156">
        <v>1130.037</v>
      </c>
      <c r="J545" s="156">
        <v>1539.17</v>
      </c>
      <c r="K545" s="157">
        <v>51.08</v>
      </c>
      <c r="L545" s="158">
        <v>68.811939179532828</v>
      </c>
      <c r="M545" s="159">
        <v>11385.8696</v>
      </c>
      <c r="N545" s="159">
        <v>15338.36660965724</v>
      </c>
      <c r="O545" s="175">
        <v>5456.9129999999996</v>
      </c>
      <c r="P545" s="175">
        <v>7351.22876789354</v>
      </c>
      <c r="Q545" s="175">
        <v>1762.3478</v>
      </c>
      <c r="R545" s="175">
        <v>2374.1301806339761</v>
      </c>
      <c r="S545" s="175">
        <v>2002.0652</v>
      </c>
      <c r="T545" s="175">
        <v>2697.063210177354</v>
      </c>
      <c r="U545" s="161">
        <v>1028.9696873084056</v>
      </c>
      <c r="V545" s="161">
        <v>1386.1667881881151</v>
      </c>
      <c r="W545" s="161">
        <v>2125.8420832063598</v>
      </c>
      <c r="X545" s="161">
        <v>2863.808068419879</v>
      </c>
      <c r="Y545" s="162"/>
      <c r="Z545" s="162"/>
      <c r="AA545" s="162"/>
      <c r="AB545" s="162"/>
      <c r="AC545" s="163">
        <v>15.071999999999999</v>
      </c>
      <c r="AD545" s="163">
        <v>20.85</v>
      </c>
      <c r="AE545" s="163">
        <v>31506.739099999999</v>
      </c>
      <c r="AF545" s="163">
        <v>42444.00576927582</v>
      </c>
      <c r="AG545" s="163">
        <v>1012.4349999999999</v>
      </c>
      <c r="AH545" s="163">
        <v>1363.8922404704449</v>
      </c>
      <c r="AI545" s="163">
        <v>642.56500000000005</v>
      </c>
      <c r="AJ545" s="163">
        <v>865.62536607080108</v>
      </c>
      <c r="AK545" s="164">
        <v>55.87</v>
      </c>
      <c r="AL545" s="164">
        <v>75.264742403298726</v>
      </c>
      <c r="AM545" s="164">
        <v>58.7</v>
      </c>
      <c r="AN545" s="164">
        <v>79.077150153456884</v>
      </c>
      <c r="AO545" s="164"/>
      <c r="AP545" s="164"/>
      <c r="AS545" s="167"/>
      <c r="AT545" s="1170"/>
      <c r="AU545" s="1171"/>
      <c r="AV545" s="1171"/>
      <c r="AW545" s="1172"/>
      <c r="AX545" s="1172"/>
      <c r="AY545" s="1172"/>
      <c r="AZ545" s="1172"/>
      <c r="BA545" s="1283" t="s">
        <v>71</v>
      </c>
      <c r="BB545" s="1237">
        <v>2015</v>
      </c>
      <c r="BC545" s="1236" t="s">
        <v>292</v>
      </c>
      <c r="BD545" s="1236"/>
      <c r="BE545" s="1238">
        <v>16441179572.130009</v>
      </c>
      <c r="BF545" s="1239"/>
      <c r="BG545" s="1236"/>
      <c r="BH545" s="1298" t="s">
        <v>32</v>
      </c>
      <c r="BI545" s="1298" t="s">
        <v>301</v>
      </c>
      <c r="BJ545" s="1298" t="s">
        <v>335</v>
      </c>
      <c r="BK545" s="1298">
        <v>10</v>
      </c>
      <c r="BL545" s="1299">
        <v>46628000</v>
      </c>
      <c r="BM545" s="1239">
        <v>3.4802482031692293E-3</v>
      </c>
      <c r="BN545" s="1236">
        <v>2010</v>
      </c>
      <c r="BO545" s="174"/>
      <c r="BP545" s="174"/>
      <c r="BQ545" s="174"/>
      <c r="BR545" s="174"/>
      <c r="BS545" s="174"/>
      <c r="BT545" s="174"/>
      <c r="BU545" s="174"/>
      <c r="BV545" s="174"/>
      <c r="BW545" s="174"/>
      <c r="BX545" s="174"/>
    </row>
    <row r="546" spans="1:76" s="152" customFormat="1" ht="15" customHeight="1" x14ac:dyDescent="0.25">
      <c r="A546" s="152">
        <f t="shared" si="16"/>
        <v>2015</v>
      </c>
      <c r="B546" s="152" t="str">
        <f t="shared" si="17"/>
        <v>2015-16</v>
      </c>
      <c r="C546" s="173">
        <v>42217</v>
      </c>
      <c r="D546" s="169">
        <v>0.72941999999999996</v>
      </c>
      <c r="E546" s="170">
        <v>284.6852805562101</v>
      </c>
      <c r="F546" s="170">
        <v>390.28992974721029</v>
      </c>
      <c r="G546" s="170">
        <v>36.130299158708361</v>
      </c>
      <c r="H546" s="170">
        <v>49.532915410474573</v>
      </c>
      <c r="I546" s="169">
        <v>1117.4749999999999</v>
      </c>
      <c r="J546" s="169">
        <v>1542.91</v>
      </c>
      <c r="K546" s="169">
        <v>54.36</v>
      </c>
      <c r="L546" s="170">
        <v>74.524965040717291</v>
      </c>
      <c r="M546" s="170">
        <v>10342.25</v>
      </c>
      <c r="N546" s="170">
        <v>14178.731046584959</v>
      </c>
      <c r="O546" s="170">
        <v>5088.9250000000002</v>
      </c>
      <c r="P546" s="170">
        <v>6976.6732472375315</v>
      </c>
      <c r="Q546" s="170">
        <v>1692.9</v>
      </c>
      <c r="R546" s="170">
        <v>2320.8850867812785</v>
      </c>
      <c r="S546" s="170">
        <v>1809.925</v>
      </c>
      <c r="T546" s="170">
        <v>2481.3207754106002</v>
      </c>
      <c r="U546" s="170">
        <v>1005.3694091346705</v>
      </c>
      <c r="V546" s="170">
        <v>1378.3134670487107</v>
      </c>
      <c r="W546" s="170">
        <v>2253.0108013832873</v>
      </c>
      <c r="X546" s="170">
        <v>3088.7702577161135</v>
      </c>
      <c r="Y546" s="170"/>
      <c r="Z546" s="170"/>
      <c r="AA546" s="170"/>
      <c r="AB546" s="170"/>
      <c r="AC546" s="170">
        <v>14.938000000000001</v>
      </c>
      <c r="AD546" s="170">
        <v>20.94</v>
      </c>
      <c r="AE546" s="170">
        <v>29487.75</v>
      </c>
      <c r="AF546" s="170">
        <v>40426.297606317348</v>
      </c>
      <c r="AG546" s="170">
        <v>983.15</v>
      </c>
      <c r="AH546" s="170">
        <v>1347.8517178031861</v>
      </c>
      <c r="AI546" s="170">
        <v>595.4</v>
      </c>
      <c r="AJ546" s="170">
        <v>816.26497765347813</v>
      </c>
      <c r="AK546" s="170">
        <v>46.99</v>
      </c>
      <c r="AL546" s="170">
        <v>64.421046859148376</v>
      </c>
      <c r="AM546" s="170">
        <v>49.23</v>
      </c>
      <c r="AN546" s="170">
        <v>67.491979929258861</v>
      </c>
      <c r="AO546" s="170"/>
      <c r="AP546" s="170"/>
      <c r="AS546" s="167"/>
      <c r="AT546" s="1170"/>
      <c r="AU546" s="1171"/>
      <c r="AV546" s="1171"/>
      <c r="AW546" s="1172"/>
      <c r="AX546" s="1172"/>
      <c r="AY546" s="1172"/>
      <c r="AZ546" s="1172"/>
      <c r="BA546" s="1283" t="s">
        <v>71</v>
      </c>
      <c r="BB546" s="1237">
        <v>2014</v>
      </c>
      <c r="BC546" s="1236" t="s">
        <v>308</v>
      </c>
      <c r="BD546" s="1236">
        <v>1</v>
      </c>
      <c r="BE546" s="1238">
        <v>14249329064.289991</v>
      </c>
      <c r="BF546" s="1239">
        <v>0.60918025592644531</v>
      </c>
      <c r="BG546" s="1236"/>
      <c r="BH546" s="1298" t="s">
        <v>32</v>
      </c>
      <c r="BI546" s="1298" t="s">
        <v>301</v>
      </c>
      <c r="BJ546" s="1298" t="s">
        <v>291</v>
      </c>
      <c r="BK546" s="1298"/>
      <c r="BL546" s="1299">
        <v>95706000</v>
      </c>
      <c r="BM546" s="1239">
        <v>7.1433609533437898E-3</v>
      </c>
      <c r="BN546" s="1236">
        <v>2010</v>
      </c>
      <c r="BO546" s="174"/>
      <c r="BP546" s="174"/>
      <c r="BQ546" s="174"/>
      <c r="BR546" s="174"/>
      <c r="BS546" s="174"/>
      <c r="BT546" s="174"/>
      <c r="BU546" s="174"/>
      <c r="BV546" s="174"/>
      <c r="BW546" s="174"/>
      <c r="BX546" s="174"/>
    </row>
    <row r="547" spans="1:76" s="152" customFormat="1" ht="15" customHeight="1" x14ac:dyDescent="0.25">
      <c r="A547" s="152">
        <f t="shared" si="16"/>
        <v>2015</v>
      </c>
      <c r="B547" s="152" t="str">
        <f t="shared" si="17"/>
        <v>2015-16</v>
      </c>
      <c r="C547" s="173">
        <v>42248</v>
      </c>
      <c r="D547" s="154">
        <v>0.7053772727272728</v>
      </c>
      <c r="E547" s="155">
        <v>277.40194335840221</v>
      </c>
      <c r="F547" s="155">
        <v>393.26748122441552</v>
      </c>
      <c r="G547" s="155">
        <v>34.939392782471259</v>
      </c>
      <c r="H547" s="155">
        <v>49.532915410474573</v>
      </c>
      <c r="I547" s="156">
        <v>1124.5319999999999</v>
      </c>
      <c r="J547" s="156">
        <v>1605.71</v>
      </c>
      <c r="K547" s="157">
        <v>55.79</v>
      </c>
      <c r="L547" s="158">
        <v>79.092426361134912</v>
      </c>
      <c r="M547" s="159">
        <v>9898.4091000000008</v>
      </c>
      <c r="N547" s="159">
        <v>14032.787109412757</v>
      </c>
      <c r="O547" s="175">
        <v>5208.0909000000001</v>
      </c>
      <c r="P547" s="175">
        <v>7383.4118299040483</v>
      </c>
      <c r="Q547" s="175">
        <v>1682.0454999999999</v>
      </c>
      <c r="R547" s="175">
        <v>2384.6040481238279</v>
      </c>
      <c r="S547" s="175">
        <v>1718.9091000000001</v>
      </c>
      <c r="T547" s="175">
        <v>2436.8648756629268</v>
      </c>
      <c r="U547" s="161">
        <v>1005.2086085028692</v>
      </c>
      <c r="V547" s="161">
        <v>1425.0652060511215</v>
      </c>
      <c r="W547" s="161">
        <v>2200.4879142103518</v>
      </c>
      <c r="X547" s="161">
        <v>3119.5900396710808</v>
      </c>
      <c r="Y547" s="162"/>
      <c r="Z547" s="162"/>
      <c r="AA547" s="162"/>
      <c r="AB547" s="162"/>
      <c r="AC547" s="163">
        <v>14.718</v>
      </c>
      <c r="AD547" s="163">
        <v>21.36</v>
      </c>
      <c r="AE547" s="163">
        <v>28036.363600000001</v>
      </c>
      <c r="AF547" s="163">
        <v>39746.621678921016</v>
      </c>
      <c r="AG547" s="163">
        <v>965.36400000000003</v>
      </c>
      <c r="AH547" s="163">
        <v>1368.5782592165378</v>
      </c>
      <c r="AI547" s="163">
        <v>608.5</v>
      </c>
      <c r="AJ547" s="163">
        <v>862.65892526887603</v>
      </c>
      <c r="AK547" s="164">
        <v>47.24</v>
      </c>
      <c r="AL547" s="164">
        <v>66.971253294497458</v>
      </c>
      <c r="AM547" s="164">
        <v>49.09</v>
      </c>
      <c r="AN547" s="164">
        <v>69.593963256284511</v>
      </c>
      <c r="AO547" s="164"/>
      <c r="AP547" s="164"/>
      <c r="AS547" s="167"/>
      <c r="AT547" s="1170"/>
      <c r="AU547" s="1171"/>
      <c r="AV547" s="1171"/>
      <c r="AW547" s="1172"/>
      <c r="AX547" s="1172"/>
      <c r="AY547" s="1172"/>
      <c r="AZ547" s="1172"/>
      <c r="BA547" s="1283" t="s">
        <v>71</v>
      </c>
      <c r="BB547" s="1237">
        <v>2014</v>
      </c>
      <c r="BC547" s="1236" t="s">
        <v>320</v>
      </c>
      <c r="BD547" s="1236">
        <v>2</v>
      </c>
      <c r="BE547" s="1238">
        <v>2694653306.9300008</v>
      </c>
      <c r="BF547" s="1239">
        <v>0.11520048303624837</v>
      </c>
      <c r="BG547" s="1236"/>
      <c r="BH547" s="1298" t="s">
        <v>32</v>
      </c>
      <c r="BI547" s="1298" t="s">
        <v>301</v>
      </c>
      <c r="BJ547" s="1298" t="s">
        <v>292</v>
      </c>
      <c r="BK547" s="1298"/>
      <c r="BL547" s="1299">
        <v>13397895000</v>
      </c>
      <c r="BM547" s="1239">
        <v>1</v>
      </c>
      <c r="BN547" s="1236">
        <v>2010</v>
      </c>
      <c r="BO547" s="174"/>
      <c r="BP547" s="174"/>
      <c r="BQ547" s="174"/>
      <c r="BR547" s="174"/>
      <c r="BS547" s="174"/>
      <c r="BT547" s="174"/>
      <c r="BU547" s="174"/>
      <c r="BV547" s="174"/>
      <c r="BW547" s="174"/>
      <c r="BX547" s="174"/>
    </row>
    <row r="548" spans="1:76" s="152" customFormat="1" ht="15" customHeight="1" x14ac:dyDescent="0.25">
      <c r="A548" s="152">
        <f t="shared" si="16"/>
        <v>2015</v>
      </c>
      <c r="B548" s="152" t="str">
        <f t="shared" si="17"/>
        <v>2015-16</v>
      </c>
      <c r="C548" s="173">
        <v>42278</v>
      </c>
      <c r="D548" s="169">
        <v>0.72100952380952366</v>
      </c>
      <c r="E548" s="170">
        <v>266.31129670226193</v>
      </c>
      <c r="F548" s="170">
        <v>369.35891677987888</v>
      </c>
      <c r="G548" s="170">
        <v>35.713703753003685</v>
      </c>
      <c r="H548" s="170">
        <v>49.532915410474573</v>
      </c>
      <c r="I548" s="169">
        <v>1159.2449999999999</v>
      </c>
      <c r="J548" s="169">
        <v>1618.18</v>
      </c>
      <c r="K548" s="169">
        <v>52.83</v>
      </c>
      <c r="L548" s="170">
        <v>73.272263757165888</v>
      </c>
      <c r="M548" s="170">
        <v>10344.090899999999</v>
      </c>
      <c r="N548" s="170">
        <v>14346.677205241331</v>
      </c>
      <c r="O548" s="170">
        <v>5222.6135999999997</v>
      </c>
      <c r="P548" s="170">
        <v>7243.4738065675119</v>
      </c>
      <c r="Q548" s="170">
        <v>1724.5681999999999</v>
      </c>
      <c r="R548" s="170">
        <v>2391.8799170475263</v>
      </c>
      <c r="S548" s="170">
        <v>1728.0454999999999</v>
      </c>
      <c r="T548" s="170">
        <v>2396.7027382241836</v>
      </c>
      <c r="U548" s="170">
        <v>937.21614963431364</v>
      </c>
      <c r="V548" s="170">
        <v>1299.8665325285044</v>
      </c>
      <c r="W548" s="170">
        <v>2151.4290802390215</v>
      </c>
      <c r="X548" s="170">
        <v>2983.9121526047779</v>
      </c>
      <c r="Y548" s="170"/>
      <c r="Z548" s="170"/>
      <c r="AA548" s="170"/>
      <c r="AB548" s="170"/>
      <c r="AC548" s="170">
        <v>15.707000000000001</v>
      </c>
      <c r="AD548" s="170">
        <v>22.3</v>
      </c>
      <c r="AE548" s="170">
        <v>27661.590899999999</v>
      </c>
      <c r="AF548" s="170">
        <v>38365.083936544004</v>
      </c>
      <c r="AG548" s="170">
        <v>976.90899999999999</v>
      </c>
      <c r="AH548" s="170">
        <v>1354.9183023802607</v>
      </c>
      <c r="AI548" s="170">
        <v>691.5</v>
      </c>
      <c r="AJ548" s="170">
        <v>959.0719361741476</v>
      </c>
      <c r="AK548" s="170">
        <v>48.12</v>
      </c>
      <c r="AL548" s="170">
        <v>66.739756426174949</v>
      </c>
      <c r="AM548" s="170">
        <v>49</v>
      </c>
      <c r="AN548" s="170">
        <v>67.960267350011904</v>
      </c>
      <c r="AO548" s="170"/>
      <c r="AP548" s="170"/>
      <c r="AS548" s="167"/>
      <c r="AT548" s="1170"/>
      <c r="AU548" s="1171"/>
      <c r="AV548" s="1171"/>
      <c r="AW548" s="1172"/>
      <c r="AX548" s="1172"/>
      <c r="AY548" s="1172"/>
      <c r="AZ548" s="1172"/>
      <c r="BA548" s="1283" t="s">
        <v>71</v>
      </c>
      <c r="BB548" s="1237">
        <v>2014</v>
      </c>
      <c r="BC548" s="1236" t="s">
        <v>281</v>
      </c>
      <c r="BD548" s="1236">
        <v>3</v>
      </c>
      <c r="BE548" s="1238">
        <v>2539944083.0200009</v>
      </c>
      <c r="BF548" s="1239">
        <v>0.10858643095067592</v>
      </c>
      <c r="BG548" s="1236"/>
      <c r="BH548" s="1300" t="s">
        <v>32</v>
      </c>
      <c r="BI548" s="1300" t="s">
        <v>297</v>
      </c>
      <c r="BJ548" s="1300" t="s">
        <v>314</v>
      </c>
      <c r="BK548" s="1300">
        <v>1</v>
      </c>
      <c r="BL548" s="1301">
        <v>4522565000</v>
      </c>
      <c r="BM548" s="1239">
        <v>0.28984679197566926</v>
      </c>
      <c r="BN548" s="1236">
        <v>2011</v>
      </c>
      <c r="BO548" s="174"/>
      <c r="BP548" s="174"/>
      <c r="BQ548" s="174"/>
      <c r="BR548" s="174"/>
      <c r="BS548" s="174"/>
      <c r="BT548" s="174"/>
      <c r="BU548" s="174"/>
      <c r="BV548" s="174"/>
      <c r="BW548" s="174"/>
      <c r="BX548" s="174"/>
    </row>
    <row r="549" spans="1:76" s="152" customFormat="1" ht="15" customHeight="1" x14ac:dyDescent="0.25">
      <c r="A549" s="152">
        <f t="shared" si="16"/>
        <v>2015</v>
      </c>
      <c r="B549" s="152" t="str">
        <f t="shared" si="17"/>
        <v>2015-16</v>
      </c>
      <c r="C549" s="173">
        <v>42309</v>
      </c>
      <c r="D549" s="154">
        <v>0.71547142857142854</v>
      </c>
      <c r="E549" s="155">
        <v>258.82995921313614</v>
      </c>
      <c r="F549" s="155">
        <v>361.76141894294534</v>
      </c>
      <c r="G549" s="155">
        <v>36.578984700781547</v>
      </c>
      <c r="H549" s="155">
        <v>51.125709902655764</v>
      </c>
      <c r="I549" s="156">
        <v>1085.702</v>
      </c>
      <c r="J549" s="156">
        <v>1536.07</v>
      </c>
      <c r="K549" s="157">
        <v>45.73</v>
      </c>
      <c r="L549" s="158">
        <v>63.915899606652957</v>
      </c>
      <c r="M549" s="159">
        <v>9232.1429000000007</v>
      </c>
      <c r="N549" s="159">
        <v>12903.580117005773</v>
      </c>
      <c r="O549" s="175">
        <v>4808.2380999999996</v>
      </c>
      <c r="P549" s="175">
        <v>6720.377513327875</v>
      </c>
      <c r="Q549" s="175">
        <v>1615.9762000000001</v>
      </c>
      <c r="R549" s="175">
        <v>2258.6173751572392</v>
      </c>
      <c r="S549" s="175">
        <v>1582.2856999999999</v>
      </c>
      <c r="T549" s="175">
        <v>2211.5288421220775</v>
      </c>
      <c r="U549" s="161">
        <v>964.30876301589501</v>
      </c>
      <c r="V549" s="161">
        <v>1347.7949286407095</v>
      </c>
      <c r="W549" s="161">
        <v>2162.5170296011638</v>
      </c>
      <c r="X549" s="161">
        <v>3022.5064806836945</v>
      </c>
      <c r="Y549" s="162"/>
      <c r="Z549" s="162"/>
      <c r="AA549" s="162"/>
      <c r="AB549" s="162"/>
      <c r="AC549" s="163">
        <v>14.507</v>
      </c>
      <c r="AD549" s="163">
        <v>20.77</v>
      </c>
      <c r="AE549" s="163">
        <v>24754.761900000001</v>
      </c>
      <c r="AF549" s="163">
        <v>34599.231934987925</v>
      </c>
      <c r="AG549" s="163">
        <v>883.524</v>
      </c>
      <c r="AH549" s="163">
        <v>1234.8836930695047</v>
      </c>
      <c r="AI549" s="163">
        <v>574.048</v>
      </c>
      <c r="AJ549" s="163">
        <v>802.33532336321707</v>
      </c>
      <c r="AK549" s="164">
        <v>44.56</v>
      </c>
      <c r="AL549" s="164">
        <v>62.280614180460439</v>
      </c>
      <c r="AM549" s="164">
        <v>45.11</v>
      </c>
      <c r="AN549" s="164">
        <v>63.049338098756067</v>
      </c>
      <c r="AO549" s="164"/>
      <c r="AP549" s="164"/>
      <c r="AS549" s="167"/>
      <c r="AT549" s="1170"/>
      <c r="AU549" s="1171"/>
      <c r="AV549" s="1171"/>
      <c r="AW549" s="1172"/>
      <c r="AX549" s="1172"/>
      <c r="AY549" s="1172"/>
      <c r="AZ549" s="1172"/>
      <c r="BA549" s="1283" t="s">
        <v>71</v>
      </c>
      <c r="BB549" s="1237">
        <v>2014</v>
      </c>
      <c r="BC549" s="1236" t="s">
        <v>306</v>
      </c>
      <c r="BD549" s="1236">
        <v>4</v>
      </c>
      <c r="BE549" s="1238">
        <v>1315565751.8300006</v>
      </c>
      <c r="BF549" s="1239">
        <v>5.6242415188254957E-2</v>
      </c>
      <c r="BG549" s="1236"/>
      <c r="BH549" s="1300" t="s">
        <v>32</v>
      </c>
      <c r="BI549" s="1300" t="s">
        <v>297</v>
      </c>
      <c r="BJ549" s="1300" t="s">
        <v>281</v>
      </c>
      <c r="BK549" s="1300">
        <v>2</v>
      </c>
      <c r="BL549" s="1301">
        <v>4346966000</v>
      </c>
      <c r="BM549" s="1239">
        <v>0.27859282286209419</v>
      </c>
      <c r="BN549" s="1236">
        <v>2011</v>
      </c>
      <c r="BO549" s="174"/>
      <c r="BP549" s="174"/>
      <c r="BQ549" s="174"/>
      <c r="BR549" s="174"/>
      <c r="BS549" s="174"/>
      <c r="BT549" s="174"/>
      <c r="BU549" s="174"/>
      <c r="BV549" s="174"/>
      <c r="BW549" s="174"/>
      <c r="BX549" s="174"/>
    </row>
    <row r="550" spans="1:76" s="152" customFormat="1" ht="15" customHeight="1" x14ac:dyDescent="0.25">
      <c r="A550" s="152">
        <f t="shared" si="16"/>
        <v>2015</v>
      </c>
      <c r="B550" s="152" t="str">
        <f t="shared" si="17"/>
        <v>2015-16</v>
      </c>
      <c r="C550" s="173">
        <v>42339</v>
      </c>
      <c r="D550" s="169">
        <v>0.72482857142857149</v>
      </c>
      <c r="E550" s="170">
        <v>236.33548090462534</v>
      </c>
      <c r="F550" s="170">
        <v>326.05707089999157</v>
      </c>
      <c r="G550" s="170">
        <v>35.901718413212507</v>
      </c>
      <c r="H550" s="170">
        <v>49.531323444457314</v>
      </c>
      <c r="I550" s="169">
        <v>1068.2529999999999</v>
      </c>
      <c r="J550" s="169">
        <v>1486.33</v>
      </c>
      <c r="K550" s="169">
        <v>38.97</v>
      </c>
      <c r="L550" s="170">
        <v>53.76443691119082</v>
      </c>
      <c r="M550" s="170">
        <v>8692.1429000000007</v>
      </c>
      <c r="N550" s="170">
        <v>11991.998167054278</v>
      </c>
      <c r="O550" s="170">
        <v>4629</v>
      </c>
      <c r="P550" s="170">
        <v>6386.3376561945679</v>
      </c>
      <c r="Q550" s="170">
        <v>1701.2856999999999</v>
      </c>
      <c r="R550" s="170">
        <v>2347.1559580590483</v>
      </c>
      <c r="S550" s="170">
        <v>1522.0952</v>
      </c>
      <c r="T550" s="170">
        <v>2099.9381922819189</v>
      </c>
      <c r="U550" s="170">
        <v>960.0883425442812</v>
      </c>
      <c r="V550" s="170">
        <v>1324.5729823426166</v>
      </c>
      <c r="W550" s="170">
        <v>2112.518878650701</v>
      </c>
      <c r="X550" s="170">
        <v>2914.5082877832997</v>
      </c>
      <c r="Y550" s="170"/>
      <c r="Z550" s="170"/>
      <c r="AA550" s="170"/>
      <c r="AB550" s="170"/>
      <c r="AC550" s="170">
        <v>14.054</v>
      </c>
      <c r="AD550" s="170">
        <v>19.89</v>
      </c>
      <c r="AE550" s="170">
        <v>24235.238099999999</v>
      </c>
      <c r="AF550" s="170">
        <v>33435.820627537541</v>
      </c>
      <c r="AG550" s="170">
        <v>858.52599999999995</v>
      </c>
      <c r="AH550" s="170">
        <v>1184.4538610114705</v>
      </c>
      <c r="AI550" s="170">
        <v>552.26300000000003</v>
      </c>
      <c r="AJ550" s="170">
        <v>761.92222791596043</v>
      </c>
      <c r="AK550" s="170">
        <v>37.72</v>
      </c>
      <c r="AL550" s="170">
        <v>52.039891205802348</v>
      </c>
      <c r="AM550" s="170">
        <v>38.83</v>
      </c>
      <c r="AN550" s="170">
        <v>53.571287792187306</v>
      </c>
      <c r="AO550" s="170"/>
      <c r="AP550" s="170"/>
      <c r="AS550" s="167"/>
      <c r="AT550" s="1170"/>
      <c r="AU550" s="1171"/>
      <c r="AV550" s="1171"/>
      <c r="AW550" s="1172"/>
      <c r="AX550" s="1172"/>
      <c r="AY550" s="1172"/>
      <c r="AZ550" s="1172"/>
      <c r="BA550" s="1283" t="s">
        <v>71</v>
      </c>
      <c r="BB550" s="1237">
        <v>2014</v>
      </c>
      <c r="BC550" s="1236" t="s">
        <v>323</v>
      </c>
      <c r="BD550" s="1236">
        <v>5</v>
      </c>
      <c r="BE550" s="1238">
        <v>864285502.99000025</v>
      </c>
      <c r="BF550" s="1239">
        <v>3.6949505589314521E-2</v>
      </c>
      <c r="BG550" s="1236"/>
      <c r="BH550" s="1300" t="s">
        <v>32</v>
      </c>
      <c r="BI550" s="1300" t="s">
        <v>297</v>
      </c>
      <c r="BJ550" s="1300" t="s">
        <v>287</v>
      </c>
      <c r="BK550" s="1300">
        <v>3</v>
      </c>
      <c r="BL550" s="1301">
        <v>2955373000</v>
      </c>
      <c r="BM550" s="1239">
        <v>0.18940698102548212</v>
      </c>
      <c r="BN550" s="1236">
        <v>2011</v>
      </c>
      <c r="BO550" s="174"/>
      <c r="BP550" s="174"/>
      <c r="BQ550" s="174"/>
      <c r="BR550" s="174"/>
      <c r="BS550" s="174"/>
      <c r="BT550" s="174"/>
      <c r="BU550" s="174"/>
      <c r="BV550" s="174"/>
      <c r="BW550" s="174"/>
      <c r="BX550" s="174"/>
    </row>
    <row r="551" spans="1:76" s="152" customFormat="1" ht="15" customHeight="1" x14ac:dyDescent="0.25">
      <c r="A551" s="152">
        <f t="shared" si="16"/>
        <v>2016</v>
      </c>
      <c r="B551" s="152" t="str">
        <f t="shared" si="17"/>
        <v>2015-16</v>
      </c>
      <c r="C551" s="173">
        <v>42370</v>
      </c>
      <c r="D551" s="154">
        <v>0.70146315789473679</v>
      </c>
      <c r="E551" s="155">
        <v>228.70432394732907</v>
      </c>
      <c r="F551" s="155">
        <v>326.03896779657953</v>
      </c>
      <c r="G551" s="155">
        <v>32.476520764667853</v>
      </c>
      <c r="H551" s="155">
        <v>46.298255865836019</v>
      </c>
      <c r="I551" s="156">
        <v>1097.375</v>
      </c>
      <c r="J551" s="156">
        <v>1574.65</v>
      </c>
      <c r="K551" s="157">
        <v>40.97</v>
      </c>
      <c r="L551" s="158">
        <v>58.4</v>
      </c>
      <c r="M551" s="159">
        <v>8483</v>
      </c>
      <c r="N551" s="159">
        <v>12093.293716892511</v>
      </c>
      <c r="O551" s="175">
        <v>4462.75</v>
      </c>
      <c r="P551" s="175">
        <v>6362.0590044868622</v>
      </c>
      <c r="Q551" s="175">
        <v>1646.95</v>
      </c>
      <c r="R551" s="175">
        <v>2347.8781194195594</v>
      </c>
      <c r="S551" s="175">
        <v>1512.2</v>
      </c>
      <c r="T551" s="175">
        <v>2155.7796485541503</v>
      </c>
      <c r="U551" s="161">
        <v>877.03403035025758</v>
      </c>
      <c r="V551" s="161">
        <v>1250.2923645804181</v>
      </c>
      <c r="W551" s="161">
        <v>2011.1133282244973</v>
      </c>
      <c r="X551" s="161">
        <v>2867.0263086379937</v>
      </c>
      <c r="Y551" s="162">
        <v>20251.038049248262</v>
      </c>
      <c r="Z551" s="162">
        <v>28869.71014989098</v>
      </c>
      <c r="AA551" s="162"/>
      <c r="AB551" s="162"/>
      <c r="AC551" s="163">
        <v>14.016</v>
      </c>
      <c r="AD551" s="163">
        <v>20.53</v>
      </c>
      <c r="AE551" s="163">
        <v>23384.5</v>
      </c>
      <c r="AF551" s="163">
        <v>33336.747250108798</v>
      </c>
      <c r="AG551" s="163">
        <v>854.1</v>
      </c>
      <c r="AH551" s="163">
        <v>1217.5978030882818</v>
      </c>
      <c r="AI551" s="163">
        <v>499.9</v>
      </c>
      <c r="AJ551" s="163">
        <v>712.65325109920616</v>
      </c>
      <c r="AK551" s="164">
        <v>31.03</v>
      </c>
      <c r="AL551" s="164">
        <v>44.2361079848137</v>
      </c>
      <c r="AM551" s="164">
        <v>32.299999999999997</v>
      </c>
      <c r="AN551" s="164">
        <v>46.046609342877296</v>
      </c>
      <c r="AO551" s="164"/>
      <c r="AP551" s="164"/>
      <c r="AS551" s="167"/>
      <c r="AT551" s="1170"/>
      <c r="AU551" s="1171"/>
      <c r="AV551" s="1171"/>
      <c r="AW551" s="1172"/>
      <c r="AX551" s="1172"/>
      <c r="AY551" s="1172"/>
      <c r="AZ551" s="1172"/>
      <c r="BA551" s="1283" t="s">
        <v>71</v>
      </c>
      <c r="BB551" s="1237">
        <v>2014</v>
      </c>
      <c r="BC551" s="1236" t="s">
        <v>285</v>
      </c>
      <c r="BD551" s="1236">
        <v>6</v>
      </c>
      <c r="BE551" s="1238">
        <v>817088070.18000007</v>
      </c>
      <c r="BF551" s="1239">
        <v>3.4931744327114364E-2</v>
      </c>
      <c r="BG551" s="1236"/>
      <c r="BH551" s="1300" t="s">
        <v>32</v>
      </c>
      <c r="BI551" s="1300" t="s">
        <v>297</v>
      </c>
      <c r="BJ551" s="1300" t="s">
        <v>323</v>
      </c>
      <c r="BK551" s="1300">
        <v>4</v>
      </c>
      <c r="BL551" s="1301">
        <v>1607031000</v>
      </c>
      <c r="BM551" s="1239">
        <v>0.10299305371077071</v>
      </c>
      <c r="BN551" s="1236">
        <v>2011</v>
      </c>
      <c r="BO551" s="174"/>
      <c r="BP551" s="174"/>
      <c r="BQ551" s="174"/>
      <c r="BR551" s="174"/>
      <c r="BS551" s="174"/>
      <c r="BT551" s="174"/>
      <c r="BU551" s="174"/>
      <c r="BV551" s="174"/>
      <c r="BW551" s="174"/>
      <c r="BX551" s="174"/>
    </row>
    <row r="552" spans="1:76" s="152" customFormat="1" ht="15" customHeight="1" x14ac:dyDescent="0.25">
      <c r="A552" s="152">
        <f t="shared" si="16"/>
        <v>2016</v>
      </c>
      <c r="B552" s="152" t="str">
        <f t="shared" si="17"/>
        <v>2015-16</v>
      </c>
      <c r="C552" s="173">
        <v>42401</v>
      </c>
      <c r="D552" s="169">
        <v>0.71279523809523815</v>
      </c>
      <c r="E552" s="170">
        <v>226.29016967907944</v>
      </c>
      <c r="F552" s="170">
        <v>317.46868888151062</v>
      </c>
      <c r="G552" s="170">
        <v>30.958994524086719</v>
      </c>
      <c r="H552" s="170">
        <v>43.433222992365472</v>
      </c>
      <c r="I552" s="169">
        <v>1199.912</v>
      </c>
      <c r="J552" s="169">
        <v>1686.71</v>
      </c>
      <c r="K552" s="169">
        <v>45.57</v>
      </c>
      <c r="L552" s="170">
        <v>63.82</v>
      </c>
      <c r="M552" s="170">
        <v>8309.5238000000008</v>
      </c>
      <c r="N552" s="170">
        <v>11657.658968380689</v>
      </c>
      <c r="O552" s="170">
        <v>4595.4762000000001</v>
      </c>
      <c r="P552" s="170">
        <v>6447.1196697107962</v>
      </c>
      <c r="Q552" s="170">
        <v>1771.5714</v>
      </c>
      <c r="R552" s="170">
        <v>2485.3861323962669</v>
      </c>
      <c r="S552" s="170">
        <v>1710.8333</v>
      </c>
      <c r="T552" s="170">
        <v>2400.1749851356494</v>
      </c>
      <c r="U552" s="170">
        <v>984.25721328312034</v>
      </c>
      <c r="V552" s="170">
        <v>1380.8414544312816</v>
      </c>
      <c r="W552" s="170">
        <v>2031.7145550343773</v>
      </c>
      <c r="X552" s="170">
        <v>2850.3481034239394</v>
      </c>
      <c r="Y552" s="170">
        <v>23860.239096214886</v>
      </c>
      <c r="Z552" s="170">
        <v>33474.184199062882</v>
      </c>
      <c r="AA552" s="170"/>
      <c r="AB552" s="170"/>
      <c r="AC552" s="170">
        <v>15.068</v>
      </c>
      <c r="AD552" s="170">
        <v>21.6</v>
      </c>
      <c r="AE552" s="170">
        <v>22382.381000000001</v>
      </c>
      <c r="AF552" s="170">
        <v>31400.856520606332</v>
      </c>
      <c r="AG552" s="170">
        <v>920.23800000000006</v>
      </c>
      <c r="AH552" s="170">
        <v>1291.0271433056978</v>
      </c>
      <c r="AI552" s="170">
        <v>505.19</v>
      </c>
      <c r="AJ552" s="170">
        <v>708.74491438802295</v>
      </c>
      <c r="AK552" s="170">
        <v>33.200000000000003</v>
      </c>
      <c r="AL552" s="170">
        <v>46.577191072036982</v>
      </c>
      <c r="AM552" s="170">
        <v>35.08</v>
      </c>
      <c r="AN552" s="170">
        <v>49.214694662863167</v>
      </c>
      <c r="AO552" s="170"/>
      <c r="AP552" s="170"/>
      <c r="AS552" s="167"/>
      <c r="AT552" s="1170"/>
      <c r="AU552" s="1171"/>
      <c r="AV552" s="1171"/>
      <c r="AW552" s="1172"/>
      <c r="AX552" s="1172"/>
      <c r="AY552" s="1172"/>
      <c r="AZ552" s="1172"/>
      <c r="BA552" s="1283" t="s">
        <v>71</v>
      </c>
      <c r="BB552" s="1237">
        <v>2014</v>
      </c>
      <c r="BC552" s="1236" t="s">
        <v>342</v>
      </c>
      <c r="BD552" s="1236">
        <v>7</v>
      </c>
      <c r="BE552" s="1238">
        <v>325868501.89999998</v>
      </c>
      <c r="BF552" s="1239">
        <v>1.3931368732532019E-2</v>
      </c>
      <c r="BG552" s="1236"/>
      <c r="BH552" s="1300" t="s">
        <v>32</v>
      </c>
      <c r="BI552" s="1300" t="s">
        <v>297</v>
      </c>
      <c r="BJ552" s="1300" t="s">
        <v>306</v>
      </c>
      <c r="BK552" s="1300">
        <v>5</v>
      </c>
      <c r="BL552" s="1301">
        <v>1116730000</v>
      </c>
      <c r="BM552" s="1239">
        <v>7.1570139512199191E-2</v>
      </c>
      <c r="BN552" s="1236">
        <v>2011</v>
      </c>
      <c r="BO552" s="174"/>
      <c r="BP552" s="174"/>
      <c r="BQ552" s="174"/>
      <c r="BR552" s="174"/>
      <c r="BS552" s="174"/>
      <c r="BT552" s="174"/>
      <c r="BU552" s="174"/>
      <c r="BV552" s="174"/>
      <c r="BW552" s="174"/>
      <c r="BX552" s="174"/>
    </row>
    <row r="553" spans="1:76" s="152" customFormat="1" ht="15" customHeight="1" x14ac:dyDescent="0.25">
      <c r="A553" s="152">
        <f t="shared" si="16"/>
        <v>2016</v>
      </c>
      <c r="B553" s="152" t="str">
        <f t="shared" si="17"/>
        <v>2015-16</v>
      </c>
      <c r="C553" s="173">
        <v>42430</v>
      </c>
      <c r="D553" s="154">
        <v>0.74831904761904777</v>
      </c>
      <c r="E553" s="155">
        <v>219.73405078890983</v>
      </c>
      <c r="F553" s="155">
        <v>293.63685380994264</v>
      </c>
      <c r="G553" s="155">
        <v>29.49786192716817</v>
      </c>
      <c r="H553" s="155">
        <v>39.418830806221656</v>
      </c>
      <c r="I553" s="156">
        <v>1246.338</v>
      </c>
      <c r="J553" s="156">
        <v>1677.74</v>
      </c>
      <c r="K553" s="157">
        <v>55.22</v>
      </c>
      <c r="L553" s="158">
        <v>73.53</v>
      </c>
      <c r="M553" s="159">
        <v>8704.0475999999999</v>
      </c>
      <c r="N553" s="159">
        <v>11631.466054076753</v>
      </c>
      <c r="O553" s="175">
        <v>4947.5475999999999</v>
      </c>
      <c r="P553" s="175">
        <v>6611.5483973604314</v>
      </c>
      <c r="Q553" s="175">
        <v>1808.0237999999999</v>
      </c>
      <c r="R553" s="175">
        <v>2416.1135624606254</v>
      </c>
      <c r="S553" s="175">
        <v>1804.6429000000001</v>
      </c>
      <c r="T553" s="175">
        <v>2411.5955697531608</v>
      </c>
      <c r="U553" s="161">
        <v>966.08688838672708</v>
      </c>
      <c r="V553" s="161">
        <v>1291.0093515066317</v>
      </c>
      <c r="W553" s="161">
        <v>2090.0044801710096</v>
      </c>
      <c r="X553" s="161">
        <v>2792.9323552846186</v>
      </c>
      <c r="Y553" s="162">
        <v>27706.000802214996</v>
      </c>
      <c r="Z553" s="162">
        <v>37024.315885541233</v>
      </c>
      <c r="AA553" s="162"/>
      <c r="AB553" s="162"/>
      <c r="AC553" s="163">
        <v>15.42</v>
      </c>
      <c r="AD553" s="163">
        <v>21</v>
      </c>
      <c r="AE553" s="163">
        <v>23158.571400000001</v>
      </c>
      <c r="AF553" s="163">
        <v>30947.456801593406</v>
      </c>
      <c r="AG553" s="163">
        <v>968.42899999999997</v>
      </c>
      <c r="AH553" s="163">
        <v>1294.1391817852073</v>
      </c>
      <c r="AI553" s="163">
        <v>567.38099999999997</v>
      </c>
      <c r="AJ553" s="163">
        <v>758.2073472608447</v>
      </c>
      <c r="AK553" s="164">
        <v>39.07</v>
      </c>
      <c r="AL553" s="164">
        <v>52.210350818023876</v>
      </c>
      <c r="AM553" s="164">
        <v>40.99</v>
      </c>
      <c r="AN553" s="164">
        <v>54.776101357327846</v>
      </c>
      <c r="AO553" s="164"/>
      <c r="AP553" s="164"/>
      <c r="AS553" s="167"/>
      <c r="AT553" s="1170"/>
      <c r="AU553" s="1171"/>
      <c r="AV553" s="1171"/>
      <c r="AW553" s="1172"/>
      <c r="AX553" s="1172"/>
      <c r="AY553" s="1172"/>
      <c r="AZ553" s="1172"/>
      <c r="BA553" s="1283" t="s">
        <v>71</v>
      </c>
      <c r="BB553" s="1237">
        <v>2014</v>
      </c>
      <c r="BC553" s="1236" t="s">
        <v>289</v>
      </c>
      <c r="BD553" s="1236">
        <v>8</v>
      </c>
      <c r="BE553" s="1238">
        <v>154139537.43000001</v>
      </c>
      <c r="BF553" s="1239">
        <v>6.589697131446662E-3</v>
      </c>
      <c r="BG553" s="1236"/>
      <c r="BH553" s="1300" t="s">
        <v>32</v>
      </c>
      <c r="BI553" s="1300" t="s">
        <v>297</v>
      </c>
      <c r="BJ553" s="1300" t="s">
        <v>286</v>
      </c>
      <c r="BK553" s="1300">
        <v>6</v>
      </c>
      <c r="BL553" s="1301">
        <v>338791000</v>
      </c>
      <c r="BM553" s="1239">
        <v>2.171278566482272E-2</v>
      </c>
      <c r="BN553" s="1236">
        <v>2011</v>
      </c>
      <c r="BO553" s="174"/>
      <c r="BP553" s="174"/>
      <c r="BQ553" s="174"/>
      <c r="BR553" s="174"/>
      <c r="BS553" s="174"/>
      <c r="BT553" s="174"/>
      <c r="BU553" s="174"/>
      <c r="BV553" s="174"/>
      <c r="BW553" s="174"/>
      <c r="BX553" s="174"/>
    </row>
    <row r="554" spans="1:76" s="152" customFormat="1" ht="15" customHeight="1" x14ac:dyDescent="0.25">
      <c r="A554" s="152">
        <f t="shared" si="16"/>
        <v>2016</v>
      </c>
      <c r="B554" s="152" t="str">
        <f t="shared" si="17"/>
        <v>2015-16</v>
      </c>
      <c r="C554" s="173">
        <v>42461</v>
      </c>
      <c r="D554" s="169">
        <v>0.76619500000000007</v>
      </c>
      <c r="E554" s="170">
        <v>235.77175772350716</v>
      </c>
      <c r="F554" s="170">
        <v>307.7176929156509</v>
      </c>
      <c r="G554" s="170">
        <v>32.073153377303953</v>
      </c>
      <c r="H554" s="170">
        <v>41.860301068662608</v>
      </c>
      <c r="I554" s="169">
        <v>1242.2619999999999</v>
      </c>
      <c r="J554" s="169">
        <v>1631.08</v>
      </c>
      <c r="K554" s="169">
        <v>58.05</v>
      </c>
      <c r="L554" s="170">
        <v>75.75</v>
      </c>
      <c r="M554" s="170">
        <v>8852.6190000000006</v>
      </c>
      <c r="N554" s="170">
        <v>11554.002571147032</v>
      </c>
      <c r="O554" s="170">
        <v>4851.1189999999997</v>
      </c>
      <c r="P554" s="170">
        <v>6331.4417348064126</v>
      </c>
      <c r="Q554" s="170">
        <v>1728.6667</v>
      </c>
      <c r="R554" s="170">
        <v>2256.1706876186868</v>
      </c>
      <c r="S554" s="170">
        <v>1851.5237999999999</v>
      </c>
      <c r="T554" s="170">
        <v>2416.5177272104356</v>
      </c>
      <c r="U554" s="170">
        <v>862.34932884563545</v>
      </c>
      <c r="V554" s="170">
        <v>1125.4958970570617</v>
      </c>
      <c r="W554" s="170">
        <v>2061.7695169371391</v>
      </c>
      <c r="X554" s="170">
        <v>2690.9200881461493</v>
      </c>
      <c r="Y554" s="170">
        <v>28531.411530013909</v>
      </c>
      <c r="Z554" s="170">
        <v>37237.79394281339</v>
      </c>
      <c r="AA554" s="170"/>
      <c r="AB554" s="170"/>
      <c r="AC554" s="170">
        <v>16.259</v>
      </c>
      <c r="AD554" s="170">
        <v>21.57</v>
      </c>
      <c r="AE554" s="170">
        <v>23110.476200000001</v>
      </c>
      <c r="AF554" s="170">
        <v>30162.6559818323</v>
      </c>
      <c r="AG554" s="170">
        <v>994.19</v>
      </c>
      <c r="AH554" s="170">
        <v>1297.5678515260474</v>
      </c>
      <c r="AI554" s="170">
        <v>574.33299999999997</v>
      </c>
      <c r="AJ554" s="170">
        <v>749.59116151893431</v>
      </c>
      <c r="AK554" s="170">
        <v>42.25</v>
      </c>
      <c r="AL554" s="170">
        <v>55.142620351216067</v>
      </c>
      <c r="AM554" s="170">
        <v>43.73</v>
      </c>
      <c r="AN554" s="170">
        <v>57.074243501980554</v>
      </c>
      <c r="AO554" s="170"/>
      <c r="AP554" s="170"/>
      <c r="AS554" s="167"/>
      <c r="AT554" s="1170"/>
      <c r="AU554" s="1171"/>
      <c r="AV554" s="1171"/>
      <c r="AW554" s="1172"/>
      <c r="AX554" s="1172"/>
      <c r="AY554" s="1172"/>
      <c r="AZ554" s="1172"/>
      <c r="BA554" s="1283" t="s">
        <v>71</v>
      </c>
      <c r="BB554" s="1237">
        <v>2014</v>
      </c>
      <c r="BC554" s="1236" t="s">
        <v>315</v>
      </c>
      <c r="BD554" s="1236">
        <v>9</v>
      </c>
      <c r="BE554" s="1238">
        <v>152807446.93000001</v>
      </c>
      <c r="BF554" s="1239">
        <v>6.532748258412293E-3</v>
      </c>
      <c r="BG554" s="1236"/>
      <c r="BH554" s="1300" t="s">
        <v>32</v>
      </c>
      <c r="BI554" s="1300" t="s">
        <v>297</v>
      </c>
      <c r="BJ554" s="1300" t="s">
        <v>330</v>
      </c>
      <c r="BK554" s="1300">
        <v>7</v>
      </c>
      <c r="BL554" s="1301">
        <v>265020000</v>
      </c>
      <c r="BM554" s="1239">
        <v>1.6984874028210067E-2</v>
      </c>
      <c r="BN554" s="1236">
        <v>2011</v>
      </c>
      <c r="BO554" s="174"/>
      <c r="BP554" s="174"/>
      <c r="BQ554" s="174"/>
      <c r="BR554" s="174"/>
      <c r="BS554" s="174"/>
      <c r="BT554" s="174"/>
      <c r="BU554" s="174"/>
      <c r="BV554" s="174"/>
      <c r="BW554" s="174"/>
      <c r="BX554" s="174"/>
    </row>
    <row r="555" spans="1:76" s="152" customFormat="1" ht="15" customHeight="1" x14ac:dyDescent="0.25">
      <c r="A555" s="152">
        <f t="shared" si="16"/>
        <v>2016</v>
      </c>
      <c r="B555" s="152" t="str">
        <f t="shared" si="17"/>
        <v>2015-16</v>
      </c>
      <c r="C555" s="173">
        <v>42491</v>
      </c>
      <c r="D555" s="154">
        <v>0.73223181818181826</v>
      </c>
      <c r="E555" s="155">
        <v>242.26145741056934</v>
      </c>
      <c r="F555" s="155">
        <v>330.85349665918795</v>
      </c>
      <c r="G555" s="155">
        <v>33.704195866949362</v>
      </c>
      <c r="H555" s="155">
        <v>46.029406302827958</v>
      </c>
      <c r="I555" s="156">
        <v>1259.3979999999999</v>
      </c>
      <c r="J555" s="156">
        <v>1729.64</v>
      </c>
      <c r="K555" s="157">
        <v>53.64</v>
      </c>
      <c r="L555" s="158">
        <v>73.260000000000005</v>
      </c>
      <c r="M555" s="159">
        <v>8689.25</v>
      </c>
      <c r="N555" s="159">
        <v>11866.801993904066</v>
      </c>
      <c r="O555" s="175">
        <v>4708.3500000000004</v>
      </c>
      <c r="P555" s="175">
        <v>6430.1357617744006</v>
      </c>
      <c r="Q555" s="175">
        <v>1714.425</v>
      </c>
      <c r="R555" s="175">
        <v>2341.3691640128868</v>
      </c>
      <c r="S555" s="175">
        <v>1871.2</v>
      </c>
      <c r="T555" s="175">
        <v>2555.4748558268307</v>
      </c>
      <c r="U555" s="161">
        <v>869.93376122046504</v>
      </c>
      <c r="V555" s="161">
        <v>1188.057852198461</v>
      </c>
      <c r="W555" s="161">
        <v>2111.5900271630981</v>
      </c>
      <c r="X555" s="161">
        <v>2883.7725631840481</v>
      </c>
      <c r="Y555" s="162">
        <v>27183.019755634847</v>
      </c>
      <c r="Z555" s="162">
        <v>37123.516187991045</v>
      </c>
      <c r="AA555" s="162"/>
      <c r="AB555" s="162"/>
      <c r="AC555" s="163">
        <v>16.888999999999999</v>
      </c>
      <c r="AD555" s="163">
        <v>23.52</v>
      </c>
      <c r="AE555" s="163">
        <v>23589.25</v>
      </c>
      <c r="AF555" s="163">
        <v>32215.548975423826</v>
      </c>
      <c r="AG555" s="163">
        <v>1033.7</v>
      </c>
      <c r="AH555" s="163">
        <v>1411.7113929393945</v>
      </c>
      <c r="AI555" s="163">
        <v>576.75</v>
      </c>
      <c r="AJ555" s="163">
        <v>787.66039071084037</v>
      </c>
      <c r="AK555" s="164">
        <v>47.1</v>
      </c>
      <c r="AL555" s="164">
        <v>64.323891465072535</v>
      </c>
      <c r="AM555" s="164">
        <v>48.53</v>
      </c>
      <c r="AN555" s="164">
        <v>66.276824900211679</v>
      </c>
      <c r="AO555" s="164"/>
      <c r="AP555" s="164"/>
      <c r="AS555" s="167"/>
      <c r="AT555" s="1170"/>
      <c r="AU555" s="1171"/>
      <c r="AV555" s="1171"/>
      <c r="AW555" s="1172"/>
      <c r="AX555" s="1172"/>
      <c r="AY555" s="1172"/>
      <c r="AZ555" s="1172"/>
      <c r="BA555" s="1283" t="s">
        <v>71</v>
      </c>
      <c r="BB555" s="1237">
        <v>2014</v>
      </c>
      <c r="BC555" s="1236" t="s">
        <v>343</v>
      </c>
      <c r="BD555" s="1236">
        <v>10</v>
      </c>
      <c r="BE555" s="1238">
        <v>70357676.700000003</v>
      </c>
      <c r="BF555" s="1239">
        <v>3.0078965335924562E-3</v>
      </c>
      <c r="BG555" s="1236"/>
      <c r="BH555" s="1300" t="s">
        <v>32</v>
      </c>
      <c r="BI555" s="1300" t="s">
        <v>297</v>
      </c>
      <c r="BJ555" s="1300" t="s">
        <v>320</v>
      </c>
      <c r="BK555" s="1300">
        <v>8</v>
      </c>
      <c r="BL555" s="1301">
        <v>252254000</v>
      </c>
      <c r="BM555" s="1239">
        <v>1.6166713505064156E-2</v>
      </c>
      <c r="BN555" s="1236">
        <v>2011</v>
      </c>
      <c r="BO555" s="174"/>
      <c r="BP555" s="174"/>
      <c r="BQ555" s="174"/>
      <c r="BR555" s="174"/>
      <c r="BS555" s="174"/>
      <c r="BT555" s="174"/>
      <c r="BU555" s="174"/>
      <c r="BV555" s="174"/>
      <c r="BW555" s="174"/>
      <c r="BX555" s="174"/>
    </row>
    <row r="556" spans="1:76" s="152" customFormat="1" ht="15" customHeight="1" x14ac:dyDescent="0.25">
      <c r="A556" s="152">
        <f t="shared" si="16"/>
        <v>2016</v>
      </c>
      <c r="B556" s="152" t="str">
        <f t="shared" si="17"/>
        <v>2015-16</v>
      </c>
      <c r="C556" s="173">
        <v>42522</v>
      </c>
      <c r="D556" s="169">
        <v>0.73961904761904751</v>
      </c>
      <c r="E556" s="170">
        <v>247.64631057203871</v>
      </c>
      <c r="F556" s="170">
        <v>334.82954687180103</v>
      </c>
      <c r="G556" s="170">
        <v>30.534330131846655</v>
      </c>
      <c r="H556" s="170">
        <v>41.283861239298211</v>
      </c>
      <c r="I556" s="169">
        <v>1276.405</v>
      </c>
      <c r="J556" s="169">
        <v>1731.45</v>
      </c>
      <c r="K556" s="169">
        <v>52.72</v>
      </c>
      <c r="L556" s="170">
        <v>71.180000000000007</v>
      </c>
      <c r="M556" s="170">
        <v>8915.4544999999998</v>
      </c>
      <c r="N556" s="170">
        <v>12054.116952098893</v>
      </c>
      <c r="O556" s="170">
        <v>4630.6364000000003</v>
      </c>
      <c r="P556" s="170">
        <v>6260.8398403296433</v>
      </c>
      <c r="Q556" s="170">
        <v>1713.9091000000001</v>
      </c>
      <c r="R556" s="170">
        <v>2317.2863185681181</v>
      </c>
      <c r="S556" s="170">
        <v>2023</v>
      </c>
      <c r="T556" s="170">
        <v>2735.1918619624007</v>
      </c>
      <c r="U556" s="170">
        <v>866.53959848688999</v>
      </c>
      <c r="V556" s="170">
        <v>1171.6025990358416</v>
      </c>
      <c r="W556" s="170">
        <v>2092.842457346726</v>
      </c>
      <c r="X556" s="170">
        <v>2829.6221738527715</v>
      </c>
      <c r="Y556" s="170">
        <v>25237.782014434149</v>
      </c>
      <c r="Z556" s="170">
        <v>34122.677202106439</v>
      </c>
      <c r="AA556" s="170"/>
      <c r="AB556" s="170"/>
      <c r="AC556" s="170">
        <v>17.181000000000001</v>
      </c>
      <c r="AD556" s="170">
        <v>23.63</v>
      </c>
      <c r="AE556" s="170">
        <v>23925.909100000001</v>
      </c>
      <c r="AF556" s="170">
        <v>32348.962857326816</v>
      </c>
      <c r="AG556" s="170">
        <v>984.13599999999997</v>
      </c>
      <c r="AH556" s="170">
        <v>1330.5985063095545</v>
      </c>
      <c r="AI556" s="170">
        <v>553.09100000000001</v>
      </c>
      <c r="AJ556" s="170">
        <v>747.80524079320128</v>
      </c>
      <c r="AK556" s="170">
        <v>48.48</v>
      </c>
      <c r="AL556" s="170">
        <v>65.547257275302613</v>
      </c>
      <c r="AM556" s="170">
        <v>49.98</v>
      </c>
      <c r="AN556" s="170">
        <v>67.575328354365183</v>
      </c>
      <c r="AO556" s="170">
        <v>4.9586615412454398</v>
      </c>
      <c r="AP556" s="170">
        <v>6.7043453751065059</v>
      </c>
      <c r="AS556" s="167"/>
      <c r="AT556" s="1170"/>
      <c r="AU556" s="1171"/>
      <c r="AV556" s="1171"/>
      <c r="AW556" s="1172"/>
      <c r="AX556" s="1172"/>
      <c r="AY556" s="1172"/>
      <c r="AZ556" s="1172"/>
      <c r="BA556" s="1283" t="s">
        <v>71</v>
      </c>
      <c r="BB556" s="1237">
        <v>2014</v>
      </c>
      <c r="BC556" s="1236" t="s">
        <v>291</v>
      </c>
      <c r="BD556" s="1236"/>
      <c r="BE556" s="1238">
        <v>206950712.61000061</v>
      </c>
      <c r="BF556" s="1239">
        <v>8.8474543259628325E-3</v>
      </c>
      <c r="BG556" s="1236"/>
      <c r="BH556" s="1300" t="s">
        <v>32</v>
      </c>
      <c r="BI556" s="1300" t="s">
        <v>297</v>
      </c>
      <c r="BJ556" s="1300" t="s">
        <v>335</v>
      </c>
      <c r="BK556" s="1300">
        <v>9</v>
      </c>
      <c r="BL556" s="1301">
        <v>101815000</v>
      </c>
      <c r="BM556" s="1239">
        <v>6.5252243196068519E-3</v>
      </c>
      <c r="BN556" s="1236">
        <v>2011</v>
      </c>
      <c r="BO556" s="174"/>
      <c r="BP556" s="174"/>
      <c r="BQ556" s="174"/>
      <c r="BR556" s="174"/>
      <c r="BS556" s="174"/>
      <c r="BT556" s="174"/>
      <c r="BU556" s="174"/>
      <c r="BV556" s="174"/>
      <c r="BW556" s="174"/>
      <c r="BX556" s="174"/>
    </row>
    <row r="557" spans="1:76" s="152" customFormat="1" ht="15" customHeight="1" x14ac:dyDescent="0.25">
      <c r="A557" s="152">
        <f t="shared" si="16"/>
        <v>2016</v>
      </c>
      <c r="B557" s="152" t="str">
        <f t="shared" si="17"/>
        <v>2016-17</v>
      </c>
      <c r="C557" s="173">
        <v>42552</v>
      </c>
      <c r="D557" s="154">
        <v>0.75259047619047614</v>
      </c>
      <c r="E557" s="155">
        <v>239.57876597413431</v>
      </c>
      <c r="F557" s="155">
        <v>318.33882244544691</v>
      </c>
      <c r="G557" s="155">
        <v>31.485085813143005</v>
      </c>
      <c r="H557" s="155">
        <v>41.835615529599551</v>
      </c>
      <c r="I557" s="156">
        <v>1337.326</v>
      </c>
      <c r="J557" s="156">
        <v>1789.93</v>
      </c>
      <c r="K557" s="157">
        <v>56.83</v>
      </c>
      <c r="L557" s="158">
        <v>75.47</v>
      </c>
      <c r="M557" s="159">
        <v>10251.9048</v>
      </c>
      <c r="N557" s="159">
        <v>13622.155905950243</v>
      </c>
      <c r="O557" s="175">
        <v>4855.7857000000004</v>
      </c>
      <c r="P557" s="175">
        <v>6452.0955999595062</v>
      </c>
      <c r="Q557" s="175">
        <v>1834.8810000000001</v>
      </c>
      <c r="R557" s="175">
        <v>2438.086925160082</v>
      </c>
      <c r="S557" s="175">
        <v>2184.8332999999998</v>
      </c>
      <c r="T557" s="175">
        <v>2903.0839070132365</v>
      </c>
      <c r="U557" s="161">
        <v>890.94504483812398</v>
      </c>
      <c r="V557" s="161">
        <v>1183.8377883121539</v>
      </c>
      <c r="W557" s="161">
        <v>2138.677140880437</v>
      </c>
      <c r="X557" s="161">
        <v>2841.7541924077586</v>
      </c>
      <c r="Y557" s="162">
        <v>24540.761288684505</v>
      </c>
      <c r="Z557" s="162">
        <v>32608.386719038663</v>
      </c>
      <c r="AA557" s="162"/>
      <c r="AB557" s="162"/>
      <c r="AC557" s="163">
        <v>19.928999999999998</v>
      </c>
      <c r="AD557" s="163">
        <v>26.91</v>
      </c>
      <c r="AE557" s="163">
        <v>25244.047600000002</v>
      </c>
      <c r="AF557" s="163">
        <v>33542.874111007062</v>
      </c>
      <c r="AG557" s="163">
        <v>1086.4760000000001</v>
      </c>
      <c r="AH557" s="163">
        <v>1443.6483510921012</v>
      </c>
      <c r="AI557" s="163">
        <v>646.048</v>
      </c>
      <c r="AJ557" s="163">
        <v>858.43233529903068</v>
      </c>
      <c r="AK557" s="164">
        <v>45.07</v>
      </c>
      <c r="AL557" s="164">
        <v>59.886487307332139</v>
      </c>
      <c r="AM557" s="164">
        <v>45.84</v>
      </c>
      <c r="AN557" s="164">
        <v>60.90962010579333</v>
      </c>
      <c r="AO557" s="164">
        <v>5.4933842012956768</v>
      </c>
      <c r="AP557" s="164">
        <v>7.2993007154469147</v>
      </c>
      <c r="AS557" s="167"/>
      <c r="AT557" s="1170"/>
      <c r="AU557" s="1171"/>
      <c r="AV557" s="1171"/>
      <c r="AW557" s="1172"/>
      <c r="AX557" s="1172"/>
      <c r="AY557" s="1172"/>
      <c r="AZ557" s="1172"/>
      <c r="BA557" s="1283" t="s">
        <v>71</v>
      </c>
      <c r="BB557" s="1237">
        <v>2014</v>
      </c>
      <c r="BC557" s="1236" t="s">
        <v>292</v>
      </c>
      <c r="BD557" s="1236"/>
      <c r="BE557" s="1238">
        <v>23390989654.810001</v>
      </c>
      <c r="BF557" s="1239"/>
      <c r="BG557" s="1236"/>
      <c r="BH557" s="1300" t="s">
        <v>32</v>
      </c>
      <c r="BI557" s="1300" t="s">
        <v>297</v>
      </c>
      <c r="BJ557" s="1300" t="s">
        <v>329</v>
      </c>
      <c r="BK557" s="1300">
        <v>10</v>
      </c>
      <c r="BL557" s="1301">
        <v>64040000</v>
      </c>
      <c r="BM557" s="1239">
        <v>4.1042613114729938E-3</v>
      </c>
      <c r="BN557" s="1236">
        <v>2011</v>
      </c>
      <c r="BO557" s="174"/>
      <c r="BP557" s="174"/>
      <c r="BQ557" s="174"/>
      <c r="BR557" s="174"/>
      <c r="BS557" s="174"/>
      <c r="BT557" s="174"/>
      <c r="BU557" s="174"/>
      <c r="BV557" s="174"/>
      <c r="BW557" s="174"/>
      <c r="BX557" s="174"/>
    </row>
    <row r="558" spans="1:76" s="152" customFormat="1" ht="15" customHeight="1" x14ac:dyDescent="0.25">
      <c r="A558" s="152">
        <f t="shared" si="16"/>
        <v>2016</v>
      </c>
      <c r="B558" s="152" t="str">
        <f t="shared" si="17"/>
        <v>2016-17</v>
      </c>
      <c r="C558" s="173">
        <v>42583</v>
      </c>
      <c r="D558" s="169">
        <v>0.76295909090909109</v>
      </c>
      <c r="E558" s="170">
        <v>237.14986858615842</v>
      </c>
      <c r="F558" s="170">
        <v>310.82907512588451</v>
      </c>
      <c r="G558" s="170">
        <v>30.688704121124015</v>
      </c>
      <c r="H558" s="170">
        <v>40.223262933478395</v>
      </c>
      <c r="I558" s="169">
        <v>1341.0889999999999</v>
      </c>
      <c r="J558" s="169">
        <v>1770.59</v>
      </c>
      <c r="K558" s="169">
        <v>60.63</v>
      </c>
      <c r="L558" s="170">
        <v>79.540000000000006</v>
      </c>
      <c r="M558" s="170">
        <v>10353.863600000001</v>
      </c>
      <c r="N558" s="170">
        <v>13570.666793763514</v>
      </c>
      <c r="O558" s="170">
        <v>4758.2044999999998</v>
      </c>
      <c r="P558" s="170">
        <v>6236.5132766560801</v>
      </c>
      <c r="Q558" s="170">
        <v>1838.8864000000001</v>
      </c>
      <c r="R558" s="170">
        <v>2410.2031444554987</v>
      </c>
      <c r="S558" s="170">
        <v>2282.7727</v>
      </c>
      <c r="T558" s="170">
        <v>2991.9988203823623</v>
      </c>
      <c r="U558" s="170">
        <v>871.68878235354009</v>
      </c>
      <c r="V558" s="170">
        <v>1142.5105130012855</v>
      </c>
      <c r="W558" s="170">
        <v>2145.4411863219302</v>
      </c>
      <c r="X558" s="170">
        <v>2812.0002918709124</v>
      </c>
      <c r="Y558" s="170">
        <v>24610.504716372325</v>
      </c>
      <c r="Z558" s="170">
        <v>32256.650467390187</v>
      </c>
      <c r="AA558" s="170"/>
      <c r="AB558" s="170"/>
      <c r="AC558" s="170">
        <v>19.64</v>
      </c>
      <c r="AD558" s="170">
        <v>26.18</v>
      </c>
      <c r="AE558" s="170">
        <v>26477.727299999999</v>
      </c>
      <c r="AF558" s="170">
        <v>34703.993458484001</v>
      </c>
      <c r="AG558" s="170">
        <v>1123.7729999999999</v>
      </c>
      <c r="AH558" s="170">
        <v>1472.9138342935098</v>
      </c>
      <c r="AI558" s="170">
        <v>700</v>
      </c>
      <c r="AJ558" s="170">
        <v>917.48038438853484</v>
      </c>
      <c r="AK558" s="170">
        <v>46.14</v>
      </c>
      <c r="AL558" s="170">
        <v>60.47506419383857</v>
      </c>
      <c r="AM558" s="170">
        <v>46.4</v>
      </c>
      <c r="AN558" s="170">
        <v>60.815842622325739</v>
      </c>
      <c r="AO558" s="170">
        <v>5.6033714987148393</v>
      </c>
      <c r="AP558" s="170">
        <v>7.3442620521609303</v>
      </c>
      <c r="AS558" s="167"/>
      <c r="AT558" s="1170"/>
      <c r="AU558" s="1171"/>
      <c r="AV558" s="1171"/>
      <c r="AW558" s="1172"/>
      <c r="AX558" s="1172"/>
      <c r="AY558" s="1172"/>
      <c r="AZ558" s="1172"/>
      <c r="BA558" s="1283" t="s">
        <v>71</v>
      </c>
      <c r="BB558" s="1237">
        <v>2013</v>
      </c>
      <c r="BC558" s="1236" t="s">
        <v>308</v>
      </c>
      <c r="BD558" s="1236">
        <v>1</v>
      </c>
      <c r="BE558" s="1238">
        <v>11971380719</v>
      </c>
      <c r="BF558" s="1239">
        <v>0.6</v>
      </c>
      <c r="BG558" s="1236"/>
      <c r="BH558" s="1300" t="s">
        <v>32</v>
      </c>
      <c r="BI558" s="1300" t="s">
        <v>297</v>
      </c>
      <c r="BJ558" s="1300" t="s">
        <v>291</v>
      </c>
      <c r="BK558" s="1300"/>
      <c r="BL558" s="1301">
        <v>32710000</v>
      </c>
      <c r="BM558" s="1239">
        <v>2.0963520846077706E-3</v>
      </c>
      <c r="BN558" s="1236">
        <v>2011</v>
      </c>
      <c r="BO558" s="174"/>
      <c r="BP558" s="174"/>
      <c r="BQ558" s="174"/>
      <c r="BR558" s="174"/>
      <c r="BS558" s="174"/>
      <c r="BT558" s="174"/>
      <c r="BU558" s="174"/>
      <c r="BV558" s="174"/>
      <c r="BW558" s="174"/>
      <c r="BX558" s="174"/>
    </row>
    <row r="559" spans="1:76" s="152" customFormat="1" ht="15" customHeight="1" x14ac:dyDescent="0.25">
      <c r="A559" s="152">
        <f t="shared" si="16"/>
        <v>2016</v>
      </c>
      <c r="B559" s="152" t="str">
        <f t="shared" si="17"/>
        <v>2016-17</v>
      </c>
      <c r="C559" s="173">
        <v>42614</v>
      </c>
      <c r="D559" s="154">
        <v>0.75947727272727272</v>
      </c>
      <c r="E559" s="155">
        <v>232.48723449379901</v>
      </c>
      <c r="F559" s="155">
        <v>306.11480138035</v>
      </c>
      <c r="G559" s="155">
        <v>30.828490337816785</v>
      </c>
      <c r="H559" s="155">
        <v>40.591722023638823</v>
      </c>
      <c r="I559" s="156">
        <v>1326.03</v>
      </c>
      <c r="J559" s="156">
        <v>1758.83</v>
      </c>
      <c r="K559" s="157">
        <v>57.11</v>
      </c>
      <c r="L559" s="158">
        <v>75.22</v>
      </c>
      <c r="M559" s="159">
        <v>10188.409100000001</v>
      </c>
      <c r="N559" s="159">
        <v>13415.028290989618</v>
      </c>
      <c r="O559" s="175">
        <v>4707.1818000000003</v>
      </c>
      <c r="P559" s="175">
        <v>6197.9231887961223</v>
      </c>
      <c r="Q559" s="175">
        <v>1942.0227</v>
      </c>
      <c r="R559" s="175">
        <v>2557.0517640721787</v>
      </c>
      <c r="S559" s="175">
        <v>2292.7955000000002</v>
      </c>
      <c r="T559" s="175">
        <v>3018.9125894006047</v>
      </c>
      <c r="U559" s="161">
        <v>862.32308435465382</v>
      </c>
      <c r="V559" s="161">
        <v>1135.416575743028</v>
      </c>
      <c r="W559" s="161">
        <v>2249.6615972099507</v>
      </c>
      <c r="X559" s="161">
        <v>2962.1183911553348</v>
      </c>
      <c r="Y559" s="162">
        <v>24374.699870839624</v>
      </c>
      <c r="Z559" s="162">
        <v>32094.04776960659</v>
      </c>
      <c r="AA559" s="162"/>
      <c r="AB559" s="162"/>
      <c r="AC559" s="163">
        <v>19.285</v>
      </c>
      <c r="AD559" s="163">
        <v>25.87</v>
      </c>
      <c r="AE559" s="163">
        <v>26807.272700000001</v>
      </c>
      <c r="AF559" s="163">
        <v>35297.004482748307</v>
      </c>
      <c r="AG559" s="163">
        <v>1045.9549999999999</v>
      </c>
      <c r="AH559" s="163">
        <v>1377.2038184157764</v>
      </c>
      <c r="AI559" s="163">
        <v>682.59100000000001</v>
      </c>
      <c r="AJ559" s="163">
        <v>898.76422180327381</v>
      </c>
      <c r="AK559" s="164">
        <v>46.19</v>
      </c>
      <c r="AL559" s="164">
        <v>60.818146452404463</v>
      </c>
      <c r="AM559" s="164">
        <v>46.87</v>
      </c>
      <c r="AN559" s="164">
        <v>61.713499117215783</v>
      </c>
      <c r="AO559" s="164">
        <v>5.9044091461692423</v>
      </c>
      <c r="AP559" s="164">
        <v>7.7743065634690929</v>
      </c>
      <c r="AS559" s="167"/>
      <c r="AT559" s="1170"/>
      <c r="AU559" s="1171"/>
      <c r="AV559" s="1171"/>
      <c r="AW559" s="1172"/>
      <c r="AX559" s="1172"/>
      <c r="AY559" s="1172"/>
      <c r="AZ559" s="1172"/>
      <c r="BA559" s="1283" t="s">
        <v>71</v>
      </c>
      <c r="BB559" s="1237">
        <v>2013</v>
      </c>
      <c r="BC559" s="1236" t="s">
        <v>320</v>
      </c>
      <c r="BD559" s="1236">
        <v>2</v>
      </c>
      <c r="BE559" s="1238">
        <v>1992417617</v>
      </c>
      <c r="BF559" s="1239">
        <v>0.1</v>
      </c>
      <c r="BG559" s="1236"/>
      <c r="BH559" s="1300" t="s">
        <v>32</v>
      </c>
      <c r="BI559" s="1300" t="s">
        <v>297</v>
      </c>
      <c r="BJ559" s="1300" t="s">
        <v>292</v>
      </c>
      <c r="BK559" s="1300"/>
      <c r="BL559" s="1301">
        <v>15603295000</v>
      </c>
      <c r="BM559" s="1239">
        <v>1</v>
      </c>
      <c r="BN559" s="1236">
        <v>2011</v>
      </c>
      <c r="BO559" s="174"/>
      <c r="BP559" s="174"/>
      <c r="BQ559" s="174"/>
      <c r="BR559" s="174"/>
      <c r="BS559" s="174"/>
      <c r="BT559" s="174"/>
      <c r="BU559" s="174"/>
      <c r="BV559" s="174"/>
      <c r="BW559" s="174"/>
      <c r="BX559" s="174"/>
    </row>
    <row r="560" spans="1:76" s="152" customFormat="1" ht="15" customHeight="1" x14ac:dyDescent="0.25">
      <c r="A560" s="152">
        <f t="shared" si="16"/>
        <v>2016</v>
      </c>
      <c r="B560" s="152" t="str">
        <f t="shared" si="17"/>
        <v>2016-17</v>
      </c>
      <c r="C560" s="173">
        <v>42644</v>
      </c>
      <c r="D560" s="169">
        <v>0.76159500000000002</v>
      </c>
      <c r="E560" s="170">
        <v>229.92176456829634</v>
      </c>
      <c r="F560" s="170">
        <v>301.89505520427042</v>
      </c>
      <c r="G560" s="170">
        <v>30.532425990795527</v>
      </c>
      <c r="H560" s="170">
        <v>40.090108247553523</v>
      </c>
      <c r="I560" s="169">
        <v>1266.569</v>
      </c>
      <c r="J560" s="169">
        <v>1675.91</v>
      </c>
      <c r="K560" s="169">
        <v>58.54</v>
      </c>
      <c r="L560" s="170">
        <v>76.86</v>
      </c>
      <c r="M560" s="170">
        <v>10266.428599999999</v>
      </c>
      <c r="N560" s="170">
        <v>13480.168068330278</v>
      </c>
      <c r="O560" s="170">
        <v>4732.1428999999998</v>
      </c>
      <c r="P560" s="170">
        <v>6213.4637175926837</v>
      </c>
      <c r="Q560" s="170">
        <v>2039.9286</v>
      </c>
      <c r="R560" s="170">
        <v>2678.4952632304571</v>
      </c>
      <c r="S560" s="170">
        <v>2314.1428999999998</v>
      </c>
      <c r="T560" s="170">
        <v>3038.5479158870526</v>
      </c>
      <c r="U560" s="170">
        <v>873.05399100861177</v>
      </c>
      <c r="V560" s="170">
        <v>1146.3494258872652</v>
      </c>
      <c r="W560" s="170">
        <v>2252.1248729678441</v>
      </c>
      <c r="X560" s="170">
        <v>2957.1161483043402</v>
      </c>
      <c r="Y560" s="170">
        <v>24107.467555965188</v>
      </c>
      <c r="Z560" s="170">
        <v>31653.920464243052</v>
      </c>
      <c r="AA560" s="170"/>
      <c r="AB560" s="170"/>
      <c r="AC560" s="170">
        <v>17.736999999999998</v>
      </c>
      <c r="AD560" s="170">
        <v>23.69</v>
      </c>
      <c r="AE560" s="170">
        <v>28395.476200000001</v>
      </c>
      <c r="AF560" s="170">
        <v>37284.220878550936</v>
      </c>
      <c r="AG560" s="170">
        <v>959.14300000000003</v>
      </c>
      <c r="AH560" s="170">
        <v>1259.3872071113913</v>
      </c>
      <c r="AI560" s="170">
        <v>648.524</v>
      </c>
      <c r="AJ560" s="170">
        <v>851.53395177226741</v>
      </c>
      <c r="AK560" s="170">
        <v>49.73</v>
      </c>
      <c r="AL560" s="170">
        <v>65.297172381646405</v>
      </c>
      <c r="AM560" s="170">
        <v>51.24</v>
      </c>
      <c r="AN560" s="170">
        <v>67.279853465424537</v>
      </c>
      <c r="AO560" s="170">
        <v>6.0095265168375649</v>
      </c>
      <c r="AP560" s="170">
        <v>7.890711620792632</v>
      </c>
      <c r="AS560" s="167"/>
      <c r="AT560" s="1170"/>
      <c r="AU560" s="1171"/>
      <c r="AV560" s="1171"/>
      <c r="AW560" s="1172"/>
      <c r="AX560" s="1172"/>
      <c r="AY560" s="1172"/>
      <c r="AZ560" s="1172"/>
      <c r="BA560" s="1283" t="s">
        <v>71</v>
      </c>
      <c r="BB560" s="1237">
        <v>2013</v>
      </c>
      <c r="BC560" s="1236" t="s">
        <v>281</v>
      </c>
      <c r="BD560" s="1236">
        <v>3</v>
      </c>
      <c r="BE560" s="1238">
        <v>1936328376</v>
      </c>
      <c r="BF560" s="1239">
        <v>9.7000000000000003E-2</v>
      </c>
      <c r="BG560" s="1236"/>
      <c r="BH560" s="1302" t="s">
        <v>32</v>
      </c>
      <c r="BI560" s="1302" t="s">
        <v>295</v>
      </c>
      <c r="BJ560" s="1302" t="s">
        <v>281</v>
      </c>
      <c r="BK560" s="1302">
        <v>1</v>
      </c>
      <c r="BL560" s="1303">
        <v>5990206000</v>
      </c>
      <c r="BM560" s="1239">
        <v>0.4017998403990547</v>
      </c>
      <c r="BN560" s="1236">
        <v>2012</v>
      </c>
      <c r="BO560" s="174"/>
      <c r="BP560" s="174"/>
      <c r="BQ560" s="174"/>
      <c r="BR560" s="174"/>
      <c r="BS560" s="174"/>
      <c r="BT560" s="174"/>
      <c r="BU560" s="174"/>
      <c r="BV560" s="174"/>
      <c r="BW560" s="174"/>
      <c r="BX560" s="174"/>
    </row>
    <row r="561" spans="1:76" s="152" customFormat="1" ht="15" customHeight="1" x14ac:dyDescent="0.25">
      <c r="A561" s="152">
        <f t="shared" si="16"/>
        <v>2016</v>
      </c>
      <c r="B561" s="152" t="str">
        <f t="shared" si="17"/>
        <v>2016-17</v>
      </c>
      <c r="C561" s="173">
        <v>42675</v>
      </c>
      <c r="D561" s="154">
        <v>0.75356818181818186</v>
      </c>
      <c r="E561" s="155">
        <v>256.75600002818095</v>
      </c>
      <c r="F561" s="155">
        <v>340.72033058599879</v>
      </c>
      <c r="G561" s="155">
        <v>33.343514985578103</v>
      </c>
      <c r="H561" s="155">
        <v>44.247509104123907</v>
      </c>
      <c r="I561" s="156">
        <v>1235.98</v>
      </c>
      <c r="J561" s="156">
        <v>1653.24</v>
      </c>
      <c r="K561" s="157">
        <v>73.67</v>
      </c>
      <c r="L561" s="158">
        <v>97.85</v>
      </c>
      <c r="M561" s="159">
        <v>11142.9545</v>
      </c>
      <c r="N561" s="159">
        <v>14786.922761407846</v>
      </c>
      <c r="O561" s="175">
        <v>5443.25</v>
      </c>
      <c r="P561" s="175">
        <v>7223.3012636848925</v>
      </c>
      <c r="Q561" s="175">
        <v>2178.8409000000001</v>
      </c>
      <c r="R561" s="175">
        <v>2891.3653104925056</v>
      </c>
      <c r="S561" s="175">
        <v>2568.8409000000001</v>
      </c>
      <c r="T561" s="175">
        <v>3408.9030853213499</v>
      </c>
      <c r="U561" s="161">
        <v>885.67532914170226</v>
      </c>
      <c r="V561" s="161">
        <v>1175.3088181148746</v>
      </c>
      <c r="W561" s="161">
        <v>2263.0734301673683</v>
      </c>
      <c r="X561" s="161">
        <v>3003.1435572387186</v>
      </c>
      <c r="Y561" s="162">
        <v>23466.638180557842</v>
      </c>
      <c r="Z561" s="162">
        <v>31140.69668379362</v>
      </c>
      <c r="AA561" s="162"/>
      <c r="AB561" s="162"/>
      <c r="AC561" s="163">
        <v>17.414999999999999</v>
      </c>
      <c r="AD561" s="163">
        <v>23.46</v>
      </c>
      <c r="AE561" s="163">
        <v>29486.363600000001</v>
      </c>
      <c r="AF561" s="163">
        <v>39128.992321380101</v>
      </c>
      <c r="AG561" s="163">
        <v>953.27300000000002</v>
      </c>
      <c r="AH561" s="163">
        <v>1265.012274934403</v>
      </c>
      <c r="AI561" s="163">
        <v>697.40899999999999</v>
      </c>
      <c r="AJ561" s="163">
        <v>925.4756461682299</v>
      </c>
      <c r="AK561" s="164">
        <v>46.44</v>
      </c>
      <c r="AL561" s="164">
        <v>61.626805802696254</v>
      </c>
      <c r="AM561" s="164">
        <v>48.22</v>
      </c>
      <c r="AN561" s="164">
        <v>63.988901287812524</v>
      </c>
      <c r="AO561" s="164">
        <v>6.165527921492477</v>
      </c>
      <c r="AP561" s="164">
        <v>8.1817784644469942</v>
      </c>
      <c r="AS561" s="167"/>
      <c r="AT561" s="1170"/>
      <c r="AU561" s="1171"/>
      <c r="AV561" s="1171"/>
      <c r="AW561" s="1172"/>
      <c r="AX561" s="1172"/>
      <c r="AY561" s="1172"/>
      <c r="AZ561" s="1172"/>
      <c r="BA561" s="1283" t="s">
        <v>71</v>
      </c>
      <c r="BB561" s="1237">
        <v>2013</v>
      </c>
      <c r="BC561" s="1236" t="s">
        <v>306</v>
      </c>
      <c r="BD561" s="1236">
        <v>4</v>
      </c>
      <c r="BE561" s="1238">
        <v>1227230422</v>
      </c>
      <c r="BF561" s="1239">
        <v>6.2E-2</v>
      </c>
      <c r="BG561" s="1236"/>
      <c r="BH561" s="1302" t="s">
        <v>32</v>
      </c>
      <c r="BI561" s="1302" t="s">
        <v>295</v>
      </c>
      <c r="BJ561" s="1302" t="s">
        <v>287</v>
      </c>
      <c r="BK561" s="1302">
        <v>2</v>
      </c>
      <c r="BL561" s="1303">
        <v>2978925000</v>
      </c>
      <c r="BM561" s="1239">
        <v>0.19981476255754041</v>
      </c>
      <c r="BN561" s="1236">
        <v>2012</v>
      </c>
      <c r="BO561" s="174"/>
      <c r="BP561" s="174"/>
      <c r="BQ561" s="174"/>
      <c r="BR561" s="174"/>
      <c r="BS561" s="174"/>
      <c r="BT561" s="174"/>
      <c r="BU561" s="174"/>
      <c r="BV561" s="174"/>
      <c r="BW561" s="174"/>
      <c r="BX561" s="174"/>
    </row>
    <row r="562" spans="1:76" s="152" customFormat="1" ht="15" customHeight="1" x14ac:dyDescent="0.25">
      <c r="A562" s="152">
        <f t="shared" si="16"/>
        <v>2016</v>
      </c>
      <c r="B562" s="152" t="str">
        <f t="shared" si="17"/>
        <v>2016-17</v>
      </c>
      <c r="C562" s="173">
        <v>42705</v>
      </c>
      <c r="D562" s="169">
        <v>0.73613999999999991</v>
      </c>
      <c r="E562" s="170">
        <v>286.90841755091793</v>
      </c>
      <c r="F562" s="169">
        <v>389.74708282516639</v>
      </c>
      <c r="G562" s="170">
        <v>32.293269648241015</v>
      </c>
      <c r="H562" s="170">
        <v>43.868380536638433</v>
      </c>
      <c r="I562" s="169">
        <v>1151.403</v>
      </c>
      <c r="J562" s="169">
        <v>1570.76</v>
      </c>
      <c r="K562" s="169">
        <v>80</v>
      </c>
      <c r="L562" s="170">
        <v>109</v>
      </c>
      <c r="M562" s="170">
        <v>11013.25</v>
      </c>
      <c r="N562" s="170">
        <v>14960.809085228355</v>
      </c>
      <c r="O562" s="170">
        <v>5666.25</v>
      </c>
      <c r="P562" s="170">
        <v>7697.2450892493289</v>
      </c>
      <c r="Q562" s="170">
        <v>2230.8249999999998</v>
      </c>
      <c r="R562" s="170">
        <v>3030.4357866710138</v>
      </c>
      <c r="S562" s="170">
        <v>2671.7</v>
      </c>
      <c r="T562" s="170">
        <v>3629.3368109327034</v>
      </c>
      <c r="U562" s="170">
        <v>903.57612220724809</v>
      </c>
      <c r="V562" s="170">
        <v>1227.4514660353304</v>
      </c>
      <c r="W562" s="170">
        <v>2242.2840110944853</v>
      </c>
      <c r="X562" s="170">
        <v>3046.0021342332784</v>
      </c>
      <c r="Y562" s="170">
        <v>23210.149242079515</v>
      </c>
      <c r="Z562" s="170">
        <v>31529.531396309827</v>
      </c>
      <c r="AA562" s="170"/>
      <c r="AB562" s="170"/>
      <c r="AC562" s="170">
        <v>16.379000000000001</v>
      </c>
      <c r="AD562" s="170">
        <v>22.54</v>
      </c>
      <c r="AE562" s="170">
        <v>31788</v>
      </c>
      <c r="AF562" s="170">
        <v>43182.003423261885</v>
      </c>
      <c r="AG562" s="170">
        <v>920.5</v>
      </c>
      <c r="AH562" s="170">
        <v>1250.4414921074797</v>
      </c>
      <c r="AI562" s="170">
        <v>711.80600000000004</v>
      </c>
      <c r="AJ562" s="170">
        <v>966.94378786643858</v>
      </c>
      <c r="AK562" s="170">
        <v>54.07</v>
      </c>
      <c r="AL562" s="170">
        <v>73.450702312060216</v>
      </c>
      <c r="AM562" s="170">
        <v>55.75</v>
      </c>
      <c r="AN562" s="170">
        <v>75.732876898416066</v>
      </c>
      <c r="AO562" s="170">
        <v>6.1990887717402403</v>
      </c>
      <c r="AP562" s="170">
        <v>8.4210731270413799</v>
      </c>
      <c r="AS562" s="167"/>
      <c r="AT562" s="1170"/>
      <c r="AU562" s="1171"/>
      <c r="AV562" s="1171"/>
      <c r="AW562" s="1172"/>
      <c r="AX562" s="1172"/>
      <c r="AY562" s="1172"/>
      <c r="AZ562" s="1172"/>
      <c r="BA562" s="1283" t="s">
        <v>71</v>
      </c>
      <c r="BB562" s="1237">
        <v>2013</v>
      </c>
      <c r="BC562" s="1236" t="s">
        <v>323</v>
      </c>
      <c r="BD562" s="1236">
        <v>5</v>
      </c>
      <c r="BE562" s="1238">
        <v>857604098</v>
      </c>
      <c r="BF562" s="1239">
        <v>4.2999999999999997E-2</v>
      </c>
      <c r="BG562" s="1236"/>
      <c r="BH562" s="1302" t="s">
        <v>32</v>
      </c>
      <c r="BI562" s="1302" t="s">
        <v>295</v>
      </c>
      <c r="BJ562" s="1302" t="s">
        <v>314</v>
      </c>
      <c r="BK562" s="1302">
        <v>3</v>
      </c>
      <c r="BL562" s="1303">
        <v>2615993000</v>
      </c>
      <c r="BM562" s="1239">
        <v>0.17547068830104412</v>
      </c>
      <c r="BN562" s="1236">
        <v>2012</v>
      </c>
      <c r="BO562" s="174"/>
      <c r="BP562" s="174"/>
      <c r="BQ562" s="174"/>
      <c r="BR562" s="174"/>
      <c r="BS562" s="174"/>
      <c r="BT562" s="174"/>
      <c r="BU562" s="174"/>
      <c r="BV562" s="174"/>
      <c r="BW562" s="174"/>
      <c r="BX562" s="174"/>
    </row>
    <row r="563" spans="1:76" s="152" customFormat="1" ht="15" customHeight="1" x14ac:dyDescent="0.25">
      <c r="A563" s="152">
        <f t="shared" si="16"/>
        <v>2017</v>
      </c>
      <c r="B563" s="152" t="str">
        <f t="shared" si="17"/>
        <v>2016-17</v>
      </c>
      <c r="C563" s="173">
        <v>42736</v>
      </c>
      <c r="D563" s="154">
        <v>0.74529500000000015</v>
      </c>
      <c r="E563" s="155">
        <v>322.28306249243673</v>
      </c>
      <c r="F563" s="155">
        <v>432.42348666291423</v>
      </c>
      <c r="G563" s="155">
        <v>29.83533881920679</v>
      </c>
      <c r="H563" s="155">
        <v>40.031583224369925</v>
      </c>
      <c r="I563" s="156">
        <v>1192.617</v>
      </c>
      <c r="J563" s="156">
        <v>1602.86</v>
      </c>
      <c r="K563" s="157">
        <v>81</v>
      </c>
      <c r="L563" s="158">
        <v>108</v>
      </c>
      <c r="M563" s="159">
        <v>9984.2857000000004</v>
      </c>
      <c r="N563" s="159">
        <v>13396.421148672671</v>
      </c>
      <c r="O563" s="175">
        <v>5737.4286000000002</v>
      </c>
      <c r="P563" s="175">
        <v>7698.1981631434519</v>
      </c>
      <c r="Q563" s="175">
        <v>2236.6905000000002</v>
      </c>
      <c r="R563" s="175">
        <v>3001.0807800937878</v>
      </c>
      <c r="S563" s="175">
        <v>2713</v>
      </c>
      <c r="T563" s="175">
        <v>3640.1693289234458</v>
      </c>
      <c r="U563" s="161">
        <v>920.87307782497896</v>
      </c>
      <c r="V563" s="161">
        <v>1235.5819881053526</v>
      </c>
      <c r="W563" s="161">
        <v>2183.4350672954224</v>
      </c>
      <c r="X563" s="161">
        <v>2929.625272268594</v>
      </c>
      <c r="Y563" s="162">
        <v>21421.605813075825</v>
      </c>
      <c r="Z563" s="162">
        <v>28742.452066733065</v>
      </c>
      <c r="AA563" s="162"/>
      <c r="AB563" s="162"/>
      <c r="AC563" s="163">
        <v>16.808</v>
      </c>
      <c r="AD563" s="163">
        <v>22.72</v>
      </c>
      <c r="AE563" s="163">
        <v>34961.904799999997</v>
      </c>
      <c r="AF563" s="163">
        <v>46910.156112680197</v>
      </c>
      <c r="AG563" s="163">
        <v>971.76199999999994</v>
      </c>
      <c r="AH563" s="163">
        <v>1303.8622290502415</v>
      </c>
      <c r="AI563" s="163">
        <v>748.38099999999997</v>
      </c>
      <c r="AJ563" s="163">
        <v>1004.1406422960033</v>
      </c>
      <c r="AK563" s="164">
        <v>54.89</v>
      </c>
      <c r="AL563" s="164">
        <v>73.648689445119032</v>
      </c>
      <c r="AM563" s="164">
        <v>56.79</v>
      </c>
      <c r="AN563" s="164">
        <v>76.198015550889224</v>
      </c>
      <c r="AO563" s="164">
        <v>6.6794449139803875</v>
      </c>
      <c r="AP563" s="164">
        <v>8.9621491006653553</v>
      </c>
      <c r="AS563" s="167"/>
      <c r="AT563" s="1170"/>
      <c r="AU563" s="1171"/>
      <c r="AV563" s="1171"/>
      <c r="AW563" s="1172"/>
      <c r="AX563" s="1172"/>
      <c r="AY563" s="1172"/>
      <c r="AZ563" s="1172"/>
      <c r="BA563" s="1283" t="s">
        <v>71</v>
      </c>
      <c r="BB563" s="1237">
        <v>2013</v>
      </c>
      <c r="BC563" s="1236" t="s">
        <v>285</v>
      </c>
      <c r="BD563" s="1236">
        <v>6</v>
      </c>
      <c r="BE563" s="1238">
        <v>636688281</v>
      </c>
      <c r="BF563" s="1239">
        <v>3.2000000000000001E-2</v>
      </c>
      <c r="BG563" s="1236"/>
      <c r="BH563" s="1302" t="s">
        <v>32</v>
      </c>
      <c r="BI563" s="1302" t="s">
        <v>295</v>
      </c>
      <c r="BJ563" s="1302" t="s">
        <v>323</v>
      </c>
      <c r="BK563" s="1302">
        <v>4</v>
      </c>
      <c r="BL563" s="1303">
        <v>1271017000</v>
      </c>
      <c r="BM563" s="1239">
        <v>8.5254902376393285E-2</v>
      </c>
      <c r="BN563" s="1236">
        <v>2012</v>
      </c>
      <c r="BO563" s="174"/>
      <c r="BP563" s="174"/>
      <c r="BQ563" s="174"/>
      <c r="BR563" s="174"/>
      <c r="BS563" s="174"/>
      <c r="BT563" s="174"/>
      <c r="BU563" s="174"/>
      <c r="BV563" s="174"/>
      <c r="BW563" s="174"/>
      <c r="BX563" s="174"/>
    </row>
    <row r="564" spans="1:76" s="152" customFormat="1" ht="15" customHeight="1" x14ac:dyDescent="0.25">
      <c r="A564" s="152">
        <f t="shared" si="16"/>
        <v>2017</v>
      </c>
      <c r="B564" s="152" t="str">
        <f t="shared" si="17"/>
        <v>2016-17</v>
      </c>
      <c r="C564" s="173">
        <v>42767</v>
      </c>
      <c r="D564" s="169">
        <v>0.76676500000000014</v>
      </c>
      <c r="E564" s="170">
        <v>309.15239851423451</v>
      </c>
      <c r="F564" s="169">
        <v>403.19054536166158</v>
      </c>
      <c r="G564" s="170">
        <v>32.104993810805084</v>
      </c>
      <c r="H564" s="170">
        <v>41.870708510175966</v>
      </c>
      <c r="I564" s="169">
        <v>1234.3579999999999</v>
      </c>
      <c r="J564" s="169">
        <v>1614.24</v>
      </c>
      <c r="K564" s="169">
        <v>89</v>
      </c>
      <c r="L564" s="170">
        <v>116</v>
      </c>
      <c r="M564" s="170">
        <v>10619.5</v>
      </c>
      <c r="N564" s="170">
        <v>13849.745358747463</v>
      </c>
      <c r="O564" s="170">
        <v>5941.55</v>
      </c>
      <c r="P564" s="170">
        <v>7748.8539513410224</v>
      </c>
      <c r="Q564" s="170">
        <v>2321.7249999999999</v>
      </c>
      <c r="R564" s="170">
        <v>3027.9485892026887</v>
      </c>
      <c r="S564" s="170">
        <v>2848.4250000000002</v>
      </c>
      <c r="T564" s="170">
        <v>3714.8604852855824</v>
      </c>
      <c r="U564" s="170">
        <v>860.23475775202542</v>
      </c>
      <c r="V564" s="170">
        <v>1121.9014401440145</v>
      </c>
      <c r="W564" s="170">
        <v>2301.1536242235356</v>
      </c>
      <c r="X564" s="170">
        <v>3001.1198010127423</v>
      </c>
      <c r="Y564" s="170">
        <v>20729.846011700196</v>
      </c>
      <c r="Z564" s="170">
        <v>27035.461988614756</v>
      </c>
      <c r="AA564" s="170"/>
      <c r="AB564" s="170"/>
      <c r="AC564" s="170">
        <v>17.873999999999999</v>
      </c>
      <c r="AD564" s="170">
        <v>23.55</v>
      </c>
      <c r="AE564" s="170">
        <v>43232.5</v>
      </c>
      <c r="AF564" s="170">
        <v>56382.985660534832</v>
      </c>
      <c r="AG564" s="170">
        <v>1007.095</v>
      </c>
      <c r="AH564" s="170">
        <v>1313.4337117630562</v>
      </c>
      <c r="AI564" s="170">
        <v>775.55</v>
      </c>
      <c r="AJ564" s="170">
        <v>1011.4572261383863</v>
      </c>
      <c r="AK564" s="170">
        <v>55.49</v>
      </c>
      <c r="AL564" s="170">
        <v>72.368978761419726</v>
      </c>
      <c r="AM564" s="170">
        <v>57.28</v>
      </c>
      <c r="AN564" s="170">
        <v>74.703461947271961</v>
      </c>
      <c r="AO564" s="170">
        <v>6.4952956784629237</v>
      </c>
      <c r="AP564" s="170">
        <v>8.4710382952572463</v>
      </c>
      <c r="AS564" s="167"/>
      <c r="AT564" s="1170"/>
      <c r="AU564" s="1171"/>
      <c r="AV564" s="1171"/>
      <c r="AW564" s="1172"/>
      <c r="AX564" s="1172"/>
      <c r="AY564" s="1172"/>
      <c r="AZ564" s="1172"/>
      <c r="BA564" s="1283" t="s">
        <v>71</v>
      </c>
      <c r="BB564" s="1237">
        <v>2013</v>
      </c>
      <c r="BC564" s="1236" t="s">
        <v>342</v>
      </c>
      <c r="BD564" s="1236">
        <v>7</v>
      </c>
      <c r="BE564" s="1238">
        <v>430339608</v>
      </c>
      <c r="BF564" s="1239">
        <v>2.1999999999999999E-2</v>
      </c>
      <c r="BG564" s="1236"/>
      <c r="BH564" s="1302" t="s">
        <v>32</v>
      </c>
      <c r="BI564" s="1302" t="s">
        <v>295</v>
      </c>
      <c r="BJ564" s="1302" t="s">
        <v>306</v>
      </c>
      <c r="BK564" s="1302">
        <v>5</v>
      </c>
      <c r="BL564" s="1303">
        <v>941201000</v>
      </c>
      <c r="BM564" s="1239">
        <v>6.313212126318038E-2</v>
      </c>
      <c r="BN564" s="1236">
        <v>2012</v>
      </c>
      <c r="BO564" s="174"/>
      <c r="BP564" s="174"/>
      <c r="BQ564" s="174"/>
      <c r="BR564" s="174"/>
      <c r="BS564" s="174"/>
      <c r="BT564" s="174"/>
      <c r="BU564" s="174"/>
      <c r="BV564" s="174"/>
      <c r="BW564" s="174"/>
      <c r="BX564" s="174"/>
    </row>
    <row r="565" spans="1:76" s="152" customFormat="1" ht="15" customHeight="1" x14ac:dyDescent="0.25">
      <c r="A565" s="152">
        <f t="shared" si="16"/>
        <v>2017</v>
      </c>
      <c r="B565" s="152" t="str">
        <f t="shared" si="17"/>
        <v>2016-17</v>
      </c>
      <c r="C565" s="173">
        <v>42795</v>
      </c>
      <c r="D565" s="154">
        <v>0.76235217391304322</v>
      </c>
      <c r="E565" s="155">
        <v>326.21879072965493</v>
      </c>
      <c r="F565" s="155">
        <v>427.91088146993945</v>
      </c>
      <c r="G565" s="155">
        <v>32.899567477171246</v>
      </c>
      <c r="H565" s="155">
        <v>43.155340278368371</v>
      </c>
      <c r="I565" s="156">
        <v>1231.0930000000001</v>
      </c>
      <c r="J565" s="156">
        <v>1618.35</v>
      </c>
      <c r="K565" s="157">
        <v>88</v>
      </c>
      <c r="L565" s="158">
        <v>115</v>
      </c>
      <c r="M565" s="159">
        <v>10230.434800000001</v>
      </c>
      <c r="N565" s="159">
        <v>13419.565326991411</v>
      </c>
      <c r="O565" s="175">
        <v>5821.5217000000002</v>
      </c>
      <c r="P565" s="175">
        <v>7636.2630018079089</v>
      </c>
      <c r="Q565" s="175">
        <v>2277.3042999999998</v>
      </c>
      <c r="R565" s="175">
        <v>2987.207720955168</v>
      </c>
      <c r="S565" s="175">
        <v>2781.7390999999998</v>
      </c>
      <c r="T565" s="175">
        <v>3648.8898375166114</v>
      </c>
      <c r="U565" s="161">
        <v>911.53054640580785</v>
      </c>
      <c r="V565" s="161">
        <v>1195.6817040699887</v>
      </c>
      <c r="W565" s="161">
        <v>2280.3519195921103</v>
      </c>
      <c r="X565" s="161">
        <v>2991.2053741348891</v>
      </c>
      <c r="Y565" s="162">
        <v>20717.32439744988</v>
      </c>
      <c r="Z565" s="162">
        <v>27175.530032413833</v>
      </c>
      <c r="AA565" s="162"/>
      <c r="AB565" s="162"/>
      <c r="AC565" s="163">
        <v>17.588000000000001</v>
      </c>
      <c r="AD565" s="163">
        <v>23.26</v>
      </c>
      <c r="AE565" s="163">
        <v>52995.652199999997</v>
      </c>
      <c r="AF565" s="163">
        <v>69515.971769295284</v>
      </c>
      <c r="AG565" s="163">
        <v>962.26099999999997</v>
      </c>
      <c r="AH565" s="163">
        <v>1262.2263475171242</v>
      </c>
      <c r="AI565" s="163">
        <v>776.30399999999997</v>
      </c>
      <c r="AJ565" s="163">
        <v>1018.30102486013</v>
      </c>
      <c r="AK565" s="164">
        <v>51.97</v>
      </c>
      <c r="AL565" s="164">
        <v>68.170593301053401</v>
      </c>
      <c r="AM565" s="164">
        <v>53.85</v>
      </c>
      <c r="AN565" s="164">
        <v>70.636645165705701</v>
      </c>
      <c r="AO565" s="164">
        <v>6.733601749418721</v>
      </c>
      <c r="AP565" s="164">
        <v>8.8326655053085492</v>
      </c>
      <c r="AS565" s="167"/>
      <c r="AT565" s="1170"/>
      <c r="AU565" s="1171"/>
      <c r="AV565" s="1171"/>
      <c r="AW565" s="1172"/>
      <c r="AX565" s="1172"/>
      <c r="AY565" s="1172"/>
      <c r="AZ565" s="1172"/>
      <c r="BA565" s="1283" t="s">
        <v>71</v>
      </c>
      <c r="BB565" s="1237">
        <v>2013</v>
      </c>
      <c r="BC565" s="1236" t="s">
        <v>287</v>
      </c>
      <c r="BD565" s="1236">
        <v>8</v>
      </c>
      <c r="BE565" s="1238">
        <v>246179699</v>
      </c>
      <c r="BF565" s="1239">
        <v>1.2E-2</v>
      </c>
      <c r="BG565" s="1236"/>
      <c r="BH565" s="1302" t="s">
        <v>32</v>
      </c>
      <c r="BI565" s="1302" t="s">
        <v>295</v>
      </c>
      <c r="BJ565" s="1302" t="s">
        <v>329</v>
      </c>
      <c r="BK565" s="1302">
        <v>6</v>
      </c>
      <c r="BL565" s="1303">
        <v>466710000</v>
      </c>
      <c r="BM565" s="1239">
        <v>3.1305100945216713E-2</v>
      </c>
      <c r="BN565" s="1236">
        <v>2012</v>
      </c>
      <c r="BO565" s="174"/>
      <c r="BP565" s="174"/>
      <c r="BQ565" s="174"/>
      <c r="BR565" s="174"/>
      <c r="BS565" s="174"/>
      <c r="BT565" s="174"/>
      <c r="BU565" s="174"/>
      <c r="BV565" s="174"/>
      <c r="BW565" s="174"/>
      <c r="BX565" s="174"/>
    </row>
    <row r="566" spans="1:76" s="152" customFormat="1" ht="15" customHeight="1" x14ac:dyDescent="0.25">
      <c r="A566" s="152">
        <f t="shared" si="16"/>
        <v>2017</v>
      </c>
      <c r="B566" s="152" t="str">
        <f t="shared" si="17"/>
        <v>2016-17</v>
      </c>
      <c r="C566" s="173">
        <v>42826</v>
      </c>
      <c r="D566" s="169">
        <v>0.75330000000000008</v>
      </c>
      <c r="E566" s="170">
        <v>311.78815513026325</v>
      </c>
      <c r="F566" s="169">
        <v>413.89639603114728</v>
      </c>
      <c r="G566" s="170">
        <v>34.181350744333962</v>
      </c>
      <c r="H566" s="170">
        <v>45.375482204080654</v>
      </c>
      <c r="I566" s="169">
        <v>1265.6279999999999</v>
      </c>
      <c r="J566" s="169">
        <v>1687.57</v>
      </c>
      <c r="K566" s="169">
        <v>71</v>
      </c>
      <c r="L566" s="170">
        <v>94</v>
      </c>
      <c r="M566" s="170">
        <v>9668.6111000000001</v>
      </c>
      <c r="N566" s="170">
        <v>12835.007433957253</v>
      </c>
      <c r="O566" s="170">
        <v>5697.6666999999998</v>
      </c>
      <c r="P566" s="170">
        <v>7563.6090534979412</v>
      </c>
      <c r="Q566" s="170">
        <v>2231.3056000000001</v>
      </c>
      <c r="R566" s="170">
        <v>2962.0411522633744</v>
      </c>
      <c r="S566" s="170">
        <v>2633.0277999999998</v>
      </c>
      <c r="T566" s="170">
        <v>3495.3243063852378</v>
      </c>
      <c r="U566" s="170">
        <v>976.12101972890844</v>
      </c>
      <c r="V566" s="170">
        <v>1295.7932028792093</v>
      </c>
      <c r="W566" s="170">
        <v>2383.6126102411586</v>
      </c>
      <c r="X566" s="170">
        <v>3164.2275457867495</v>
      </c>
      <c r="Y566" s="170">
        <v>21114.673056373027</v>
      </c>
      <c r="Z566" s="170">
        <v>28029.567312323146</v>
      </c>
      <c r="AA566" s="170"/>
      <c r="AB566" s="170"/>
      <c r="AC566" s="170">
        <v>18.058</v>
      </c>
      <c r="AD566" s="170">
        <v>24.14</v>
      </c>
      <c r="AE566" s="170">
        <v>55555.833299999998</v>
      </c>
      <c r="AF566" s="170">
        <v>73749.944643568291</v>
      </c>
      <c r="AG566" s="170">
        <v>959.88900000000001</v>
      </c>
      <c r="AH566" s="170">
        <v>1274.2453205894064</v>
      </c>
      <c r="AI566" s="170">
        <v>799.88900000000001</v>
      </c>
      <c r="AJ566" s="170">
        <v>1061.8465418823841</v>
      </c>
      <c r="AK566" s="170">
        <v>52.98</v>
      </c>
      <c r="AL566" s="170">
        <v>70.330545599362793</v>
      </c>
      <c r="AM566" s="170">
        <v>54.54</v>
      </c>
      <c r="AN566" s="170">
        <v>72.401433691756267</v>
      </c>
      <c r="AO566" s="170">
        <v>6.694304028576715</v>
      </c>
      <c r="AP566" s="170">
        <v>8.8866374997699644</v>
      </c>
      <c r="AQ566" s="176"/>
      <c r="AS566" s="167"/>
      <c r="AT566" s="1170"/>
      <c r="AU566" s="1171"/>
      <c r="AV566" s="1171"/>
      <c r="AW566" s="1172"/>
      <c r="AX566" s="1172"/>
      <c r="AY566" s="1172"/>
      <c r="AZ566" s="1172"/>
      <c r="BA566" s="1283" t="s">
        <v>71</v>
      </c>
      <c r="BB566" s="1237">
        <v>2013</v>
      </c>
      <c r="BC566" s="1236" t="s">
        <v>289</v>
      </c>
      <c r="BD566" s="1236">
        <v>9</v>
      </c>
      <c r="BE566" s="1238">
        <v>223208237</v>
      </c>
      <c r="BF566" s="1239">
        <v>1.0999999999999999E-2</v>
      </c>
      <c r="BG566" s="1236"/>
      <c r="BH566" s="1302" t="s">
        <v>32</v>
      </c>
      <c r="BI566" s="1302" t="s">
        <v>295</v>
      </c>
      <c r="BJ566" s="1302" t="s">
        <v>286</v>
      </c>
      <c r="BK566" s="1302">
        <v>7</v>
      </c>
      <c r="BL566" s="1303">
        <v>256084000</v>
      </c>
      <c r="BM566" s="1239">
        <v>1.7177123846617549E-2</v>
      </c>
      <c r="BN566" s="1236">
        <v>2012</v>
      </c>
      <c r="BO566" s="174"/>
      <c r="BP566" s="174"/>
      <c r="BQ566" s="174"/>
      <c r="BR566" s="174"/>
      <c r="BS566" s="174"/>
      <c r="BT566" s="174"/>
      <c r="BU566" s="174"/>
      <c r="BV566" s="174"/>
      <c r="BW566" s="174"/>
      <c r="BX566" s="174"/>
    </row>
    <row r="567" spans="1:76" s="152" customFormat="1" ht="15" customHeight="1" x14ac:dyDescent="0.25">
      <c r="A567" s="152">
        <f t="shared" si="16"/>
        <v>2017</v>
      </c>
      <c r="B567" s="152" t="str">
        <f t="shared" si="17"/>
        <v>2016-17</v>
      </c>
      <c r="C567" s="173">
        <v>42856</v>
      </c>
      <c r="D567" s="154">
        <v>0.74335217391304342</v>
      </c>
      <c r="E567" s="155">
        <v>300.73375639176311</v>
      </c>
      <c r="F567" s="155">
        <v>404.56430605252069</v>
      </c>
      <c r="G567" s="155">
        <v>31.167126942498601</v>
      </c>
      <c r="H567" s="155">
        <v>41.927807621027419</v>
      </c>
      <c r="I567" s="156">
        <v>1245.0050000000001</v>
      </c>
      <c r="J567" s="156">
        <v>1679.56</v>
      </c>
      <c r="K567" s="157">
        <v>61.68</v>
      </c>
      <c r="L567" s="158">
        <v>82.947821409359861</v>
      </c>
      <c r="M567" s="159">
        <v>9154.2857000000004</v>
      </c>
      <c r="N567" s="159">
        <v>12314.870422469308</v>
      </c>
      <c r="O567" s="175">
        <v>5591.5</v>
      </c>
      <c r="P567" s="175">
        <v>7522.0066560995729</v>
      </c>
      <c r="Q567" s="175">
        <v>2131.6667000000002</v>
      </c>
      <c r="R567" s="175">
        <v>2867.6403659100088</v>
      </c>
      <c r="S567" s="175">
        <v>2590.2381</v>
      </c>
      <c r="T567" s="175">
        <v>3484.5369273151591</v>
      </c>
      <c r="U567" s="161">
        <v>943.29800604022262</v>
      </c>
      <c r="V567" s="161">
        <v>1268.9786068353769</v>
      </c>
      <c r="W567" s="161">
        <v>2505.716776282924</v>
      </c>
      <c r="X567" s="161">
        <v>3370.8339925781129</v>
      </c>
      <c r="Y567" s="162">
        <v>21762.440883234922</v>
      </c>
      <c r="Z567" s="162">
        <v>29276.08426659511</v>
      </c>
      <c r="AA567" s="162"/>
      <c r="AB567" s="162"/>
      <c r="AC567" s="163">
        <v>16.765000000000001</v>
      </c>
      <c r="AD567" s="163">
        <v>22.76</v>
      </c>
      <c r="AE567" s="163">
        <v>54916.904799999997</v>
      </c>
      <c r="AF567" s="163">
        <v>73877.371624427542</v>
      </c>
      <c r="AG567" s="163">
        <v>929.71400000000006</v>
      </c>
      <c r="AH567" s="163">
        <v>1250.7046224213466</v>
      </c>
      <c r="AI567" s="163">
        <v>792.42899999999997</v>
      </c>
      <c r="AJ567" s="163">
        <v>1066.0209626193916</v>
      </c>
      <c r="AK567" s="164">
        <v>50.87</v>
      </c>
      <c r="AL567" s="164">
        <v>68.433243064613293</v>
      </c>
      <c r="AM567" s="164">
        <v>51.87</v>
      </c>
      <c r="AN567" s="164">
        <v>69.778500447444301</v>
      </c>
      <c r="AO567" s="164">
        <v>6.614025558244049</v>
      </c>
      <c r="AP567" s="164">
        <v>8.897566712460776</v>
      </c>
      <c r="AS567" s="167"/>
      <c r="AT567" s="1170"/>
      <c r="AU567" s="1171"/>
      <c r="AV567" s="1171"/>
      <c r="AW567" s="1172"/>
      <c r="AX567" s="1172"/>
      <c r="AY567" s="1172"/>
      <c r="AZ567" s="1172"/>
      <c r="BA567" s="1283" t="s">
        <v>71</v>
      </c>
      <c r="BB567" s="1237">
        <v>2013</v>
      </c>
      <c r="BC567" s="1236" t="s">
        <v>315</v>
      </c>
      <c r="BD567" s="1236">
        <v>10</v>
      </c>
      <c r="BE567" s="1238">
        <v>182792146</v>
      </c>
      <c r="BF567" s="1239">
        <v>8.9999999999999993E-3</v>
      </c>
      <c r="BG567" s="1236"/>
      <c r="BH567" s="1302" t="s">
        <v>32</v>
      </c>
      <c r="BI567" s="1302" t="s">
        <v>295</v>
      </c>
      <c r="BJ567" s="1302" t="s">
        <v>320</v>
      </c>
      <c r="BK567" s="1302">
        <v>8</v>
      </c>
      <c r="BL567" s="1303">
        <v>208248000</v>
      </c>
      <c r="BM567" s="1239">
        <v>1.3968470059864777E-2</v>
      </c>
      <c r="BN567" s="1236">
        <v>2012</v>
      </c>
      <c r="BO567" s="174"/>
      <c r="BP567" s="174"/>
      <c r="BQ567" s="174"/>
      <c r="BR567" s="174"/>
      <c r="BS567" s="174"/>
      <c r="BT567" s="174"/>
      <c r="BU567" s="174"/>
      <c r="BV567" s="174"/>
      <c r="BW567" s="174"/>
      <c r="BX567" s="174"/>
    </row>
    <row r="568" spans="1:76" s="152" customFormat="1" ht="15" customHeight="1" x14ac:dyDescent="0.25">
      <c r="A568" s="152">
        <f t="shared" si="16"/>
        <v>2017</v>
      </c>
      <c r="B568" s="152" t="str">
        <f t="shared" si="17"/>
        <v>2016-17</v>
      </c>
      <c r="C568" s="173">
        <v>42887</v>
      </c>
      <c r="D568" s="169">
        <v>0.75589047619047611</v>
      </c>
      <c r="E568" s="170">
        <v>275.78797724177758</v>
      </c>
      <c r="F568" s="169">
        <v>364.85176877963738</v>
      </c>
      <c r="G568" s="170">
        <v>31.106627646959247</v>
      </c>
      <c r="H568" s="170">
        <v>41.152294713024958</v>
      </c>
      <c r="I568" s="169">
        <v>1260.2570000000001</v>
      </c>
      <c r="J568" s="169">
        <v>1677.15</v>
      </c>
      <c r="K568" s="169">
        <v>57.15</v>
      </c>
      <c r="L568" s="170">
        <v>75.595238095238088</v>
      </c>
      <c r="M568" s="170">
        <v>8930.6818000000003</v>
      </c>
      <c r="N568" s="170">
        <v>11814.782804261138</v>
      </c>
      <c r="O568" s="170">
        <v>5699.4772999999996</v>
      </c>
      <c r="P568" s="170">
        <v>7540.0834903015684</v>
      </c>
      <c r="Q568" s="170">
        <v>2131.1817999999998</v>
      </c>
      <c r="R568" s="170">
        <v>2819.4320038806327</v>
      </c>
      <c r="S568" s="170">
        <v>2571.9317999999998</v>
      </c>
      <c r="T568" s="170">
        <v>3402.5191228258063</v>
      </c>
      <c r="U568" s="170">
        <v>955.64710034225163</v>
      </c>
      <c r="V568" s="170">
        <v>1264.2666238613106</v>
      </c>
      <c r="W568" s="170">
        <v>2512.1034541433187</v>
      </c>
      <c r="X568" s="170">
        <v>3323.3696326004456</v>
      </c>
      <c r="Y568" s="170">
        <v>22652.099957058148</v>
      </c>
      <c r="Z568" s="170">
        <v>29967.436646668462</v>
      </c>
      <c r="AA568" s="170"/>
      <c r="AB568" s="170"/>
      <c r="AC568" s="170">
        <v>16.946000000000002</v>
      </c>
      <c r="AD568" s="170">
        <v>22.7</v>
      </c>
      <c r="AE568" s="170">
        <v>57691.136400000003</v>
      </c>
      <c r="AF568" s="170">
        <v>76322.083975380679</v>
      </c>
      <c r="AG568" s="170">
        <v>930.72699999999998</v>
      </c>
      <c r="AH568" s="170">
        <v>1231.2987520237878</v>
      </c>
      <c r="AI568" s="170">
        <v>864.63599999999997</v>
      </c>
      <c r="AJ568" s="170">
        <v>1143.8641274561066</v>
      </c>
      <c r="AK568" s="170">
        <v>46.89</v>
      </c>
      <c r="AL568" s="170">
        <v>62.032796386475752</v>
      </c>
      <c r="AM568" s="170">
        <v>47.88</v>
      </c>
      <c r="AN568" s="170">
        <v>63.342509937821688</v>
      </c>
      <c r="AO568" s="170">
        <v>7.1890068311680846</v>
      </c>
      <c r="AP568" s="170">
        <v>9.5106461287872257</v>
      </c>
      <c r="AS568" s="167"/>
      <c r="AT568" s="1170"/>
      <c r="AU568" s="1171"/>
      <c r="AV568" s="1171"/>
      <c r="AW568" s="1172"/>
      <c r="AX568" s="1172"/>
      <c r="AY568" s="1172"/>
      <c r="AZ568" s="1172"/>
      <c r="BA568" s="1283" t="s">
        <v>71</v>
      </c>
      <c r="BB568" s="1237">
        <v>2013</v>
      </c>
      <c r="BC568" s="1236" t="s">
        <v>291</v>
      </c>
      <c r="BD568" s="1236"/>
      <c r="BE568" s="1238">
        <v>236241961</v>
      </c>
      <c r="BF568" s="1239">
        <v>1.2E-2</v>
      </c>
      <c r="BG568" s="1236"/>
      <c r="BH568" s="1302" t="s">
        <v>32</v>
      </c>
      <c r="BI568" s="1302" t="s">
        <v>295</v>
      </c>
      <c r="BJ568" s="1302" t="s">
        <v>335</v>
      </c>
      <c r="BK568" s="1302">
        <v>9</v>
      </c>
      <c r="BL568" s="1303">
        <v>102965000</v>
      </c>
      <c r="BM568" s="1239">
        <v>6.9064937944853088E-3</v>
      </c>
      <c r="BN568" s="1236">
        <v>2012</v>
      </c>
      <c r="BO568" s="174"/>
      <c r="BP568" s="174"/>
      <c r="BQ568" s="174"/>
      <c r="BR568" s="174"/>
      <c r="BS568" s="174"/>
      <c r="BT568" s="174"/>
      <c r="BU568" s="174"/>
      <c r="BV568" s="174"/>
      <c r="BW568" s="174"/>
      <c r="BX568" s="174"/>
    </row>
    <row r="569" spans="1:76" s="152" customFormat="1" ht="15" customHeight="1" x14ac:dyDescent="0.25">
      <c r="A569" s="152">
        <f t="shared" si="16"/>
        <v>2017</v>
      </c>
      <c r="B569" s="152" t="str">
        <f t="shared" si="17"/>
        <v>2017-18</v>
      </c>
      <c r="C569" s="173">
        <v>42917</v>
      </c>
      <c r="D569" s="154">
        <v>0.77930476190476194</v>
      </c>
      <c r="E569" s="155">
        <v>297.61164135087722</v>
      </c>
      <c r="F569" s="155">
        <v>381.89378007066256</v>
      </c>
      <c r="G569" s="155">
        <v>29.522324053799615</v>
      </c>
      <c r="H569" s="155">
        <v>37.882899600974731</v>
      </c>
      <c r="I569" s="156">
        <v>1236.221</v>
      </c>
      <c r="J569" s="156">
        <v>1592.74</v>
      </c>
      <c r="K569" s="157">
        <v>67.209999999999994</v>
      </c>
      <c r="L569" s="158">
        <v>86.111467008327992</v>
      </c>
      <c r="M569" s="159">
        <v>9481.6669999999995</v>
      </c>
      <c r="N569" s="159">
        <v>12166.8280029819</v>
      </c>
      <c r="O569" s="175">
        <v>5978.5950000000003</v>
      </c>
      <c r="P569" s="175">
        <v>7671.7034108546077</v>
      </c>
      <c r="Q569" s="175">
        <v>2266.4050000000002</v>
      </c>
      <c r="R569" s="175">
        <v>2908.2396397277184</v>
      </c>
      <c r="S569" s="175">
        <v>2785.0949999999998</v>
      </c>
      <c r="T569" s="175">
        <v>3573.8200716145034</v>
      </c>
      <c r="U569" s="161">
        <v>989.41531944320172</v>
      </c>
      <c r="V569" s="161">
        <v>1269.6128239033103</v>
      </c>
      <c r="W569" s="161">
        <v>2586.0436965028221</v>
      </c>
      <c r="X569" s="161">
        <v>3318.3984275703165</v>
      </c>
      <c r="Y569" s="162">
        <v>22328.672807909061</v>
      </c>
      <c r="Z569" s="162">
        <v>28652.042050062344</v>
      </c>
      <c r="AA569" s="162"/>
      <c r="AB569" s="162"/>
      <c r="AC569" s="163">
        <v>16.143999999999998</v>
      </c>
      <c r="AD569" s="163">
        <v>21.01</v>
      </c>
      <c r="AE569" s="163">
        <v>58916.67</v>
      </c>
      <c r="AF569" s="163">
        <v>75601.578329891112</v>
      </c>
      <c r="AG569" s="163">
        <v>918.38099999999997</v>
      </c>
      <c r="AH569" s="163">
        <v>1178.4619379911276</v>
      </c>
      <c r="AI569" s="163">
        <v>856</v>
      </c>
      <c r="AJ569" s="163">
        <v>1098.4149486110941</v>
      </c>
      <c r="AK569" s="164">
        <v>48.69</v>
      </c>
      <c r="AL569" s="164">
        <v>62.478766177423097</v>
      </c>
      <c r="AM569" s="164">
        <v>48.77</v>
      </c>
      <c r="AN569" s="164">
        <v>62.581421780097038</v>
      </c>
      <c r="AO569" s="164">
        <v>6.5992179347661066</v>
      </c>
      <c r="AP569" s="164">
        <v>8.4680836783756117</v>
      </c>
      <c r="AS569" s="167"/>
      <c r="AT569" s="1170"/>
      <c r="AU569" s="1171"/>
      <c r="AV569" s="1171"/>
      <c r="AW569" s="1172"/>
      <c r="AX569" s="1172"/>
      <c r="AY569" s="1172"/>
      <c r="AZ569" s="1172"/>
      <c r="BA569" s="1283" t="s">
        <v>71</v>
      </c>
      <c r="BB569" s="1237">
        <v>2013</v>
      </c>
      <c r="BC569" s="1236" t="s">
        <v>292</v>
      </c>
      <c r="BD569" s="1236"/>
      <c r="BE569" s="1238">
        <v>19940411163</v>
      </c>
      <c r="BF569" s="1239"/>
      <c r="BG569" s="1236"/>
      <c r="BH569" s="1302" t="s">
        <v>32</v>
      </c>
      <c r="BI569" s="1302" t="s">
        <v>295</v>
      </c>
      <c r="BJ569" s="1302" t="s">
        <v>328</v>
      </c>
      <c r="BK569" s="1302">
        <v>10</v>
      </c>
      <c r="BL569" s="1303">
        <v>55236000</v>
      </c>
      <c r="BM569" s="1239">
        <v>3.7050171537142771E-3</v>
      </c>
      <c r="BN569" s="1236">
        <v>2012</v>
      </c>
      <c r="BO569" s="174"/>
      <c r="BP569" s="174"/>
      <c r="BQ569" s="174"/>
      <c r="BR569" s="174"/>
      <c r="BS569" s="174"/>
      <c r="BT569" s="174"/>
      <c r="BU569" s="174"/>
      <c r="BV569" s="174"/>
      <c r="BW569" s="174"/>
      <c r="BX569" s="174"/>
    </row>
    <row r="570" spans="1:76" s="152" customFormat="1" ht="15" customHeight="1" x14ac:dyDescent="0.25">
      <c r="A570" s="152">
        <f t="shared" si="16"/>
        <v>2017</v>
      </c>
      <c r="B570" s="152" t="str">
        <f t="shared" si="17"/>
        <v>2017-18</v>
      </c>
      <c r="C570" s="173">
        <v>42948</v>
      </c>
      <c r="D570" s="169">
        <v>0.79152727272727263</v>
      </c>
      <c r="E570" s="170">
        <v>291.71844454090973</v>
      </c>
      <c r="F570" s="169">
        <v>368.55134951417369</v>
      </c>
      <c r="G570" s="170">
        <v>30.514825120576763</v>
      </c>
      <c r="H570" s="170">
        <v>38.55183033104521</v>
      </c>
      <c r="I570" s="169">
        <v>1282.316</v>
      </c>
      <c r="J570" s="169">
        <v>1623.19</v>
      </c>
      <c r="K570" s="169">
        <v>75.849999999999994</v>
      </c>
      <c r="L570" s="170">
        <v>95.818595250126322</v>
      </c>
      <c r="M570" s="170">
        <v>10852.954545454546</v>
      </c>
      <c r="N570" s="170">
        <v>13711.409473055544</v>
      </c>
      <c r="O570" s="170">
        <v>6478.181818181818</v>
      </c>
      <c r="P570" s="170">
        <v>8184.4075894703001</v>
      </c>
      <c r="Q570" s="170">
        <v>2357.318181818182</v>
      </c>
      <c r="R570" s="170">
        <v>2978.1894611108564</v>
      </c>
      <c r="S570" s="170">
        <v>2981.840909090909</v>
      </c>
      <c r="T570" s="170">
        <v>3767.1992006247992</v>
      </c>
      <c r="U570" s="170">
        <v>1079.0663825731474</v>
      </c>
      <c r="V570" s="170">
        <v>1363.271260199456</v>
      </c>
      <c r="W570" s="170">
        <v>2652.2827227604762</v>
      </c>
      <c r="X570" s="170">
        <v>3350.8418650210456</v>
      </c>
      <c r="Y570" s="170">
        <v>21995.419418053465</v>
      </c>
      <c r="Z570" s="170">
        <v>27788.580603503942</v>
      </c>
      <c r="AA570" s="170"/>
      <c r="AB570" s="170"/>
      <c r="AC570" s="170">
        <v>16.908999999999999</v>
      </c>
      <c r="AD570" s="170">
        <v>21.53</v>
      </c>
      <c r="AE570" s="170">
        <v>58213.64</v>
      </c>
      <c r="AF570" s="170">
        <v>73545.968668167421</v>
      </c>
      <c r="AG570" s="170">
        <v>972.36400000000003</v>
      </c>
      <c r="AH570" s="170">
        <v>1228.465567142923</v>
      </c>
      <c r="AI570" s="170">
        <v>912.22699999999998</v>
      </c>
      <c r="AJ570" s="170">
        <v>1152.4896632517114</v>
      </c>
      <c r="AK570" s="170">
        <v>51.37</v>
      </c>
      <c r="AL570" s="170">
        <v>64.899848394358443</v>
      </c>
      <c r="AM570" s="170">
        <v>51.64</v>
      </c>
      <c r="AN570" s="170">
        <v>65.240961087885339</v>
      </c>
      <c r="AO570" s="170">
        <v>6.9255058008431689</v>
      </c>
      <c r="AP570" s="170">
        <v>8.7495479176361997</v>
      </c>
      <c r="AS570" s="167"/>
      <c r="AT570" s="1170"/>
      <c r="AU570" s="1171"/>
      <c r="AV570" s="1171"/>
      <c r="AW570" s="1172"/>
      <c r="AX570" s="1172"/>
      <c r="AY570" s="1172"/>
      <c r="AZ570" s="1172"/>
      <c r="BA570" s="1283" t="s">
        <v>71</v>
      </c>
      <c r="BB570" s="1237">
        <v>2012</v>
      </c>
      <c r="BC570" s="1236" t="s">
        <v>308</v>
      </c>
      <c r="BD570" s="1236">
        <v>1</v>
      </c>
      <c r="BE570" s="1238">
        <v>11185622075.950001</v>
      </c>
      <c r="BF570" s="1239">
        <v>0.52682605235096291</v>
      </c>
      <c r="BG570" s="1236"/>
      <c r="BH570" s="1302" t="s">
        <v>32</v>
      </c>
      <c r="BI570" s="1302" t="s">
        <v>295</v>
      </c>
      <c r="BJ570" s="1302" t="s">
        <v>291</v>
      </c>
      <c r="BK570" s="1302"/>
      <c r="BL570" s="1303">
        <v>21848000</v>
      </c>
      <c r="BM570" s="1239">
        <v>1.4654793028885062E-3</v>
      </c>
      <c r="BN570" s="1236">
        <v>2012</v>
      </c>
      <c r="BO570" s="174"/>
      <c r="BP570" s="174"/>
      <c r="BQ570" s="174"/>
      <c r="BR570" s="174"/>
      <c r="BS570" s="174"/>
      <c r="BT570" s="174"/>
      <c r="BU570" s="174"/>
      <c r="BV570" s="174"/>
      <c r="BW570" s="174"/>
      <c r="BX570" s="174"/>
    </row>
    <row r="571" spans="1:76" s="152" customFormat="1" ht="15" customHeight="1" x14ac:dyDescent="0.25">
      <c r="A571" s="152">
        <f t="shared" si="16"/>
        <v>2017</v>
      </c>
      <c r="B571" s="152" t="str">
        <f t="shared" si="17"/>
        <v>2017-18</v>
      </c>
      <c r="C571" s="173">
        <v>42979</v>
      </c>
      <c r="D571" s="154">
        <v>0.79722380952380945</v>
      </c>
      <c r="E571" s="155">
        <v>310.3763023994963</v>
      </c>
      <c r="F571" s="155">
        <v>389.32141600849513</v>
      </c>
      <c r="G571" s="155">
        <v>30.669761216968666</v>
      </c>
      <c r="H571" s="155">
        <v>38.470704023865082</v>
      </c>
      <c r="I571" s="156">
        <v>1314.979</v>
      </c>
      <c r="J571" s="156">
        <v>1657.81</v>
      </c>
      <c r="K571" s="157">
        <v>70.599999999999994</v>
      </c>
      <c r="L571" s="158">
        <v>88.615539098782477</v>
      </c>
      <c r="M571" s="159">
        <v>11233.57</v>
      </c>
      <c r="N571" s="159">
        <v>14090.861143133614</v>
      </c>
      <c r="O571" s="175">
        <v>6583.1909999999998</v>
      </c>
      <c r="P571" s="175">
        <v>8257.6447433653702</v>
      </c>
      <c r="Q571" s="175">
        <v>2377.2860000000001</v>
      </c>
      <c r="R571" s="175">
        <v>2981.9555959072259</v>
      </c>
      <c r="S571" s="175">
        <v>3119.7860000000001</v>
      </c>
      <c r="T571" s="175">
        <v>3913.3126265552487</v>
      </c>
      <c r="U571" s="161">
        <v>1021.7482945784504</v>
      </c>
      <c r="V571" s="161">
        <v>1281.6329396744334</v>
      </c>
      <c r="W571" s="161">
        <v>2698.2003881225714</v>
      </c>
      <c r="X571" s="161">
        <v>3384.4954903369435</v>
      </c>
      <c r="Y571" s="162">
        <v>22125.125880683783</v>
      </c>
      <c r="Z571" s="162">
        <v>27752.715882757395</v>
      </c>
      <c r="AA571" s="162"/>
      <c r="AB571" s="162"/>
      <c r="AC571" s="163">
        <v>17.449000000000002</v>
      </c>
      <c r="AD571" s="163">
        <v>22.13</v>
      </c>
      <c r="AE571" s="163">
        <v>60295.24</v>
      </c>
      <c r="AF571" s="163">
        <v>75631.509344929131</v>
      </c>
      <c r="AG571" s="163">
        <v>966.14300000000003</v>
      </c>
      <c r="AH571" s="163">
        <v>1211.8842769850137</v>
      </c>
      <c r="AI571" s="163">
        <v>934.90499999999997</v>
      </c>
      <c r="AJ571" s="163">
        <v>1172.7008009939254</v>
      </c>
      <c r="AK571" s="164">
        <v>55.16</v>
      </c>
      <c r="AL571" s="164">
        <v>69.190106142148053</v>
      </c>
      <c r="AM571" s="164">
        <v>55.91</v>
      </c>
      <c r="AN571" s="164">
        <v>70.130870819570291</v>
      </c>
      <c r="AO571" s="164">
        <v>6.7693850583180399</v>
      </c>
      <c r="AP571" s="164">
        <v>8.4911978009807161</v>
      </c>
      <c r="AS571" s="167"/>
      <c r="AT571" s="1170"/>
      <c r="AU571" s="1171"/>
      <c r="AV571" s="1171"/>
      <c r="AW571" s="1172"/>
      <c r="AX571" s="1172"/>
      <c r="AY571" s="1172"/>
      <c r="AZ571" s="1172"/>
      <c r="BA571" s="1283" t="s">
        <v>71</v>
      </c>
      <c r="BB571" s="1237">
        <v>2012</v>
      </c>
      <c r="BC571" s="1236" t="s">
        <v>281</v>
      </c>
      <c r="BD571" s="1236">
        <v>2</v>
      </c>
      <c r="BE571" s="1238">
        <v>2762431481.3799996</v>
      </c>
      <c r="BF571" s="1239">
        <v>0.13010638678330697</v>
      </c>
      <c r="BG571" s="1236"/>
      <c r="BH571" s="1302" t="s">
        <v>32</v>
      </c>
      <c r="BI571" s="1302" t="s">
        <v>295</v>
      </c>
      <c r="BJ571" s="1302" t="s">
        <v>292</v>
      </c>
      <c r="BK571" s="1302"/>
      <c r="BL571" s="1303">
        <v>14908433000</v>
      </c>
      <c r="BM571" s="1239">
        <v>1</v>
      </c>
      <c r="BN571" s="1236">
        <v>2012</v>
      </c>
      <c r="BO571" s="174"/>
      <c r="BP571" s="174"/>
      <c r="BQ571" s="174"/>
      <c r="BR571" s="174"/>
      <c r="BS571" s="174"/>
      <c r="BT571" s="174"/>
      <c r="BU571" s="174"/>
      <c r="BV571" s="174"/>
      <c r="BW571" s="174"/>
      <c r="BX571" s="174"/>
    </row>
    <row r="572" spans="1:76" s="152" customFormat="1" ht="15" customHeight="1" x14ac:dyDescent="0.25">
      <c r="A572" s="152">
        <f t="shared" si="16"/>
        <v>2017</v>
      </c>
      <c r="B572" s="152" t="str">
        <f t="shared" si="17"/>
        <v>2017-18</v>
      </c>
      <c r="C572" s="173">
        <v>43009</v>
      </c>
      <c r="D572" s="169">
        <v>0.77881904761904763</v>
      </c>
      <c r="E572" s="170">
        <v>344.23278937114213</v>
      </c>
      <c r="F572" s="169">
        <v>441.99328511996094</v>
      </c>
      <c r="G572" s="170">
        <v>29.925975596708682</v>
      </c>
      <c r="H572" s="170">
        <v>38.424812141146688</v>
      </c>
      <c r="I572" s="169">
        <v>1279.5139999999999</v>
      </c>
      <c r="J572" s="169">
        <v>1647.23</v>
      </c>
      <c r="K572" s="169">
        <v>61.96</v>
      </c>
      <c r="L572" s="170">
        <v>79.568511621933993</v>
      </c>
      <c r="M572" s="170">
        <v>11325</v>
      </c>
      <c r="N572" s="170">
        <v>14541.246820583056</v>
      </c>
      <c r="O572" s="170">
        <v>6797.3864000000003</v>
      </c>
      <c r="P572" s="170">
        <v>8727.8122187438858</v>
      </c>
      <c r="Q572" s="170">
        <v>2506.2955000000002</v>
      </c>
      <c r="R572" s="170">
        <v>3218.0716530522404</v>
      </c>
      <c r="S572" s="170">
        <v>3273.9544999999998</v>
      </c>
      <c r="T572" s="170">
        <v>4203.7422043142242</v>
      </c>
      <c r="U572" s="170">
        <v>1221.7961932386856</v>
      </c>
      <c r="V572" s="170">
        <v>1568.7805748637986</v>
      </c>
      <c r="W572" s="170">
        <v>2727.3126960812633</v>
      </c>
      <c r="X572" s="170">
        <v>3501.856694978143</v>
      </c>
      <c r="Y572" s="170">
        <v>22801.50064138434</v>
      </c>
      <c r="Z572" s="170">
        <v>29277.019753293825</v>
      </c>
      <c r="AA572" s="170"/>
      <c r="AB572" s="170"/>
      <c r="AC572" s="170">
        <v>16.937000000000001</v>
      </c>
      <c r="AD572" s="170">
        <v>21.91</v>
      </c>
      <c r="AE572" s="170">
        <v>59954.5455</v>
      </c>
      <c r="AF572" s="170">
        <v>76981.354890187824</v>
      </c>
      <c r="AG572" s="170">
        <v>921</v>
      </c>
      <c r="AH572" s="170">
        <v>1182.5596752103306</v>
      </c>
      <c r="AI572" s="170">
        <v>959.36400000000003</v>
      </c>
      <c r="AJ572" s="170">
        <v>1231.8188710624145</v>
      </c>
      <c r="AK572" s="170">
        <v>57.62</v>
      </c>
      <c r="AL572" s="170">
        <v>73.983809430639795</v>
      </c>
      <c r="AM572" s="170">
        <v>58.72</v>
      </c>
      <c r="AN572" s="170">
        <v>75.396204265310118</v>
      </c>
      <c r="AO572" s="170">
        <v>6.3608346143824237</v>
      </c>
      <c r="AP572" s="170">
        <v>8.1672817759508227</v>
      </c>
      <c r="AS572" s="167"/>
      <c r="AT572" s="1170"/>
      <c r="AU572" s="1171"/>
      <c r="AV572" s="1171"/>
      <c r="AW572" s="1172"/>
      <c r="AX572" s="1172"/>
      <c r="AY572" s="1172"/>
      <c r="AZ572" s="1172"/>
      <c r="BA572" s="1283" t="s">
        <v>71</v>
      </c>
      <c r="BB572" s="1237">
        <v>2012</v>
      </c>
      <c r="BC572" s="1236" t="s">
        <v>306</v>
      </c>
      <c r="BD572" s="1236">
        <v>3</v>
      </c>
      <c r="BE572" s="1238">
        <v>2035872798.2100003</v>
      </c>
      <c r="BF572" s="1239">
        <v>9.5886560629985421E-2</v>
      </c>
      <c r="BG572" s="1236"/>
      <c r="BH572" s="1304" t="s">
        <v>32</v>
      </c>
      <c r="BI572" s="1304" t="s">
        <v>294</v>
      </c>
      <c r="BJ572" s="1304" t="s">
        <v>281</v>
      </c>
      <c r="BK572" s="1304">
        <v>1</v>
      </c>
      <c r="BL572" s="1305">
        <v>8109699000</v>
      </c>
      <c r="BM572" s="1239">
        <v>0.63906605264665517</v>
      </c>
      <c r="BN572" s="1236">
        <v>2013</v>
      </c>
      <c r="BO572" s="174"/>
      <c r="BP572" s="174"/>
      <c r="BQ572" s="174"/>
      <c r="BR572" s="174"/>
      <c r="BS572" s="174"/>
      <c r="BT572" s="174"/>
      <c r="BU572" s="174"/>
      <c r="BV572" s="174"/>
      <c r="BW572" s="174"/>
      <c r="BX572" s="174"/>
    </row>
    <row r="573" spans="1:76" s="152" customFormat="1" ht="15" customHeight="1" x14ac:dyDescent="0.25">
      <c r="A573" s="152">
        <f t="shared" si="16"/>
        <v>2017</v>
      </c>
      <c r="B573" s="152" t="str">
        <f t="shared" si="17"/>
        <v>2017-18</v>
      </c>
      <c r="C573" s="173">
        <v>43040</v>
      </c>
      <c r="D573" s="154">
        <v>0.76250000000000007</v>
      </c>
      <c r="E573" s="155">
        <v>418.65487077957943</v>
      </c>
      <c r="F573" s="155">
        <v>549.05556823551399</v>
      </c>
      <c r="G573" s="155">
        <v>30.390894400455984</v>
      </c>
      <c r="H573" s="155">
        <v>39.8569106891226</v>
      </c>
      <c r="I573" s="156">
        <v>1282.2840000000001</v>
      </c>
      <c r="J573" s="156">
        <v>1686.71</v>
      </c>
      <c r="K573" s="157">
        <v>64.17</v>
      </c>
      <c r="L573" s="158">
        <v>84.179456906729641</v>
      </c>
      <c r="M573" s="159">
        <v>11992.7273</v>
      </c>
      <c r="N573" s="159">
        <v>15728.166950819672</v>
      </c>
      <c r="O573" s="175">
        <v>6825.5681999999997</v>
      </c>
      <c r="P573" s="175">
        <v>8951.564852459016</v>
      </c>
      <c r="Q573" s="175">
        <v>2464.4090999999999</v>
      </c>
      <c r="R573" s="175">
        <v>3232.0119344262289</v>
      </c>
      <c r="S573" s="175">
        <v>3236.1590999999999</v>
      </c>
      <c r="T573" s="175">
        <v>4244.1430819672123</v>
      </c>
      <c r="U573" s="161">
        <v>1258.9287076710436</v>
      </c>
      <c r="V573" s="161">
        <v>1651.0540428472702</v>
      </c>
      <c r="W573" s="161">
        <v>2778.705993530602</v>
      </c>
      <c r="X573" s="161">
        <v>3644.2045816794775</v>
      </c>
      <c r="Y573" s="162">
        <v>23181.695826513765</v>
      </c>
      <c r="Z573" s="162">
        <v>30402.224034772149</v>
      </c>
      <c r="AA573" s="162"/>
      <c r="AB573" s="162"/>
      <c r="AC573" s="163">
        <v>17.004999999999999</v>
      </c>
      <c r="AD573" s="163">
        <v>22.52</v>
      </c>
      <c r="AE573" s="163">
        <v>62272.727299999999</v>
      </c>
      <c r="AF573" s="163">
        <v>81669.150557377041</v>
      </c>
      <c r="AG573" s="163">
        <v>934</v>
      </c>
      <c r="AH573" s="163">
        <v>1224.9180327868851</v>
      </c>
      <c r="AI573" s="163">
        <v>999.79499999999996</v>
      </c>
      <c r="AJ573" s="163">
        <v>1311.206557377049</v>
      </c>
      <c r="AK573" s="164">
        <v>62.57</v>
      </c>
      <c r="AL573" s="164">
        <v>82.059016393442619</v>
      </c>
      <c r="AM573" s="164">
        <v>64.37</v>
      </c>
      <c r="AN573" s="164">
        <v>84.419672131147536</v>
      </c>
      <c r="AO573" s="164">
        <v>6.6185568390545342</v>
      </c>
      <c r="AP573" s="164">
        <v>8.6800745430223394</v>
      </c>
      <c r="AS573" s="167"/>
      <c r="AT573" s="1170"/>
      <c r="AU573" s="1171"/>
      <c r="AV573" s="1171"/>
      <c r="AW573" s="1172"/>
      <c r="AX573" s="1172"/>
      <c r="AY573" s="1172"/>
      <c r="AZ573" s="1172"/>
      <c r="BA573" s="1283" t="s">
        <v>71</v>
      </c>
      <c r="BB573" s="1237">
        <v>2012</v>
      </c>
      <c r="BC573" s="1236" t="s">
        <v>320</v>
      </c>
      <c r="BD573" s="1236">
        <v>4</v>
      </c>
      <c r="BE573" s="1238">
        <v>1510438134.2399993</v>
      </c>
      <c r="BF573" s="1239">
        <v>7.1139374652475926E-2</v>
      </c>
      <c r="BG573" s="1236"/>
      <c r="BH573" s="1304" t="s">
        <v>32</v>
      </c>
      <c r="BI573" s="1304" t="s">
        <v>294</v>
      </c>
      <c r="BJ573" s="1304" t="s">
        <v>306</v>
      </c>
      <c r="BK573" s="1304">
        <v>2</v>
      </c>
      <c r="BL573" s="1305">
        <v>2271477000</v>
      </c>
      <c r="BM573" s="1239">
        <v>0.17899848564880969</v>
      </c>
      <c r="BN573" s="1236">
        <v>2013</v>
      </c>
      <c r="BO573" s="174"/>
      <c r="BP573" s="174"/>
      <c r="BQ573" s="174"/>
      <c r="BR573" s="174"/>
      <c r="BS573" s="174"/>
      <c r="BT573" s="174"/>
      <c r="BU573" s="174"/>
      <c r="BV573" s="174"/>
      <c r="BW573" s="174"/>
      <c r="BX573" s="174"/>
    </row>
    <row r="574" spans="1:76" s="152" customFormat="1" ht="15" customHeight="1" x14ac:dyDescent="0.25">
      <c r="A574" s="152">
        <f t="shared" si="16"/>
        <v>2017</v>
      </c>
      <c r="B574" s="152" t="str">
        <f t="shared" si="17"/>
        <v>2017-18</v>
      </c>
      <c r="C574" s="173">
        <v>43070</v>
      </c>
      <c r="D574" s="169">
        <v>0.763778947368421</v>
      </c>
      <c r="E574" s="170">
        <v>415.55572549601607</v>
      </c>
      <c r="F574" s="169">
        <v>544.07852812361705</v>
      </c>
      <c r="G574" s="170">
        <v>30.936928968146187</v>
      </c>
      <c r="H574" s="170">
        <v>40.505082098346008</v>
      </c>
      <c r="I574" s="169">
        <v>1261.2560000000001</v>
      </c>
      <c r="J574" s="169">
        <v>1662.39</v>
      </c>
      <c r="K574" s="169">
        <v>71.61</v>
      </c>
      <c r="L574" s="170">
        <v>93.607843137254903</v>
      </c>
      <c r="M574" s="170">
        <v>11409.210499999999</v>
      </c>
      <c r="N574" s="170">
        <v>14937.843651373365</v>
      </c>
      <c r="O574" s="170">
        <v>6801.1579000000002</v>
      </c>
      <c r="P574" s="170">
        <v>8904.6155611295635</v>
      </c>
      <c r="Q574" s="170">
        <v>2508.8157999999999</v>
      </c>
      <c r="R574" s="170">
        <v>3284.7407075621218</v>
      </c>
      <c r="S574" s="170">
        <v>3192.4737</v>
      </c>
      <c r="T574" s="170">
        <v>4179.8398751360965</v>
      </c>
      <c r="U574" s="170">
        <v>1265.8398235269758</v>
      </c>
      <c r="V574" s="170">
        <v>1657.3379351295182</v>
      </c>
      <c r="W574" s="170">
        <v>2808.0780493018883</v>
      </c>
      <c r="X574" s="170">
        <v>3676.5585893366697</v>
      </c>
      <c r="Y574" s="170">
        <v>23267.895679132278</v>
      </c>
      <c r="Z574" s="170">
        <v>30464.17521627319</v>
      </c>
      <c r="AA574" s="170"/>
      <c r="AB574" s="170"/>
      <c r="AC574" s="170">
        <v>16.161000000000001</v>
      </c>
      <c r="AD574" s="170">
        <v>21.42</v>
      </c>
      <c r="AE574" s="170">
        <v>72589.473700000002</v>
      </c>
      <c r="AF574" s="170">
        <v>95039.898585978313</v>
      </c>
      <c r="AG574" s="170">
        <v>904.76499999999999</v>
      </c>
      <c r="AH574" s="170">
        <v>1184.5901266555493</v>
      </c>
      <c r="AI574" s="170">
        <v>1018.706</v>
      </c>
      <c r="AJ574" s="170">
        <v>1333.770724513844</v>
      </c>
      <c r="AK574" s="170">
        <v>64.209999999999994</v>
      </c>
      <c r="AL574" s="170">
        <v>84.068826747887925</v>
      </c>
      <c r="AM574" s="170">
        <v>65.989999999999995</v>
      </c>
      <c r="AN574" s="170">
        <v>86.399343982138674</v>
      </c>
      <c r="AO574" s="170">
        <v>6.3732438708701666</v>
      </c>
      <c r="AP574" s="170">
        <v>8.3443565613179054</v>
      </c>
      <c r="AS574" s="167"/>
      <c r="AT574" s="1170"/>
      <c r="AU574" s="1171"/>
      <c r="AV574" s="1171"/>
      <c r="AW574" s="1172"/>
      <c r="AX574" s="1172"/>
      <c r="AY574" s="1172"/>
      <c r="AZ574" s="1172"/>
      <c r="BA574" s="1283" t="s">
        <v>71</v>
      </c>
      <c r="BB574" s="1237">
        <v>2012</v>
      </c>
      <c r="BC574" s="1236" t="s">
        <v>285</v>
      </c>
      <c r="BD574" s="1236">
        <v>5</v>
      </c>
      <c r="BE574" s="1238">
        <v>833481286.0400002</v>
      </c>
      <c r="BF574" s="1239">
        <v>3.9255720660986496E-2</v>
      </c>
      <c r="BG574" s="1236"/>
      <c r="BH574" s="1304" t="s">
        <v>32</v>
      </c>
      <c r="BI574" s="1304" t="s">
        <v>294</v>
      </c>
      <c r="BJ574" s="1304" t="s">
        <v>314</v>
      </c>
      <c r="BK574" s="1304">
        <v>3</v>
      </c>
      <c r="BL574" s="1305">
        <v>635929000</v>
      </c>
      <c r="BM574" s="1239">
        <v>5.0112912426655387E-2</v>
      </c>
      <c r="BN574" s="1236">
        <v>2013</v>
      </c>
      <c r="BO574" s="174"/>
      <c r="BP574" s="174"/>
      <c r="BQ574" s="174"/>
      <c r="BR574" s="174"/>
      <c r="BS574" s="174"/>
      <c r="BT574" s="174"/>
      <c r="BU574" s="174"/>
      <c r="BV574" s="174"/>
      <c r="BW574" s="174"/>
      <c r="BX574" s="174"/>
    </row>
    <row r="575" spans="1:76" s="152" customFormat="1" ht="15" customHeight="1" x14ac:dyDescent="0.25">
      <c r="A575" s="152">
        <f t="shared" si="16"/>
        <v>2018</v>
      </c>
      <c r="B575" s="152" t="str">
        <f t="shared" si="17"/>
        <v>2017-18</v>
      </c>
      <c r="C575" s="173">
        <v>43101</v>
      </c>
      <c r="D575" s="154">
        <v>0.7943190476190477</v>
      </c>
      <c r="E575" s="155">
        <v>390.38987686166541</v>
      </c>
      <c r="F575" s="155">
        <v>491.47742085733648</v>
      </c>
      <c r="G575" s="155">
        <v>29.352263823117369</v>
      </c>
      <c r="H575" s="155">
        <v>36.952738211553751</v>
      </c>
      <c r="I575" s="156">
        <v>1331.6659999999999</v>
      </c>
      <c r="J575" s="156">
        <v>1679.27</v>
      </c>
      <c r="K575" s="157">
        <v>75.78</v>
      </c>
      <c r="L575" s="158">
        <v>95.236898328515778</v>
      </c>
      <c r="M575" s="159">
        <v>12880.23</v>
      </c>
      <c r="N575" s="159">
        <v>16215.436402549052</v>
      </c>
      <c r="O575" s="175">
        <v>7080.2960000000003</v>
      </c>
      <c r="P575" s="175">
        <v>8913.6676518371532</v>
      </c>
      <c r="Q575" s="175">
        <v>2589.7730000000001</v>
      </c>
      <c r="R575" s="175">
        <v>3260.3687495129097</v>
      </c>
      <c r="S575" s="175">
        <v>3447.2049999999999</v>
      </c>
      <c r="T575" s="175">
        <v>4339.8241680505007</v>
      </c>
      <c r="U575" s="161">
        <v>1329.4624331212297</v>
      </c>
      <c r="V575" s="161">
        <v>1673.7133990507484</v>
      </c>
      <c r="W575" s="161">
        <v>2732.2957620821385</v>
      </c>
      <c r="X575" s="161">
        <v>3439.7963516953664</v>
      </c>
      <c r="Y575" s="162">
        <v>23615.213695092967</v>
      </c>
      <c r="Z575" s="162">
        <v>29730.136480900215</v>
      </c>
      <c r="AA575" s="162">
        <v>965</v>
      </c>
      <c r="AB575" s="162">
        <v>1214.8770735041094</v>
      </c>
      <c r="AC575" s="163">
        <v>17.167999999999999</v>
      </c>
      <c r="AD575" s="163">
        <v>21.78</v>
      </c>
      <c r="AE575" s="163">
        <v>77750</v>
      </c>
      <c r="AF575" s="163">
        <v>97882.582865227465</v>
      </c>
      <c r="AG575" s="163">
        <v>990.65899999999999</v>
      </c>
      <c r="AH575" s="163">
        <v>1247.1802142595932</v>
      </c>
      <c r="AI575" s="163">
        <v>1094.4549999999999</v>
      </c>
      <c r="AJ575" s="163">
        <v>1377.8531476496787</v>
      </c>
      <c r="AK575" s="164">
        <v>69.09</v>
      </c>
      <c r="AL575" s="164">
        <v>86.980162703004069</v>
      </c>
      <c r="AM575" s="164">
        <v>70.72</v>
      </c>
      <c r="AN575" s="164">
        <v>89.032234858249339</v>
      </c>
      <c r="AO575" s="164">
        <v>7.548188631048605</v>
      </c>
      <c r="AP575" s="164">
        <v>9.5027163879226109</v>
      </c>
      <c r="AS575" s="167"/>
      <c r="AT575" s="1170"/>
      <c r="AU575" s="1171"/>
      <c r="AV575" s="1171"/>
      <c r="AW575" s="1172"/>
      <c r="AX575" s="1172"/>
      <c r="AY575" s="1172"/>
      <c r="AZ575" s="1172"/>
      <c r="BA575" s="1283" t="s">
        <v>71</v>
      </c>
      <c r="BB575" s="1237">
        <v>2012</v>
      </c>
      <c r="BC575" s="1236" t="s">
        <v>323</v>
      </c>
      <c r="BD575" s="1236">
        <v>6</v>
      </c>
      <c r="BE575" s="1238">
        <v>820276253.78999996</v>
      </c>
      <c r="BF575" s="1239">
        <v>3.8633783412955168E-2</v>
      </c>
      <c r="BG575" s="1236"/>
      <c r="BH575" s="1304" t="s">
        <v>32</v>
      </c>
      <c r="BI575" s="1304" t="s">
        <v>294</v>
      </c>
      <c r="BJ575" s="1304" t="s">
        <v>329</v>
      </c>
      <c r="BK575" s="1304">
        <v>4</v>
      </c>
      <c r="BL575" s="1305">
        <v>537371000</v>
      </c>
      <c r="BM575" s="1239">
        <v>4.2346277436041177E-2</v>
      </c>
      <c r="BN575" s="1236">
        <v>2013</v>
      </c>
      <c r="BO575" s="174"/>
      <c r="BP575" s="174"/>
      <c r="BQ575" s="174"/>
      <c r="BR575" s="174"/>
      <c r="BS575" s="174"/>
      <c r="BT575" s="174"/>
      <c r="BU575" s="174"/>
      <c r="BV575" s="174"/>
      <c r="BW575" s="174"/>
      <c r="BX575" s="174"/>
    </row>
    <row r="576" spans="1:76" s="152" customFormat="1" ht="15" customHeight="1" x14ac:dyDescent="0.25">
      <c r="A576" s="152">
        <f t="shared" si="16"/>
        <v>2018</v>
      </c>
      <c r="B576" s="152" t="str">
        <f t="shared" si="17"/>
        <v>2017-18</v>
      </c>
      <c r="C576" s="173">
        <v>43132</v>
      </c>
      <c r="D576" s="169">
        <v>0.78796999999999995</v>
      </c>
      <c r="E576" s="170">
        <v>386.3126035364898</v>
      </c>
      <c r="F576" s="169">
        <v>490.26308556986919</v>
      </c>
      <c r="G576" s="170">
        <v>32.265726631377895</v>
      </c>
      <c r="H576" s="170">
        <v>40.947912523798998</v>
      </c>
      <c r="I576" s="169">
        <v>1331.5250000000001</v>
      </c>
      <c r="J576" s="169">
        <v>1695.77</v>
      </c>
      <c r="K576" s="169">
        <v>77.48</v>
      </c>
      <c r="L576" s="170">
        <v>98.474834773767157</v>
      </c>
      <c r="M576" s="170">
        <v>13576.75</v>
      </c>
      <c r="N576" s="170">
        <v>17230.034138355521</v>
      </c>
      <c r="O576" s="170">
        <v>7001.8</v>
      </c>
      <c r="P576" s="170">
        <v>8885.8712895160988</v>
      </c>
      <c r="Q576" s="170">
        <v>2580.8249999999998</v>
      </c>
      <c r="R576" s="170">
        <v>3275.2833229691487</v>
      </c>
      <c r="S576" s="170">
        <v>3539.7750000000001</v>
      </c>
      <c r="T576" s="170">
        <v>4492.2712793634282</v>
      </c>
      <c r="U576" s="170">
        <v>1462.4111456908831</v>
      </c>
      <c r="V576" s="170">
        <v>1855.9223646723647</v>
      </c>
      <c r="W576" s="170">
        <v>2874.4514345257066</v>
      </c>
      <c r="X576" s="170">
        <v>3647.919888480154</v>
      </c>
      <c r="Y576" s="170">
        <v>23655.58770728494</v>
      </c>
      <c r="Z576" s="170">
        <v>30020.924283011969</v>
      </c>
      <c r="AA576" s="170">
        <v>965</v>
      </c>
      <c r="AB576" s="170">
        <v>1224.6659136769167</v>
      </c>
      <c r="AC576" s="170">
        <v>16.658999999999999</v>
      </c>
      <c r="AD576" s="170">
        <v>21.29</v>
      </c>
      <c r="AE576" s="170">
        <v>81125</v>
      </c>
      <c r="AF576" s="170">
        <v>102954.42719900505</v>
      </c>
      <c r="AG576" s="170">
        <v>988.25</v>
      </c>
      <c r="AH576" s="170">
        <v>1254.172113151516</v>
      </c>
      <c r="AI576" s="170">
        <v>1022.45</v>
      </c>
      <c r="AJ576" s="170">
        <v>1297.5747807657654</v>
      </c>
      <c r="AK576" s="170">
        <v>65.42</v>
      </c>
      <c r="AL576" s="170">
        <v>83.023465360356369</v>
      </c>
      <c r="AM576" s="170">
        <v>67.489999999999995</v>
      </c>
      <c r="AN576" s="170">
        <v>85.650468926481977</v>
      </c>
      <c r="AO576" s="170">
        <v>8.3039282334355118</v>
      </c>
      <c r="AP576" s="170">
        <v>10.538381199075488</v>
      </c>
      <c r="AS576" s="167"/>
      <c r="AT576" s="1170"/>
      <c r="AU576" s="1171"/>
      <c r="AV576" s="1171"/>
      <c r="AW576" s="1172"/>
      <c r="AX576" s="1172"/>
      <c r="AY576" s="1172"/>
      <c r="AZ576" s="1172"/>
      <c r="BA576" s="1283" t="s">
        <v>71</v>
      </c>
      <c r="BB576" s="1237">
        <v>2012</v>
      </c>
      <c r="BC576" s="1236" t="s">
        <v>315</v>
      </c>
      <c r="BD576" s="1236">
        <v>7</v>
      </c>
      <c r="BE576" s="1238">
        <v>598752878.56999993</v>
      </c>
      <c r="BF576" s="1239">
        <v>2.8200364111087509E-2</v>
      </c>
      <c r="BG576" s="1236"/>
      <c r="BH576" s="1304" t="s">
        <v>32</v>
      </c>
      <c r="BI576" s="1304" t="s">
        <v>294</v>
      </c>
      <c r="BJ576" s="1304" t="s">
        <v>323</v>
      </c>
      <c r="BK576" s="1304">
        <v>5</v>
      </c>
      <c r="BL576" s="1305">
        <v>444473000</v>
      </c>
      <c r="BM576" s="1239">
        <v>3.5025665640366771E-2</v>
      </c>
      <c r="BN576" s="1236">
        <v>2013</v>
      </c>
      <c r="BO576" s="174"/>
      <c r="BP576" s="174"/>
      <c r="BQ576" s="174"/>
      <c r="BR576" s="174"/>
      <c r="BS576" s="174"/>
      <c r="BT576" s="174"/>
      <c r="BU576" s="174"/>
      <c r="BV576" s="174"/>
      <c r="BW576" s="174"/>
      <c r="BX576" s="174"/>
    </row>
    <row r="577" spans="1:76" s="152" customFormat="1" ht="15" customHeight="1" x14ac:dyDescent="0.25">
      <c r="A577" s="152">
        <f t="shared" si="16"/>
        <v>2018</v>
      </c>
      <c r="B577" s="152" t="str">
        <f t="shared" si="17"/>
        <v>2017-18</v>
      </c>
      <c r="C577" s="173">
        <v>43160</v>
      </c>
      <c r="D577" s="154">
        <v>0.77657142857142858</v>
      </c>
      <c r="E577" s="155">
        <v>372.92549877467371</v>
      </c>
      <c r="F577" s="155">
        <v>480.22047303581974</v>
      </c>
      <c r="G577" s="155">
        <v>32.044966687781262</v>
      </c>
      <c r="H577" s="155">
        <v>41.264673806929515</v>
      </c>
      <c r="I577" s="156">
        <v>1324.6569999999999</v>
      </c>
      <c r="J577" s="156">
        <v>1712.39</v>
      </c>
      <c r="K577" s="157">
        <v>70.010000000000005</v>
      </c>
      <c r="L577" s="158">
        <v>90.230699832452643</v>
      </c>
      <c r="M577" s="159">
        <v>13403.57</v>
      </c>
      <c r="N577" s="159">
        <v>17259.931935246503</v>
      </c>
      <c r="O577" s="175">
        <v>6795.76</v>
      </c>
      <c r="P577" s="175">
        <v>8750.9786607799851</v>
      </c>
      <c r="Q577" s="175">
        <v>2397</v>
      </c>
      <c r="R577" s="175">
        <v>3086.644591611479</v>
      </c>
      <c r="S577" s="175">
        <v>3280.48</v>
      </c>
      <c r="T577" s="175">
        <v>4224.3119941133182</v>
      </c>
      <c r="U577" s="161">
        <v>1351.3821151406044</v>
      </c>
      <c r="V577" s="161">
        <v>1740.1903616600866</v>
      </c>
      <c r="W577" s="161">
        <v>2881.9355992721376</v>
      </c>
      <c r="X577" s="161">
        <v>3711.1017650671383</v>
      </c>
      <c r="Y577" s="162">
        <v>23790.079993559953</v>
      </c>
      <c r="Z577" s="162">
        <v>30634.760845275876</v>
      </c>
      <c r="AA577" s="162">
        <v>965</v>
      </c>
      <c r="AB577" s="162">
        <v>1242.6416482707873</v>
      </c>
      <c r="AC577" s="163">
        <v>16.47</v>
      </c>
      <c r="AD577" s="163">
        <v>21.41</v>
      </c>
      <c r="AE577" s="163">
        <v>88000</v>
      </c>
      <c r="AF577" s="163">
        <v>113318.6166298749</v>
      </c>
      <c r="AG577" s="163">
        <v>954.57100000000003</v>
      </c>
      <c r="AH577" s="163">
        <v>1229.2121044885946</v>
      </c>
      <c r="AI577" s="163">
        <v>987.33299999999997</v>
      </c>
      <c r="AJ577" s="163">
        <v>1271.400110375276</v>
      </c>
      <c r="AK577" s="164">
        <v>66.45</v>
      </c>
      <c r="AL577" s="164">
        <v>85.56843267108168</v>
      </c>
      <c r="AM577" s="164">
        <v>67.87</v>
      </c>
      <c r="AN577" s="164">
        <v>87.396983075791027</v>
      </c>
      <c r="AO577" s="164">
        <v>8.108062782979502</v>
      </c>
      <c r="AP577" s="164">
        <v>10.440846114947851</v>
      </c>
      <c r="AS577" s="167"/>
      <c r="AT577" s="1170"/>
      <c r="AU577" s="1171"/>
      <c r="AV577" s="1171"/>
      <c r="AW577" s="1172"/>
      <c r="AX577" s="1172"/>
      <c r="AY577" s="1172"/>
      <c r="AZ577" s="1172"/>
      <c r="BA577" s="1283" t="s">
        <v>71</v>
      </c>
      <c r="BB577" s="1237">
        <v>2012</v>
      </c>
      <c r="BC577" s="1236" t="s">
        <v>342</v>
      </c>
      <c r="BD577" s="1236">
        <v>8</v>
      </c>
      <c r="BE577" s="1238">
        <v>584697728.56999981</v>
      </c>
      <c r="BF577" s="1239">
        <v>2.7538387589851266E-2</v>
      </c>
      <c r="BG577" s="1236"/>
      <c r="BH577" s="1304" t="s">
        <v>32</v>
      </c>
      <c r="BI577" s="1304" t="s">
        <v>294</v>
      </c>
      <c r="BJ577" s="1304" t="s">
        <v>287</v>
      </c>
      <c r="BK577" s="1304">
        <v>6</v>
      </c>
      <c r="BL577" s="1305">
        <v>240258000</v>
      </c>
      <c r="BM577" s="1239">
        <v>1.8932975401032771E-2</v>
      </c>
      <c r="BN577" s="1236">
        <v>2013</v>
      </c>
      <c r="BO577" s="174"/>
      <c r="BP577" s="174"/>
      <c r="BQ577" s="174"/>
      <c r="BR577" s="174"/>
      <c r="BS577" s="174"/>
      <c r="BT577" s="174"/>
      <c r="BU577" s="174"/>
      <c r="BV577" s="174"/>
      <c r="BW577" s="174"/>
      <c r="BX577" s="174"/>
    </row>
    <row r="578" spans="1:76" s="152" customFormat="1" ht="15" customHeight="1" x14ac:dyDescent="0.25">
      <c r="A578" s="152">
        <f t="shared" si="16"/>
        <v>2018</v>
      </c>
      <c r="B578" s="152" t="str">
        <f t="shared" si="17"/>
        <v>2017-18</v>
      </c>
      <c r="C578" s="173">
        <v>43191</v>
      </c>
      <c r="D578" s="169">
        <v>0.76976315789473693</v>
      </c>
      <c r="E578" s="170">
        <v>369.57828178386211</v>
      </c>
      <c r="F578" s="169">
        <v>480.11947310474034</v>
      </c>
      <c r="G578" s="170">
        <v>33.420163117938905</v>
      </c>
      <c r="H578" s="170">
        <v>43.416163498057443</v>
      </c>
      <c r="I578" s="169">
        <v>1334.74</v>
      </c>
      <c r="J578" s="169">
        <v>1741.12</v>
      </c>
      <c r="K578" s="169">
        <v>65.430000000000007</v>
      </c>
      <c r="L578" s="170">
        <v>85.000170934327031</v>
      </c>
      <c r="M578" s="170">
        <v>13934.5</v>
      </c>
      <c r="N578" s="170">
        <v>18102.321288161085</v>
      </c>
      <c r="O578" s="170">
        <v>6838.55</v>
      </c>
      <c r="P578" s="170">
        <v>8883.9663601244392</v>
      </c>
      <c r="Q578" s="170">
        <v>2357.375</v>
      </c>
      <c r="R578" s="170">
        <v>3062.4679498136811</v>
      </c>
      <c r="S578" s="170">
        <v>3190.9250000000002</v>
      </c>
      <c r="T578" s="170">
        <v>4145.3334928720387</v>
      </c>
      <c r="U578" s="170">
        <v>1441.5976405789008</v>
      </c>
      <c r="V578" s="170">
        <v>1872.7807713239965</v>
      </c>
      <c r="W578" s="170">
        <v>2948.0833544013258</v>
      </c>
      <c r="X578" s="170">
        <v>3829.8576960531391</v>
      </c>
      <c r="Y578" s="170">
        <v>24536.764865569221</v>
      </c>
      <c r="Z578" s="170">
        <v>31875.73296268949</v>
      </c>
      <c r="AA578" s="170">
        <v>965</v>
      </c>
      <c r="AB578" s="170">
        <v>1253.6323544494203</v>
      </c>
      <c r="AC578" s="170">
        <v>16.609000000000002</v>
      </c>
      <c r="AD578" s="170">
        <v>21.84</v>
      </c>
      <c r="AE578" s="170">
        <v>90862.5</v>
      </c>
      <c r="AF578" s="170">
        <v>118039.55420327508</v>
      </c>
      <c r="AG578" s="170">
        <v>923.5</v>
      </c>
      <c r="AH578" s="170">
        <v>1199.7196677036682</v>
      </c>
      <c r="AI578" s="170">
        <v>970.55</v>
      </c>
      <c r="AJ578" s="170">
        <v>1260.8423643636113</v>
      </c>
      <c r="AK578" s="170">
        <v>71.63</v>
      </c>
      <c r="AL578" s="170">
        <v>93.054596424053869</v>
      </c>
      <c r="AM578" s="170">
        <v>66.319999999999993</v>
      </c>
      <c r="AN578" s="170">
        <v>86.15637072236845</v>
      </c>
      <c r="AO578" s="170">
        <v>8.8116347400308648</v>
      </c>
      <c r="AP578" s="170">
        <v>11.447202492946321</v>
      </c>
      <c r="AS578" s="167"/>
      <c r="AT578" s="1170"/>
      <c r="AU578" s="1171"/>
      <c r="AV578" s="1171"/>
      <c r="AW578" s="1172"/>
      <c r="AX578" s="1172"/>
      <c r="AY578" s="1172"/>
      <c r="AZ578" s="1172"/>
      <c r="BA578" s="1283" t="s">
        <v>71</v>
      </c>
      <c r="BB578" s="1237">
        <v>2012</v>
      </c>
      <c r="BC578" s="1236" t="s">
        <v>289</v>
      </c>
      <c r="BD578" s="1236">
        <v>9</v>
      </c>
      <c r="BE578" s="1238">
        <v>236492879.88999999</v>
      </c>
      <c r="BF578" s="1239">
        <v>1.1138460559063505E-2</v>
      </c>
      <c r="BG578" s="1236"/>
      <c r="BH578" s="1304" t="s">
        <v>32</v>
      </c>
      <c r="BI578" s="1304" t="s">
        <v>294</v>
      </c>
      <c r="BJ578" s="1304" t="s">
        <v>320</v>
      </c>
      <c r="BK578" s="1304">
        <v>7</v>
      </c>
      <c r="BL578" s="1305">
        <v>176937000</v>
      </c>
      <c r="BM578" s="1239">
        <v>1.3943110608314959E-2</v>
      </c>
      <c r="BN578" s="1236">
        <v>2013</v>
      </c>
      <c r="BO578" s="174"/>
      <c r="BP578" s="174"/>
      <c r="BQ578" s="174"/>
      <c r="BR578" s="174"/>
      <c r="BS578" s="174"/>
      <c r="BT578" s="174"/>
      <c r="BU578" s="174"/>
      <c r="BV578" s="174"/>
      <c r="BW578" s="174"/>
      <c r="BX578" s="174"/>
    </row>
    <row r="579" spans="1:76" s="152" customFormat="1" ht="15" customHeight="1" x14ac:dyDescent="0.25">
      <c r="A579" s="152">
        <f t="shared" si="16"/>
        <v>2018</v>
      </c>
      <c r="B579" s="152" t="str">
        <f t="shared" si="17"/>
        <v>2017-18</v>
      </c>
      <c r="C579" s="173">
        <v>43221</v>
      </c>
      <c r="D579" s="154">
        <v>0.75269130434782616</v>
      </c>
      <c r="E579" s="155">
        <v>458.51989566442984</v>
      </c>
      <c r="F579" s="155">
        <v>609.17389773981392</v>
      </c>
      <c r="G579" s="155">
        <v>32.418295120442686</v>
      </c>
      <c r="H579" s="155">
        <v>43.069841425272884</v>
      </c>
      <c r="I579" s="156">
        <v>1303.0260000000001</v>
      </c>
      <c r="J579" s="156">
        <v>1721.78</v>
      </c>
      <c r="K579" s="157">
        <v>66</v>
      </c>
      <c r="L579" s="158">
        <v>87.685349383949756</v>
      </c>
      <c r="M579" s="159">
        <v>14356.428571428571</v>
      </c>
      <c r="N579" s="159">
        <v>19073.46144229444</v>
      </c>
      <c r="O579" s="175">
        <v>6821.7619047619046</v>
      </c>
      <c r="P579" s="175">
        <v>9063.1602429267605</v>
      </c>
      <c r="Q579" s="175">
        <v>2363.8809523809523</v>
      </c>
      <c r="R579" s="175">
        <v>3140.5716244179957</v>
      </c>
      <c r="S579" s="175">
        <v>3057.8571428571427</v>
      </c>
      <c r="T579" s="175">
        <v>4062.564726327802</v>
      </c>
      <c r="U579" s="161">
        <v>1458.7350972169443</v>
      </c>
      <c r="V579" s="161">
        <v>1938.025706940874</v>
      </c>
      <c r="W579" s="161">
        <v>2946.1532725944667</v>
      </c>
      <c r="X579" s="161">
        <v>3914.158773425951</v>
      </c>
      <c r="Y579" s="162">
        <v>23505.488929545649</v>
      </c>
      <c r="Z579" s="162">
        <v>31228.591048905659</v>
      </c>
      <c r="AA579" s="162">
        <v>944</v>
      </c>
      <c r="AB579" s="162">
        <v>1254.1662093704329</v>
      </c>
      <c r="AC579" s="163">
        <v>16.468</v>
      </c>
      <c r="AD579" s="163">
        <v>19.924999999999997</v>
      </c>
      <c r="AE579" s="163">
        <v>90440.476190476184</v>
      </c>
      <c r="AF579" s="163">
        <v>120156.13262443476</v>
      </c>
      <c r="AG579" s="163">
        <v>904.28599999999994</v>
      </c>
      <c r="AH579" s="163">
        <v>1201.4035432274907</v>
      </c>
      <c r="AI579" s="163">
        <v>979.90499999999997</v>
      </c>
      <c r="AJ579" s="163">
        <v>1301.8683680012014</v>
      </c>
      <c r="AK579" s="164">
        <v>76.650000000000006</v>
      </c>
      <c r="AL579" s="164">
        <v>101.83457621635985</v>
      </c>
      <c r="AM579" s="164">
        <v>78.41</v>
      </c>
      <c r="AN579" s="164">
        <v>104.17285219993182</v>
      </c>
      <c r="AO579" s="164">
        <v>8.8564896708962682</v>
      </c>
      <c r="AP579" s="164">
        <v>11.766430168301236</v>
      </c>
      <c r="AS579" s="167"/>
      <c r="AT579" s="1170"/>
      <c r="AU579" s="1171"/>
      <c r="AV579" s="1171"/>
      <c r="AW579" s="1172"/>
      <c r="AX579" s="1172"/>
      <c r="AY579" s="1172"/>
      <c r="AZ579" s="1172"/>
      <c r="BA579" s="1283" t="s">
        <v>71</v>
      </c>
      <c r="BB579" s="1237">
        <v>2012</v>
      </c>
      <c r="BC579" s="1236" t="s">
        <v>286</v>
      </c>
      <c r="BD579" s="1236">
        <v>10</v>
      </c>
      <c r="BE579" s="1238">
        <v>236190311.53999999</v>
      </c>
      <c r="BF579" s="1239">
        <v>1.1124210042792303E-2</v>
      </c>
      <c r="BG579" s="1236"/>
      <c r="BH579" s="1304" t="s">
        <v>32</v>
      </c>
      <c r="BI579" s="1304" t="s">
        <v>294</v>
      </c>
      <c r="BJ579" s="1304" t="s">
        <v>286</v>
      </c>
      <c r="BK579" s="1304">
        <v>8</v>
      </c>
      <c r="BL579" s="1305">
        <v>120917000</v>
      </c>
      <c r="BM579" s="1239">
        <v>9.5285842159956377E-3</v>
      </c>
      <c r="BN579" s="1236">
        <v>2013</v>
      </c>
      <c r="BO579" s="174"/>
      <c r="BP579" s="174"/>
      <c r="BQ579" s="174"/>
      <c r="BR579" s="174"/>
      <c r="BS579" s="174"/>
      <c r="BT579" s="174"/>
      <c r="BU579" s="174"/>
      <c r="BV579" s="174"/>
      <c r="BW579" s="174"/>
      <c r="BX579" s="174"/>
    </row>
    <row r="580" spans="1:76" s="152" customFormat="1" ht="15" customHeight="1" x14ac:dyDescent="0.25">
      <c r="A580" s="152">
        <f t="shared" si="16"/>
        <v>2018</v>
      </c>
      <c r="B580" s="152" t="str">
        <f t="shared" si="17"/>
        <v>2017-18</v>
      </c>
      <c r="C580" s="173">
        <v>43252</v>
      </c>
      <c r="D580" s="169">
        <v>0.74939500000000003</v>
      </c>
      <c r="E580" s="170">
        <v>482.43467764960138</v>
      </c>
      <c r="F580" s="169">
        <v>643.76554106926437</v>
      </c>
      <c r="G580" s="170">
        <v>28.226685627356012</v>
      </c>
      <c r="H580" s="170">
        <v>37.665964714677855</v>
      </c>
      <c r="I580" s="169">
        <v>1281.567</v>
      </c>
      <c r="J580" s="169">
        <v>1714.33</v>
      </c>
      <c r="K580" s="169">
        <v>64.45</v>
      </c>
      <c r="L580" s="170">
        <v>86.002708851807128</v>
      </c>
      <c r="M580" s="170">
        <v>15110.952380952382</v>
      </c>
      <c r="N580" s="170">
        <v>20164.20229779006</v>
      </c>
      <c r="O580" s="170">
        <v>6954.7857142857147</v>
      </c>
      <c r="P580" s="170">
        <v>9280.5339164068537</v>
      </c>
      <c r="Q580" s="170">
        <v>2440.7380952380954</v>
      </c>
      <c r="R580" s="170">
        <v>3256.9447290655735</v>
      </c>
      <c r="S580" s="170">
        <v>3091.7619047619046</v>
      </c>
      <c r="T580" s="170">
        <v>4125.6772526663572</v>
      </c>
      <c r="U580" s="170">
        <v>1420.1882956891307</v>
      </c>
      <c r="V580" s="170">
        <v>1895.1131188347008</v>
      </c>
      <c r="W580" s="170">
        <v>2910.9490050301933</v>
      </c>
      <c r="X580" s="170">
        <v>3884.3987550359866</v>
      </c>
      <c r="Y580" s="170">
        <v>22529.530933128302</v>
      </c>
      <c r="Z580" s="170">
        <v>30063.625902399002</v>
      </c>
      <c r="AA580" s="170">
        <v>916.75</v>
      </c>
      <c r="AB580" s="170">
        <v>1223.3201449168996</v>
      </c>
      <c r="AC580" s="170">
        <v>16.523</v>
      </c>
      <c r="AD580" s="170">
        <v>22.23</v>
      </c>
      <c r="AE580" s="170">
        <v>81850</v>
      </c>
      <c r="AF580" s="170">
        <v>109221.43862715924</v>
      </c>
      <c r="AG580" s="170">
        <v>884.90499999999997</v>
      </c>
      <c r="AH580" s="170">
        <v>1180.8258661987336</v>
      </c>
      <c r="AI580" s="170">
        <v>985.048</v>
      </c>
      <c r="AJ580" s="170">
        <v>1314.4576625144282</v>
      </c>
      <c r="AK580" s="170">
        <v>75.19</v>
      </c>
      <c r="AL580" s="170">
        <v>100.33426964417963</v>
      </c>
      <c r="AM580" s="170">
        <v>76.91</v>
      </c>
      <c r="AN580" s="170">
        <v>102.62945442657076</v>
      </c>
      <c r="AO580" s="170">
        <v>8.5338353237237872</v>
      </c>
      <c r="AP580" s="170">
        <v>11.387633122350412</v>
      </c>
      <c r="AS580" s="167"/>
      <c r="AT580" s="1170"/>
      <c r="AU580" s="1171"/>
      <c r="AV580" s="1171"/>
      <c r="AW580" s="1172"/>
      <c r="AX580" s="1172"/>
      <c r="AY580" s="1172"/>
      <c r="AZ580" s="1172"/>
      <c r="BA580" s="1283" t="s">
        <v>71</v>
      </c>
      <c r="BB580" s="1237">
        <v>2012</v>
      </c>
      <c r="BC580" s="1236" t="s">
        <v>291</v>
      </c>
      <c r="BD580" s="1236"/>
      <c r="BE580" s="1238">
        <v>427841608.97999954</v>
      </c>
      <c r="BF580" s="1239">
        <v>2.0150699206532445E-2</v>
      </c>
      <c r="BG580" s="1236"/>
      <c r="BH580" s="1304" t="s">
        <v>32</v>
      </c>
      <c r="BI580" s="1304" t="s">
        <v>294</v>
      </c>
      <c r="BJ580" s="1304" t="s">
        <v>330</v>
      </c>
      <c r="BK580" s="1304">
        <v>9</v>
      </c>
      <c r="BL580" s="1305">
        <v>45445000</v>
      </c>
      <c r="BM580" s="1239">
        <v>3.5811880024803934E-3</v>
      </c>
      <c r="BN580" s="1236">
        <v>2013</v>
      </c>
      <c r="BO580" s="174"/>
      <c r="BP580" s="174"/>
      <c r="BQ580" s="174"/>
      <c r="BR580" s="174"/>
      <c r="BS580" s="174"/>
      <c r="BT580" s="174"/>
      <c r="BU580" s="174"/>
      <c r="BV580" s="174"/>
      <c r="BW580" s="174"/>
      <c r="BX580" s="174"/>
    </row>
    <row r="581" spans="1:76" s="152" customFormat="1" ht="15" customHeight="1" x14ac:dyDescent="0.25">
      <c r="A581" s="152">
        <f t="shared" si="16"/>
        <v>2018</v>
      </c>
      <c r="B581" s="152" t="str">
        <f t="shared" si="17"/>
        <v>2018-19</v>
      </c>
      <c r="C581" s="173">
        <v>43282</v>
      </c>
      <c r="D581" s="154">
        <v>0.74056818181818185</v>
      </c>
      <c r="E581" s="155">
        <v>455.33049192105608</v>
      </c>
      <c r="F581" s="155">
        <v>614.83939372491841</v>
      </c>
      <c r="G581" s="155">
        <v>32.376364570794806</v>
      </c>
      <c r="H581" s="155">
        <v>43.718276541812841</v>
      </c>
      <c r="I581" s="156">
        <v>1238.5250000000001</v>
      </c>
      <c r="J581" s="156">
        <v>1677.03</v>
      </c>
      <c r="K581" s="157">
        <v>64.09</v>
      </c>
      <c r="L581" s="158">
        <v>86.541660273131811</v>
      </c>
      <c r="M581" s="159">
        <v>13772.045454545454</v>
      </c>
      <c r="N581" s="159">
        <v>18596.593524627893</v>
      </c>
      <c r="O581" s="175">
        <v>6248.181818181818</v>
      </c>
      <c r="P581" s="175">
        <v>8437.0108945833963</v>
      </c>
      <c r="Q581" s="175">
        <v>2212.909090909091</v>
      </c>
      <c r="R581" s="175">
        <v>2988.1233696486115</v>
      </c>
      <c r="S581" s="175">
        <v>2658.7272727272725</v>
      </c>
      <c r="T581" s="175">
        <v>3590.1181525241673</v>
      </c>
      <c r="U581" s="161">
        <v>1552.9127159068535</v>
      </c>
      <c r="V581" s="161">
        <v>2096.9206536719826</v>
      </c>
      <c r="W581" s="161">
        <v>2876.1477712076521</v>
      </c>
      <c r="X581" s="161">
        <v>3883.7042176810401</v>
      </c>
      <c r="Y581" s="162">
        <v>20720.580328749944</v>
      </c>
      <c r="Z581" s="162">
        <v>27979.301349240373</v>
      </c>
      <c r="AA581" s="162">
        <v>869.55</v>
      </c>
      <c r="AB581" s="162">
        <v>1174.1660273131808</v>
      </c>
      <c r="AC581" s="163">
        <v>15.71</v>
      </c>
      <c r="AD581" s="163">
        <v>21.44</v>
      </c>
      <c r="AE581" s="163">
        <v>70943.181818181823</v>
      </c>
      <c r="AF581" s="163">
        <v>95795.611477673781</v>
      </c>
      <c r="AG581" s="163">
        <v>832.11400000000003</v>
      </c>
      <c r="AH581" s="163">
        <v>1123.6156513733313</v>
      </c>
      <c r="AI581" s="163">
        <v>931.13599999999997</v>
      </c>
      <c r="AJ581" s="163">
        <v>1257.3264999232774</v>
      </c>
      <c r="AK581" s="164">
        <v>74.44</v>
      </c>
      <c r="AL581" s="164">
        <v>100.51741598895197</v>
      </c>
      <c r="AM581" s="164">
        <v>76.33</v>
      </c>
      <c r="AN581" s="164">
        <v>103.0695105109713</v>
      </c>
      <c r="AO581" s="164">
        <v>8.7595845328481357</v>
      </c>
      <c r="AP581" s="164">
        <v>11.828194551030165</v>
      </c>
      <c r="AS581" s="167"/>
      <c r="AT581" s="1170"/>
      <c r="AU581" s="1171"/>
      <c r="AV581" s="1171"/>
      <c r="AW581" s="1172"/>
      <c r="AX581" s="1172"/>
      <c r="AY581" s="1172"/>
      <c r="AZ581" s="1172"/>
      <c r="BA581" s="1283" t="s">
        <v>71</v>
      </c>
      <c r="BB581" s="1237">
        <v>2012</v>
      </c>
      <c r="BC581" s="1236" t="s">
        <v>292</v>
      </c>
      <c r="BD581" s="1236"/>
      <c r="BE581" s="1238">
        <v>21232097437.16</v>
      </c>
      <c r="BF581" s="1239"/>
      <c r="BG581" s="1236"/>
      <c r="BH581" s="1304" t="s">
        <v>32</v>
      </c>
      <c r="BI581" s="1304" t="s">
        <v>294</v>
      </c>
      <c r="BJ581" s="1304" t="s">
        <v>335</v>
      </c>
      <c r="BK581" s="1304">
        <v>10</v>
      </c>
      <c r="BL581" s="1305">
        <v>34773000</v>
      </c>
      <c r="BM581" s="1239">
        <v>2.7402057522334846E-3</v>
      </c>
      <c r="BN581" s="1236">
        <v>2013</v>
      </c>
      <c r="BO581" s="174"/>
      <c r="BP581" s="174"/>
      <c r="BQ581" s="174"/>
      <c r="BR581" s="174"/>
      <c r="BS581" s="174"/>
      <c r="BT581" s="174"/>
      <c r="BU581" s="174"/>
      <c r="BV581" s="174"/>
      <c r="BW581" s="174"/>
      <c r="BX581" s="174"/>
    </row>
    <row r="582" spans="1:76" s="152" customFormat="1" ht="15" customHeight="1" x14ac:dyDescent="0.25">
      <c r="A582" s="152">
        <f t="shared" si="16"/>
        <v>2018</v>
      </c>
      <c r="B582" s="152" t="str">
        <f t="shared" si="17"/>
        <v>2018-19</v>
      </c>
      <c r="C582" s="173">
        <v>43313</v>
      </c>
      <c r="D582" s="169">
        <v>0.7325772727272728</v>
      </c>
      <c r="E582" s="170">
        <v>439.69176920916334</v>
      </c>
      <c r="F582" s="169">
        <v>600.19848496290138</v>
      </c>
      <c r="G582" s="170">
        <v>31.049085219382217</v>
      </c>
      <c r="H582" s="170">
        <v>42.383358555188636</v>
      </c>
      <c r="I582" s="169">
        <v>1201.2449999999999</v>
      </c>
      <c r="J582" s="169">
        <v>1642.36</v>
      </c>
      <c r="K582" s="169">
        <v>66.81</v>
      </c>
      <c r="L582" s="170">
        <v>91.198570426948436</v>
      </c>
      <c r="M582" s="170">
        <v>13432.954545454546</v>
      </c>
      <c r="N582" s="170">
        <v>18336.570141530214</v>
      </c>
      <c r="O582" s="170">
        <v>6039.75</v>
      </c>
      <c r="P582" s="170">
        <v>8244.522762103903</v>
      </c>
      <c r="Q582" s="170">
        <v>2064.8636363636365</v>
      </c>
      <c r="R582" s="170">
        <v>2818.6291238280787</v>
      </c>
      <c r="S582" s="170">
        <v>2510.5227272727275</v>
      </c>
      <c r="T582" s="170">
        <v>3426.9732637574689</v>
      </c>
      <c r="U582" s="170">
        <v>1547.8380209970564</v>
      </c>
      <c r="V582" s="170">
        <v>2112.8665584105456</v>
      </c>
      <c r="W582" s="170">
        <v>2838.3057803604288</v>
      </c>
      <c r="X582" s="170">
        <v>3874.4114594134921</v>
      </c>
      <c r="Y582" s="170">
        <v>18294.767875721773</v>
      </c>
      <c r="Z582" s="170">
        <v>24973.157858983475</v>
      </c>
      <c r="AA582" s="170">
        <v>811.96</v>
      </c>
      <c r="AB582" s="170">
        <v>1108.3608927385878</v>
      </c>
      <c r="AC582" s="170">
        <v>15.005000000000001</v>
      </c>
      <c r="AD582" s="170">
        <v>20.65</v>
      </c>
      <c r="AE582" s="170">
        <v>63413.63636363636</v>
      </c>
      <c r="AF582" s="170">
        <v>86562.385600029767</v>
      </c>
      <c r="AG582" s="170">
        <v>805.43200000000002</v>
      </c>
      <c r="AH582" s="170">
        <v>1099.4498873838936</v>
      </c>
      <c r="AI582" s="170">
        <v>918</v>
      </c>
      <c r="AJ582" s="170">
        <v>1253.1101280038718</v>
      </c>
      <c r="AK582" s="170">
        <v>73.13</v>
      </c>
      <c r="AL582" s="170">
        <v>99.82564668945875</v>
      </c>
      <c r="AM582" s="170">
        <v>74.77</v>
      </c>
      <c r="AN582" s="170">
        <v>102.06431837783167</v>
      </c>
      <c r="AO582" s="170">
        <v>9.4782723430092055</v>
      </c>
      <c r="AP582" s="170">
        <v>12.938256066452965</v>
      </c>
      <c r="AS582" s="167"/>
      <c r="AT582" s="1170"/>
      <c r="AU582" s="1171"/>
      <c r="AV582" s="1171"/>
      <c r="AW582" s="1172"/>
      <c r="AX582" s="1172"/>
      <c r="AY582" s="1172"/>
      <c r="AZ582" s="1172"/>
      <c r="BA582" s="1283" t="s">
        <v>71</v>
      </c>
      <c r="BB582" s="1237">
        <v>2011</v>
      </c>
      <c r="BC582" s="1236" t="s">
        <v>308</v>
      </c>
      <c r="BD582" s="1236">
        <v>1</v>
      </c>
      <c r="BE582" s="1238">
        <v>8738790178.4799957</v>
      </c>
      <c r="BF582" s="1239">
        <v>0.448887204097208</v>
      </c>
      <c r="BG582" s="1236"/>
      <c r="BH582" s="1304" t="s">
        <v>32</v>
      </c>
      <c r="BI582" s="1304" t="s">
        <v>294</v>
      </c>
      <c r="BJ582" s="1304" t="s">
        <v>291</v>
      </c>
      <c r="BK582" s="1304"/>
      <c r="BL582" s="1305">
        <v>72644000</v>
      </c>
      <c r="BM582" s="1239">
        <v>5.724542221414582E-3</v>
      </c>
      <c r="BN582" s="1236">
        <v>2013</v>
      </c>
      <c r="BO582" s="174"/>
      <c r="BP582" s="174"/>
      <c r="BQ582" s="174"/>
      <c r="BR582" s="174"/>
      <c r="BS582" s="174"/>
      <c r="BT582" s="174"/>
      <c r="BU582" s="174"/>
      <c r="BV582" s="174"/>
      <c r="BW582" s="174"/>
      <c r="BX582" s="174"/>
    </row>
    <row r="583" spans="1:76" s="152" customFormat="1" ht="15" customHeight="1" x14ac:dyDescent="0.25">
      <c r="A583" s="152">
        <f t="shared" si="16"/>
        <v>2018</v>
      </c>
      <c r="B583" s="152" t="str">
        <f t="shared" si="17"/>
        <v>2018-19</v>
      </c>
      <c r="C583" s="173">
        <v>43344</v>
      </c>
      <c r="D583" s="154">
        <v>0.72029499999999991</v>
      </c>
      <c r="E583" s="155">
        <v>502.42680118219175</v>
      </c>
      <c r="F583" s="155">
        <v>697.52920842459241</v>
      </c>
      <c r="G583" s="155">
        <v>30.018704281582732</v>
      </c>
      <c r="H583" s="155">
        <v>41.67556942861291</v>
      </c>
      <c r="I583" s="156">
        <v>1198.473</v>
      </c>
      <c r="J583" s="156">
        <v>1669.31</v>
      </c>
      <c r="K583" s="157">
        <v>68.34</v>
      </c>
      <c r="L583" s="158">
        <v>94.877793126427378</v>
      </c>
      <c r="M583" s="159">
        <v>12527.25</v>
      </c>
      <c r="N583" s="159">
        <v>17391.832513067566</v>
      </c>
      <c r="O583" s="175">
        <v>6020.0249999999996</v>
      </c>
      <c r="P583" s="175">
        <v>8357.7214891121002</v>
      </c>
      <c r="Q583" s="175">
        <v>2028.2249999999999</v>
      </c>
      <c r="R583" s="175">
        <v>2815.8254604016411</v>
      </c>
      <c r="S583" s="175">
        <v>2433.1999999999998</v>
      </c>
      <c r="T583" s="175">
        <v>3378.0603780395536</v>
      </c>
      <c r="U583" s="161">
        <v>1546.5444615587312</v>
      </c>
      <c r="V583" s="161">
        <v>2147.098704778919</v>
      </c>
      <c r="W583" s="161">
        <v>2853.494897206414</v>
      </c>
      <c r="X583" s="161">
        <v>3961.5642163369371</v>
      </c>
      <c r="Y583" s="162">
        <v>18162.044134891719</v>
      </c>
      <c r="Z583" s="162">
        <v>25214.730263144575</v>
      </c>
      <c r="AA583" s="162">
        <v>805</v>
      </c>
      <c r="AB583" s="162">
        <v>1117.5976509624529</v>
      </c>
      <c r="AC583" s="163">
        <v>14.263</v>
      </c>
      <c r="AD583" s="163">
        <v>20.03</v>
      </c>
      <c r="AE583" s="163">
        <v>62525</v>
      </c>
      <c r="AF583" s="163">
        <v>86804.71195829488</v>
      </c>
      <c r="AG583" s="163">
        <v>803.97500000000002</v>
      </c>
      <c r="AH583" s="163">
        <v>1116.174622897563</v>
      </c>
      <c r="AI583" s="163">
        <v>1012.95</v>
      </c>
      <c r="AJ583" s="163">
        <v>1406.2988081272258</v>
      </c>
      <c r="AK583" s="164">
        <v>78.86</v>
      </c>
      <c r="AL583" s="164">
        <v>109.48292019242118</v>
      </c>
      <c r="AM583" s="164">
        <v>80.540000000000006</v>
      </c>
      <c r="AN583" s="164">
        <v>111.8152978987776</v>
      </c>
      <c r="AO583" s="164">
        <v>9.7089609680255844</v>
      </c>
      <c r="AP583" s="164">
        <v>13.479145305778307</v>
      </c>
      <c r="AS583" s="167"/>
      <c r="AT583" s="1170"/>
      <c r="AU583" s="1171"/>
      <c r="AV583" s="1171"/>
      <c r="AW583" s="1172"/>
      <c r="AX583" s="1172"/>
      <c r="AY583" s="1172"/>
      <c r="AZ583" s="1172"/>
      <c r="BA583" s="1283" t="s">
        <v>71</v>
      </c>
      <c r="BB583" s="1237">
        <v>2011</v>
      </c>
      <c r="BC583" s="1236" t="s">
        <v>281</v>
      </c>
      <c r="BD583" s="1236">
        <v>2</v>
      </c>
      <c r="BE583" s="1238">
        <v>3423677055.5500002</v>
      </c>
      <c r="BF583" s="1239">
        <v>0.17586471236970655</v>
      </c>
      <c r="BG583" s="1236"/>
      <c r="BH583" s="1304" t="s">
        <v>32</v>
      </c>
      <c r="BI583" s="1304" t="s">
        <v>294</v>
      </c>
      <c r="BJ583" s="1304" t="s">
        <v>292</v>
      </c>
      <c r="BK583" s="1304"/>
      <c r="BL583" s="1305">
        <v>12689923000</v>
      </c>
      <c r="BM583" s="1239">
        <v>1</v>
      </c>
      <c r="BN583" s="1236">
        <v>2013</v>
      </c>
      <c r="BO583" s="174"/>
      <c r="BP583" s="174"/>
      <c r="BQ583" s="174"/>
      <c r="BR583" s="174"/>
      <c r="BS583" s="174"/>
      <c r="BT583" s="174"/>
      <c r="BU583" s="174"/>
      <c r="BV583" s="174"/>
      <c r="BW583" s="174"/>
      <c r="BX583" s="174"/>
    </row>
    <row r="584" spans="1:76" s="152" customFormat="1" ht="15" customHeight="1" x14ac:dyDescent="0.25">
      <c r="A584" s="152">
        <f t="shared" si="16"/>
        <v>2018</v>
      </c>
      <c r="B584" s="152" t="str">
        <f t="shared" si="17"/>
        <v>2018-19</v>
      </c>
      <c r="C584" s="173">
        <v>43374</v>
      </c>
      <c r="D584" s="169">
        <v>0.71028181818181835</v>
      </c>
      <c r="E584" s="170">
        <v>519.13513767325844</v>
      </c>
      <c r="F584" s="169">
        <v>730.88614178825844</v>
      </c>
      <c r="G584" s="170">
        <v>29.687628410000556</v>
      </c>
      <c r="H584" s="170">
        <v>41.796970793923798</v>
      </c>
      <c r="I584" s="169">
        <v>1215.393</v>
      </c>
      <c r="J584" s="169">
        <v>1714.3</v>
      </c>
      <c r="K584" s="169">
        <v>72.56</v>
      </c>
      <c r="L584" s="170">
        <v>102.15663437048033</v>
      </c>
      <c r="M584" s="170">
        <v>12327.17</v>
      </c>
      <c r="N584" s="170">
        <v>17355.322471234205</v>
      </c>
      <c r="O584" s="170">
        <v>6215.89</v>
      </c>
      <c r="P584" s="170">
        <v>8751.301020081657</v>
      </c>
      <c r="Q584" s="170">
        <v>1985.15</v>
      </c>
      <c r="R584" s="170">
        <v>2794.8765534806921</v>
      </c>
      <c r="S584" s="170">
        <v>2671.87</v>
      </c>
      <c r="T584" s="170">
        <v>3761.7040611281045</v>
      </c>
      <c r="U584" s="170">
        <v>1565.1772108010805</v>
      </c>
      <c r="V584" s="170">
        <v>2203.6002763067004</v>
      </c>
      <c r="W584" s="170">
        <v>2801.7450575585735</v>
      </c>
      <c r="X584" s="170">
        <v>3944.5540992876454</v>
      </c>
      <c r="Y584" s="170">
        <v>17866.296960037427</v>
      </c>
      <c r="Z584" s="170">
        <v>25153.814306793931</v>
      </c>
      <c r="AA584" s="170">
        <v>763.89</v>
      </c>
      <c r="AB584" s="170">
        <v>1075.4745235565906</v>
      </c>
      <c r="AC584" s="170">
        <v>14.584</v>
      </c>
      <c r="AD584" s="170">
        <v>20.74</v>
      </c>
      <c r="AE584" s="170">
        <v>59109</v>
      </c>
      <c r="AF584" s="170">
        <v>83219.080774596485</v>
      </c>
      <c r="AG584" s="170">
        <v>829.87</v>
      </c>
      <c r="AH584" s="170">
        <v>1168.367229396782</v>
      </c>
      <c r="AI584" s="170">
        <v>1083.739</v>
      </c>
      <c r="AJ584" s="170">
        <v>1525.787331532938</v>
      </c>
      <c r="AK584" s="170">
        <v>80.47</v>
      </c>
      <c r="AL584" s="170">
        <v>113.29305909306163</v>
      </c>
      <c r="AM584" s="170">
        <v>82.44</v>
      </c>
      <c r="AN584" s="170">
        <v>116.06660608465266</v>
      </c>
      <c r="AO584" s="170">
        <v>9.7081023190624691</v>
      </c>
      <c r="AP584" s="170">
        <v>13.667958366037443</v>
      </c>
      <c r="AS584" s="167"/>
      <c r="AT584" s="1170"/>
      <c r="AU584" s="1171"/>
      <c r="AV584" s="1171"/>
      <c r="AW584" s="1172"/>
      <c r="AX584" s="1172"/>
      <c r="AY584" s="1172"/>
      <c r="AZ584" s="1172"/>
      <c r="BA584" s="1283" t="s">
        <v>71</v>
      </c>
      <c r="BB584" s="1237">
        <v>2011</v>
      </c>
      <c r="BC584" s="1236" t="s">
        <v>306</v>
      </c>
      <c r="BD584" s="1236">
        <v>3</v>
      </c>
      <c r="BE584" s="1238">
        <v>1783865205.7499998</v>
      </c>
      <c r="BF584" s="1239">
        <v>9.163216513280438E-2</v>
      </c>
      <c r="BG584" s="1236"/>
      <c r="BH584" s="1306" t="s">
        <v>32</v>
      </c>
      <c r="BI584" s="1306" t="s">
        <v>293</v>
      </c>
      <c r="BJ584" s="1306" t="s">
        <v>281</v>
      </c>
      <c r="BK584" s="1306">
        <v>1</v>
      </c>
      <c r="BL584" s="1307">
        <v>6895489000</v>
      </c>
      <c r="BM584" s="1239">
        <v>0.53200153872171907</v>
      </c>
      <c r="BN584" s="1236">
        <v>2014</v>
      </c>
      <c r="BO584" s="174"/>
      <c r="BP584" s="174"/>
      <c r="BQ584" s="174"/>
      <c r="BR584" s="174"/>
      <c r="BS584" s="174"/>
      <c r="BT584" s="174"/>
      <c r="BU584" s="174"/>
      <c r="BV584" s="174"/>
      <c r="BW584" s="174"/>
      <c r="BX584" s="174"/>
    </row>
    <row r="585" spans="1:76" s="152" customFormat="1" ht="15" customHeight="1" x14ac:dyDescent="0.25">
      <c r="A585" s="152">
        <f t="shared" si="16"/>
        <v>2018</v>
      </c>
      <c r="B585" s="152" t="str">
        <f t="shared" si="17"/>
        <v>2018-19</v>
      </c>
      <c r="C585" s="173">
        <v>43405</v>
      </c>
      <c r="D585" s="154">
        <v>0.72462727272727268</v>
      </c>
      <c r="E585" s="155">
        <v>484.95982106538452</v>
      </c>
      <c r="F585" s="155">
        <v>669.2541659937059</v>
      </c>
      <c r="G585" s="155">
        <v>29.649006175960373</v>
      </c>
      <c r="H585" s="155">
        <v>40.9162162284766</v>
      </c>
      <c r="I585" s="156">
        <v>1220.9449999999999</v>
      </c>
      <c r="J585" s="156">
        <v>1691.04</v>
      </c>
      <c r="K585" s="157">
        <v>72.290000000000006</v>
      </c>
      <c r="L585" s="158">
        <v>99.761632939818611</v>
      </c>
      <c r="M585" s="159">
        <v>11253.40909090909</v>
      </c>
      <c r="N585" s="159">
        <v>15529.927611687513</v>
      </c>
      <c r="O585" s="175">
        <v>6193</v>
      </c>
      <c r="P585" s="175">
        <v>8546.4627582832563</v>
      </c>
      <c r="Q585" s="175">
        <v>1940.159090909091</v>
      </c>
      <c r="R585" s="175">
        <v>2677.4580034876867</v>
      </c>
      <c r="S585" s="175">
        <v>2592.8636363636365</v>
      </c>
      <c r="T585" s="175">
        <v>3578.2032141916225</v>
      </c>
      <c r="U585" s="161">
        <v>1566.5672644155843</v>
      </c>
      <c r="V585" s="161">
        <v>2161.8938775510205</v>
      </c>
      <c r="W585" s="161">
        <v>2834.6331346662328</v>
      </c>
      <c r="X585" s="161">
        <v>3911.8499142290789</v>
      </c>
      <c r="Y585" s="162">
        <v>17288.705409430713</v>
      </c>
      <c r="Z585" s="162">
        <v>23858.756163512007</v>
      </c>
      <c r="AA585" s="162">
        <v>751.82</v>
      </c>
      <c r="AB585" s="162">
        <v>1037.5265026534018</v>
      </c>
      <c r="AC585" s="163">
        <v>14.367000000000001</v>
      </c>
      <c r="AD585" s="163">
        <v>20.059999999999999</v>
      </c>
      <c r="AE585" s="163">
        <v>53261.36363636364</v>
      </c>
      <c r="AF585" s="163">
        <v>73501.737570412384</v>
      </c>
      <c r="AG585" s="163">
        <v>846.13599999999997</v>
      </c>
      <c r="AH585" s="163">
        <v>1167.6844521948587</v>
      </c>
      <c r="AI585" s="163">
        <v>1141.2049999999999</v>
      </c>
      <c r="AJ585" s="163">
        <v>1574.8855210829392</v>
      </c>
      <c r="AK585" s="164">
        <v>65.17</v>
      </c>
      <c r="AL585" s="164">
        <v>89.935891806445952</v>
      </c>
      <c r="AM585" s="164">
        <v>67.38</v>
      </c>
      <c r="AN585" s="164">
        <v>92.985735613293357</v>
      </c>
      <c r="AO585" s="164">
        <v>9.6943200109748595</v>
      </c>
      <c r="AP585" s="164">
        <v>13.378353776954103</v>
      </c>
      <c r="AS585" s="167"/>
      <c r="AT585" s="1170"/>
      <c r="AU585" s="1171"/>
      <c r="AV585" s="1171"/>
      <c r="AW585" s="1172"/>
      <c r="AX585" s="1172"/>
      <c r="AY585" s="1172"/>
      <c r="AZ585" s="1172"/>
      <c r="BA585" s="1283" t="s">
        <v>71</v>
      </c>
      <c r="BB585" s="1237">
        <v>2011</v>
      </c>
      <c r="BC585" s="1236" t="s">
        <v>320</v>
      </c>
      <c r="BD585" s="1236">
        <v>4</v>
      </c>
      <c r="BE585" s="1238">
        <v>1477253020.3399997</v>
      </c>
      <c r="BF585" s="1239">
        <v>7.5882354937136146E-2</v>
      </c>
      <c r="BG585" s="1236"/>
      <c r="BH585" s="1306" t="s">
        <v>32</v>
      </c>
      <c r="BI585" s="1306" t="s">
        <v>293</v>
      </c>
      <c r="BJ585" s="1306" t="s">
        <v>306</v>
      </c>
      <c r="BK585" s="1306">
        <v>2</v>
      </c>
      <c r="BL585" s="1307">
        <v>3106885000</v>
      </c>
      <c r="BM585" s="1239">
        <v>0.23970273908513642</v>
      </c>
      <c r="BN585" s="1236">
        <v>2014</v>
      </c>
      <c r="BO585" s="174"/>
      <c r="BP585" s="174"/>
      <c r="BQ585" s="174"/>
      <c r="BR585" s="174"/>
      <c r="BS585" s="174"/>
      <c r="BT585" s="174"/>
      <c r="BU585" s="174"/>
      <c r="BV585" s="174"/>
      <c r="BW585" s="174"/>
      <c r="BX585" s="174"/>
    </row>
    <row r="586" spans="1:76" s="152" customFormat="1" ht="15" customHeight="1" x14ac:dyDescent="0.25">
      <c r="A586" s="152">
        <f t="shared" si="16"/>
        <v>2018</v>
      </c>
      <c r="B586" s="152" t="str">
        <f t="shared" si="17"/>
        <v>2018-19</v>
      </c>
      <c r="C586" s="173">
        <v>43435</v>
      </c>
      <c r="D586" s="169">
        <v>0.71862631578947367</v>
      </c>
      <c r="E586" s="170">
        <v>425.68467675179511</v>
      </c>
      <c r="F586" s="170">
        <v>592.35887609284578</v>
      </c>
      <c r="G586" s="170">
        <v>31.233641924692453</v>
      </c>
      <c r="H586" s="170">
        <v>43.462981021477866</v>
      </c>
      <c r="I586" s="169">
        <v>1247.924</v>
      </c>
      <c r="J586" s="169">
        <v>1748.32</v>
      </c>
      <c r="K586" s="169">
        <v>69.319999999999993</v>
      </c>
      <c r="L586" s="170">
        <v>96.461816770300047</v>
      </c>
      <c r="M586" s="170">
        <v>10836.84211</v>
      </c>
      <c r="N586" s="170">
        <v>15079.940536403517</v>
      </c>
      <c r="O586" s="170">
        <v>6094.2110000000002</v>
      </c>
      <c r="P586" s="170">
        <v>8480.361581672636</v>
      </c>
      <c r="Q586" s="170">
        <v>1965.473684</v>
      </c>
      <c r="R586" s="170">
        <v>2735.0427347497784</v>
      </c>
      <c r="S586" s="170">
        <v>2625.605</v>
      </c>
      <c r="T586" s="170">
        <v>3653.6443799939943</v>
      </c>
      <c r="U586" s="170">
        <v>1525.3516613482402</v>
      </c>
      <c r="V586" s="170">
        <v>2122.5936593659367</v>
      </c>
      <c r="W586" s="170">
        <v>2819.8489184578189</v>
      </c>
      <c r="X586" s="170">
        <v>3923.9433019649009</v>
      </c>
      <c r="Y586" s="170">
        <v>15695.747885408853</v>
      </c>
      <c r="Z586" s="170">
        <v>21841.320781810926</v>
      </c>
      <c r="AA586" s="170">
        <v>725</v>
      </c>
      <c r="AB586" s="170">
        <v>1008.8692607972814</v>
      </c>
      <c r="AC586" s="170">
        <v>14.695</v>
      </c>
      <c r="AD586" s="170">
        <v>20.7</v>
      </c>
      <c r="AE586" s="170">
        <v>55289.47</v>
      </c>
      <c r="AF586" s="170">
        <v>76937.719625894431</v>
      </c>
      <c r="AG586" s="170">
        <v>790.529</v>
      </c>
      <c r="AH586" s="170">
        <v>1100.0557349914677</v>
      </c>
      <c r="AI586" s="170">
        <v>1247.1179999999999</v>
      </c>
      <c r="AJ586" s="170">
        <v>1735.4193307406674</v>
      </c>
      <c r="AK586" s="170">
        <v>56.46</v>
      </c>
      <c r="AL586" s="170">
        <v>78.566563399468293</v>
      </c>
      <c r="AM586" s="170">
        <v>58.9</v>
      </c>
      <c r="AN586" s="170">
        <v>81.96193029097914</v>
      </c>
      <c r="AO586" s="170">
        <v>9.7972417539311145</v>
      </c>
      <c r="AP586" s="170">
        <v>13.633291098125165</v>
      </c>
      <c r="AS586" s="167"/>
      <c r="AT586" s="1170"/>
      <c r="AU586" s="1171"/>
      <c r="AV586" s="1171"/>
      <c r="AW586" s="1172"/>
      <c r="AX586" s="1172"/>
      <c r="AY586" s="1172"/>
      <c r="AZ586" s="1172"/>
      <c r="BA586" s="1283" t="s">
        <v>71</v>
      </c>
      <c r="BB586" s="1237">
        <v>2011</v>
      </c>
      <c r="BC586" s="1236" t="s">
        <v>323</v>
      </c>
      <c r="BD586" s="1236">
        <v>5</v>
      </c>
      <c r="BE586" s="1238">
        <v>1049571176.9000001</v>
      </c>
      <c r="BF586" s="1239">
        <v>5.3913535109227889E-2</v>
      </c>
      <c r="BG586" s="1236"/>
      <c r="BH586" s="1306" t="s">
        <v>32</v>
      </c>
      <c r="BI586" s="1306" t="s">
        <v>293</v>
      </c>
      <c r="BJ586" s="1306" t="s">
        <v>287</v>
      </c>
      <c r="BK586" s="1306">
        <v>3</v>
      </c>
      <c r="BL586" s="1307">
        <v>898660000</v>
      </c>
      <c r="BM586" s="1239">
        <v>6.9333516852490104E-2</v>
      </c>
      <c r="BN586" s="1236">
        <v>2014</v>
      </c>
      <c r="BO586" s="174"/>
      <c r="BP586" s="174"/>
      <c r="BQ586" s="174"/>
      <c r="BR586" s="174"/>
      <c r="BS586" s="174"/>
      <c r="BT586" s="174"/>
      <c r="BU586" s="174"/>
      <c r="BV586" s="174"/>
      <c r="BW586" s="174"/>
      <c r="BX586" s="174"/>
    </row>
    <row r="587" spans="1:76" s="152" customFormat="1" ht="15" customHeight="1" x14ac:dyDescent="0.25">
      <c r="A587" s="152">
        <f t="shared" si="16"/>
        <v>2019</v>
      </c>
      <c r="B587" s="152" t="str">
        <f t="shared" si="17"/>
        <v>2018-19</v>
      </c>
      <c r="C587" s="173">
        <v>43466</v>
      </c>
      <c r="D587" s="154">
        <v>0.71440952380952383</v>
      </c>
      <c r="E587" s="155">
        <v>402.53049583237578</v>
      </c>
      <c r="F587" s="155">
        <v>563.4450303600637</v>
      </c>
      <c r="G587" s="155">
        <v>31.040543487550377</v>
      </c>
      <c r="H587" s="155">
        <v>43.449229682758848</v>
      </c>
      <c r="I587" s="156">
        <v>1291.7449999999999</v>
      </c>
      <c r="J587" s="156">
        <v>1811.23</v>
      </c>
      <c r="K587" s="157">
        <v>76.11</v>
      </c>
      <c r="L587" s="158">
        <v>106.53553384080092</v>
      </c>
      <c r="M587" s="159">
        <v>11454.55</v>
      </c>
      <c r="N587" s="159">
        <v>16033.590844253662</v>
      </c>
      <c r="O587" s="175">
        <v>5932.02</v>
      </c>
      <c r="P587" s="175">
        <v>8303.3887459507023</v>
      </c>
      <c r="Q587" s="175">
        <v>1994.16</v>
      </c>
      <c r="R587" s="175">
        <v>2791.3401677042648</v>
      </c>
      <c r="S587" s="175">
        <v>2559.1799999999998</v>
      </c>
      <c r="T587" s="175">
        <v>3582.2310799461425</v>
      </c>
      <c r="U587" s="161">
        <v>1556.402948346529</v>
      </c>
      <c r="V587" s="161">
        <v>2178.5865060240963</v>
      </c>
      <c r="W587" s="161">
        <v>2764.1401113354364</v>
      </c>
      <c r="X587" s="161">
        <v>3869.1255074483197</v>
      </c>
      <c r="Y587" s="162">
        <v>15390.061363062987</v>
      </c>
      <c r="Z587" s="162">
        <v>21542.351900625406</v>
      </c>
      <c r="AA587" s="162">
        <v>705.68</v>
      </c>
      <c r="AB587" s="162">
        <v>987.78078466399143</v>
      </c>
      <c r="AC587" s="163">
        <v>15.59</v>
      </c>
      <c r="AD587" s="163">
        <v>22.05</v>
      </c>
      <c r="AE587" s="163">
        <v>39340.910000000003</v>
      </c>
      <c r="AF587" s="163">
        <v>55067.72892698599</v>
      </c>
      <c r="AG587" s="163">
        <v>806.77300000000002</v>
      </c>
      <c r="AH587" s="163">
        <v>1129.2864570141176</v>
      </c>
      <c r="AI587" s="163">
        <v>1331.318</v>
      </c>
      <c r="AJ587" s="163">
        <v>1863.5221894871554</v>
      </c>
      <c r="AK587" s="164">
        <v>59.27</v>
      </c>
      <c r="AL587" s="164">
        <v>82.963619639262532</v>
      </c>
      <c r="AM587" s="164">
        <v>60.95</v>
      </c>
      <c r="AN587" s="164">
        <v>85.315212029914818</v>
      </c>
      <c r="AO587" s="164">
        <v>10.116269882054182</v>
      </c>
      <c r="AP587" s="164">
        <v>14.160323378823525</v>
      </c>
      <c r="AS587" s="167"/>
      <c r="AT587" s="1170"/>
      <c r="AU587" s="1171"/>
      <c r="AV587" s="1171"/>
      <c r="AW587" s="1172"/>
      <c r="AX587" s="1172"/>
      <c r="AY587" s="1172"/>
      <c r="AZ587" s="1172"/>
      <c r="BA587" s="1283" t="s">
        <v>71</v>
      </c>
      <c r="BB587" s="1237">
        <v>2011</v>
      </c>
      <c r="BC587" s="1236" t="s">
        <v>285</v>
      </c>
      <c r="BD587" s="1236">
        <v>6</v>
      </c>
      <c r="BE587" s="1238">
        <v>686277380.5</v>
      </c>
      <c r="BF587" s="1239">
        <v>3.525214912773935E-2</v>
      </c>
      <c r="BG587" s="1236"/>
      <c r="BH587" s="1306" t="s">
        <v>32</v>
      </c>
      <c r="BI587" s="1306" t="s">
        <v>293</v>
      </c>
      <c r="BJ587" s="1306" t="s">
        <v>323</v>
      </c>
      <c r="BK587" s="1306">
        <v>4</v>
      </c>
      <c r="BL587" s="1307">
        <v>896319000</v>
      </c>
      <c r="BM587" s="1239">
        <v>6.9152903758604001E-2</v>
      </c>
      <c r="BN587" s="1236">
        <v>2014</v>
      </c>
      <c r="BO587" s="174"/>
      <c r="BP587" s="174"/>
      <c r="BQ587" s="174"/>
      <c r="BR587" s="174"/>
      <c r="BS587" s="174"/>
      <c r="BT587" s="174"/>
      <c r="BU587" s="174"/>
      <c r="BV587" s="174"/>
      <c r="BW587" s="174"/>
      <c r="BX587" s="174"/>
    </row>
    <row r="588" spans="1:76" s="152" customFormat="1" ht="15" customHeight="1" x14ac:dyDescent="0.25">
      <c r="A588" s="152">
        <f t="shared" ref="A588:A651" si="18">YEAR(C588)</f>
        <v>2019</v>
      </c>
      <c r="B588" s="152" t="str">
        <f t="shared" ref="B588:B628" si="19">IF(MONTH(C588) &gt;= 7, A588 &amp; "-" &amp; RIGHT(A588+1, 2), A588-1 &amp; "-" &amp; RIGHT(A588, 2))</f>
        <v>2018-19</v>
      </c>
      <c r="C588" s="173">
        <v>43497</v>
      </c>
      <c r="D588" s="169">
        <v>0.71440000000000003</v>
      </c>
      <c r="E588" s="170">
        <v>384.81922537734408</v>
      </c>
      <c r="F588" s="169">
        <v>538.66072981151183</v>
      </c>
      <c r="G588" s="170">
        <v>31.754750961349522</v>
      </c>
      <c r="H588" s="170">
        <v>44.449539419582194</v>
      </c>
      <c r="I588" s="169">
        <v>1320.0650000000001</v>
      </c>
      <c r="J588" s="169">
        <v>1849.13</v>
      </c>
      <c r="K588" s="169">
        <v>87.12</v>
      </c>
      <c r="L588" s="170">
        <v>121.94848824188129</v>
      </c>
      <c r="M588" s="170">
        <v>12649.75</v>
      </c>
      <c r="N588" s="170">
        <v>17706.816909294514</v>
      </c>
      <c r="O588" s="170">
        <v>6278.2</v>
      </c>
      <c r="P588" s="170">
        <v>8788.0739081746906</v>
      </c>
      <c r="Q588" s="170">
        <v>2062.08</v>
      </c>
      <c r="R588" s="170">
        <v>2886.4501679731243</v>
      </c>
      <c r="S588" s="170">
        <v>2702.85</v>
      </c>
      <c r="T588" s="170">
        <v>3783.3846584546468</v>
      </c>
      <c r="U588" s="170">
        <v>1537.4947462686569</v>
      </c>
      <c r="V588" s="170">
        <v>2152.1483010479519</v>
      </c>
      <c r="W588" s="170">
        <v>2712.9702274436231</v>
      </c>
      <c r="X588" s="170">
        <v>3797.5507103074233</v>
      </c>
      <c r="Y588" s="170">
        <v>15232.435257957062</v>
      </c>
      <c r="Z588" s="170">
        <v>21321.997841485249</v>
      </c>
      <c r="AA588" s="170">
        <v>690.33</v>
      </c>
      <c r="AB588" s="170">
        <v>966.30739081746924</v>
      </c>
      <c r="AC588" s="170">
        <v>15.805999999999999</v>
      </c>
      <c r="AD588" s="170">
        <v>22.32</v>
      </c>
      <c r="AE588" s="170">
        <v>32400</v>
      </c>
      <c r="AF588" s="170">
        <v>45352.743561030235</v>
      </c>
      <c r="AG588" s="170">
        <v>818.15</v>
      </c>
      <c r="AH588" s="170">
        <v>1145.2267637178052</v>
      </c>
      <c r="AI588" s="170">
        <v>1443.15</v>
      </c>
      <c r="AJ588" s="170">
        <v>2020.0867861142217</v>
      </c>
      <c r="AK588" s="170">
        <v>64.13</v>
      </c>
      <c r="AL588" s="170">
        <v>89.767637178051501</v>
      </c>
      <c r="AM588" s="170">
        <v>65.84</v>
      </c>
      <c r="AN588" s="170">
        <v>92.161254199328113</v>
      </c>
      <c r="AO588" s="170">
        <v>10.186909482547609</v>
      </c>
      <c r="AP588" s="170">
        <v>14.25939177288299</v>
      </c>
      <c r="AS588" s="167"/>
      <c r="AT588" s="1170"/>
      <c r="AU588" s="1171"/>
      <c r="AV588" s="1171"/>
      <c r="AW588" s="1172"/>
      <c r="AX588" s="1172"/>
      <c r="AY588" s="1172"/>
      <c r="AZ588" s="1172"/>
      <c r="BA588" s="1283" t="s">
        <v>71</v>
      </c>
      <c r="BB588" s="1237">
        <v>2011</v>
      </c>
      <c r="BC588" s="1236" t="s">
        <v>289</v>
      </c>
      <c r="BD588" s="1236">
        <v>7</v>
      </c>
      <c r="BE588" s="1238">
        <v>642481661.36000001</v>
      </c>
      <c r="BF588" s="1239">
        <v>3.3002485557077819E-2</v>
      </c>
      <c r="BG588" s="1236"/>
      <c r="BH588" s="1306" t="s">
        <v>32</v>
      </c>
      <c r="BI588" s="1306" t="s">
        <v>293</v>
      </c>
      <c r="BJ588" s="1306" t="s">
        <v>314</v>
      </c>
      <c r="BK588" s="1306">
        <v>5</v>
      </c>
      <c r="BL588" s="1307">
        <v>582834000</v>
      </c>
      <c r="BM588" s="1239">
        <v>4.4966873969247784E-2</v>
      </c>
      <c r="BN588" s="1236">
        <v>2014</v>
      </c>
      <c r="BO588" s="174"/>
      <c r="BP588" s="174"/>
      <c r="BQ588" s="174"/>
      <c r="BR588" s="174"/>
      <c r="BS588" s="174"/>
      <c r="BT588" s="174"/>
      <c r="BU588" s="174"/>
      <c r="BV588" s="174"/>
      <c r="BW588" s="174"/>
      <c r="BX588" s="174"/>
    </row>
    <row r="589" spans="1:76" s="152" customFormat="1" ht="15" customHeight="1" x14ac:dyDescent="0.25">
      <c r="A589" s="152">
        <f t="shared" si="18"/>
        <v>2019</v>
      </c>
      <c r="B589" s="152" t="str">
        <f t="shared" si="19"/>
        <v>2018-19</v>
      </c>
      <c r="C589" s="173">
        <v>43525</v>
      </c>
      <c r="D589" s="154">
        <v>0.70808095238095226</v>
      </c>
      <c r="E589" s="155">
        <v>378.21344107071434</v>
      </c>
      <c r="F589" s="155">
        <v>534.13870236016885</v>
      </c>
      <c r="G589" s="155">
        <v>25.358718327812007</v>
      </c>
      <c r="H589" s="155">
        <v>35.813303892079347</v>
      </c>
      <c r="I589" s="156">
        <v>1300.8979999999999</v>
      </c>
      <c r="J589" s="156">
        <v>1841.84</v>
      </c>
      <c r="K589" s="157">
        <v>85.75</v>
      </c>
      <c r="L589" s="158">
        <v>121.10197246750104</v>
      </c>
      <c r="M589" s="159">
        <v>13060.71</v>
      </c>
      <c r="N589" s="159">
        <v>18445.221490682397</v>
      </c>
      <c r="O589" s="175">
        <v>6451.02</v>
      </c>
      <c r="P589" s="175">
        <v>9110.5684714553772</v>
      </c>
      <c r="Q589" s="175">
        <v>2054.5700000000002</v>
      </c>
      <c r="R589" s="175">
        <v>2901.6032603213253</v>
      </c>
      <c r="S589" s="175">
        <v>2851.4</v>
      </c>
      <c r="T589" s="175">
        <v>4026.9406914732654</v>
      </c>
      <c r="U589" s="161">
        <v>1563.4511528568667</v>
      </c>
      <c r="V589" s="161">
        <v>2208.0118771726534</v>
      </c>
      <c r="W589" s="161">
        <v>2708.634164208916</v>
      </c>
      <c r="X589" s="161">
        <v>3825.3170842980858</v>
      </c>
      <c r="Y589" s="162">
        <v>14258.202168217851</v>
      </c>
      <c r="Z589" s="162">
        <v>20136.401240951393</v>
      </c>
      <c r="AA589" s="162">
        <v>689.29</v>
      </c>
      <c r="AB589" s="162">
        <v>973.46214113263898</v>
      </c>
      <c r="AC589" s="163">
        <v>15.321</v>
      </c>
      <c r="AD589" s="163">
        <v>21.8</v>
      </c>
      <c r="AE589" s="163">
        <v>31333.33</v>
      </c>
      <c r="AF589" s="163">
        <v>44251.056174637022</v>
      </c>
      <c r="AG589" s="163">
        <v>842.81</v>
      </c>
      <c r="AH589" s="163">
        <v>1190.2735092167295</v>
      </c>
      <c r="AI589" s="163">
        <v>1530.7139999999999</v>
      </c>
      <c r="AJ589" s="163">
        <v>2161.7782470392817</v>
      </c>
      <c r="AK589" s="164">
        <v>66.41</v>
      </c>
      <c r="AL589" s="164">
        <v>93.788711271915389</v>
      </c>
      <c r="AM589" s="164">
        <v>68.11</v>
      </c>
      <c r="AN589" s="164">
        <v>96.189566702757972</v>
      </c>
      <c r="AO589" s="164">
        <v>9.2861401893699629</v>
      </c>
      <c r="AP589" s="164">
        <v>13.114517708949693</v>
      </c>
      <c r="AS589" s="167"/>
      <c r="AT589" s="1170"/>
      <c r="AU589" s="1171"/>
      <c r="AV589" s="1171"/>
      <c r="AW589" s="1172"/>
      <c r="AX589" s="1172"/>
      <c r="AY589" s="1172"/>
      <c r="AZ589" s="1172"/>
      <c r="BA589" s="1283" t="s">
        <v>71</v>
      </c>
      <c r="BB589" s="1237">
        <v>2011</v>
      </c>
      <c r="BC589" s="1236" t="s">
        <v>287</v>
      </c>
      <c r="BD589" s="1236">
        <v>8</v>
      </c>
      <c r="BE589" s="1238">
        <v>535887900.3499999</v>
      </c>
      <c r="BF589" s="1239">
        <v>2.752706225742977E-2</v>
      </c>
      <c r="BG589" s="1236"/>
      <c r="BH589" s="1306" t="s">
        <v>32</v>
      </c>
      <c r="BI589" s="1306" t="s">
        <v>293</v>
      </c>
      <c r="BJ589" s="1306" t="s">
        <v>320</v>
      </c>
      <c r="BK589" s="1306">
        <v>6</v>
      </c>
      <c r="BL589" s="1307">
        <v>235990000</v>
      </c>
      <c r="BM589" s="1239">
        <v>1.8207126880042661E-2</v>
      </c>
      <c r="BN589" s="1236">
        <v>2014</v>
      </c>
      <c r="BO589" s="174"/>
      <c r="BP589" s="174"/>
      <c r="BQ589" s="174"/>
      <c r="BR589" s="174"/>
      <c r="BS589" s="174"/>
      <c r="BT589" s="174"/>
      <c r="BU589" s="174"/>
      <c r="BV589" s="174"/>
      <c r="BW589" s="174"/>
      <c r="BX589" s="174"/>
    </row>
    <row r="590" spans="1:76" s="152" customFormat="1" ht="15" customHeight="1" x14ac:dyDescent="0.25">
      <c r="A590" s="152">
        <f t="shared" si="18"/>
        <v>2019</v>
      </c>
      <c r="B590" s="152" t="str">
        <f t="shared" si="19"/>
        <v>2018-19</v>
      </c>
      <c r="C590" s="173">
        <v>43556</v>
      </c>
      <c r="D590" s="169">
        <v>0.71152631578947378</v>
      </c>
      <c r="E590" s="170">
        <v>374.50091101730692</v>
      </c>
      <c r="F590" s="169">
        <v>526.33458904718032</v>
      </c>
      <c r="G590" s="170">
        <v>29.197814744404454</v>
      </c>
      <c r="H590" s="170">
        <v>41.03546713097748</v>
      </c>
      <c r="I590" s="169">
        <v>1286.4449999999999</v>
      </c>
      <c r="J590" s="169">
        <v>1812.21</v>
      </c>
      <c r="K590" s="169">
        <v>93.54</v>
      </c>
      <c r="L590" s="170">
        <v>131.46386567053776</v>
      </c>
      <c r="M590" s="170">
        <v>12819</v>
      </c>
      <c r="N590" s="170">
        <v>18016.199423034246</v>
      </c>
      <c r="O590" s="170">
        <v>6445.1</v>
      </c>
      <c r="P590" s="170">
        <v>9058.1329980028095</v>
      </c>
      <c r="Q590" s="170">
        <v>1948.85</v>
      </c>
      <c r="R590" s="170">
        <v>2738.9710777424361</v>
      </c>
      <c r="S590" s="170">
        <v>2938.75</v>
      </c>
      <c r="T590" s="170">
        <v>4130.2056365115759</v>
      </c>
      <c r="U590" s="170">
        <v>1542.2658946051399</v>
      </c>
      <c r="V590" s="170">
        <v>2167.5458242101972</v>
      </c>
      <c r="W590" s="170">
        <v>2755.2326538888119</v>
      </c>
      <c r="X590" s="170">
        <v>3872.2849636724181</v>
      </c>
      <c r="Y590" s="170">
        <v>14071.589069160367</v>
      </c>
      <c r="Z590" s="170">
        <v>19776.624921521336</v>
      </c>
      <c r="AA590" s="170">
        <v>674.09</v>
      </c>
      <c r="AB590" s="170">
        <v>947.38590132406239</v>
      </c>
      <c r="AC590" s="170">
        <v>15.042</v>
      </c>
      <c r="AD590" s="170">
        <v>21.35</v>
      </c>
      <c r="AE590" s="170">
        <v>33977.5</v>
      </c>
      <c r="AF590" s="170">
        <v>47752.977291219759</v>
      </c>
      <c r="AG590" s="170">
        <v>886.3</v>
      </c>
      <c r="AH590" s="170">
        <v>1245.6320733782081</v>
      </c>
      <c r="AI590" s="170">
        <v>1389.3</v>
      </c>
      <c r="AJ590" s="170">
        <v>1952.5630593978842</v>
      </c>
      <c r="AK590" s="170">
        <v>71.2</v>
      </c>
      <c r="AL590" s="170">
        <v>100.06657297137362</v>
      </c>
      <c r="AM590" s="170">
        <v>72.77</v>
      </c>
      <c r="AN590" s="170">
        <v>102.27309712256822</v>
      </c>
      <c r="AO590" s="170">
        <v>7.7997008543488171</v>
      </c>
      <c r="AP590" s="170">
        <v>10.961928858098048</v>
      </c>
      <c r="AS590" s="167"/>
      <c r="AT590" s="1170"/>
      <c r="AU590" s="1171"/>
      <c r="AV590" s="1171"/>
      <c r="AW590" s="1172"/>
      <c r="AX590" s="1172"/>
      <c r="AY590" s="1172"/>
      <c r="AZ590" s="1172"/>
      <c r="BA590" s="1283" t="s">
        <v>71</v>
      </c>
      <c r="BB590" s="1237">
        <v>2011</v>
      </c>
      <c r="BC590" s="1236" t="s">
        <v>342</v>
      </c>
      <c r="BD590" s="1236">
        <v>9</v>
      </c>
      <c r="BE590" s="1238">
        <v>385569378.06000006</v>
      </c>
      <c r="BF590" s="1239">
        <v>1.9805620293878876E-2</v>
      </c>
      <c r="BG590" s="1236"/>
      <c r="BH590" s="1306" t="s">
        <v>32</v>
      </c>
      <c r="BI590" s="1306" t="s">
        <v>293</v>
      </c>
      <c r="BJ590" s="1306" t="s">
        <v>329</v>
      </c>
      <c r="BK590" s="1306">
        <v>7</v>
      </c>
      <c r="BL590" s="1307">
        <v>156801000</v>
      </c>
      <c r="BM590" s="1239">
        <v>1.2097528293222465E-2</v>
      </c>
      <c r="BN590" s="1236">
        <v>2014</v>
      </c>
      <c r="BO590" s="174"/>
      <c r="BP590" s="174"/>
      <c r="BQ590" s="174"/>
      <c r="BR590" s="174"/>
      <c r="BS590" s="174"/>
      <c r="BT590" s="174"/>
      <c r="BU590" s="174"/>
      <c r="BV590" s="174"/>
      <c r="BW590" s="174"/>
      <c r="BX590" s="174"/>
    </row>
    <row r="591" spans="1:76" s="152" customFormat="1" ht="15" customHeight="1" x14ac:dyDescent="0.25">
      <c r="A591" s="152">
        <f t="shared" si="18"/>
        <v>2019</v>
      </c>
      <c r="B591" s="152" t="str">
        <f t="shared" si="19"/>
        <v>2018-19</v>
      </c>
      <c r="C591" s="173">
        <v>43586</v>
      </c>
      <c r="D591" s="154">
        <v>0.69489130434782598</v>
      </c>
      <c r="E591" s="155">
        <v>364.88334423620483</v>
      </c>
      <c r="F591" s="155">
        <v>525.09412904318549</v>
      </c>
      <c r="G591" s="155">
        <v>28.871282705289907</v>
      </c>
      <c r="H591" s="155">
        <v>41.547911917514028</v>
      </c>
      <c r="I591" s="156">
        <v>1283.9480000000001</v>
      </c>
      <c r="J591" s="156">
        <v>1850.4</v>
      </c>
      <c r="K591" s="157">
        <v>99.06</v>
      </c>
      <c r="L591" s="158">
        <v>142.55466916940406</v>
      </c>
      <c r="M591" s="159">
        <v>11998.33</v>
      </c>
      <c r="N591" s="159">
        <v>17266.484592523073</v>
      </c>
      <c r="O591" s="175">
        <v>6028.31</v>
      </c>
      <c r="P591" s="175">
        <v>8675.1841076177079</v>
      </c>
      <c r="Q591" s="175">
        <v>1817.21</v>
      </c>
      <c r="R591" s="175">
        <v>2615.0996402315036</v>
      </c>
      <c r="S591" s="175">
        <v>2747.74</v>
      </c>
      <c r="T591" s="175">
        <v>3954.2011575160336</v>
      </c>
      <c r="U591" s="161">
        <v>1546.5470083241605</v>
      </c>
      <c r="V591" s="161">
        <v>2225.5955696202532</v>
      </c>
      <c r="W591" s="161">
        <v>2766.3041177307987</v>
      </c>
      <c r="X591" s="161">
        <v>3980.9162964372517</v>
      </c>
      <c r="Y591" s="162">
        <v>13276.344017049141</v>
      </c>
      <c r="Z591" s="162">
        <v>19105.641319701568</v>
      </c>
      <c r="AA591" s="162">
        <v>642</v>
      </c>
      <c r="AB591" s="162">
        <v>923.88549976536854</v>
      </c>
      <c r="AC591" s="163">
        <v>14.625</v>
      </c>
      <c r="AD591" s="163">
        <v>21.3</v>
      </c>
      <c r="AE591" s="163">
        <v>34547.620000000003</v>
      </c>
      <c r="AF591" s="163">
        <v>49716.581260753963</v>
      </c>
      <c r="AG591" s="163">
        <v>832.23800000000006</v>
      </c>
      <c r="AH591" s="163">
        <v>1197.6520569372753</v>
      </c>
      <c r="AI591" s="163">
        <v>1330.2380000000001</v>
      </c>
      <c r="AJ591" s="163">
        <v>1914.310902549664</v>
      </c>
      <c r="AK591" s="164">
        <v>70.53</v>
      </c>
      <c r="AL591" s="164">
        <v>101.49788831534492</v>
      </c>
      <c r="AM591" s="164">
        <v>72.239999999999995</v>
      </c>
      <c r="AN591" s="164">
        <v>103.95870483341156</v>
      </c>
      <c r="AO591" s="164">
        <v>7.9786469943395515</v>
      </c>
      <c r="AP591" s="164">
        <v>11.481863342393851</v>
      </c>
      <c r="AS591" s="167"/>
      <c r="AT591" s="1170"/>
      <c r="AU591" s="1171"/>
      <c r="AV591" s="1171"/>
      <c r="AW591" s="1172"/>
      <c r="AX591" s="1172"/>
      <c r="AY591" s="1172"/>
      <c r="AZ591" s="1172"/>
      <c r="BA591" s="1283" t="s">
        <v>71</v>
      </c>
      <c r="BB591" s="1237">
        <v>2011</v>
      </c>
      <c r="BC591" s="1236" t="s">
        <v>315</v>
      </c>
      <c r="BD591" s="1236">
        <v>10</v>
      </c>
      <c r="BE591" s="1238">
        <v>266619821.10000002</v>
      </c>
      <c r="BF591" s="1239">
        <v>1.3695514322475016E-2</v>
      </c>
      <c r="BG591" s="1236"/>
      <c r="BH591" s="1306" t="s">
        <v>32</v>
      </c>
      <c r="BI591" s="1306" t="s">
        <v>293</v>
      </c>
      <c r="BJ591" s="1306" t="s">
        <v>286</v>
      </c>
      <c r="BK591" s="1306">
        <v>8</v>
      </c>
      <c r="BL591" s="1307">
        <v>92629000</v>
      </c>
      <c r="BM591" s="1239">
        <v>7.1465229703439629E-3</v>
      </c>
      <c r="BN591" s="1236">
        <v>2014</v>
      </c>
      <c r="BO591" s="174"/>
      <c r="BP591" s="174"/>
      <c r="BQ591" s="174"/>
      <c r="BR591" s="174"/>
      <c r="BS591" s="174"/>
      <c r="BT591" s="174"/>
      <c r="BU591" s="174"/>
      <c r="BV591" s="174"/>
      <c r="BW591" s="174"/>
      <c r="BX591" s="174"/>
    </row>
    <row r="592" spans="1:76" s="152" customFormat="1" ht="15" customHeight="1" x14ac:dyDescent="0.25">
      <c r="A592" s="152">
        <f t="shared" si="18"/>
        <v>2019</v>
      </c>
      <c r="B592" s="152" t="str">
        <f t="shared" si="19"/>
        <v>2018-19</v>
      </c>
      <c r="C592" s="173">
        <v>43617</v>
      </c>
      <c r="D592" s="169">
        <v>0.69420000000000004</v>
      </c>
      <c r="E592" s="170">
        <v>350.4650803995815</v>
      </c>
      <c r="F592" s="169">
        <v>504.84742206796523</v>
      </c>
      <c r="G592" s="170">
        <v>29.109666190301123</v>
      </c>
      <c r="H592" s="170">
        <v>41.932679617258891</v>
      </c>
      <c r="I592" s="169">
        <v>1359.0429999999999</v>
      </c>
      <c r="J592" s="169">
        <v>1958.23</v>
      </c>
      <c r="K592" s="169">
        <v>108.69</v>
      </c>
      <c r="L592" s="170">
        <v>156.56871218668971</v>
      </c>
      <c r="M592" s="170">
        <v>11970</v>
      </c>
      <c r="N592" s="170">
        <v>17242.869490060501</v>
      </c>
      <c r="O592" s="170">
        <v>5868.43</v>
      </c>
      <c r="P592" s="170">
        <v>8453.5148372227031</v>
      </c>
      <c r="Q592" s="170">
        <v>1891.5</v>
      </c>
      <c r="R592" s="170">
        <v>2724.7191011235955</v>
      </c>
      <c r="S592" s="170">
        <v>2602.13</v>
      </c>
      <c r="T592" s="170">
        <v>3748.3866320944971</v>
      </c>
      <c r="U592" s="170">
        <v>1555.0144713052825</v>
      </c>
      <c r="V592" s="170">
        <v>2240.0093219609371</v>
      </c>
      <c r="W592" s="170">
        <v>2754.5816070424376</v>
      </c>
      <c r="X592" s="170">
        <v>3967.9942481164471</v>
      </c>
      <c r="Y592" s="170">
        <v>12547.814544010127</v>
      </c>
      <c r="Z592" s="170">
        <v>18075.215419202141</v>
      </c>
      <c r="AA592" s="170">
        <v>622.11</v>
      </c>
      <c r="AB592" s="170">
        <v>896.15384615384608</v>
      </c>
      <c r="AC592" s="170">
        <v>14.996</v>
      </c>
      <c r="AD592" s="170">
        <v>21.8</v>
      </c>
      <c r="AE592" s="170">
        <v>28955</v>
      </c>
      <c r="AF592" s="170">
        <v>41709.881878421205</v>
      </c>
      <c r="AG592" s="170">
        <v>808.2</v>
      </c>
      <c r="AH592" s="170">
        <v>1164.2178046672429</v>
      </c>
      <c r="AI592" s="170">
        <v>1443.85</v>
      </c>
      <c r="AJ592" s="170">
        <v>2079.8761163929703</v>
      </c>
      <c r="AK592" s="170">
        <v>63.3</v>
      </c>
      <c r="AL592" s="170">
        <v>91.184096802074322</v>
      </c>
      <c r="AM592" s="170">
        <v>64.95</v>
      </c>
      <c r="AN592" s="170">
        <v>93.560933448573891</v>
      </c>
      <c r="AO592" s="170">
        <v>7.5140744333102134</v>
      </c>
      <c r="AP592" s="170">
        <v>10.824077259161932</v>
      </c>
      <c r="AS592" s="167"/>
      <c r="AT592" s="1170"/>
      <c r="AU592" s="1171"/>
      <c r="AV592" s="1171"/>
      <c r="AW592" s="1172"/>
      <c r="AX592" s="1172"/>
      <c r="AY592" s="1172"/>
      <c r="AZ592" s="1172"/>
      <c r="BA592" s="1283" t="s">
        <v>71</v>
      </c>
      <c r="BB592" s="1237">
        <v>2011</v>
      </c>
      <c r="BC592" s="1236" t="s">
        <v>291</v>
      </c>
      <c r="BD592" s="1236"/>
      <c r="BE592" s="1238">
        <v>477682171.3900032</v>
      </c>
      <c r="BF592" s="1239">
        <v>2.4537196795316407E-2</v>
      </c>
      <c r="BG592" s="1236"/>
      <c r="BH592" s="1306" t="s">
        <v>32</v>
      </c>
      <c r="BI592" s="1306" t="s">
        <v>293</v>
      </c>
      <c r="BJ592" s="1306" t="s">
        <v>335</v>
      </c>
      <c r="BK592" s="1306">
        <v>9</v>
      </c>
      <c r="BL592" s="1307">
        <v>31509000</v>
      </c>
      <c r="BM592" s="1239">
        <v>2.4309858928906491E-3</v>
      </c>
      <c r="BN592" s="1236">
        <v>2014</v>
      </c>
      <c r="BO592" s="174"/>
      <c r="BP592" s="174"/>
      <c r="BQ592" s="174"/>
      <c r="BR592" s="174"/>
      <c r="BS592" s="174"/>
      <c r="BT592" s="174"/>
      <c r="BU592" s="174"/>
      <c r="BV592" s="174"/>
      <c r="BW592" s="174"/>
      <c r="BX592" s="174"/>
    </row>
    <row r="593" spans="1:76" s="152" customFormat="1" ht="15" customHeight="1" x14ac:dyDescent="0.25">
      <c r="A593" s="152">
        <f t="shared" si="18"/>
        <v>2019</v>
      </c>
      <c r="B593" s="152" t="str">
        <f t="shared" si="19"/>
        <v>2019-20</v>
      </c>
      <c r="C593" s="173">
        <v>43647</v>
      </c>
      <c r="D593" s="154">
        <v>0.69870434782608692</v>
      </c>
      <c r="E593" s="155">
        <v>336.1749315851286</v>
      </c>
      <c r="F593" s="155">
        <v>481.14046038368895</v>
      </c>
      <c r="G593" s="155">
        <v>29.508147950129896</v>
      </c>
      <c r="H593" s="155">
        <v>42.232666852496401</v>
      </c>
      <c r="I593" s="156">
        <v>1412.9780000000001</v>
      </c>
      <c r="J593" s="156">
        <v>2029.59</v>
      </c>
      <c r="K593" s="157">
        <v>119.96</v>
      </c>
      <c r="L593" s="157">
        <v>171.68921357543778</v>
      </c>
      <c r="M593" s="159">
        <v>13462.39</v>
      </c>
      <c r="N593" s="159">
        <v>19267.648815820587</v>
      </c>
      <c r="O593" s="175">
        <v>5939.85</v>
      </c>
      <c r="P593" s="175">
        <v>8501.2352055357132</v>
      </c>
      <c r="Q593" s="175">
        <v>1974.02</v>
      </c>
      <c r="R593" s="175">
        <v>2825.2579308284903</v>
      </c>
      <c r="S593" s="175">
        <v>2441.48</v>
      </c>
      <c r="T593" s="175">
        <v>3494.2962750930296</v>
      </c>
      <c r="U593" s="161">
        <v>1546.7384125373046</v>
      </c>
      <c r="V593" s="161">
        <v>2213.7237550471064</v>
      </c>
      <c r="W593" s="161">
        <v>2668.837072941069</v>
      </c>
      <c r="X593" s="161">
        <v>3819.6943832462939</v>
      </c>
      <c r="Y593" s="162">
        <v>11647.749286041295</v>
      </c>
      <c r="Z593" s="162">
        <v>16670.497789632351</v>
      </c>
      <c r="AA593" s="162">
        <v>613.35</v>
      </c>
      <c r="AB593" s="162">
        <v>877.83910592276391</v>
      </c>
      <c r="AC593" s="163">
        <v>15.744999999999999</v>
      </c>
      <c r="AD593" s="163">
        <v>22.67</v>
      </c>
      <c r="AE593" s="163">
        <v>28195.65</v>
      </c>
      <c r="AF593" s="163">
        <v>40354.192853853718</v>
      </c>
      <c r="AG593" s="163">
        <v>843.60900000000004</v>
      </c>
      <c r="AH593" s="163">
        <v>1207.3905116302226</v>
      </c>
      <c r="AI593" s="163">
        <v>1545.3910000000001</v>
      </c>
      <c r="AJ593" s="163">
        <v>2211.7953105748529</v>
      </c>
      <c r="AK593" s="164">
        <v>64</v>
      </c>
      <c r="AL593" s="164">
        <v>91.598113277992809</v>
      </c>
      <c r="AM593" s="164">
        <v>66.09</v>
      </c>
      <c r="AN593" s="164">
        <v>94.589364164727272</v>
      </c>
      <c r="AO593" s="164">
        <v>7.8985617080481791</v>
      </c>
      <c r="AP593" s="164">
        <v>11.304583594797085</v>
      </c>
      <c r="AS593" s="167"/>
      <c r="AT593" s="1170"/>
      <c r="AU593" s="1171"/>
      <c r="AV593" s="1171"/>
      <c r="AW593" s="1172"/>
      <c r="AX593" s="1172"/>
      <c r="AY593" s="1172"/>
      <c r="AZ593" s="1172"/>
      <c r="BA593" s="1283" t="s">
        <v>71</v>
      </c>
      <c r="BB593" s="1237">
        <v>2011</v>
      </c>
      <c r="BC593" s="1236" t="s">
        <v>292</v>
      </c>
      <c r="BD593" s="1236"/>
      <c r="BE593" s="1238">
        <v>19467674949.779995</v>
      </c>
      <c r="BF593" s="1239"/>
      <c r="BG593" s="1236"/>
      <c r="BH593" s="1306" t="s">
        <v>32</v>
      </c>
      <c r="BI593" s="1306" t="s">
        <v>293</v>
      </c>
      <c r="BJ593" s="1306" t="s">
        <v>308</v>
      </c>
      <c r="BK593" s="1306">
        <v>10</v>
      </c>
      <c r="BL593" s="1307">
        <v>26190000</v>
      </c>
      <c r="BM593" s="1239">
        <v>2.0206138098576945E-3</v>
      </c>
      <c r="BN593" s="1236">
        <v>2014</v>
      </c>
      <c r="BO593" s="174"/>
      <c r="BP593" s="174"/>
      <c r="BQ593" s="174"/>
      <c r="BR593" s="174"/>
      <c r="BS593" s="174"/>
      <c r="BT593" s="174"/>
      <c r="BU593" s="174"/>
      <c r="BV593" s="174"/>
      <c r="BW593" s="174"/>
      <c r="BX593" s="174"/>
    </row>
    <row r="594" spans="1:76" s="152" customFormat="1" ht="15" customHeight="1" x14ac:dyDescent="0.25">
      <c r="A594" s="152">
        <f t="shared" si="18"/>
        <v>2019</v>
      </c>
      <c r="B594" s="152" t="str">
        <f t="shared" si="19"/>
        <v>2019-20</v>
      </c>
      <c r="C594" s="173">
        <v>43678</v>
      </c>
      <c r="D594" s="170">
        <v>0.67717619047619049</v>
      </c>
      <c r="E594" s="170">
        <v>305.95974019672309</v>
      </c>
      <c r="F594" s="170">
        <v>451.81703742651098</v>
      </c>
      <c r="G594" s="170">
        <v>31.002841849665266</v>
      </c>
      <c r="H594" s="170">
        <v>45.782533830470413</v>
      </c>
      <c r="I594" s="170">
        <v>1498.798</v>
      </c>
      <c r="J594" s="170">
        <v>2218.41</v>
      </c>
      <c r="K594" s="170">
        <v>91.19</v>
      </c>
      <c r="L594" s="170">
        <v>134.66214743296743</v>
      </c>
      <c r="M594" s="170">
        <v>15682.14</v>
      </c>
      <c r="N594" s="170">
        <v>23158.138488260069</v>
      </c>
      <c r="O594" s="170">
        <v>5707.98</v>
      </c>
      <c r="P594" s="170">
        <v>8429.091394938363</v>
      </c>
      <c r="Q594" s="170">
        <v>2043.19</v>
      </c>
      <c r="R594" s="170">
        <v>3017.2206712749726</v>
      </c>
      <c r="S594" s="170">
        <v>2275.14</v>
      </c>
      <c r="T594" s="170">
        <v>3359.7460040644974</v>
      </c>
      <c r="U594" s="170">
        <v>1525.5612330618007</v>
      </c>
      <c r="V594" s="170">
        <v>2252.8276311502118</v>
      </c>
      <c r="W594" s="170">
        <v>2717.5125019503685</v>
      </c>
      <c r="X594" s="170">
        <v>4013.006570770619</v>
      </c>
      <c r="Y594" s="170">
        <v>10356.519339959126</v>
      </c>
      <c r="Z594" s="170">
        <v>15293.684990129996</v>
      </c>
      <c r="AA594" s="170">
        <v>597.04999999999995</v>
      </c>
      <c r="AB594" s="170">
        <v>881.67600751017869</v>
      </c>
      <c r="AC594" s="170">
        <v>17.138000000000002</v>
      </c>
      <c r="AD594" s="170">
        <v>25.47</v>
      </c>
      <c r="AE594" s="170">
        <v>30004.76</v>
      </c>
      <c r="AF594" s="170">
        <v>44308.645847250838</v>
      </c>
      <c r="AG594" s="170">
        <v>859.14300000000003</v>
      </c>
      <c r="AH594" s="170">
        <v>1268.7141279965122</v>
      </c>
      <c r="AI594" s="170">
        <v>1453.4290000000001</v>
      </c>
      <c r="AJ594" s="170">
        <v>2146.3084798919886</v>
      </c>
      <c r="AK594" s="170">
        <v>59.25</v>
      </c>
      <c r="AL594" s="170">
        <v>87.495692898380526</v>
      </c>
      <c r="AM594" s="170">
        <v>61.46</v>
      </c>
      <c r="AN594" s="170">
        <v>90.759245325476243</v>
      </c>
      <c r="AO594" s="170">
        <v>8.5188517682927927</v>
      </c>
      <c r="AP594" s="170">
        <v>12.579963513339614</v>
      </c>
      <c r="AS594" s="167"/>
      <c r="AT594" s="1170"/>
      <c r="AU594" s="1171"/>
      <c r="AV594" s="1171"/>
      <c r="AW594" s="1172"/>
      <c r="AX594" s="1172"/>
      <c r="AY594" s="1172"/>
      <c r="AZ594" s="1172"/>
      <c r="BA594" s="1283" t="s">
        <v>71</v>
      </c>
      <c r="BB594" s="1237">
        <v>2010</v>
      </c>
      <c r="BC594" s="1236" t="s">
        <v>308</v>
      </c>
      <c r="BD594" s="1236">
        <v>1</v>
      </c>
      <c r="BE594" s="1238">
        <v>7343004463.0500088</v>
      </c>
      <c r="BF594" s="1239">
        <v>0.41883654242933077</v>
      </c>
      <c r="BG594" s="1236"/>
      <c r="BH594" s="1306" t="s">
        <v>32</v>
      </c>
      <c r="BI594" s="1306" t="s">
        <v>293</v>
      </c>
      <c r="BJ594" s="1306" t="s">
        <v>291</v>
      </c>
      <c r="BK594" s="1306"/>
      <c r="BL594" s="1307">
        <v>38102000</v>
      </c>
      <c r="BM594" s="1239">
        <v>2.9396497664451269E-3</v>
      </c>
      <c r="BN594" s="1236">
        <v>2014</v>
      </c>
      <c r="BO594" s="174"/>
      <c r="BP594" s="174"/>
      <c r="BQ594" s="174"/>
      <c r="BR594" s="174"/>
      <c r="BS594" s="174"/>
      <c r="BT594" s="174"/>
      <c r="BU594" s="174"/>
      <c r="BV594" s="174"/>
      <c r="BW594" s="174"/>
      <c r="BX594" s="174"/>
    </row>
    <row r="595" spans="1:76" s="152" customFormat="1" ht="15" customHeight="1" x14ac:dyDescent="0.25">
      <c r="A595" s="152">
        <f t="shared" si="18"/>
        <v>2019</v>
      </c>
      <c r="B595" s="152" t="str">
        <f t="shared" si="19"/>
        <v>2019-20</v>
      </c>
      <c r="C595" s="173">
        <v>43709</v>
      </c>
      <c r="D595" s="154">
        <v>0.68080476190476191</v>
      </c>
      <c r="E595" s="155">
        <v>306.03040463120954</v>
      </c>
      <c r="F595" s="155">
        <v>449.51272634315131</v>
      </c>
      <c r="G595" s="155">
        <v>27.64590639845845</v>
      </c>
      <c r="H595" s="155">
        <v>40.607686587136193</v>
      </c>
      <c r="I595" s="156">
        <v>1511.3140000000001</v>
      </c>
      <c r="J595" s="156">
        <v>2221.84</v>
      </c>
      <c r="K595" s="157">
        <v>93.3</v>
      </c>
      <c r="L595" s="157">
        <v>137.04369478698177</v>
      </c>
      <c r="M595" s="159">
        <v>17673.099999999999</v>
      </c>
      <c r="N595" s="159">
        <v>25959.131000426663</v>
      </c>
      <c r="O595" s="175">
        <v>5745.48</v>
      </c>
      <c r="P595" s="175">
        <v>8439.2476690751137</v>
      </c>
      <c r="Q595" s="175">
        <v>2070.86</v>
      </c>
      <c r="R595" s="175">
        <v>3041.7824843147819</v>
      </c>
      <c r="S595" s="175">
        <v>2319.64</v>
      </c>
      <c r="T595" s="175">
        <v>3407.2029600822552</v>
      </c>
      <c r="U595" s="161">
        <v>1513.3755152088984</v>
      </c>
      <c r="V595" s="161">
        <v>2222.9214598540148</v>
      </c>
      <c r="W595" s="161">
        <v>2771.5259342927993</v>
      </c>
      <c r="X595" s="161">
        <v>4070.9555652028612</v>
      </c>
      <c r="Y595" s="162">
        <v>9561.1873667519994</v>
      </c>
      <c r="Z595" s="162">
        <v>14043.949017045092</v>
      </c>
      <c r="AA595" s="162">
        <v>574.47</v>
      </c>
      <c r="AB595" s="162">
        <v>843.81019661604967</v>
      </c>
      <c r="AC595" s="163">
        <v>18.170000000000002</v>
      </c>
      <c r="AD595" s="163">
        <v>26.8</v>
      </c>
      <c r="AE595" s="163">
        <v>36452.379999999997</v>
      </c>
      <c r="AF595" s="163">
        <v>53543.074372766117</v>
      </c>
      <c r="AG595" s="163">
        <v>943.90499999999997</v>
      </c>
      <c r="AH595" s="163">
        <v>1386.4547559261098</v>
      </c>
      <c r="AI595" s="163">
        <v>1601.095</v>
      </c>
      <c r="AJ595" s="163">
        <v>2351.7682154872737</v>
      </c>
      <c r="AK595" s="164">
        <v>62.33</v>
      </c>
      <c r="AL595" s="164">
        <v>91.55341367709083</v>
      </c>
      <c r="AM595" s="164">
        <v>64.05</v>
      </c>
      <c r="AN595" s="164">
        <v>94.07983548881225</v>
      </c>
      <c r="AO595" s="164">
        <v>8.7177515263380041</v>
      </c>
      <c r="AP595" s="164">
        <v>12.805068375179101</v>
      </c>
      <c r="AS595" s="167"/>
      <c r="AT595" s="1170"/>
      <c r="AU595" s="1171"/>
      <c r="AV595" s="1171"/>
      <c r="AW595" s="1172"/>
      <c r="AX595" s="1172"/>
      <c r="AY595" s="1172"/>
      <c r="AZ595" s="1172"/>
      <c r="BA595" s="1283" t="s">
        <v>71</v>
      </c>
      <c r="BB595" s="1237">
        <v>2010</v>
      </c>
      <c r="BC595" s="1236" t="s">
        <v>320</v>
      </c>
      <c r="BD595" s="1236">
        <v>2</v>
      </c>
      <c r="BE595" s="1238">
        <v>2719347736.7000003</v>
      </c>
      <c r="BF595" s="1239">
        <v>0.155108472211029</v>
      </c>
      <c r="BG595" s="1236"/>
      <c r="BH595" s="1306" t="s">
        <v>32</v>
      </c>
      <c r="BI595" s="1306" t="s">
        <v>293</v>
      </c>
      <c r="BJ595" s="1306" t="s">
        <v>292</v>
      </c>
      <c r="BK595" s="1306"/>
      <c r="BL595" s="1307">
        <v>12961408000</v>
      </c>
      <c r="BM595" s="1239">
        <v>1</v>
      </c>
      <c r="BN595" s="1236">
        <v>2014</v>
      </c>
      <c r="BO595" s="174"/>
      <c r="BP595" s="174"/>
      <c r="BQ595" s="174"/>
      <c r="BR595" s="174"/>
      <c r="BS595" s="174"/>
      <c r="BT595" s="174"/>
      <c r="BU595" s="174"/>
      <c r="BV595" s="174"/>
      <c r="BW595" s="174"/>
      <c r="BX595" s="174"/>
    </row>
    <row r="596" spans="1:76" s="152" customFormat="1" ht="15" customHeight="1" x14ac:dyDescent="0.25">
      <c r="A596" s="152">
        <f t="shared" si="18"/>
        <v>2019</v>
      </c>
      <c r="B596" s="152" t="str">
        <f t="shared" si="19"/>
        <v>2019-20</v>
      </c>
      <c r="C596" s="173">
        <v>43739</v>
      </c>
      <c r="D596" s="170">
        <v>0.6795863636363636</v>
      </c>
      <c r="E596" s="170">
        <v>292.42700129322077</v>
      </c>
      <c r="F596" s="170">
        <v>430.30145532716136</v>
      </c>
      <c r="G596" s="170">
        <v>26.873647385823993</v>
      </c>
      <c r="H596" s="170">
        <v>39.544123931544448</v>
      </c>
      <c r="I596" s="170">
        <v>1494.8</v>
      </c>
      <c r="J596" s="170">
        <v>2203.9299999999998</v>
      </c>
      <c r="K596" s="170">
        <v>89.61</v>
      </c>
      <c r="L596" s="170">
        <v>131.85962049107411</v>
      </c>
      <c r="M596" s="170">
        <v>17113.48</v>
      </c>
      <c r="N596" s="170">
        <v>25182.200402651346</v>
      </c>
      <c r="O596" s="170">
        <v>5742.89</v>
      </c>
      <c r="P596" s="170">
        <v>8450.5668555070279</v>
      </c>
      <c r="Q596" s="170">
        <v>2184.3000000000002</v>
      </c>
      <c r="R596" s="170">
        <v>3214.1610204067988</v>
      </c>
      <c r="S596" s="170">
        <v>2445.59</v>
      </c>
      <c r="T596" s="170">
        <v>3598.644897631581</v>
      </c>
      <c r="U596" s="170">
        <v>1473.2486620516077</v>
      </c>
      <c r="V596" s="170">
        <v>2167.8608354771532</v>
      </c>
      <c r="W596" s="170">
        <v>2808.6467824514457</v>
      </c>
      <c r="X596" s="170">
        <v>4132.8768979748247</v>
      </c>
      <c r="Y596" s="170">
        <v>8984.5771595697224</v>
      </c>
      <c r="Z596" s="170">
        <v>13220.655446196142</v>
      </c>
      <c r="AA596" s="170">
        <v>536.84</v>
      </c>
      <c r="AB596" s="170">
        <v>789.9511066223439</v>
      </c>
      <c r="AC596" s="170">
        <v>17.625</v>
      </c>
      <c r="AD596" s="170">
        <v>26.12</v>
      </c>
      <c r="AE596" s="170">
        <v>35423.910000000003</v>
      </c>
      <c r="AF596" s="170">
        <v>52125.692767659479</v>
      </c>
      <c r="AG596" s="170">
        <v>897.26099999999997</v>
      </c>
      <c r="AH596" s="170">
        <v>1320.3045970476694</v>
      </c>
      <c r="AI596" s="170">
        <v>1728.261</v>
      </c>
      <c r="AJ596" s="170">
        <v>2543.1072376913767</v>
      </c>
      <c r="AK596" s="170">
        <v>59.37</v>
      </c>
      <c r="AL596" s="170">
        <v>87.361964831548605</v>
      </c>
      <c r="AM596" s="170">
        <v>60.86</v>
      </c>
      <c r="AN596" s="170">
        <v>89.554474981439242</v>
      </c>
      <c r="AO596" s="170">
        <v>7.7317693382592205</v>
      </c>
      <c r="AP596" s="170">
        <v>11.377169631373553</v>
      </c>
      <c r="AS596" s="167"/>
      <c r="AT596" s="1170"/>
      <c r="AU596" s="1171"/>
      <c r="AV596" s="1171"/>
      <c r="AW596" s="1172"/>
      <c r="AX596" s="1172"/>
      <c r="AY596" s="1172"/>
      <c r="AZ596" s="1172"/>
      <c r="BA596" s="1283" t="s">
        <v>71</v>
      </c>
      <c r="BB596" s="1237">
        <v>2010</v>
      </c>
      <c r="BC596" s="1236" t="s">
        <v>281</v>
      </c>
      <c r="BD596" s="1236">
        <v>3</v>
      </c>
      <c r="BE596" s="1238">
        <v>2173091242.0700006</v>
      </c>
      <c r="BF596" s="1239">
        <v>0.12395062903638879</v>
      </c>
      <c r="BG596" s="1236"/>
      <c r="BH596" s="1308" t="s">
        <v>32</v>
      </c>
      <c r="BI596" s="1308" t="s">
        <v>280</v>
      </c>
      <c r="BJ596" s="1308" t="s">
        <v>327</v>
      </c>
      <c r="BK596" s="1308">
        <v>1</v>
      </c>
      <c r="BL596" s="1309">
        <v>5406390000</v>
      </c>
      <c r="BM596" s="1239">
        <v>0.33019713472347739</v>
      </c>
      <c r="BN596" s="1236">
        <v>2015</v>
      </c>
      <c r="BO596" s="174"/>
      <c r="BP596" s="174"/>
      <c r="BQ596" s="174"/>
      <c r="BR596" s="174"/>
      <c r="BS596" s="174"/>
      <c r="BT596" s="174"/>
      <c r="BU596" s="174"/>
      <c r="BV596" s="174"/>
      <c r="BW596" s="174"/>
      <c r="BX596" s="174"/>
    </row>
    <row r="597" spans="1:76" s="152" customFormat="1" ht="15" customHeight="1" x14ac:dyDescent="0.25">
      <c r="A597" s="152">
        <f t="shared" si="18"/>
        <v>2019</v>
      </c>
      <c r="B597" s="152" t="str">
        <f t="shared" si="19"/>
        <v>2019-20</v>
      </c>
      <c r="C597" s="173">
        <v>43770</v>
      </c>
      <c r="D597" s="154">
        <v>0.68292857142857144</v>
      </c>
      <c r="E597" s="155">
        <v>279.30357928435978</v>
      </c>
      <c r="F597" s="155">
        <v>408.97919778067535</v>
      </c>
      <c r="G597" s="155">
        <v>24.624482061933893</v>
      </c>
      <c r="H597" s="155">
        <v>36.057185322359011</v>
      </c>
      <c r="I597" s="156">
        <v>1470.0170000000001</v>
      </c>
      <c r="J597" s="156">
        <v>2160.4899999999998</v>
      </c>
      <c r="K597" s="157">
        <v>84.25</v>
      </c>
      <c r="L597" s="157">
        <v>123.36575672000836</v>
      </c>
      <c r="M597" s="159">
        <v>15199.52</v>
      </c>
      <c r="N597" s="159">
        <v>22256.383223512184</v>
      </c>
      <c r="O597" s="175">
        <v>5859.69</v>
      </c>
      <c r="P597" s="175">
        <v>8580.2384687794165</v>
      </c>
      <c r="Q597" s="175">
        <v>2031.9</v>
      </c>
      <c r="R597" s="175">
        <v>2975.2745528710388</v>
      </c>
      <c r="S597" s="175">
        <v>2432.9499999999998</v>
      </c>
      <c r="T597" s="175">
        <v>3562.5248404978556</v>
      </c>
      <c r="U597" s="161">
        <v>1310.1780427549108</v>
      </c>
      <c r="V597" s="161">
        <v>1918.4700971204634</v>
      </c>
      <c r="W597" s="161">
        <v>2724.847759352288</v>
      </c>
      <c r="X597" s="161">
        <v>3989.9454691906735</v>
      </c>
      <c r="Y597" s="162">
        <v>8559.7618405174871</v>
      </c>
      <c r="Z597" s="162">
        <v>12533.905006510282</v>
      </c>
      <c r="AA597" s="162">
        <v>527.86</v>
      </c>
      <c r="AB597" s="162">
        <v>772.93588536763934</v>
      </c>
      <c r="AC597" s="163">
        <v>17.18</v>
      </c>
      <c r="AD597" s="163">
        <v>25.38</v>
      </c>
      <c r="AE597" s="163">
        <v>35500</v>
      </c>
      <c r="AF597" s="163">
        <v>51982.01024997385</v>
      </c>
      <c r="AG597" s="163">
        <v>901.23800000000006</v>
      </c>
      <c r="AH597" s="163">
        <v>1319.6665620750969</v>
      </c>
      <c r="AI597" s="163">
        <v>1767.7619999999999</v>
      </c>
      <c r="AJ597" s="163">
        <v>2588.5020395356132</v>
      </c>
      <c r="AK597" s="164">
        <v>62.74</v>
      </c>
      <c r="AL597" s="164">
        <v>91.869051354460836</v>
      </c>
      <c r="AM597" s="164">
        <v>64.239999999999995</v>
      </c>
      <c r="AN597" s="164">
        <v>94.065474322769575</v>
      </c>
      <c r="AO597" s="164">
        <v>8.1448768656888149</v>
      </c>
      <c r="AP597" s="164">
        <v>11.926396414563687</v>
      </c>
      <c r="AS597" s="167"/>
      <c r="AT597" s="1170"/>
      <c r="AU597" s="1171"/>
      <c r="AV597" s="1171"/>
      <c r="AW597" s="1172"/>
      <c r="AX597" s="1172"/>
      <c r="AY597" s="1172"/>
      <c r="AZ597" s="1172"/>
      <c r="BA597" s="1283" t="s">
        <v>71</v>
      </c>
      <c r="BB597" s="1237">
        <v>2010</v>
      </c>
      <c r="BC597" s="1236" t="s">
        <v>323</v>
      </c>
      <c r="BD597" s="1236">
        <v>4</v>
      </c>
      <c r="BE597" s="1238">
        <v>1768941227.9600003</v>
      </c>
      <c r="BF597" s="1239">
        <v>0.10089837632642813</v>
      </c>
      <c r="BG597" s="1236"/>
      <c r="BH597" s="1308" t="s">
        <v>32</v>
      </c>
      <c r="BI597" s="1308" t="s">
        <v>280</v>
      </c>
      <c r="BJ597" s="1308" t="s">
        <v>281</v>
      </c>
      <c r="BK597" s="1308">
        <v>2</v>
      </c>
      <c r="BL597" s="1309">
        <v>4242710000</v>
      </c>
      <c r="BM597" s="1239">
        <v>0.25912497719599303</v>
      </c>
      <c r="BN597" s="1236">
        <v>2015</v>
      </c>
      <c r="BO597" s="174"/>
      <c r="BP597" s="174"/>
      <c r="BQ597" s="174"/>
      <c r="BR597" s="174"/>
      <c r="BS597" s="174"/>
      <c r="BT597" s="174"/>
      <c r="BU597" s="174"/>
      <c r="BV597" s="174"/>
      <c r="BW597" s="174"/>
      <c r="BX597" s="174"/>
    </row>
    <row r="598" spans="1:76" s="152" customFormat="1" ht="15" customHeight="1" x14ac:dyDescent="0.25">
      <c r="A598" s="152">
        <f t="shared" si="18"/>
        <v>2019</v>
      </c>
      <c r="B598" s="152" t="str">
        <f t="shared" si="19"/>
        <v>2019-20</v>
      </c>
      <c r="C598" s="173">
        <v>43800</v>
      </c>
      <c r="D598" s="170">
        <v>0.68768999999999991</v>
      </c>
      <c r="E598" s="170">
        <v>278.12055171252416</v>
      </c>
      <c r="F598" s="170">
        <v>404.42721533325215</v>
      </c>
      <c r="G598" s="170">
        <v>23.580403154510584</v>
      </c>
      <c r="H598" s="170">
        <v>34.289291911341721</v>
      </c>
      <c r="I598" s="170">
        <v>1476.0440000000001</v>
      </c>
      <c r="J598" s="170">
        <v>2156.37</v>
      </c>
      <c r="K598" s="170">
        <v>91.4</v>
      </c>
      <c r="L598" s="170">
        <v>132.90872340734927</v>
      </c>
      <c r="M598" s="170">
        <v>13800.5</v>
      </c>
      <c r="N598" s="170">
        <v>20067.908505285814</v>
      </c>
      <c r="O598" s="170">
        <v>6062.43</v>
      </c>
      <c r="P598" s="170">
        <v>8815.6436766566349</v>
      </c>
      <c r="Q598" s="170">
        <v>1899.25</v>
      </c>
      <c r="R598" s="170">
        <v>2761.7821983742679</v>
      </c>
      <c r="S598" s="170">
        <v>2274.0300000000002</v>
      </c>
      <c r="T598" s="170">
        <v>3306.7661300876857</v>
      </c>
      <c r="U598" s="170">
        <v>1461.4125464255819</v>
      </c>
      <c r="V598" s="170">
        <v>2125.1036752396894</v>
      </c>
      <c r="W598" s="170">
        <v>2773.5197672094182</v>
      </c>
      <c r="X598" s="170">
        <v>4033.0959694185149</v>
      </c>
      <c r="Y598" s="170">
        <v>7802.2545102638787</v>
      </c>
      <c r="Z598" s="170">
        <v>11345.598322302025</v>
      </c>
      <c r="AA598" s="170">
        <v>504.09000000000003</v>
      </c>
      <c r="AB598" s="170">
        <v>733.01923831959186</v>
      </c>
      <c r="AC598" s="170">
        <v>17.114000000000001</v>
      </c>
      <c r="AD598" s="170">
        <v>25.12</v>
      </c>
      <c r="AE598" s="170">
        <v>33800</v>
      </c>
      <c r="AF598" s="170">
        <v>49150.053076240751</v>
      </c>
      <c r="AG598" s="170">
        <v>921.05600000000004</v>
      </c>
      <c r="AH598" s="170">
        <v>1339.3476711890535</v>
      </c>
      <c r="AI598" s="170">
        <v>1903.6110000000001</v>
      </c>
      <c r="AJ598" s="170">
        <v>2768.1237185359687</v>
      </c>
      <c r="AK598" s="170">
        <v>65.849999999999994</v>
      </c>
      <c r="AL598" s="170">
        <v>95.755354883741219</v>
      </c>
      <c r="AM598" s="170">
        <v>75.52</v>
      </c>
      <c r="AN598" s="170">
        <v>109.81692332300892</v>
      </c>
      <c r="AO598" s="170">
        <v>7.7808546462508454</v>
      </c>
      <c r="AP598" s="170">
        <v>11.314479847388862</v>
      </c>
      <c r="AS598" s="167"/>
      <c r="AT598" s="1170"/>
      <c r="AU598" s="1171"/>
      <c r="AV598" s="1171"/>
      <c r="AW598" s="1172"/>
      <c r="AX598" s="1172"/>
      <c r="AY598" s="1172"/>
      <c r="AZ598" s="1172"/>
      <c r="BA598" s="1283" t="s">
        <v>71</v>
      </c>
      <c r="BB598" s="1237">
        <v>2010</v>
      </c>
      <c r="BC598" s="1236" t="s">
        <v>306</v>
      </c>
      <c r="BD598" s="1236">
        <v>5</v>
      </c>
      <c r="BE598" s="1238">
        <v>1203362281.3599999</v>
      </c>
      <c r="BF598" s="1239">
        <v>6.8638402679840685E-2</v>
      </c>
      <c r="BG598" s="1236"/>
      <c r="BH598" s="1308" t="s">
        <v>32</v>
      </c>
      <c r="BI598" s="1308" t="s">
        <v>280</v>
      </c>
      <c r="BJ598" s="1308" t="s">
        <v>314</v>
      </c>
      <c r="BK598" s="1308">
        <v>3</v>
      </c>
      <c r="BL598" s="1309">
        <v>3924493000</v>
      </c>
      <c r="BM598" s="1239">
        <v>0.23968976412029913</v>
      </c>
      <c r="BN598" s="1236">
        <v>2015</v>
      </c>
      <c r="BO598" s="174"/>
      <c r="BP598" s="174"/>
      <c r="BQ598" s="174"/>
      <c r="BR598" s="174"/>
      <c r="BS598" s="174"/>
      <c r="BT598" s="174"/>
      <c r="BU598" s="174"/>
      <c r="BV598" s="174"/>
      <c r="BW598" s="174"/>
      <c r="BX598" s="174"/>
    </row>
    <row r="599" spans="1:76" s="152" customFormat="1" ht="15" customHeight="1" x14ac:dyDescent="0.25">
      <c r="A599" s="152">
        <f t="shared" si="18"/>
        <v>2020</v>
      </c>
      <c r="B599" s="152" t="str">
        <f t="shared" si="19"/>
        <v>2019-20</v>
      </c>
      <c r="C599" s="173">
        <v>43831</v>
      </c>
      <c r="D599" s="154">
        <v>0.68703333333333327</v>
      </c>
      <c r="E599" s="155">
        <v>272.7009265576977</v>
      </c>
      <c r="F599" s="155">
        <v>396.92532127169625</v>
      </c>
      <c r="G599" s="155">
        <v>23.348782500324798</v>
      </c>
      <c r="H599" s="155">
        <v>33.984934016289557</v>
      </c>
      <c r="I599" s="156">
        <v>1560.673</v>
      </c>
      <c r="J599" s="156">
        <v>2268.7600000000002</v>
      </c>
      <c r="K599" s="157">
        <v>92.8</v>
      </c>
      <c r="L599" s="157">
        <v>135.07350443937705</v>
      </c>
      <c r="M599" s="159">
        <v>13552.95</v>
      </c>
      <c r="N599" s="159">
        <v>19726.772111979044</v>
      </c>
      <c r="O599" s="175">
        <v>6049.2</v>
      </c>
      <c r="P599" s="175">
        <v>8804.8129639512881</v>
      </c>
      <c r="Q599" s="175">
        <v>1925.16</v>
      </c>
      <c r="R599" s="175">
        <v>2802.1347823977489</v>
      </c>
      <c r="S599" s="175">
        <v>2357.27</v>
      </c>
      <c r="T599" s="175">
        <v>3431.0853427781285</v>
      </c>
      <c r="U599" s="161">
        <v>1336.2900291991357</v>
      </c>
      <c r="V599" s="161">
        <v>1945.014840423758</v>
      </c>
      <c r="W599" s="161">
        <v>2771.7511704371891</v>
      </c>
      <c r="X599" s="161">
        <v>4034.3765519924154</v>
      </c>
      <c r="Y599" s="162">
        <v>7800.5370595090753</v>
      </c>
      <c r="Z599" s="162">
        <v>11353.942641563839</v>
      </c>
      <c r="AA599" s="162">
        <v>494</v>
      </c>
      <c r="AB599" s="162">
        <v>719.03352578720103</v>
      </c>
      <c r="AC599" s="163">
        <v>17.965</v>
      </c>
      <c r="AD599" s="163">
        <v>26.34</v>
      </c>
      <c r="AE599" s="163">
        <v>32397.73</v>
      </c>
      <c r="AF599" s="163">
        <v>47155.97981660279</v>
      </c>
      <c r="AG599" s="163">
        <v>987.36400000000003</v>
      </c>
      <c r="AH599" s="163">
        <v>1437.1413322982876</v>
      </c>
      <c r="AI599" s="163">
        <v>2240.5909999999999</v>
      </c>
      <c r="AJ599" s="163">
        <v>3261.255155014313</v>
      </c>
      <c r="AK599" s="164">
        <v>63.6</v>
      </c>
      <c r="AL599" s="164">
        <v>92.571927611469619</v>
      </c>
      <c r="AM599" s="164">
        <v>71.59</v>
      </c>
      <c r="AN599" s="164">
        <v>104.20163990102374</v>
      </c>
      <c r="AO599" s="164">
        <v>8.189460592619179</v>
      </c>
      <c r="AP599" s="164">
        <v>11.920033854668644</v>
      </c>
      <c r="AS599" s="167"/>
      <c r="AT599" s="1170"/>
      <c r="AU599" s="1171"/>
      <c r="AV599" s="1171"/>
      <c r="AW599" s="1172"/>
      <c r="AX599" s="1172"/>
      <c r="AY599" s="1172"/>
      <c r="AZ599" s="1172"/>
      <c r="BA599" s="1283" t="s">
        <v>71</v>
      </c>
      <c r="BB599" s="1237">
        <v>2010</v>
      </c>
      <c r="BC599" s="1236" t="s">
        <v>287</v>
      </c>
      <c r="BD599" s="1236">
        <v>6</v>
      </c>
      <c r="BE599" s="1238">
        <v>781996526.18000007</v>
      </c>
      <c r="BF599" s="1239">
        <v>4.4604183868483679E-2</v>
      </c>
      <c r="BG599" s="1236"/>
      <c r="BH599" s="1308" t="s">
        <v>32</v>
      </c>
      <c r="BI599" s="1308" t="s">
        <v>280</v>
      </c>
      <c r="BJ599" s="1308" t="s">
        <v>306</v>
      </c>
      <c r="BK599" s="1308">
        <v>4</v>
      </c>
      <c r="BL599" s="1309">
        <v>1189444000</v>
      </c>
      <c r="BM599" s="1239">
        <v>7.2645702717345925E-2</v>
      </c>
      <c r="BN599" s="1236">
        <v>2015</v>
      </c>
      <c r="BO599" s="174"/>
      <c r="BP599" s="174"/>
      <c r="BQ599" s="174"/>
      <c r="BR599" s="174"/>
      <c r="BS599" s="174"/>
      <c r="BT599" s="174"/>
      <c r="BU599" s="174"/>
      <c r="BV599" s="174"/>
      <c r="BW599" s="174"/>
      <c r="BX599" s="174"/>
    </row>
    <row r="600" spans="1:76" s="152" customFormat="1" ht="15" customHeight="1" x14ac:dyDescent="0.25">
      <c r="A600" s="152">
        <f t="shared" si="18"/>
        <v>2020</v>
      </c>
      <c r="B600" s="152" t="str">
        <f t="shared" si="19"/>
        <v>2019-20</v>
      </c>
      <c r="C600" s="173">
        <v>43862</v>
      </c>
      <c r="D600" s="170">
        <v>0.66735499999999992</v>
      </c>
      <c r="E600" s="170">
        <v>277.74382096501847</v>
      </c>
      <c r="F600" s="170">
        <v>416.18601938251527</v>
      </c>
      <c r="G600" s="170">
        <v>23.567383493518378</v>
      </c>
      <c r="H600" s="170">
        <v>35.314612902455785</v>
      </c>
      <c r="I600" s="169">
        <v>1597.1030000000001</v>
      </c>
      <c r="J600" s="170">
        <v>2397.5300000000002</v>
      </c>
      <c r="K600" s="170">
        <v>86.03</v>
      </c>
      <c r="L600" s="170">
        <v>128.91189846483508</v>
      </c>
      <c r="M600" s="170">
        <v>12743.5</v>
      </c>
      <c r="N600" s="170">
        <v>19095.533861288222</v>
      </c>
      <c r="O600" s="170">
        <v>5686.45</v>
      </c>
      <c r="P600" s="170">
        <v>8520.8771942968888</v>
      </c>
      <c r="Q600" s="170">
        <v>1872.3</v>
      </c>
      <c r="R600" s="170">
        <v>2805.5532662525943</v>
      </c>
      <c r="S600" s="170">
        <v>2120.48</v>
      </c>
      <c r="T600" s="170">
        <v>3177.4392939290187</v>
      </c>
      <c r="U600" s="170">
        <v>1166.7504809828495</v>
      </c>
      <c r="V600" s="170">
        <v>1748.3205804749341</v>
      </c>
      <c r="W600" s="170">
        <v>2728.6994698348981</v>
      </c>
      <c r="X600" s="170">
        <v>4088.8274903685424</v>
      </c>
      <c r="Y600" s="170">
        <v>7755.0156938647242</v>
      </c>
      <c r="Z600" s="170">
        <v>11620.525348374891</v>
      </c>
      <c r="AA600" s="170">
        <v>490</v>
      </c>
      <c r="AB600" s="170">
        <v>734.24189524316148</v>
      </c>
      <c r="AC600" s="170">
        <v>17.922000000000001</v>
      </c>
      <c r="AD600" s="170">
        <v>27.13</v>
      </c>
      <c r="AE600" s="170">
        <v>34212.5</v>
      </c>
      <c r="AF600" s="170">
        <v>51265.818042870742</v>
      </c>
      <c r="AG600" s="170">
        <v>961.1</v>
      </c>
      <c r="AH600" s="170">
        <v>1440.1630316698011</v>
      </c>
      <c r="AI600" s="170">
        <v>2524.6999999999998</v>
      </c>
      <c r="AJ600" s="170">
        <v>3783.1439039192037</v>
      </c>
      <c r="AK600" s="170">
        <v>55</v>
      </c>
      <c r="AL600" s="170">
        <v>82.414906608926287</v>
      </c>
      <c r="AM600" s="170">
        <v>62.95</v>
      </c>
      <c r="AN600" s="170">
        <v>94.327606746034732</v>
      </c>
      <c r="AO600" s="170">
        <v>8.1649024816039919</v>
      </c>
      <c r="AP600" s="170">
        <v>12.234721372588792</v>
      </c>
      <c r="AS600" s="167"/>
      <c r="AT600" s="1170"/>
      <c r="AU600" s="1171"/>
      <c r="AV600" s="1171"/>
      <c r="AW600" s="1172"/>
      <c r="AX600" s="1172"/>
      <c r="AY600" s="1172"/>
      <c r="AZ600" s="1172"/>
      <c r="BA600" s="1283" t="s">
        <v>71</v>
      </c>
      <c r="BB600" s="1237">
        <v>2010</v>
      </c>
      <c r="BC600" s="1236" t="s">
        <v>285</v>
      </c>
      <c r="BD600" s="1236">
        <v>7</v>
      </c>
      <c r="BE600" s="1238">
        <v>434995825.02000004</v>
      </c>
      <c r="BF600" s="1239">
        <v>2.4811662343303984E-2</v>
      </c>
      <c r="BG600" s="1236"/>
      <c r="BH600" s="1308" t="s">
        <v>32</v>
      </c>
      <c r="BI600" s="1308" t="s">
        <v>280</v>
      </c>
      <c r="BJ600" s="1308" t="s">
        <v>287</v>
      </c>
      <c r="BK600" s="1308">
        <v>5</v>
      </c>
      <c r="BL600" s="1309">
        <v>685504000</v>
      </c>
      <c r="BM600" s="1239">
        <v>4.1867393332978689E-2</v>
      </c>
      <c r="BN600" s="1236">
        <v>2015</v>
      </c>
      <c r="BO600" s="174"/>
      <c r="BP600" s="174"/>
      <c r="BQ600" s="174"/>
      <c r="BR600" s="174"/>
      <c r="BS600" s="174"/>
      <c r="BT600" s="174"/>
      <c r="BU600" s="174"/>
      <c r="BV600" s="174"/>
      <c r="BW600" s="174"/>
      <c r="BX600" s="174"/>
    </row>
    <row r="601" spans="1:76" s="152" customFormat="1" ht="15" customHeight="1" x14ac:dyDescent="0.25">
      <c r="A601" s="152">
        <f t="shared" si="18"/>
        <v>2020</v>
      </c>
      <c r="B601" s="152" t="str">
        <f t="shared" si="19"/>
        <v>2019-20</v>
      </c>
      <c r="C601" s="173">
        <v>43891</v>
      </c>
      <c r="D601" s="154">
        <v>0.62292272727272735</v>
      </c>
      <c r="E601" s="155">
        <v>274.13059637088844</v>
      </c>
      <c r="F601" s="155">
        <v>440.0715921396602</v>
      </c>
      <c r="G601" s="155">
        <v>27.890265624328087</v>
      </c>
      <c r="H601" s="155">
        <v>44.773234950724799</v>
      </c>
      <c r="I601" s="156">
        <v>1591.9269999999999</v>
      </c>
      <c r="J601" s="156">
        <v>2565.17</v>
      </c>
      <c r="K601" s="157">
        <v>87.55</v>
      </c>
      <c r="L601" s="157">
        <v>140.54712754390957</v>
      </c>
      <c r="M601" s="159">
        <v>11873</v>
      </c>
      <c r="N601" s="159">
        <v>19060.149004327108</v>
      </c>
      <c r="O601" s="175">
        <v>5178.68</v>
      </c>
      <c r="P601" s="175">
        <v>8313.5191144385335</v>
      </c>
      <c r="Q601" s="175">
        <v>1744.64</v>
      </c>
      <c r="R601" s="175">
        <v>2800.7326167699189</v>
      </c>
      <c r="S601" s="175">
        <v>1905.61</v>
      </c>
      <c r="T601" s="175">
        <v>3059.1434805134149</v>
      </c>
      <c r="U601" s="161">
        <v>1338.3012255218057</v>
      </c>
      <c r="V601" s="161">
        <v>2148.4225361003278</v>
      </c>
      <c r="W601" s="161">
        <v>2732.9155723699319</v>
      </c>
      <c r="X601" s="161">
        <v>4387.2465278882173</v>
      </c>
      <c r="Y601" s="162">
        <v>7823.5945921546363</v>
      </c>
      <c r="Z601" s="162">
        <v>12559.494540210151</v>
      </c>
      <c r="AA601" s="162">
        <v>483</v>
      </c>
      <c r="AB601" s="162">
        <v>775.37707143013495</v>
      </c>
      <c r="AC601" s="163">
        <v>14.917999999999999</v>
      </c>
      <c r="AD601" s="163">
        <v>24.53</v>
      </c>
      <c r="AE601" s="163">
        <v>30613.64</v>
      </c>
      <c r="AF601" s="163">
        <v>49145.16465634873</v>
      </c>
      <c r="AG601" s="163">
        <v>759</v>
      </c>
      <c r="AH601" s="163">
        <v>1218.4496836759263</v>
      </c>
      <c r="AI601" s="163">
        <v>2108.9090000000001</v>
      </c>
      <c r="AJ601" s="163">
        <v>3385.5065928212312</v>
      </c>
      <c r="AK601" s="164">
        <v>32.979999999999997</v>
      </c>
      <c r="AL601" s="164">
        <v>52.943966492268835</v>
      </c>
      <c r="AM601" s="164">
        <v>41.32</v>
      </c>
      <c r="AN601" s="164">
        <v>66.332464992739503</v>
      </c>
      <c r="AO601" s="164">
        <v>7.8028112451555369</v>
      </c>
      <c r="AP601" s="164">
        <v>12.526130294390942</v>
      </c>
      <c r="AS601" s="167"/>
      <c r="AT601" s="1170"/>
      <c r="AU601" s="1171"/>
      <c r="AV601" s="1171"/>
      <c r="AW601" s="1172"/>
      <c r="AX601" s="1172"/>
      <c r="AY601" s="1172"/>
      <c r="AZ601" s="1172"/>
      <c r="BA601" s="1283" t="s">
        <v>71</v>
      </c>
      <c r="BB601" s="1237">
        <v>2010</v>
      </c>
      <c r="BC601" s="1236" t="s">
        <v>315</v>
      </c>
      <c r="BD601" s="1236">
        <v>8</v>
      </c>
      <c r="BE601" s="1238">
        <v>408377948.99000001</v>
      </c>
      <c r="BF601" s="1239">
        <v>2.329340926047975E-2</v>
      </c>
      <c r="BG601" s="1236"/>
      <c r="BH601" s="1308" t="s">
        <v>32</v>
      </c>
      <c r="BI601" s="1308" t="s">
        <v>280</v>
      </c>
      <c r="BJ601" s="1308" t="s">
        <v>320</v>
      </c>
      <c r="BK601" s="1308">
        <v>6</v>
      </c>
      <c r="BL601" s="1309">
        <v>282003000</v>
      </c>
      <c r="BM601" s="1239">
        <v>1.7223430530062537E-2</v>
      </c>
      <c r="BN601" s="1236">
        <v>2015</v>
      </c>
      <c r="BO601" s="174"/>
      <c r="BP601" s="174"/>
      <c r="BQ601" s="174"/>
      <c r="BR601" s="174"/>
      <c r="BS601" s="174"/>
      <c r="BT601" s="174"/>
      <c r="BU601" s="174"/>
      <c r="BV601" s="174"/>
      <c r="BW601" s="174"/>
      <c r="BX601" s="174"/>
    </row>
    <row r="602" spans="1:76" s="152" customFormat="1" ht="15" customHeight="1" x14ac:dyDescent="0.25">
      <c r="A602" s="152">
        <f t="shared" si="18"/>
        <v>2020</v>
      </c>
      <c r="B602" s="152" t="str">
        <f t="shared" si="19"/>
        <v>2019-20</v>
      </c>
      <c r="C602" s="173">
        <v>43922</v>
      </c>
      <c r="D602" s="170">
        <v>0.62978499999999993</v>
      </c>
      <c r="E602" s="170">
        <v>282.46049021627204</v>
      </c>
      <c r="F602" s="170">
        <v>448.50304503326066</v>
      </c>
      <c r="G602" s="170">
        <v>28.414939733858233</v>
      </c>
      <c r="H602" s="170">
        <v>45.118476517951741</v>
      </c>
      <c r="I602" s="170">
        <v>1682.93</v>
      </c>
      <c r="J602" s="170">
        <v>2679.81</v>
      </c>
      <c r="K602" s="170">
        <v>83.51</v>
      </c>
      <c r="L602" s="170">
        <v>132.60080821232646</v>
      </c>
      <c r="M602" s="170">
        <v>11753.2</v>
      </c>
      <c r="N602" s="170">
        <v>18662.241876195847</v>
      </c>
      <c r="O602" s="170">
        <v>5048.25</v>
      </c>
      <c r="P602" s="170">
        <v>8015.830799399796</v>
      </c>
      <c r="Q602" s="170">
        <v>1651.53</v>
      </c>
      <c r="R602" s="170">
        <v>2622.3711266543346</v>
      </c>
      <c r="S602" s="170">
        <v>1894.08</v>
      </c>
      <c r="T602" s="170">
        <v>3007.5025603975964</v>
      </c>
      <c r="U602" s="170">
        <v>1403.5477381329779</v>
      </c>
      <c r="V602" s="170">
        <v>2228.6141113760696</v>
      </c>
      <c r="W602" s="170">
        <v>2592.2771305098645</v>
      </c>
      <c r="X602" s="170">
        <v>4116.1303151232005</v>
      </c>
      <c r="Y602" s="170">
        <v>7550.3348251335565</v>
      </c>
      <c r="Z602" s="170">
        <v>11988.749851351742</v>
      </c>
      <c r="AA602" s="170">
        <v>461</v>
      </c>
      <c r="AB602" s="170">
        <v>731.9958398501077</v>
      </c>
      <c r="AC602" s="170">
        <v>15.035</v>
      </c>
      <c r="AD602" s="170">
        <v>24.26</v>
      </c>
      <c r="AE602" s="170">
        <v>29500</v>
      </c>
      <c r="AF602" s="170">
        <v>46841.382376525326</v>
      </c>
      <c r="AG602" s="170">
        <v>754.3</v>
      </c>
      <c r="AH602" s="170">
        <v>1197.7103297156966</v>
      </c>
      <c r="AI602" s="170">
        <v>2073.15</v>
      </c>
      <c r="AJ602" s="170">
        <v>3291.8376906404574</v>
      </c>
      <c r="AK602" s="170">
        <v>23.34</v>
      </c>
      <c r="AL602" s="170">
        <v>37.06026659891868</v>
      </c>
      <c r="AM602" s="170">
        <v>27.08</v>
      </c>
      <c r="AN602" s="170">
        <v>42.99880117817986</v>
      </c>
      <c r="AO602" s="170">
        <v>7.3015255510840031</v>
      </c>
      <c r="AP602" s="170">
        <v>11.593679670179512</v>
      </c>
      <c r="AS602" s="167"/>
      <c r="AT602" s="1170"/>
      <c r="AU602" s="1171"/>
      <c r="AV602" s="1171"/>
      <c r="AW602" s="1172"/>
      <c r="AX602" s="1172"/>
      <c r="AY602" s="1172"/>
      <c r="AZ602" s="1172"/>
      <c r="BA602" s="1283" t="s">
        <v>71</v>
      </c>
      <c r="BB602" s="1237">
        <v>2010</v>
      </c>
      <c r="BC602" s="1236" t="s">
        <v>342</v>
      </c>
      <c r="BD602" s="1236">
        <v>9</v>
      </c>
      <c r="BE602" s="1238">
        <v>360717255.75</v>
      </c>
      <c r="BF602" s="1239">
        <v>2.0574898047954204E-2</v>
      </c>
      <c r="BG602" s="1236"/>
      <c r="BH602" s="1308" t="s">
        <v>32</v>
      </c>
      <c r="BI602" s="1308" t="s">
        <v>280</v>
      </c>
      <c r="BJ602" s="1308" t="s">
        <v>323</v>
      </c>
      <c r="BK602" s="1308">
        <v>7</v>
      </c>
      <c r="BL602" s="1309">
        <v>246629000</v>
      </c>
      <c r="BM602" s="1239">
        <v>1.5062951274272946E-2</v>
      </c>
      <c r="BN602" s="1236">
        <v>2015</v>
      </c>
      <c r="BO602" s="174"/>
      <c r="BP602" s="174"/>
      <c r="BQ602" s="174"/>
      <c r="BR602" s="174"/>
      <c r="BS602" s="174"/>
      <c r="BT602" s="174"/>
      <c r="BU602" s="174"/>
      <c r="BV602" s="174"/>
      <c r="BW602" s="174"/>
      <c r="BX602" s="174"/>
    </row>
    <row r="603" spans="1:76" s="152" customFormat="1" ht="15" customHeight="1" x14ac:dyDescent="0.25">
      <c r="A603" s="152">
        <f t="shared" si="18"/>
        <v>2020</v>
      </c>
      <c r="B603" s="152" t="str">
        <f t="shared" si="19"/>
        <v>2019-20</v>
      </c>
      <c r="C603" s="173">
        <v>43952</v>
      </c>
      <c r="D603" s="154">
        <v>0.6509571428571429</v>
      </c>
      <c r="E603" s="155">
        <v>229.45273550141189</v>
      </c>
      <c r="F603" s="155">
        <v>352.48516437550927</v>
      </c>
      <c r="G603" s="155">
        <v>28.920947669758149</v>
      </c>
      <c r="H603" s="155">
        <v>44.428343689140611</v>
      </c>
      <c r="I603" s="156">
        <v>1716.3820000000001</v>
      </c>
      <c r="J603" s="156">
        <v>2646.51</v>
      </c>
      <c r="K603" s="157">
        <v>92.29</v>
      </c>
      <c r="L603" s="157">
        <v>141.7758465556214</v>
      </c>
      <c r="M603" s="159">
        <v>12135.32</v>
      </c>
      <c r="N603" s="159">
        <v>18642.271819518508</v>
      </c>
      <c r="O603" s="175">
        <v>5233.82</v>
      </c>
      <c r="P603" s="175">
        <v>8040.1913665591319</v>
      </c>
      <c r="Q603" s="175">
        <v>1618.16</v>
      </c>
      <c r="R603" s="175">
        <v>2485.8164900037309</v>
      </c>
      <c r="S603" s="175">
        <v>1963.39</v>
      </c>
      <c r="T603" s="175">
        <v>3016.1586235652994</v>
      </c>
      <c r="U603" s="161">
        <v>1384.6512049256064</v>
      </c>
      <c r="V603" s="161">
        <v>2127.1004091731393</v>
      </c>
      <c r="W603" s="161">
        <v>2611.0320658516353</v>
      </c>
      <c r="X603" s="161">
        <v>4011.0660041173319</v>
      </c>
      <c r="Y603" s="162">
        <v>7425.838905022918</v>
      </c>
      <c r="Z603" s="162">
        <v>11407.569586578098</v>
      </c>
      <c r="AA603" s="162">
        <v>437.11</v>
      </c>
      <c r="AB603" s="162">
        <v>671.48813834573264</v>
      </c>
      <c r="AC603" s="163">
        <v>16.231999999999999</v>
      </c>
      <c r="AD603" s="163">
        <v>25.16</v>
      </c>
      <c r="AE603" s="163">
        <v>29500</v>
      </c>
      <c r="AF603" s="163">
        <v>45317.883556082248</v>
      </c>
      <c r="AG603" s="163">
        <v>793.42100000000005</v>
      </c>
      <c r="AH603" s="163">
        <v>1218.8528979305199</v>
      </c>
      <c r="AI603" s="163">
        <v>1902</v>
      </c>
      <c r="AJ603" s="163">
        <v>2921.8513397853708</v>
      </c>
      <c r="AK603" s="164">
        <v>31.02</v>
      </c>
      <c r="AL603" s="164">
        <v>47.652906708802419</v>
      </c>
      <c r="AM603" s="164">
        <v>31.49</v>
      </c>
      <c r="AN603" s="164">
        <v>48.374920446814578</v>
      </c>
      <c r="AO603" s="164">
        <v>6.8272107230842511</v>
      </c>
      <c r="AP603" s="164">
        <v>10.487957307171802</v>
      </c>
      <c r="AS603" s="167"/>
      <c r="AT603" s="1170"/>
      <c r="AU603" s="1171"/>
      <c r="AV603" s="1171"/>
      <c r="AW603" s="1172"/>
      <c r="AX603" s="1172"/>
      <c r="AY603" s="1172"/>
      <c r="AZ603" s="1172"/>
      <c r="BA603" s="1283" t="s">
        <v>71</v>
      </c>
      <c r="BB603" s="1237">
        <v>2010</v>
      </c>
      <c r="BC603" s="1236" t="s">
        <v>286</v>
      </c>
      <c r="BD603" s="1236">
        <v>10</v>
      </c>
      <c r="BE603" s="1238">
        <v>201605993</v>
      </c>
      <c r="BF603" s="1239">
        <v>1.1499374331862882E-2</v>
      </c>
      <c r="BG603" s="1236"/>
      <c r="BH603" s="1308" t="s">
        <v>32</v>
      </c>
      <c r="BI603" s="1308" t="s">
        <v>280</v>
      </c>
      <c r="BJ603" s="1308" t="s">
        <v>286</v>
      </c>
      <c r="BK603" s="1308">
        <v>8</v>
      </c>
      <c r="BL603" s="1309">
        <v>141009000</v>
      </c>
      <c r="BM603" s="1239">
        <v>8.6121733301191411E-3</v>
      </c>
      <c r="BN603" s="1236">
        <v>2015</v>
      </c>
      <c r="BO603" s="174"/>
      <c r="BP603" s="174"/>
      <c r="BQ603" s="174"/>
      <c r="BR603" s="174"/>
      <c r="BS603" s="174"/>
      <c r="BT603" s="174"/>
      <c r="BU603" s="174"/>
      <c r="BV603" s="174"/>
      <c r="BW603" s="174"/>
      <c r="BX603" s="174"/>
    </row>
    <row r="604" spans="1:76" s="152" customFormat="1" ht="15" customHeight="1" x14ac:dyDescent="0.25">
      <c r="A604" s="152">
        <f t="shared" si="18"/>
        <v>2020</v>
      </c>
      <c r="B604" s="152" t="str">
        <f t="shared" si="19"/>
        <v>2019-20</v>
      </c>
      <c r="C604" s="173">
        <v>43983</v>
      </c>
      <c r="D604" s="170">
        <v>0.68920476190476188</v>
      </c>
      <c r="E604" s="170">
        <v>241.31416702129872</v>
      </c>
      <c r="F604" s="170">
        <v>350.1342131681975</v>
      </c>
      <c r="G604" s="170">
        <v>27.290495466726355</v>
      </c>
      <c r="H604" s="170">
        <v>39.597079090549734</v>
      </c>
      <c r="I604" s="170">
        <v>1732.2180000000001</v>
      </c>
      <c r="J604" s="170">
        <v>2520.19</v>
      </c>
      <c r="K604" s="170">
        <v>100.42</v>
      </c>
      <c r="L604" s="170">
        <v>145.70415869221256</v>
      </c>
      <c r="M604" s="170">
        <v>12703.27</v>
      </c>
      <c r="N604" s="170">
        <v>18431.779207229865</v>
      </c>
      <c r="O604" s="170">
        <v>5742.39</v>
      </c>
      <c r="P604" s="170">
        <v>8331.907028804766</v>
      </c>
      <c r="Q604" s="170">
        <v>1739.86</v>
      </c>
      <c r="R604" s="170">
        <v>2524.4457034677648</v>
      </c>
      <c r="S604" s="170">
        <v>2020.61</v>
      </c>
      <c r="T604" s="170">
        <v>2931.7992441253896</v>
      </c>
      <c r="U604" s="170">
        <v>1360.0206411887741</v>
      </c>
      <c r="V604" s="170">
        <v>1973.3186947665188</v>
      </c>
      <c r="W604" s="170">
        <v>2696.5604454510053</v>
      </c>
      <c r="X604" s="170">
        <v>3912.5679253847507</v>
      </c>
      <c r="Y604" s="170">
        <v>7301.5962308323851</v>
      </c>
      <c r="Z604" s="170">
        <v>10594.233578208155</v>
      </c>
      <c r="AA604" s="170">
        <v>422.86</v>
      </c>
      <c r="AB604" s="170">
        <v>613.54770508453498</v>
      </c>
      <c r="AC604" s="170">
        <v>17.72</v>
      </c>
      <c r="AD604" s="170">
        <v>25.91</v>
      </c>
      <c r="AE604" s="170">
        <v>29102.27</v>
      </c>
      <c r="AF604" s="170">
        <v>42225.869013977463</v>
      </c>
      <c r="AG604" s="170">
        <v>820.77300000000002</v>
      </c>
      <c r="AH604" s="170">
        <v>1227.24</v>
      </c>
      <c r="AI604" s="170">
        <v>1920.5450000000001</v>
      </c>
      <c r="AJ604" s="170">
        <v>2828.41</v>
      </c>
      <c r="AK604" s="170">
        <v>39.93</v>
      </c>
      <c r="AL604" s="170">
        <v>57.936337946425489</v>
      </c>
      <c r="AM604" s="170">
        <v>34.57</v>
      </c>
      <c r="AN604" s="170">
        <v>50.159258773051072</v>
      </c>
      <c r="AO604" s="170">
        <v>5.9715105366182248</v>
      </c>
      <c r="AP604" s="170">
        <v>8.6643489231193112</v>
      </c>
      <c r="AS604" s="167"/>
      <c r="AT604" s="1170"/>
      <c r="AU604" s="1171"/>
      <c r="AV604" s="1171"/>
      <c r="AW604" s="1172"/>
      <c r="AX604" s="1172"/>
      <c r="AY604" s="1172"/>
      <c r="AZ604" s="1172"/>
      <c r="BA604" s="1283" t="s">
        <v>71</v>
      </c>
      <c r="BB604" s="1237">
        <v>2010</v>
      </c>
      <c r="BC604" s="1236" t="s">
        <v>291</v>
      </c>
      <c r="BD604" s="1236"/>
      <c r="BE604" s="1238">
        <v>136469252.72999954</v>
      </c>
      <c r="BF604" s="1239">
        <v>7.7840494648979278E-3</v>
      </c>
      <c r="BG604" s="1236"/>
      <c r="BH604" s="1308" t="s">
        <v>32</v>
      </c>
      <c r="BI604" s="1308" t="s">
        <v>280</v>
      </c>
      <c r="BJ604" s="1308" t="s">
        <v>328</v>
      </c>
      <c r="BK604" s="1308">
        <v>9</v>
      </c>
      <c r="BL604" s="1309">
        <v>71550000</v>
      </c>
      <c r="BM604" s="1239">
        <v>4.3699409383090764E-3</v>
      </c>
      <c r="BN604" s="1236">
        <v>2015</v>
      </c>
      <c r="BO604" s="174"/>
      <c r="BP604" s="174"/>
      <c r="BQ604" s="174"/>
      <c r="BR604" s="174"/>
      <c r="BS604" s="174"/>
      <c r="BT604" s="174"/>
      <c r="BU604" s="174"/>
      <c r="BV604" s="174"/>
      <c r="BW604" s="174"/>
      <c r="BX604" s="174"/>
    </row>
    <row r="605" spans="1:76" s="152" customFormat="1" ht="15" customHeight="1" x14ac:dyDescent="0.25">
      <c r="A605" s="152">
        <f t="shared" si="18"/>
        <v>2020</v>
      </c>
      <c r="B605" s="152" t="str">
        <f t="shared" si="19"/>
        <v>2020-21</v>
      </c>
      <c r="C605" s="173">
        <v>44013</v>
      </c>
      <c r="D605" s="154">
        <v>0.70284782608695662</v>
      </c>
      <c r="E605" s="155">
        <v>250.83102685227888</v>
      </c>
      <c r="F605" s="155">
        <v>356.87814281045519</v>
      </c>
      <c r="G605" s="155">
        <v>27.528896155057357</v>
      </c>
      <c r="H605" s="155">
        <v>39.167647865288366</v>
      </c>
      <c r="I605" s="156">
        <v>1843.3130000000001</v>
      </c>
      <c r="J605" s="156">
        <v>2616.4699999999998</v>
      </c>
      <c r="K605" s="157">
        <v>107.32</v>
      </c>
      <c r="L605" s="157">
        <v>152.69308094398562</v>
      </c>
      <c r="M605" s="159">
        <v>13341.35</v>
      </c>
      <c r="N605" s="159">
        <v>18981.847143608298</v>
      </c>
      <c r="O605" s="175">
        <v>6353.76</v>
      </c>
      <c r="P605" s="175">
        <v>9040.0222696483233</v>
      </c>
      <c r="Q605" s="175">
        <v>1812.15</v>
      </c>
      <c r="R605" s="175">
        <v>2578.2963719031268</v>
      </c>
      <c r="S605" s="175">
        <v>2162.2399999999998</v>
      </c>
      <c r="T605" s="175">
        <v>3076.3985029847508</v>
      </c>
      <c r="U605" s="161">
        <v>1344.280815166054</v>
      </c>
      <c r="V605" s="161">
        <v>1912.6200085873766</v>
      </c>
      <c r="W605" s="161">
        <v>2680.4618391121062</v>
      </c>
      <c r="X605" s="161">
        <v>3813.7157712151452</v>
      </c>
      <c r="Y605" s="162">
        <v>7004.7823154251973</v>
      </c>
      <c r="Z605" s="162">
        <v>9966.2858095808679</v>
      </c>
      <c r="AA605" s="162">
        <v>404.78500000000003</v>
      </c>
      <c r="AB605" s="162">
        <v>575.9212520491169</v>
      </c>
      <c r="AC605" s="163">
        <v>20.405000000000001</v>
      </c>
      <c r="AD605" s="163">
        <v>28.92</v>
      </c>
      <c r="AE605" s="163">
        <v>28556.52</v>
      </c>
      <c r="AF605" s="163">
        <v>40629.733692122107</v>
      </c>
      <c r="AG605" s="163">
        <v>862.17399999999998</v>
      </c>
      <c r="AH605" s="163">
        <v>1256.6500000000001</v>
      </c>
      <c r="AI605" s="163">
        <v>2040.3910000000001</v>
      </c>
      <c r="AJ605" s="163">
        <v>2922.31</v>
      </c>
      <c r="AK605" s="164">
        <v>42.81</v>
      </c>
      <c r="AL605" s="164">
        <v>60.909343973276414</v>
      </c>
      <c r="AM605" s="164">
        <v>43.8</v>
      </c>
      <c r="AN605" s="164">
        <v>62.317899229841316</v>
      </c>
      <c r="AO605" s="164">
        <v>5.4080822107416315</v>
      </c>
      <c r="AP605" s="164">
        <v>7.6945279049245308</v>
      </c>
      <c r="AS605" s="167"/>
      <c r="AT605" s="1170"/>
      <c r="AU605" s="1171"/>
      <c r="AV605" s="1171"/>
      <c r="AW605" s="1172"/>
      <c r="AX605" s="1172"/>
      <c r="AY605" s="1172"/>
      <c r="AZ605" s="1172"/>
      <c r="BA605" s="1283" t="s">
        <v>71</v>
      </c>
      <c r="BB605" s="1237">
        <v>2010</v>
      </c>
      <c r="BC605" s="1236" t="s">
        <v>292</v>
      </c>
      <c r="BD605" s="1236"/>
      <c r="BE605" s="1238">
        <v>17531909752.810013</v>
      </c>
      <c r="BF605" s="1239"/>
      <c r="BG605" s="1236"/>
      <c r="BH605" s="1308" t="s">
        <v>32</v>
      </c>
      <c r="BI605" s="1308" t="s">
        <v>280</v>
      </c>
      <c r="BJ605" s="1308" t="s">
        <v>335</v>
      </c>
      <c r="BK605" s="1308">
        <v>10</v>
      </c>
      <c r="BL605" s="1309">
        <v>61998000</v>
      </c>
      <c r="BM605" s="1239">
        <v>3.7865492423939363E-3</v>
      </c>
      <c r="BN605" s="1236">
        <v>2015</v>
      </c>
      <c r="BO605" s="174"/>
      <c r="BP605" s="174"/>
      <c r="BQ605" s="174"/>
      <c r="BR605" s="174"/>
      <c r="BS605" s="174"/>
      <c r="BT605" s="174"/>
      <c r="BU605" s="174"/>
      <c r="BV605" s="174"/>
      <c r="BW605" s="174"/>
      <c r="BX605" s="174"/>
    </row>
    <row r="606" spans="1:76" s="152" customFormat="1" ht="15" customHeight="1" x14ac:dyDescent="0.25">
      <c r="A606" s="152">
        <f t="shared" si="18"/>
        <v>2020</v>
      </c>
      <c r="B606" s="152" t="str">
        <f t="shared" si="19"/>
        <v>2020-21</v>
      </c>
      <c r="C606" s="173">
        <v>44044</v>
      </c>
      <c r="D606" s="170">
        <v>0.71992</v>
      </c>
      <c r="E606" s="170">
        <v>268.13142114997692</v>
      </c>
      <c r="F606" s="170">
        <v>372.44613450102361</v>
      </c>
      <c r="G606" s="170">
        <v>27.571454133530708</v>
      </c>
      <c r="H606" s="170">
        <v>38.297941623417472</v>
      </c>
      <c r="I606" s="170">
        <v>1968.5650000000001</v>
      </c>
      <c r="J606" s="170">
        <v>2706.23</v>
      </c>
      <c r="K606" s="170">
        <v>122.43</v>
      </c>
      <c r="L606" s="170">
        <v>170.06056228469831</v>
      </c>
      <c r="M606" s="170">
        <v>14486.86</v>
      </c>
      <c r="N606" s="170">
        <v>20122.874763862652</v>
      </c>
      <c r="O606" s="170">
        <v>6496.7</v>
      </c>
      <c r="P606" s="170">
        <v>9024.197133014779</v>
      </c>
      <c r="Q606" s="170">
        <v>1935.2</v>
      </c>
      <c r="R606" s="170">
        <v>2688.0764529392154</v>
      </c>
      <c r="S606" s="170">
        <v>2406.83</v>
      </c>
      <c r="T606" s="170">
        <v>3343.1909101011224</v>
      </c>
      <c r="U606" s="170">
        <v>1326.9238968728689</v>
      </c>
      <c r="V606" s="170">
        <v>1843.1546517291767</v>
      </c>
      <c r="W606" s="170">
        <v>2688.1052891565901</v>
      </c>
      <c r="X606" s="170">
        <v>3733.8944454336456</v>
      </c>
      <c r="Y606" s="170">
        <v>6935.2115554103084</v>
      </c>
      <c r="Z606" s="170">
        <v>9633.3086390297649</v>
      </c>
      <c r="AA606" s="170">
        <v>390.24</v>
      </c>
      <c r="AB606" s="170">
        <v>542.06022891432383</v>
      </c>
      <c r="AC606" s="170">
        <v>26.893000000000001</v>
      </c>
      <c r="AD606" s="170">
        <v>37.68</v>
      </c>
      <c r="AE606" s="170">
        <v>32905</v>
      </c>
      <c r="AF606" s="170">
        <v>45706.46738526503</v>
      </c>
      <c r="AG606" s="170">
        <v>940.75</v>
      </c>
      <c r="AH606" s="170">
        <v>1341.05</v>
      </c>
      <c r="AI606" s="170">
        <v>2169.75</v>
      </c>
      <c r="AJ606" s="170">
        <v>3085.22</v>
      </c>
      <c r="AK606" s="170">
        <v>44.26</v>
      </c>
      <c r="AL606" s="170">
        <v>61.479053228136458</v>
      </c>
      <c r="AM606" s="170">
        <v>46.35</v>
      </c>
      <c r="AN606" s="170">
        <v>64.382153572619188</v>
      </c>
      <c r="AO606" s="170">
        <v>4.1211636242199274</v>
      </c>
      <c r="AP606" s="170">
        <v>5.7244744196854196</v>
      </c>
      <c r="AS606" s="167"/>
      <c r="AT606" s="1170"/>
      <c r="AU606" s="1171"/>
      <c r="AV606" s="1171"/>
      <c r="AW606" s="1172"/>
      <c r="AX606" s="1172"/>
      <c r="AY606" s="1172"/>
      <c r="AZ606" s="1172"/>
      <c r="BA606" s="1283" t="s">
        <v>71</v>
      </c>
      <c r="BB606" s="1237">
        <v>2009</v>
      </c>
      <c r="BC606" s="1236" t="s">
        <v>308</v>
      </c>
      <c r="BD606" s="1236">
        <v>1</v>
      </c>
      <c r="BE606" s="1238">
        <v>5155799373.0300026</v>
      </c>
      <c r="BF606" s="1239">
        <v>0.51663482663482296</v>
      </c>
      <c r="BG606" s="1236"/>
      <c r="BH606" s="1308" t="s">
        <v>32</v>
      </c>
      <c r="BI606" s="1308" t="s">
        <v>280</v>
      </c>
      <c r="BJ606" s="1308" t="s">
        <v>291</v>
      </c>
      <c r="BK606" s="1308"/>
      <c r="BL606" s="1309">
        <v>121489000</v>
      </c>
      <c r="BM606" s="1239">
        <v>7.4199825947481677E-3</v>
      </c>
      <c r="BN606" s="1236">
        <v>2015</v>
      </c>
      <c r="BO606" s="174"/>
      <c r="BP606" s="174"/>
      <c r="BQ606" s="174"/>
      <c r="BR606" s="174"/>
      <c r="BS606" s="174"/>
      <c r="BT606" s="174"/>
      <c r="BU606" s="174"/>
      <c r="BV606" s="174"/>
      <c r="BW606" s="174"/>
      <c r="BX606" s="174"/>
    </row>
    <row r="607" spans="1:76" s="152" customFormat="1" ht="15" customHeight="1" x14ac:dyDescent="0.25">
      <c r="A607" s="152">
        <f t="shared" si="18"/>
        <v>2020</v>
      </c>
      <c r="B607" s="152" t="str">
        <f t="shared" si="19"/>
        <v>2020-21</v>
      </c>
      <c r="C607" s="173">
        <v>44075</v>
      </c>
      <c r="D607" s="154">
        <v>0.72378636363636351</v>
      </c>
      <c r="E607" s="155">
        <v>271.19874084182385</v>
      </c>
      <c r="F607" s="155">
        <v>374.6944602262173</v>
      </c>
      <c r="G607" s="155">
        <v>27.819153645747818</v>
      </c>
      <c r="H607" s="155">
        <v>38.435586857400921</v>
      </c>
      <c r="I607" s="179">
        <v>1922.2139999999999</v>
      </c>
      <c r="J607" s="179">
        <v>2668.63</v>
      </c>
      <c r="K607" s="157">
        <v>123.96</v>
      </c>
      <c r="L607" s="157">
        <v>171.26600641826758</v>
      </c>
      <c r="M607" s="159">
        <v>14866.27</v>
      </c>
      <c r="N607" s="159">
        <v>20539.582875408996</v>
      </c>
      <c r="O607" s="175">
        <v>6712.41</v>
      </c>
      <c r="P607" s="175">
        <v>9274.0210885934466</v>
      </c>
      <c r="Q607" s="175">
        <v>1881.36</v>
      </c>
      <c r="R607" s="175">
        <v>2599.3305407798639</v>
      </c>
      <c r="S607" s="175">
        <v>2450.5</v>
      </c>
      <c r="T607" s="175">
        <v>3385.6675437880344</v>
      </c>
      <c r="U607" s="161">
        <v>1371.0747828226195</v>
      </c>
      <c r="V607" s="161">
        <v>1894.3086685610165</v>
      </c>
      <c r="W607" s="161">
        <v>2685.4155581268983</v>
      </c>
      <c r="X607" s="161">
        <v>3710.2323186017834</v>
      </c>
      <c r="Y607" s="162">
        <v>6965.7978791474006</v>
      </c>
      <c r="Z607" s="162">
        <v>9624.1076498742623</v>
      </c>
      <c r="AA607" s="162">
        <v>390.24</v>
      </c>
      <c r="AB607" s="162">
        <v>539.16462039903797</v>
      </c>
      <c r="AC607" s="163">
        <v>25.885999999999999</v>
      </c>
      <c r="AD607" s="163">
        <v>36.049999999999997</v>
      </c>
      <c r="AE607" s="163">
        <v>33481.589999999997</v>
      </c>
      <c r="AF607" s="163">
        <v>46258.940043835137</v>
      </c>
      <c r="AG607" s="163">
        <v>907.18200000000002</v>
      </c>
      <c r="AH607" s="163">
        <v>1283.3800000000001</v>
      </c>
      <c r="AI607" s="163">
        <v>2299.636</v>
      </c>
      <c r="AJ607" s="163">
        <v>3252.29</v>
      </c>
      <c r="AK607" s="164">
        <v>41.09</v>
      </c>
      <c r="AL607" s="164">
        <v>56.77089548020826</v>
      </c>
      <c r="AM607" s="164">
        <v>42.38</v>
      </c>
      <c r="AN607" s="164">
        <v>58.553189351453547</v>
      </c>
      <c r="AO607" s="164">
        <v>3.9786467304081907</v>
      </c>
      <c r="AP607" s="164">
        <v>5.4969904522919375</v>
      </c>
      <c r="AS607" s="167"/>
      <c r="AT607" s="1170"/>
      <c r="AU607" s="1171"/>
      <c r="AV607" s="1171"/>
      <c r="AW607" s="1172"/>
      <c r="AX607" s="1172"/>
      <c r="AY607" s="1172"/>
      <c r="AZ607" s="1172"/>
      <c r="BA607" s="1283" t="s">
        <v>71</v>
      </c>
      <c r="BB607" s="1237">
        <v>2009</v>
      </c>
      <c r="BC607" s="1236" t="s">
        <v>320</v>
      </c>
      <c r="BD607" s="1236">
        <v>2</v>
      </c>
      <c r="BE607" s="1238">
        <v>1206140343.8699999</v>
      </c>
      <c r="BF607" s="1239">
        <v>0.1208608136911143</v>
      </c>
      <c r="BG607" s="1236"/>
      <c r="BH607" s="1308" t="s">
        <v>32</v>
      </c>
      <c r="BI607" s="1308" t="s">
        <v>280</v>
      </c>
      <c r="BJ607" s="1308" t="s">
        <v>292</v>
      </c>
      <c r="BK607" s="1308"/>
      <c r="BL607" s="1309">
        <v>16373219000</v>
      </c>
      <c r="BM607" s="1239">
        <v>1</v>
      </c>
      <c r="BN607" s="1236">
        <v>2015</v>
      </c>
      <c r="BO607" s="174"/>
      <c r="BP607" s="174"/>
      <c r="BQ607" s="174"/>
      <c r="BR607" s="174"/>
      <c r="BS607" s="174"/>
      <c r="BT607" s="174"/>
      <c r="BU607" s="174"/>
      <c r="BV607" s="174"/>
      <c r="BW607" s="174"/>
      <c r="BX607" s="174"/>
    </row>
    <row r="608" spans="1:76" s="152" customFormat="1" ht="15" customHeight="1" x14ac:dyDescent="0.25">
      <c r="A608" s="152">
        <f t="shared" si="18"/>
        <v>2020</v>
      </c>
      <c r="B608" s="152" t="str">
        <f t="shared" si="19"/>
        <v>2020-21</v>
      </c>
      <c r="C608" s="173">
        <v>44105</v>
      </c>
      <c r="D608" s="169">
        <v>0.71273809523809528</v>
      </c>
      <c r="E608" s="170">
        <v>269.92627371513629</v>
      </c>
      <c r="F608" s="169">
        <v>378.71733743229407</v>
      </c>
      <c r="G608" s="170">
        <v>28.177000554288604</v>
      </c>
      <c r="H608" s="170">
        <v>39.533456598634416</v>
      </c>
      <c r="I608" s="170">
        <v>1900.2750000000001</v>
      </c>
      <c r="J608" s="170">
        <v>2673.54</v>
      </c>
      <c r="K608" s="169">
        <v>120</v>
      </c>
      <c r="L608" s="169">
        <v>168.36479037915481</v>
      </c>
      <c r="M608" s="169">
        <v>15219.36</v>
      </c>
      <c r="N608" s="169">
        <v>21353.369634207447</v>
      </c>
      <c r="O608" s="170">
        <v>6702.77</v>
      </c>
      <c r="P608" s="170">
        <v>9404.2538834140632</v>
      </c>
      <c r="Q608" s="170">
        <v>1777.07</v>
      </c>
      <c r="R608" s="170">
        <v>2493.3001503257055</v>
      </c>
      <c r="S608" s="170">
        <v>2441.5500000000002</v>
      </c>
      <c r="T608" s="170">
        <v>3425.5921162518789</v>
      </c>
      <c r="U608" s="170">
        <v>1266.7265637710088</v>
      </c>
      <c r="V608" s="170">
        <v>1777.2679364751084</v>
      </c>
      <c r="W608" s="170">
        <v>2726.2680815576132</v>
      </c>
      <c r="X608" s="170">
        <v>3825.0629505735674</v>
      </c>
      <c r="Y608" s="170">
        <v>6980.0320822312278</v>
      </c>
      <c r="Z608" s="169">
        <v>9793.2636530386353</v>
      </c>
      <c r="AA608" s="170">
        <v>390.4</v>
      </c>
      <c r="AB608" s="170">
        <v>547.74678470018364</v>
      </c>
      <c r="AC608" s="170">
        <v>24.245999999999999</v>
      </c>
      <c r="AD608" s="170">
        <v>34.200000000000003</v>
      </c>
      <c r="AE608" s="170">
        <v>33227.949999999997</v>
      </c>
      <c r="AF608" s="170">
        <v>46620.140303991975</v>
      </c>
      <c r="AG608" s="170">
        <v>876.27300000000002</v>
      </c>
      <c r="AH608" s="170">
        <v>1258.5</v>
      </c>
      <c r="AI608" s="170">
        <v>2345.1819999999998</v>
      </c>
      <c r="AJ608" s="170">
        <v>3382.73</v>
      </c>
      <c r="AK608" s="170">
        <v>40.47</v>
      </c>
      <c r="AL608" s="170">
        <v>56.781025555369965</v>
      </c>
      <c r="AM608" s="170">
        <v>39.450000000000003</v>
      </c>
      <c r="AN608" s="170">
        <v>55.34992483714715</v>
      </c>
      <c r="AO608" s="170">
        <v>4.5275857658208922</v>
      </c>
      <c r="AP608" s="170">
        <v>6.3523835698839974</v>
      </c>
      <c r="AS608" s="167"/>
      <c r="AT608" s="1170"/>
      <c r="AU608" s="1171"/>
      <c r="AV608" s="1171"/>
      <c r="AW608" s="1172"/>
      <c r="AX608" s="1172"/>
      <c r="AY608" s="1172"/>
      <c r="AZ608" s="1172"/>
      <c r="BA608" s="1283" t="s">
        <v>71</v>
      </c>
      <c r="BB608" s="1237">
        <v>2009</v>
      </c>
      <c r="BC608" s="1236" t="s">
        <v>281</v>
      </c>
      <c r="BD608" s="1236">
        <v>3</v>
      </c>
      <c r="BE608" s="1238">
        <v>1070775091.5599996</v>
      </c>
      <c r="BF608" s="1239">
        <v>0.10729659239395076</v>
      </c>
      <c r="BG608" s="1236"/>
      <c r="BH608" s="1308" t="s">
        <v>40</v>
      </c>
      <c r="BI608" s="1308" t="s">
        <v>280</v>
      </c>
      <c r="BJ608" s="1236" t="s">
        <v>281</v>
      </c>
      <c r="BK608" s="1236">
        <v>1</v>
      </c>
      <c r="BL608" s="1238">
        <v>39966996676.786247</v>
      </c>
      <c r="BM608" s="1239">
        <v>0.8157986615812427</v>
      </c>
      <c r="BN608" s="1236">
        <v>2015</v>
      </c>
      <c r="BO608" s="174"/>
      <c r="BP608" s="174"/>
      <c r="BQ608" s="174"/>
      <c r="BR608" s="174"/>
      <c r="BS608" s="174"/>
      <c r="BT608" s="174"/>
      <c r="BU608" s="174"/>
      <c r="BV608" s="174"/>
      <c r="BW608" s="174"/>
      <c r="BX608" s="174"/>
    </row>
    <row r="609" spans="1:76" s="152" customFormat="1" ht="15" customHeight="1" x14ac:dyDescent="0.25">
      <c r="A609" s="152">
        <f t="shared" si="18"/>
        <v>2020</v>
      </c>
      <c r="B609" s="152" t="str">
        <f t="shared" si="19"/>
        <v>2020-21</v>
      </c>
      <c r="C609" s="173">
        <v>44136</v>
      </c>
      <c r="D609" s="154">
        <v>0.72647142857142855</v>
      </c>
      <c r="E609" s="155">
        <v>271.24777539192365</v>
      </c>
      <c r="F609" s="180">
        <v>373.37707268862522</v>
      </c>
      <c r="G609" s="155">
        <v>28.053300551264972</v>
      </c>
      <c r="H609" s="155">
        <v>38.615834632933122</v>
      </c>
      <c r="I609" s="179">
        <v>1863.4929999999999</v>
      </c>
      <c r="J609" s="179">
        <v>2586.6999999999998</v>
      </c>
      <c r="K609" s="157">
        <v>125</v>
      </c>
      <c r="L609" s="157">
        <v>172.06457829429925</v>
      </c>
      <c r="M609" s="181">
        <v>15796.05</v>
      </c>
      <c r="N609" s="181">
        <v>21743.525455725325</v>
      </c>
      <c r="O609" s="175">
        <v>7063.43</v>
      </c>
      <c r="P609" s="175">
        <v>9722.9288340904186</v>
      </c>
      <c r="Q609" s="175">
        <v>1914.48</v>
      </c>
      <c r="R609" s="175">
        <v>2635.3135508229602</v>
      </c>
      <c r="S609" s="175">
        <v>2669.69</v>
      </c>
      <c r="T609" s="175">
        <v>3674.8726722120623</v>
      </c>
      <c r="U609" s="161">
        <v>1290.0892987005232</v>
      </c>
      <c r="V609" s="161">
        <v>1775.8293691431502</v>
      </c>
      <c r="W609" s="161">
        <v>2676.8371642941752</v>
      </c>
      <c r="X609" s="161">
        <v>3684.7108626942809</v>
      </c>
      <c r="Y609" s="162">
        <v>6965.7633370324129</v>
      </c>
      <c r="Z609" s="182">
        <v>9588.4890486749828</v>
      </c>
      <c r="AA609" s="162">
        <v>392</v>
      </c>
      <c r="AB609" s="162">
        <v>539.59451753092253</v>
      </c>
      <c r="AC609" s="163">
        <v>24.042999999999999</v>
      </c>
      <c r="AD609" s="163">
        <v>33.54</v>
      </c>
      <c r="AE609" s="163">
        <v>32238.33</v>
      </c>
      <c r="AF609" s="163">
        <v>44376.597250899657</v>
      </c>
      <c r="AG609" s="163">
        <v>913.76199999999994</v>
      </c>
      <c r="AH609" s="163">
        <v>1282.1199999999999</v>
      </c>
      <c r="AI609" s="163">
        <v>2353.2379999999998</v>
      </c>
      <c r="AJ609" s="163">
        <v>3324.56</v>
      </c>
      <c r="AK609" s="164">
        <v>43.22</v>
      </c>
      <c r="AL609" s="164">
        <v>59.49304859103691</v>
      </c>
      <c r="AM609" s="164">
        <v>41.24</v>
      </c>
      <c r="AN609" s="164">
        <v>56.767545670855213</v>
      </c>
      <c r="AO609" s="164">
        <v>5.1842106305110152</v>
      </c>
      <c r="AP609" s="164">
        <v>7.1361521274216084</v>
      </c>
      <c r="AS609" s="167"/>
      <c r="AT609" s="1170"/>
      <c r="AU609" s="1171"/>
      <c r="AV609" s="1171"/>
      <c r="AW609" s="1172"/>
      <c r="AX609" s="1172"/>
      <c r="AY609" s="1172"/>
      <c r="AZ609" s="1172"/>
      <c r="BA609" s="1283" t="s">
        <v>71</v>
      </c>
      <c r="BB609" s="1237">
        <v>2009</v>
      </c>
      <c r="BC609" s="1236" t="s">
        <v>306</v>
      </c>
      <c r="BD609" s="1236">
        <v>4</v>
      </c>
      <c r="BE609" s="1238">
        <v>1028108470.5899999</v>
      </c>
      <c r="BF609" s="1239">
        <v>0.10302120060053908</v>
      </c>
      <c r="BG609" s="1236"/>
      <c r="BH609" s="1308" t="s">
        <v>40</v>
      </c>
      <c r="BI609" s="1308" t="s">
        <v>280</v>
      </c>
      <c r="BJ609" s="1236" t="s">
        <v>308</v>
      </c>
      <c r="BK609" s="1236">
        <v>2</v>
      </c>
      <c r="BL609" s="1238">
        <v>4779371529.131134</v>
      </c>
      <c r="BM609" s="1239">
        <v>9.755561390304085E-2</v>
      </c>
      <c r="BN609" s="1236">
        <v>2015</v>
      </c>
      <c r="BO609" s="174"/>
      <c r="BP609" s="174"/>
      <c r="BQ609" s="174"/>
      <c r="BR609" s="174"/>
      <c r="BS609" s="174"/>
      <c r="BT609" s="174"/>
      <c r="BU609" s="174"/>
      <c r="BV609" s="174"/>
      <c r="BW609" s="174"/>
      <c r="BX609" s="174"/>
    </row>
    <row r="610" spans="1:76" s="152" customFormat="1" ht="15" customHeight="1" x14ac:dyDescent="0.25">
      <c r="A610" s="152">
        <f t="shared" si="18"/>
        <v>2020</v>
      </c>
      <c r="B610" s="152" t="str">
        <f t="shared" si="19"/>
        <v>2020-21</v>
      </c>
      <c r="C610" s="173">
        <v>44166</v>
      </c>
      <c r="D610" s="169">
        <v>0.75204761904761896</v>
      </c>
      <c r="E610" s="170">
        <v>277.59233865007815</v>
      </c>
      <c r="F610" s="169">
        <v>369.11537463760158</v>
      </c>
      <c r="G610" s="170">
        <v>28.411284823706094</v>
      </c>
      <c r="H610" s="170">
        <v>37.778571601204838</v>
      </c>
      <c r="I610" s="170">
        <v>1855.9549999999999</v>
      </c>
      <c r="J610" s="170">
        <v>2472.54</v>
      </c>
      <c r="K610" s="169">
        <v>156</v>
      </c>
      <c r="L610" s="169">
        <v>207.43367314633068</v>
      </c>
      <c r="M610" s="170">
        <v>16807.05</v>
      </c>
      <c r="N610" s="170">
        <v>22348.385360602799</v>
      </c>
      <c r="O610" s="170">
        <v>7755.24</v>
      </c>
      <c r="P610" s="170">
        <v>10312.166149559933</v>
      </c>
      <c r="Q610" s="170">
        <v>2018.6</v>
      </c>
      <c r="R610" s="170">
        <v>2684.1385423921993</v>
      </c>
      <c r="S610" s="170">
        <v>2782.36</v>
      </c>
      <c r="T610" s="170">
        <v>3699.7125308681066</v>
      </c>
      <c r="U610" s="170">
        <v>1147.23052314037</v>
      </c>
      <c r="V610" s="170">
        <v>1525.4759061576503</v>
      </c>
      <c r="W610" s="170">
        <v>2718.4900191980423</v>
      </c>
      <c r="X610" s="170">
        <v>3614.7844236787751</v>
      </c>
      <c r="Y610" s="170">
        <v>7073.6607804063178</v>
      </c>
      <c r="Z610" s="169">
        <v>9405.8681940437345</v>
      </c>
      <c r="AA610" s="170">
        <v>396.74</v>
      </c>
      <c r="AB610" s="170">
        <v>527.54638130817455</v>
      </c>
      <c r="AC610" s="170">
        <v>24.887</v>
      </c>
      <c r="AD610" s="170">
        <v>33.299999999999997</v>
      </c>
      <c r="AE610" s="170">
        <v>31890.71</v>
      </c>
      <c r="AF610" s="170">
        <v>42405.173811182176</v>
      </c>
      <c r="AG610" s="170">
        <v>1025.895</v>
      </c>
      <c r="AH610" s="170">
        <v>1392.49</v>
      </c>
      <c r="AI610" s="170">
        <v>2345.0529999999999</v>
      </c>
      <c r="AJ610" s="170">
        <v>3189.74</v>
      </c>
      <c r="AK610" s="170">
        <v>49.87</v>
      </c>
      <c r="AL610" s="170">
        <v>66.31229025517635</v>
      </c>
      <c r="AM610" s="170">
        <v>49.55</v>
      </c>
      <c r="AN610" s="170">
        <v>65.886785284619776</v>
      </c>
      <c r="AO610" s="170">
        <v>5.7666067633133808</v>
      </c>
      <c r="AP610" s="170">
        <v>7.6678745032344082</v>
      </c>
      <c r="AS610" s="167"/>
      <c r="AT610" s="1170"/>
      <c r="AU610" s="1171"/>
      <c r="AV610" s="1171"/>
      <c r="AW610" s="1172"/>
      <c r="AX610" s="1172"/>
      <c r="AY610" s="1172"/>
      <c r="AZ610" s="1172"/>
      <c r="BA610" s="1283" t="s">
        <v>71</v>
      </c>
      <c r="BB610" s="1237">
        <v>2009</v>
      </c>
      <c r="BC610" s="1236" t="s">
        <v>323</v>
      </c>
      <c r="BD610" s="1236">
        <v>5</v>
      </c>
      <c r="BE610" s="1238">
        <v>366451537.58000004</v>
      </c>
      <c r="BF610" s="1239">
        <v>3.6720130650942207E-2</v>
      </c>
      <c r="BG610" s="1236"/>
      <c r="BH610" s="1308" t="s">
        <v>40</v>
      </c>
      <c r="BI610" s="1308" t="s">
        <v>280</v>
      </c>
      <c r="BJ610" s="1236" t="s">
        <v>320</v>
      </c>
      <c r="BK610" s="1236">
        <v>3</v>
      </c>
      <c r="BL610" s="1238">
        <v>2930892424.5567236</v>
      </c>
      <c r="BM610" s="1239">
        <v>5.9824813371096679E-2</v>
      </c>
      <c r="BN610" s="1236">
        <v>2015</v>
      </c>
      <c r="BO610" s="174"/>
      <c r="BP610" s="174"/>
      <c r="BQ610" s="174"/>
      <c r="BR610" s="174"/>
      <c r="BS610" s="174"/>
      <c r="BT610" s="174"/>
      <c r="BU610" s="174"/>
      <c r="BV610" s="174"/>
      <c r="BW610" s="174"/>
      <c r="BX610" s="174"/>
    </row>
    <row r="611" spans="1:76" s="174" customFormat="1" ht="15" customHeight="1" x14ac:dyDescent="0.25">
      <c r="A611" s="152">
        <f t="shared" si="18"/>
        <v>2021</v>
      </c>
      <c r="B611" s="152" t="str">
        <f t="shared" si="19"/>
        <v>2020-21</v>
      </c>
      <c r="C611" s="153">
        <v>44197</v>
      </c>
      <c r="D611" s="183">
        <v>0.77258421052631587</v>
      </c>
      <c r="E611" s="178">
        <v>290.96031566347619</v>
      </c>
      <c r="F611" s="178">
        <v>376.60660378402264</v>
      </c>
      <c r="G611" s="155">
        <v>28.520360781558029</v>
      </c>
      <c r="H611" s="155">
        <v>36.915536705220518</v>
      </c>
      <c r="I611" s="179">
        <v>1866.9849999999999</v>
      </c>
      <c r="J611" s="179">
        <v>2420.9499999999998</v>
      </c>
      <c r="K611" s="158">
        <v>168</v>
      </c>
      <c r="L611" s="158">
        <v>217.45202362542659</v>
      </c>
      <c r="M611" s="159">
        <v>17847.599999999999</v>
      </c>
      <c r="N611" s="159">
        <v>23101.171052721213</v>
      </c>
      <c r="O611" s="175">
        <v>7970.5</v>
      </c>
      <c r="P611" s="175">
        <v>10316.674728014659</v>
      </c>
      <c r="Q611" s="175">
        <v>2014.93</v>
      </c>
      <c r="R611" s="175">
        <v>2608.0393212117906</v>
      </c>
      <c r="S611" s="175">
        <v>2707.7</v>
      </c>
      <c r="T611" s="175">
        <v>3504.7312164914738</v>
      </c>
      <c r="U611" s="161">
        <v>1325.7951260766774</v>
      </c>
      <c r="V611" s="161">
        <v>1716.0525778458398</v>
      </c>
      <c r="W611" s="161">
        <v>2792.7253701906902</v>
      </c>
      <c r="X611" s="161">
        <v>3614.7844236787751</v>
      </c>
      <c r="Y611" s="162">
        <v>7983.8371568955763</v>
      </c>
      <c r="Z611" s="162">
        <v>10333.937774183427</v>
      </c>
      <c r="AA611" s="162">
        <v>417.75</v>
      </c>
      <c r="AB611" s="162">
        <v>540.71775517572598</v>
      </c>
      <c r="AC611" s="163">
        <v>25.896999999999998</v>
      </c>
      <c r="AD611" s="163">
        <v>33.67</v>
      </c>
      <c r="AE611" s="163">
        <v>37691.5</v>
      </c>
      <c r="AF611" s="163">
        <v>48786.267550462901</v>
      </c>
      <c r="AG611" s="163">
        <v>1090.95</v>
      </c>
      <c r="AH611" s="163">
        <v>1432.62</v>
      </c>
      <c r="AI611" s="163">
        <v>2378.1</v>
      </c>
      <c r="AJ611" s="163">
        <v>3153.94</v>
      </c>
      <c r="AK611" s="164">
        <v>54.55</v>
      </c>
      <c r="AL611" s="164">
        <v>70.607189814089409</v>
      </c>
      <c r="AM611" s="164">
        <v>55.49</v>
      </c>
      <c r="AN611" s="164">
        <v>71.823885660565011</v>
      </c>
      <c r="AO611" s="164">
        <v>6.3589640738110358</v>
      </c>
      <c r="AP611" s="164">
        <v>8.2307714643547403</v>
      </c>
      <c r="AS611" s="167"/>
      <c r="AT611" s="1170"/>
      <c r="AU611" s="1171"/>
      <c r="AV611" s="1171"/>
      <c r="AW611" s="1172"/>
      <c r="AX611" s="1172"/>
      <c r="AY611" s="1172"/>
      <c r="AZ611" s="1172"/>
      <c r="BA611" s="1283" t="s">
        <v>71</v>
      </c>
      <c r="BB611" s="1237">
        <v>2009</v>
      </c>
      <c r="BC611" s="1236" t="s">
        <v>342</v>
      </c>
      <c r="BD611" s="1236">
        <v>6</v>
      </c>
      <c r="BE611" s="1238">
        <v>260725064.34</v>
      </c>
      <c r="BF611" s="1239">
        <v>2.6125851428444462E-2</v>
      </c>
      <c r="BG611" s="1236"/>
      <c r="BH611" s="1308" t="s">
        <v>40</v>
      </c>
      <c r="BI611" s="1308" t="s">
        <v>280</v>
      </c>
      <c r="BJ611" s="1236" t="s">
        <v>315</v>
      </c>
      <c r="BK611" s="1236">
        <v>4</v>
      </c>
      <c r="BL611" s="1238">
        <v>1044629323.0914229</v>
      </c>
      <c r="BM611" s="1239">
        <v>2.1322773150014643E-2</v>
      </c>
      <c r="BN611" s="1236">
        <v>2015</v>
      </c>
    </row>
    <row r="612" spans="1:76" s="152" customFormat="1" ht="15" customHeight="1" x14ac:dyDescent="0.25">
      <c r="A612" s="152">
        <f t="shared" si="18"/>
        <v>2021</v>
      </c>
      <c r="B612" s="152" t="str">
        <f t="shared" si="19"/>
        <v>2020-21</v>
      </c>
      <c r="C612" s="153">
        <v>44228</v>
      </c>
      <c r="D612" s="170">
        <v>0.77545499999999989</v>
      </c>
      <c r="E612" s="170">
        <v>297.85058503507719</v>
      </c>
      <c r="F612" s="170">
        <v>384.0978329304437</v>
      </c>
      <c r="G612" s="170">
        <v>28.21141516790291</v>
      </c>
      <c r="H612" s="170">
        <v>36.380467168182442</v>
      </c>
      <c r="I612" s="170">
        <v>1808.175</v>
      </c>
      <c r="J612" s="170">
        <v>2340.19</v>
      </c>
      <c r="K612" s="170">
        <v>165.36</v>
      </c>
      <c r="L612" s="170">
        <v>213.24254792347722</v>
      </c>
      <c r="M612" s="170">
        <v>18568.05</v>
      </c>
      <c r="N612" s="170">
        <v>23944.716327833339</v>
      </c>
      <c r="O612" s="170">
        <v>8460.25</v>
      </c>
      <c r="P612" s="170">
        <v>10910.046359879041</v>
      </c>
      <c r="Q612" s="170">
        <v>2085.75</v>
      </c>
      <c r="R612" s="170">
        <v>2689.7112018105504</v>
      </c>
      <c r="S612" s="170">
        <v>2713.2</v>
      </c>
      <c r="T612" s="170">
        <v>3498.8490628082868</v>
      </c>
      <c r="U612" s="170">
        <v>1322.139257102034</v>
      </c>
      <c r="V612" s="170">
        <v>1704.9851469163707</v>
      </c>
      <c r="W612" s="170">
        <v>2756.9539147751661</v>
      </c>
      <c r="X612" s="170">
        <v>3555.2726009570724</v>
      </c>
      <c r="Y612" s="170">
        <v>9250.6835674283484</v>
      </c>
      <c r="Z612" s="169">
        <v>11929.36220338814</v>
      </c>
      <c r="AA612" s="170">
        <v>434</v>
      </c>
      <c r="AB612" s="170">
        <v>559.67141871546391</v>
      </c>
      <c r="AC612" s="170">
        <v>27.350999999999999</v>
      </c>
      <c r="AD612" s="170">
        <v>35.5</v>
      </c>
      <c r="AE612" s="170">
        <v>47291.25</v>
      </c>
      <c r="AF612" s="170">
        <v>60985.163549142126</v>
      </c>
      <c r="AG612" s="170">
        <v>1206.7</v>
      </c>
      <c r="AH612" s="170">
        <v>1580.15</v>
      </c>
      <c r="AI612" s="170">
        <v>2345.9499999999998</v>
      </c>
      <c r="AJ612" s="170">
        <v>3106.09</v>
      </c>
      <c r="AK612" s="170">
        <v>61.96</v>
      </c>
      <c r="AL612" s="170">
        <v>79.901477197258401</v>
      </c>
      <c r="AM612" s="170">
        <v>63.02</v>
      </c>
      <c r="AN612" s="170">
        <v>81.268416607024278</v>
      </c>
      <c r="AO612" s="170">
        <v>6.3349208445330447</v>
      </c>
      <c r="AP612" s="170">
        <v>8.1692952454146859</v>
      </c>
      <c r="AR612" s="174"/>
      <c r="AS612" s="167"/>
      <c r="AT612" s="1170"/>
      <c r="AU612" s="1171"/>
      <c r="AV612" s="1171"/>
      <c r="AW612" s="1172"/>
      <c r="AX612" s="1172"/>
      <c r="AY612" s="1172"/>
      <c r="AZ612" s="1172"/>
      <c r="BA612" s="1283" t="s">
        <v>71</v>
      </c>
      <c r="BB612" s="1237">
        <v>2009</v>
      </c>
      <c r="BC612" s="1236" t="s">
        <v>287</v>
      </c>
      <c r="BD612" s="1236">
        <v>7</v>
      </c>
      <c r="BE612" s="1238">
        <v>205126908.61999995</v>
      </c>
      <c r="BF612" s="1239">
        <v>2.0554660335968457E-2</v>
      </c>
      <c r="BG612" s="1236"/>
      <c r="BH612" s="1308" t="s">
        <v>40</v>
      </c>
      <c r="BI612" s="1308" t="s">
        <v>280</v>
      </c>
      <c r="BJ612" s="1236" t="s">
        <v>289</v>
      </c>
      <c r="BK612" s="1236">
        <v>5</v>
      </c>
      <c r="BL612" s="1238">
        <v>182006724.85292566</v>
      </c>
      <c r="BM612" s="1239">
        <v>3.7150863182082265E-3</v>
      </c>
      <c r="BN612" s="1236">
        <v>2015</v>
      </c>
      <c r="BO612" s="174"/>
      <c r="BP612" s="174"/>
      <c r="BQ612" s="174"/>
      <c r="BR612" s="174"/>
      <c r="BS612" s="174"/>
      <c r="BT612" s="174"/>
      <c r="BU612" s="174"/>
      <c r="BV612" s="174"/>
      <c r="BW612" s="174"/>
      <c r="BX612" s="174"/>
    </row>
    <row r="613" spans="1:76" s="174" customFormat="1" ht="15" customHeight="1" x14ac:dyDescent="0.25">
      <c r="A613" s="152">
        <f t="shared" si="18"/>
        <v>2021</v>
      </c>
      <c r="B613" s="152" t="str">
        <f t="shared" si="19"/>
        <v>2020-21</v>
      </c>
      <c r="C613" s="153">
        <v>44256</v>
      </c>
      <c r="D613" s="183">
        <v>0.77108260869565215</v>
      </c>
      <c r="E613" s="155">
        <v>307.13817390562298</v>
      </c>
      <c r="F613" s="155">
        <v>398.32071225827769</v>
      </c>
      <c r="G613" s="155">
        <v>28.840846271259664</v>
      </c>
      <c r="H613" s="155">
        <v>37.40305636000047</v>
      </c>
      <c r="I613" s="179">
        <v>1718.2280000000001</v>
      </c>
      <c r="J613" s="179">
        <v>2241.92</v>
      </c>
      <c r="K613" s="158">
        <v>166.9</v>
      </c>
      <c r="L613" s="158">
        <v>216.44892274554692</v>
      </c>
      <c r="M613" s="159">
        <v>16460.740000000002</v>
      </c>
      <c r="N613" s="159">
        <v>21347.5700455035</v>
      </c>
      <c r="O613" s="175">
        <v>9004.98</v>
      </c>
      <c r="P613" s="175">
        <v>11678.359618605124</v>
      </c>
      <c r="Q613" s="175">
        <v>1960.76</v>
      </c>
      <c r="R613" s="175">
        <v>2542.8663257193443</v>
      </c>
      <c r="S613" s="175">
        <v>2791.65</v>
      </c>
      <c r="T613" s="175">
        <v>3620.4292102013546</v>
      </c>
      <c r="U613" s="161">
        <v>1194.640479064775</v>
      </c>
      <c r="V613" s="161">
        <v>1549.3028445883442</v>
      </c>
      <c r="W613" s="161">
        <v>2750.3757267568735</v>
      </c>
      <c r="X613" s="161">
        <v>3566.9015170882326</v>
      </c>
      <c r="Y613" s="162">
        <v>10499.060123891291</v>
      </c>
      <c r="Z613" s="182">
        <v>13615.999123169553</v>
      </c>
      <c r="AA613" s="162">
        <v>482.87</v>
      </c>
      <c r="AB613" s="162">
        <v>626.2234351476468</v>
      </c>
      <c r="AC613" s="163">
        <v>25.613</v>
      </c>
      <c r="AD613" s="163">
        <v>33.56</v>
      </c>
      <c r="AE613" s="163">
        <v>52466.52</v>
      </c>
      <c r="AF613" s="163">
        <v>68042.670666313308</v>
      </c>
      <c r="AG613" s="163">
        <v>1181</v>
      </c>
      <c r="AH613" s="163">
        <v>1558.54</v>
      </c>
      <c r="AI613" s="163">
        <v>2480.261</v>
      </c>
      <c r="AJ613" s="163">
        <v>3292.73</v>
      </c>
      <c r="AK613" s="164">
        <v>65.19</v>
      </c>
      <c r="AL613" s="164">
        <v>84.543470783596192</v>
      </c>
      <c r="AM613" s="164">
        <v>66.459999999999994</v>
      </c>
      <c r="AN613" s="164">
        <v>86.19050572599788</v>
      </c>
      <c r="AO613" s="164">
        <v>6.0511350846434482</v>
      </c>
      <c r="AP613" s="164">
        <v>7.8475834059847713</v>
      </c>
      <c r="AS613" s="167"/>
      <c r="AT613" s="1170"/>
      <c r="AU613" s="1171"/>
      <c r="AV613" s="1171"/>
      <c r="AW613" s="1172"/>
      <c r="AX613" s="1172"/>
      <c r="AY613" s="1172"/>
      <c r="AZ613" s="1172"/>
      <c r="BA613" s="1283" t="s">
        <v>71</v>
      </c>
      <c r="BB613" s="1237">
        <v>2009</v>
      </c>
      <c r="BC613" s="1236" t="s">
        <v>315</v>
      </c>
      <c r="BD613" s="1236">
        <v>8</v>
      </c>
      <c r="BE613" s="1238">
        <v>178174051.93000004</v>
      </c>
      <c r="BF613" s="1239">
        <v>1.7853860045679446E-2</v>
      </c>
      <c r="BG613" s="1236"/>
      <c r="BH613" s="1308" t="s">
        <v>40</v>
      </c>
      <c r="BI613" s="1308" t="s">
        <v>280</v>
      </c>
      <c r="BJ613" s="1236" t="s">
        <v>291</v>
      </c>
      <c r="BK613" s="1236"/>
      <c r="BL613" s="1238">
        <v>87353931.528845891</v>
      </c>
      <c r="BM613" s="1239">
        <v>1.7830516763968735E-3</v>
      </c>
      <c r="BN613" s="1236">
        <v>2015</v>
      </c>
    </row>
    <row r="614" spans="1:76" s="152" customFormat="1" ht="15" customHeight="1" x14ac:dyDescent="0.25">
      <c r="A614" s="152">
        <f t="shared" si="18"/>
        <v>2021</v>
      </c>
      <c r="B614" s="152" t="str">
        <f t="shared" si="19"/>
        <v>2020-21</v>
      </c>
      <c r="C614" s="173">
        <v>44287</v>
      </c>
      <c r="D614" s="169">
        <v>0.77033000000000007</v>
      </c>
      <c r="E614" s="170">
        <v>295.22360925145608</v>
      </c>
      <c r="F614" s="170">
        <v>383.24303772598245</v>
      </c>
      <c r="G614" s="170">
        <v>28.721411588296451</v>
      </c>
      <c r="H614" s="170">
        <v>37.284555435068668</v>
      </c>
      <c r="I614" s="170">
        <v>1761.6780000000001</v>
      </c>
      <c r="J614" s="170">
        <v>2289.79</v>
      </c>
      <c r="K614" s="170">
        <v>179.85</v>
      </c>
      <c r="L614" s="170">
        <v>233.47136941310865</v>
      </c>
      <c r="M614" s="170">
        <v>16480.7</v>
      </c>
      <c r="N614" s="170">
        <v>21394.337491724324</v>
      </c>
      <c r="O614" s="170">
        <v>9335.5499999999993</v>
      </c>
      <c r="P614" s="170">
        <v>12118.897096049743</v>
      </c>
      <c r="Q614" s="170">
        <v>2006.33</v>
      </c>
      <c r="R614" s="170">
        <v>2604.5071592694035</v>
      </c>
      <c r="S614" s="170">
        <v>2827.35</v>
      </c>
      <c r="T614" s="170">
        <v>3670.3101268287614</v>
      </c>
      <c r="U614" s="170">
        <v>1366.3281138826969</v>
      </c>
      <c r="V614" s="170">
        <v>1773.6919422620135</v>
      </c>
      <c r="W614" s="170">
        <v>2838.2698537383149</v>
      </c>
      <c r="X614" s="170">
        <v>3684.4856798233413</v>
      </c>
      <c r="Y614" s="170">
        <v>11785.33560363267</v>
      </c>
      <c r="Z614" s="169">
        <v>15299.073908107783</v>
      </c>
      <c r="AA614" s="170">
        <v>762.95</v>
      </c>
      <c r="AB614" s="170">
        <v>990.41969026261472</v>
      </c>
      <c r="AC614" s="170">
        <v>25.64</v>
      </c>
      <c r="AD614" s="170">
        <v>33.49</v>
      </c>
      <c r="AE614" s="170">
        <v>48988.25</v>
      </c>
      <c r="AF614" s="170">
        <v>63593.849389222793</v>
      </c>
      <c r="AG614" s="170">
        <v>1209.05</v>
      </c>
      <c r="AH614" s="170">
        <v>1597.95</v>
      </c>
      <c r="AI614" s="170">
        <v>2782.85</v>
      </c>
      <c r="AJ614" s="170">
        <v>3647.04</v>
      </c>
      <c r="AK614" s="170">
        <v>64.77</v>
      </c>
      <c r="AL614" s="170">
        <v>84.080848467539866</v>
      </c>
      <c r="AM614" s="170">
        <v>64.650000000000006</v>
      </c>
      <c r="AN614" s="170">
        <v>83.925071073436058</v>
      </c>
      <c r="AO614" s="170">
        <v>6.4718349055047524</v>
      </c>
      <c r="AP614" s="170">
        <v>8.4013798054142406</v>
      </c>
      <c r="AR614" s="174"/>
      <c r="AS614" s="167"/>
      <c r="AT614" s="1170"/>
      <c r="AU614" s="1171"/>
      <c r="AV614" s="1171"/>
      <c r="AW614" s="1172"/>
      <c r="AX614" s="1172"/>
      <c r="AY614" s="1172"/>
      <c r="AZ614" s="1172"/>
      <c r="BA614" s="1283" t="s">
        <v>71</v>
      </c>
      <c r="BB614" s="1237">
        <v>2009</v>
      </c>
      <c r="BC614" s="1236" t="s">
        <v>286</v>
      </c>
      <c r="BD614" s="1236">
        <v>9</v>
      </c>
      <c r="BE614" s="1238">
        <v>151547605.91</v>
      </c>
      <c r="BF614" s="1239">
        <v>1.5185767606822605E-2</v>
      </c>
      <c r="BG614" s="1236"/>
      <c r="BH614" s="1308" t="s">
        <v>40</v>
      </c>
      <c r="BI614" s="1308" t="s">
        <v>280</v>
      </c>
      <c r="BJ614" s="1236" t="s">
        <v>292</v>
      </c>
      <c r="BK614" s="1236"/>
      <c r="BL614" s="1238">
        <v>48991250609.947304</v>
      </c>
      <c r="BM614" s="1239"/>
      <c r="BN614" s="1236">
        <v>2015</v>
      </c>
      <c r="BO614" s="174"/>
      <c r="BP614" s="174"/>
      <c r="BQ614" s="174"/>
      <c r="BR614" s="174"/>
      <c r="BS614" s="174"/>
      <c r="BT614" s="174"/>
      <c r="BU614" s="174"/>
      <c r="BV614" s="174"/>
      <c r="BW614" s="174"/>
      <c r="BX614" s="174"/>
    </row>
    <row r="615" spans="1:76" s="152" customFormat="1" ht="15" customHeight="1" x14ac:dyDescent="0.25">
      <c r="A615" s="152">
        <f t="shared" si="18"/>
        <v>2021</v>
      </c>
      <c r="B615" s="152" t="str">
        <f t="shared" si="19"/>
        <v>2020-21</v>
      </c>
      <c r="C615" s="173">
        <v>44317</v>
      </c>
      <c r="D615" s="154">
        <v>0.77594285714285727</v>
      </c>
      <c r="E615" s="155">
        <v>285.27286095811257</v>
      </c>
      <c r="F615" s="155">
        <v>367.64673884431613</v>
      </c>
      <c r="G615" s="155">
        <v>27.227348832372588</v>
      </c>
      <c r="H615" s="155">
        <v>35.089373633295544</v>
      </c>
      <c r="I615" s="179">
        <v>1853.2239999999999</v>
      </c>
      <c r="J615" s="179">
        <v>2385.63</v>
      </c>
      <c r="K615" s="158">
        <v>205.37</v>
      </c>
      <c r="L615" s="158">
        <v>264.67155166065243</v>
      </c>
      <c r="M615" s="159">
        <v>17605.740000000002</v>
      </c>
      <c r="N615" s="184">
        <v>22689.480079534573</v>
      </c>
      <c r="O615" s="175">
        <v>10183.969999999999</v>
      </c>
      <c r="P615" s="175">
        <v>13124.639148685466</v>
      </c>
      <c r="Q615" s="175">
        <v>2185.92</v>
      </c>
      <c r="R615" s="175">
        <v>2817.1146623462696</v>
      </c>
      <c r="S615" s="175">
        <v>2970.29</v>
      </c>
      <c r="T615" s="175">
        <v>3827.9751822667349</v>
      </c>
      <c r="U615" s="161">
        <v>1383.1526397076739</v>
      </c>
      <c r="V615" s="161">
        <v>1782.5444579780756</v>
      </c>
      <c r="W615" s="161">
        <v>2810.18887417526</v>
      </c>
      <c r="X615" s="161">
        <v>3621.6441047254616</v>
      </c>
      <c r="Y615" s="162">
        <v>13249.57583026559</v>
      </c>
      <c r="Z615" s="182">
        <v>17075.453054690905</v>
      </c>
      <c r="AA615" s="162">
        <v>634.74</v>
      </c>
      <c r="AB615" s="162">
        <v>818.02415494513571</v>
      </c>
      <c r="AC615" s="163">
        <v>27.463000000000001</v>
      </c>
      <c r="AD615" s="163">
        <v>35.49</v>
      </c>
      <c r="AE615" s="163">
        <v>44248.160000000003</v>
      </c>
      <c r="AF615" s="163">
        <v>57025.023934015757</v>
      </c>
      <c r="AG615" s="163">
        <v>1214</v>
      </c>
      <c r="AH615" s="163">
        <v>1587.7</v>
      </c>
      <c r="AI615" s="163">
        <v>2870.3679999999999</v>
      </c>
      <c r="AJ615" s="163">
        <v>3780.18</v>
      </c>
      <c r="AK615" s="164">
        <v>68.040000000000006</v>
      </c>
      <c r="AL615" s="164">
        <v>87.686869430738639</v>
      </c>
      <c r="AM615" s="164">
        <v>68.94</v>
      </c>
      <c r="AN615" s="164">
        <v>88.846748656012949</v>
      </c>
      <c r="AO615" s="164">
        <v>6.8173623456454919</v>
      </c>
      <c r="AP615" s="164">
        <v>8.785907728757353</v>
      </c>
      <c r="AR615" s="174"/>
      <c r="AS615" s="167"/>
      <c r="AT615" s="1170"/>
      <c r="AU615" s="1171"/>
      <c r="AV615" s="1171"/>
      <c r="AW615" s="1172"/>
      <c r="AX615" s="1172"/>
      <c r="AY615" s="1172"/>
      <c r="AZ615" s="1172"/>
      <c r="BA615" s="1283" t="s">
        <v>71</v>
      </c>
      <c r="BB615" s="1237">
        <v>2009</v>
      </c>
      <c r="BC615" s="1236" t="s">
        <v>285</v>
      </c>
      <c r="BD615" s="1236">
        <v>10</v>
      </c>
      <c r="BE615" s="1238">
        <v>111679785.52000001</v>
      </c>
      <c r="BF615" s="1239">
        <v>1.1190828512947193E-2</v>
      </c>
      <c r="BG615" s="1236"/>
      <c r="BH615" s="1308" t="s">
        <v>40</v>
      </c>
      <c r="BI615" s="1308" t="s">
        <v>293</v>
      </c>
      <c r="BJ615" s="1236" t="s">
        <v>281</v>
      </c>
      <c r="BK615" s="1236">
        <v>1</v>
      </c>
      <c r="BL615" s="1238">
        <v>42923552957.242661</v>
      </c>
      <c r="BM615" s="1239">
        <v>0.7894723012368795</v>
      </c>
      <c r="BN615" s="1236">
        <v>2014</v>
      </c>
      <c r="BO615" s="174"/>
      <c r="BP615" s="174"/>
      <c r="BQ615" s="174"/>
      <c r="BR615" s="174"/>
      <c r="BS615" s="174"/>
      <c r="BT615" s="174"/>
      <c r="BU615" s="174"/>
      <c r="BV615" s="174"/>
      <c r="BW615" s="174"/>
      <c r="BX615" s="174"/>
    </row>
    <row r="616" spans="1:76" s="152" customFormat="1" ht="15" customHeight="1" x14ac:dyDescent="0.25">
      <c r="A616" s="152">
        <f t="shared" si="18"/>
        <v>2021</v>
      </c>
      <c r="B616" s="152" t="str">
        <f t="shared" si="19"/>
        <v>2020-21</v>
      </c>
      <c r="C616" s="173">
        <v>44348</v>
      </c>
      <c r="D616" s="169">
        <v>0.7645142857142857</v>
      </c>
      <c r="E616" s="170">
        <v>296.99628237216211</v>
      </c>
      <c r="F616" s="170">
        <v>388.47708659188561</v>
      </c>
      <c r="G616" s="170">
        <v>25.781174724621959</v>
      </c>
      <c r="H616" s="170">
        <v>33.722292972635046</v>
      </c>
      <c r="I616" s="170">
        <v>1834.566</v>
      </c>
      <c r="J616" s="170">
        <v>2409.0100000000002</v>
      </c>
      <c r="K616" s="170">
        <v>214.61</v>
      </c>
      <c r="L616" s="170">
        <v>280.71417893714033</v>
      </c>
      <c r="M616" s="170">
        <v>17943.23</v>
      </c>
      <c r="N616" s="170">
        <v>23470.104267882503</v>
      </c>
      <c r="O616" s="170">
        <v>9587.65</v>
      </c>
      <c r="P616" s="170">
        <v>12540.838253980119</v>
      </c>
      <c r="Q616" s="170">
        <v>2188.98</v>
      </c>
      <c r="R616" s="170">
        <v>2863.2296883175127</v>
      </c>
      <c r="S616" s="170">
        <v>2950.07</v>
      </c>
      <c r="T616" s="170">
        <v>3858.7506540100158</v>
      </c>
      <c r="U616" s="170">
        <v>1404.4585252359805</v>
      </c>
      <c r="V616" s="170">
        <v>1837.0598842686045</v>
      </c>
      <c r="W616" s="170">
        <v>2926.5968105786847</v>
      </c>
      <c r="X616" s="170">
        <v>3828.0472520462649</v>
      </c>
      <c r="Y616" s="170">
        <v>14157.767896660145</v>
      </c>
      <c r="Z616" s="169">
        <v>18518.64400863686</v>
      </c>
      <c r="AA616" s="170">
        <v>664.29</v>
      </c>
      <c r="AB616" s="170">
        <v>868.90462665371103</v>
      </c>
      <c r="AC616" s="170">
        <v>26.981999999999999</v>
      </c>
      <c r="AD616" s="170">
        <v>35.58</v>
      </c>
      <c r="AE616" s="170">
        <v>44127.27</v>
      </c>
      <c r="AF616" s="170">
        <v>57719.353090664474</v>
      </c>
      <c r="AG616" s="170">
        <v>1124</v>
      </c>
      <c r="AH616" s="170">
        <v>1502.46</v>
      </c>
      <c r="AI616" s="170">
        <v>2721.2269999999999</v>
      </c>
      <c r="AJ616" s="170">
        <v>3629.23</v>
      </c>
      <c r="AK616" s="170">
        <v>73.069999999999993</v>
      </c>
      <c r="AL616" s="170">
        <v>95.57702369384856</v>
      </c>
      <c r="AM616" s="170">
        <v>73.760000000000005</v>
      </c>
      <c r="AN616" s="170">
        <v>96.479557515509384</v>
      </c>
      <c r="AO616" s="170">
        <v>7.8214781331633798</v>
      </c>
      <c r="AP616" s="170">
        <v>10.230650073275966</v>
      </c>
      <c r="AR616" s="174"/>
      <c r="AS616" s="167"/>
      <c r="AT616" s="1170"/>
      <c r="AU616" s="1171"/>
      <c r="AV616" s="1171"/>
      <c r="AW616" s="1172"/>
      <c r="AX616" s="1172"/>
      <c r="AY616" s="1172"/>
      <c r="AZ616" s="1172"/>
      <c r="BA616" s="1283" t="s">
        <v>71</v>
      </c>
      <c r="BB616" s="1237">
        <v>2009</v>
      </c>
      <c r="BC616" s="1236" t="s">
        <v>291</v>
      </c>
      <c r="BD616" s="1236"/>
      <c r="BE616" s="1238">
        <v>245053295.86999702</v>
      </c>
      <c r="BF616" s="1239">
        <v>2.455546809876831E-2</v>
      </c>
      <c r="BG616" s="1236"/>
      <c r="BH616" s="1308" t="s">
        <v>40</v>
      </c>
      <c r="BI616" s="1308" t="s">
        <v>293</v>
      </c>
      <c r="BJ616" s="1236" t="s">
        <v>308</v>
      </c>
      <c r="BK616" s="1236">
        <v>2</v>
      </c>
      <c r="BL616" s="1238">
        <v>6107351979.1707363</v>
      </c>
      <c r="BM616" s="1239">
        <v>0.1123295927124776</v>
      </c>
      <c r="BN616" s="1236">
        <v>2014</v>
      </c>
      <c r="BO616" s="174"/>
      <c r="BP616" s="174"/>
      <c r="BQ616" s="174"/>
      <c r="BR616" s="174"/>
      <c r="BS616" s="174"/>
      <c r="BT616" s="174"/>
      <c r="BU616" s="174"/>
      <c r="BV616" s="174"/>
      <c r="BW616" s="174"/>
      <c r="BX616" s="174"/>
    </row>
    <row r="617" spans="1:76" s="152" customFormat="1" ht="15" customHeight="1" x14ac:dyDescent="0.25">
      <c r="A617" s="152">
        <f t="shared" si="18"/>
        <v>2021</v>
      </c>
      <c r="B617" s="152" t="str">
        <f t="shared" si="19"/>
        <v>2021-22</v>
      </c>
      <c r="C617" s="173">
        <v>44378</v>
      </c>
      <c r="D617" s="154">
        <v>0.74247727272727271</v>
      </c>
      <c r="E617" s="155">
        <v>283.27731826852471</v>
      </c>
      <c r="F617" s="155">
        <v>381.52995205898827</v>
      </c>
      <c r="G617" s="155">
        <v>26.31687417248812</v>
      </c>
      <c r="H617" s="155">
        <v>35.444686509825132</v>
      </c>
      <c r="I617" s="179">
        <v>1807.0930000000001</v>
      </c>
      <c r="J617" s="179">
        <v>2436.5100000000002</v>
      </c>
      <c r="K617" s="158">
        <v>211.88</v>
      </c>
      <c r="L617" s="158">
        <v>285.36900425479814</v>
      </c>
      <c r="M617" s="159">
        <v>18817.05</v>
      </c>
      <c r="N617" s="184">
        <v>25343.604028283695</v>
      </c>
      <c r="O617" s="175">
        <v>9433.59</v>
      </c>
      <c r="P617" s="175">
        <v>12705.56062322079</v>
      </c>
      <c r="Q617" s="175">
        <v>2336.98</v>
      </c>
      <c r="R617" s="175">
        <v>3147.544155009336</v>
      </c>
      <c r="S617" s="175">
        <v>2942.98</v>
      </c>
      <c r="T617" s="175">
        <v>3963.7307539257399</v>
      </c>
      <c r="U617" s="161">
        <v>1448.9502884009526</v>
      </c>
      <c r="V617" s="161">
        <v>1951.5079338100927</v>
      </c>
      <c r="W617" s="161">
        <v>2909.6137523260268</v>
      </c>
      <c r="X617" s="161">
        <v>3918.7916710748777</v>
      </c>
      <c r="Y617" s="185">
        <v>14508.818445033876</v>
      </c>
      <c r="Z617" s="186">
        <v>19541.094357999649</v>
      </c>
      <c r="AA617" s="185">
        <v>705</v>
      </c>
      <c r="AB617" s="185">
        <v>949.52401359086593</v>
      </c>
      <c r="AC617" s="163">
        <v>25.753</v>
      </c>
      <c r="AD617" s="163">
        <v>34.9</v>
      </c>
      <c r="AE617" s="163">
        <v>51555.68</v>
      </c>
      <c r="AF617" s="163">
        <v>69437.384676604735</v>
      </c>
      <c r="AG617" s="163">
        <v>1087.0450000000001</v>
      </c>
      <c r="AH617" s="163">
        <v>1492.12</v>
      </c>
      <c r="AI617" s="163">
        <v>2733.636</v>
      </c>
      <c r="AJ617" s="163">
        <v>3746.33</v>
      </c>
      <c r="AK617" s="164">
        <v>74.39</v>
      </c>
      <c r="AL617" s="164">
        <v>100.19161896599223</v>
      </c>
      <c r="AM617" s="164">
        <v>75.459999999999994</v>
      </c>
      <c r="AN617" s="164">
        <v>101.63274051853439</v>
      </c>
      <c r="AO617" s="164">
        <v>8.8219028970097142</v>
      </c>
      <c r="AP617" s="164">
        <v>11.881714391883053</v>
      </c>
      <c r="AR617" s="174"/>
      <c r="AS617" s="167"/>
      <c r="AT617" s="1170"/>
      <c r="AU617" s="1171"/>
      <c r="AV617" s="1171"/>
      <c r="AW617" s="1172"/>
      <c r="AX617" s="1172"/>
      <c r="AY617" s="1172"/>
      <c r="AZ617" s="1172"/>
      <c r="BA617" s="1283" t="s">
        <v>71</v>
      </c>
      <c r="BB617" s="1237">
        <v>2009</v>
      </c>
      <c r="BC617" s="1236" t="s">
        <v>292</v>
      </c>
      <c r="BD617" s="1236"/>
      <c r="BE617" s="1238">
        <v>9979581528.8200016</v>
      </c>
      <c r="BF617" s="1239"/>
      <c r="BG617" s="1236"/>
      <c r="BH617" s="1308" t="s">
        <v>40</v>
      </c>
      <c r="BI617" s="1308" t="s">
        <v>293</v>
      </c>
      <c r="BJ617" s="1236" t="s">
        <v>320</v>
      </c>
      <c r="BK617" s="1236">
        <v>3</v>
      </c>
      <c r="BL617" s="1238">
        <v>3728621644.7344747</v>
      </c>
      <c r="BM617" s="1239">
        <v>6.8578747738855847E-2</v>
      </c>
      <c r="BN617" s="1236">
        <v>2014</v>
      </c>
      <c r="BO617" s="174"/>
      <c r="BP617" s="174"/>
      <c r="BQ617" s="174"/>
      <c r="BR617" s="174"/>
      <c r="BS617" s="174"/>
      <c r="BT617" s="174"/>
      <c r="BU617" s="174"/>
      <c r="BV617" s="174"/>
      <c r="BW617" s="174"/>
      <c r="BX617" s="174"/>
    </row>
    <row r="618" spans="1:76" s="152" customFormat="1" ht="15" customHeight="1" x14ac:dyDescent="0.25">
      <c r="A618" s="152">
        <f t="shared" si="18"/>
        <v>2021</v>
      </c>
      <c r="B618" s="152" t="str">
        <f t="shared" si="19"/>
        <v>2021-22</v>
      </c>
      <c r="C618" s="173">
        <v>44409</v>
      </c>
      <c r="D618" s="169">
        <v>0.73009047619047618</v>
      </c>
      <c r="E618" s="170">
        <v>288.40078187845972</v>
      </c>
      <c r="F618" s="170">
        <v>395.0206053683923</v>
      </c>
      <c r="G618" s="170">
        <v>26.390986686720076</v>
      </c>
      <c r="H618" s="170">
        <v>36.147556429478513</v>
      </c>
      <c r="I618" s="170">
        <v>1783.9690000000001</v>
      </c>
      <c r="J618" s="170">
        <v>2449.9299999999998</v>
      </c>
      <c r="K618" s="170">
        <v>159.19999999999999</v>
      </c>
      <c r="L618" s="170">
        <v>218.0551660263894</v>
      </c>
      <c r="M618" s="170">
        <v>19160.43</v>
      </c>
      <c r="N618" s="170">
        <v>26243.911713486261</v>
      </c>
      <c r="O618" s="170">
        <v>9357.19</v>
      </c>
      <c r="P618" s="170">
        <v>12816.480018784365</v>
      </c>
      <c r="Q618" s="170">
        <v>2428.52</v>
      </c>
      <c r="R618" s="170">
        <v>3326.3274610452718</v>
      </c>
      <c r="S618" s="170">
        <v>2988.9</v>
      </c>
      <c r="T618" s="170">
        <v>4093.8761666851469</v>
      </c>
      <c r="U618" s="170">
        <v>1519.4196824074072</v>
      </c>
      <c r="V618" s="170">
        <v>2081.1388888888887</v>
      </c>
      <c r="W618" s="170">
        <v>2944.1146633221656</v>
      </c>
      <c r="X618" s="170">
        <v>4032.5339931623266</v>
      </c>
      <c r="Y618" s="170">
        <v>16785.068307583409</v>
      </c>
      <c r="Z618" s="169">
        <v>22990.394827728567</v>
      </c>
      <c r="AA618" s="170">
        <v>864.55</v>
      </c>
      <c r="AB618" s="170">
        <v>1184.1683026891644</v>
      </c>
      <c r="AC618" s="170">
        <v>24.015999999999998</v>
      </c>
      <c r="AD618" s="170">
        <v>33.06</v>
      </c>
      <c r="AE618" s="170">
        <v>51729.52</v>
      </c>
      <c r="AF618" s="170">
        <v>70853.574573275328</v>
      </c>
      <c r="AG618" s="170">
        <v>1008.2859999999999</v>
      </c>
      <c r="AH618" s="170">
        <v>1412.45</v>
      </c>
      <c r="AI618" s="170">
        <v>2544.7139999999999</v>
      </c>
      <c r="AJ618" s="170">
        <v>3533.81</v>
      </c>
      <c r="AK618" s="170">
        <v>70.02</v>
      </c>
      <c r="AL618" s="170">
        <v>95.905921640501177</v>
      </c>
      <c r="AM618" s="170">
        <v>70.959999999999994</v>
      </c>
      <c r="AN618" s="170">
        <v>97.193433299199697</v>
      </c>
      <c r="AO618" s="170">
        <v>9.3371696268255722</v>
      </c>
      <c r="AP618" s="170">
        <v>12.789058248706098</v>
      </c>
      <c r="AR618" s="174"/>
      <c r="AS618" s="167"/>
      <c r="AT618" s="1170"/>
      <c r="AU618" s="1171"/>
      <c r="AV618" s="1171"/>
      <c r="AW618" s="1172"/>
      <c r="AX618" s="1172"/>
      <c r="AY618" s="1172"/>
      <c r="AZ618" s="1172"/>
      <c r="BA618" s="1283" t="s">
        <v>71</v>
      </c>
      <c r="BB618" s="1237">
        <v>2008</v>
      </c>
      <c r="BC618" s="1236" t="s">
        <v>308</v>
      </c>
      <c r="BD618" s="1236">
        <v>1</v>
      </c>
      <c r="BE618" s="1238">
        <v>7689296422.5899925</v>
      </c>
      <c r="BF618" s="1239">
        <v>0.59272203080613262</v>
      </c>
      <c r="BG618" s="1236"/>
      <c r="BH618" s="1308" t="s">
        <v>40</v>
      </c>
      <c r="BI618" s="1308" t="s">
        <v>293</v>
      </c>
      <c r="BJ618" s="1236" t="s">
        <v>315</v>
      </c>
      <c r="BK618" s="1236">
        <v>4</v>
      </c>
      <c r="BL618" s="1238">
        <v>1231981920.7978566</v>
      </c>
      <c r="BM618" s="1239">
        <v>2.2659251974396531E-2</v>
      </c>
      <c r="BN618" s="1236">
        <v>2014</v>
      </c>
      <c r="BO618" s="174"/>
      <c r="BP618" s="174"/>
      <c r="BQ618" s="174"/>
      <c r="BR618" s="174"/>
      <c r="BS618" s="174"/>
      <c r="BT618" s="174"/>
      <c r="BU618" s="174"/>
      <c r="BV618" s="174"/>
      <c r="BW618" s="174"/>
      <c r="BX618" s="174"/>
    </row>
    <row r="619" spans="1:76" s="152" customFormat="1" ht="15" customHeight="1" x14ac:dyDescent="0.35">
      <c r="A619" s="152">
        <f t="shared" si="18"/>
        <v>2021</v>
      </c>
      <c r="B619" s="152" t="str">
        <f t="shared" si="19"/>
        <v>2021-22</v>
      </c>
      <c r="C619" s="173">
        <v>44440</v>
      </c>
      <c r="D619" s="154">
        <v>0.73220454545454539</v>
      </c>
      <c r="E619" s="155">
        <v>303.41583813152442</v>
      </c>
      <c r="F619" s="155">
        <v>414.38671750278041</v>
      </c>
      <c r="G619" s="155">
        <v>26.118652560759507</v>
      </c>
      <c r="H619" s="180">
        <v>35.67125159615788</v>
      </c>
      <c r="I619" s="156">
        <v>1777.252</v>
      </c>
      <c r="J619" s="156">
        <v>2437.69</v>
      </c>
      <c r="K619" s="158">
        <v>120.32</v>
      </c>
      <c r="L619" s="158">
        <v>164.32566657354812</v>
      </c>
      <c r="M619" s="159">
        <v>19541</v>
      </c>
      <c r="N619" s="184">
        <v>26687.897693764164</v>
      </c>
      <c r="O619" s="175">
        <v>9323.69</v>
      </c>
      <c r="P619" s="175">
        <v>12733.723189620388</v>
      </c>
      <c r="Q619" s="175">
        <v>2256.48</v>
      </c>
      <c r="R619" s="175">
        <v>3081.7618027749327</v>
      </c>
      <c r="S619" s="175">
        <v>3041.05</v>
      </c>
      <c r="T619" s="175">
        <v>4153.2793245801913</v>
      </c>
      <c r="U619" s="161">
        <v>1512.9222945283245</v>
      </c>
      <c r="V619" s="161">
        <v>2066.2563540753727</v>
      </c>
      <c r="W619" s="161">
        <v>2994.5152273200001</v>
      </c>
      <c r="X619" s="161">
        <v>4089.7249899767207</v>
      </c>
      <c r="Y619" s="185">
        <v>22963.317489067074</v>
      </c>
      <c r="Z619" s="186">
        <v>31361.888739452817</v>
      </c>
      <c r="AA619" s="185">
        <v>993.33</v>
      </c>
      <c r="AB619" s="185">
        <v>1356.6291088555733</v>
      </c>
      <c r="AC619" s="163">
        <v>23.306999999999999</v>
      </c>
      <c r="AD619" s="163">
        <v>32.159999999999997</v>
      </c>
      <c r="AE619" s="163">
        <v>51496.36</v>
      </c>
      <c r="AF619" s="163">
        <v>70330.565850327475</v>
      </c>
      <c r="AG619" s="163">
        <v>975.18200000000002</v>
      </c>
      <c r="AH619" s="163">
        <v>1363.46</v>
      </c>
      <c r="AI619" s="163">
        <v>2112.1819999999998</v>
      </c>
      <c r="AJ619" s="163">
        <v>2983.2</v>
      </c>
      <c r="AK619" s="164">
        <v>74.599999999999994</v>
      </c>
      <c r="AL619" s="164">
        <v>101.88409845733619</v>
      </c>
      <c r="AM619" s="164">
        <v>76.290000000000006</v>
      </c>
      <c r="AN619" s="164">
        <v>104.1921966663563</v>
      </c>
      <c r="AO619" s="164">
        <v>10.253990117520583</v>
      </c>
      <c r="AP619" s="164">
        <v>14.004269955952005</v>
      </c>
      <c r="AR619" s="174"/>
      <c r="AS619" s="142"/>
      <c r="AT619" s="1170"/>
      <c r="AU619" s="1171"/>
      <c r="AV619" s="1171"/>
      <c r="AW619" s="1172"/>
      <c r="AX619" s="1172"/>
      <c r="AY619" s="1172"/>
      <c r="AZ619" s="1172"/>
      <c r="BA619" s="1283" t="s">
        <v>71</v>
      </c>
      <c r="BB619" s="1237">
        <v>2008</v>
      </c>
      <c r="BC619" s="1236" t="s">
        <v>306</v>
      </c>
      <c r="BD619" s="1236">
        <v>2</v>
      </c>
      <c r="BE619" s="1238">
        <v>1386728353.9400005</v>
      </c>
      <c r="BF619" s="1239">
        <v>0.10689462350664669</v>
      </c>
      <c r="BG619" s="1236"/>
      <c r="BH619" s="1308" t="s">
        <v>40</v>
      </c>
      <c r="BI619" s="1308" t="s">
        <v>293</v>
      </c>
      <c r="BJ619" s="1236" t="s">
        <v>289</v>
      </c>
      <c r="BK619" s="1236">
        <v>5</v>
      </c>
      <c r="BL619" s="1238">
        <v>192493931.61318237</v>
      </c>
      <c r="BM619" s="1239">
        <v>3.5404484646500197E-3</v>
      </c>
      <c r="BN619" s="1236">
        <v>2014</v>
      </c>
      <c r="BO619" s="174"/>
      <c r="BP619" s="174"/>
      <c r="BQ619" s="174"/>
      <c r="BR619" s="174"/>
      <c r="BS619" s="174"/>
      <c r="BT619" s="174"/>
      <c r="BU619" s="174"/>
      <c r="BV619" s="174"/>
      <c r="BW619" s="174"/>
      <c r="BX619" s="174"/>
    </row>
    <row r="620" spans="1:76" s="152" customFormat="1" ht="15" customHeight="1" x14ac:dyDescent="0.35">
      <c r="A620" s="152">
        <f t="shared" si="18"/>
        <v>2021</v>
      </c>
      <c r="B620" s="152" t="str">
        <f t="shared" si="19"/>
        <v>2021-22</v>
      </c>
      <c r="C620" s="173">
        <v>44470</v>
      </c>
      <c r="D620" s="169">
        <v>0.74029499999999993</v>
      </c>
      <c r="E620" s="170">
        <v>365.12796567667891</v>
      </c>
      <c r="F620" s="170">
        <v>493.21954852684263</v>
      </c>
      <c r="G620" s="170">
        <v>25.839692870554888</v>
      </c>
      <c r="H620" s="169">
        <v>34.904589211807306</v>
      </c>
      <c r="I620" s="169">
        <v>1776.855</v>
      </c>
      <c r="J620" s="169">
        <v>2405.17</v>
      </c>
      <c r="K620" s="170">
        <v>120.97</v>
      </c>
      <c r="L620" s="170">
        <v>163.40783066210093</v>
      </c>
      <c r="M620" s="170">
        <v>19416.189999999999</v>
      </c>
      <c r="N620" s="170">
        <v>26227.638981757274</v>
      </c>
      <c r="O620" s="170">
        <v>9777.43</v>
      </c>
      <c r="P620" s="170">
        <v>13207.478099946644</v>
      </c>
      <c r="Q620" s="170">
        <v>2338.83</v>
      </c>
      <c r="R620" s="170">
        <v>3159.3216217859099</v>
      </c>
      <c r="S620" s="170">
        <v>3369.49</v>
      </c>
      <c r="T620" s="170">
        <v>4551.5503954504629</v>
      </c>
      <c r="U620" s="170">
        <v>979.50259767000477</v>
      </c>
      <c r="V620" s="170">
        <v>1323.1246971410112</v>
      </c>
      <c r="W620" s="170">
        <v>3124.599911138735</v>
      </c>
      <c r="X620" s="170">
        <v>4220.7497161790034</v>
      </c>
      <c r="Y620" s="170">
        <v>28113.956908549804</v>
      </c>
      <c r="Z620" s="170">
        <v>37976.69430233867</v>
      </c>
      <c r="AA620" s="170">
        <v>1250</v>
      </c>
      <c r="AB620" s="170">
        <v>1688.5160645418382</v>
      </c>
      <c r="AC620" s="170">
        <v>23.295999999999999</v>
      </c>
      <c r="AD620" s="170">
        <v>31.8</v>
      </c>
      <c r="AE620" s="170">
        <v>54628.33</v>
      </c>
      <c r="AF620" s="170">
        <v>73792.650227274265</v>
      </c>
      <c r="AG620" s="170">
        <v>1017.095</v>
      </c>
      <c r="AH620" s="170">
        <v>1409.03</v>
      </c>
      <c r="AI620" s="170">
        <v>2008.857</v>
      </c>
      <c r="AJ620" s="170">
        <v>2807.74</v>
      </c>
      <c r="AK620" s="169">
        <v>83.65</v>
      </c>
      <c r="AL620" s="169">
        <v>112.99549503913983</v>
      </c>
      <c r="AM620" s="170">
        <v>85.17</v>
      </c>
      <c r="AN620" s="170">
        <v>115.04873057362269</v>
      </c>
      <c r="AO620" s="170">
        <v>11.418899064697863</v>
      </c>
      <c r="AP620" s="170">
        <v>15.42479560809929</v>
      </c>
      <c r="AR620" s="174"/>
      <c r="AS620" s="142"/>
      <c r="AT620" s="1170"/>
      <c r="AU620" s="1171"/>
      <c r="AV620" s="1171"/>
      <c r="AW620" s="1172"/>
      <c r="AX620" s="1172"/>
      <c r="AY620" s="1172"/>
      <c r="AZ620" s="1172"/>
      <c r="BA620" s="1283" t="s">
        <v>71</v>
      </c>
      <c r="BB620" s="1237">
        <v>2008</v>
      </c>
      <c r="BC620" s="1236" t="s">
        <v>320</v>
      </c>
      <c r="BD620" s="1236">
        <v>3</v>
      </c>
      <c r="BE620" s="1238">
        <v>1369947130.47</v>
      </c>
      <c r="BF620" s="1239">
        <v>0.10560105901024769</v>
      </c>
      <c r="BG620" s="1236"/>
      <c r="BH620" s="1308" t="s">
        <v>40</v>
      </c>
      <c r="BI620" s="1308" t="s">
        <v>293</v>
      </c>
      <c r="BJ620" s="1236" t="s">
        <v>291</v>
      </c>
      <c r="BK620" s="1236"/>
      <c r="BL620" s="1238">
        <v>185926555.70849308</v>
      </c>
      <c r="BM620" s="1239">
        <v>3.419657872740553E-3</v>
      </c>
      <c r="BN620" s="1236">
        <v>2014</v>
      </c>
      <c r="BO620" s="174"/>
      <c r="BP620" s="174"/>
      <c r="BQ620" s="174"/>
      <c r="BR620" s="174"/>
      <c r="BS620" s="174"/>
      <c r="BT620" s="174"/>
      <c r="BU620" s="174"/>
      <c r="BV620" s="174"/>
      <c r="BW620" s="174"/>
      <c r="BX620" s="174"/>
    </row>
    <row r="621" spans="1:76" s="152" customFormat="1" ht="15" customHeight="1" x14ac:dyDescent="0.35">
      <c r="A621" s="152">
        <f t="shared" si="18"/>
        <v>2021</v>
      </c>
      <c r="B621" s="152" t="str">
        <f t="shared" si="19"/>
        <v>2021-22</v>
      </c>
      <c r="C621" s="173">
        <v>44501</v>
      </c>
      <c r="D621" s="154">
        <v>0.73131818181818176</v>
      </c>
      <c r="E621" s="155">
        <v>446.91483462634574</v>
      </c>
      <c r="F621" s="155">
        <v>611.10860599040382</v>
      </c>
      <c r="G621" s="155">
        <v>26.980449613899477</v>
      </c>
      <c r="H621" s="180">
        <v>36.892901454769628</v>
      </c>
      <c r="I621" s="156">
        <v>1820.2339999999999</v>
      </c>
      <c r="J621" s="156">
        <v>2495.37</v>
      </c>
      <c r="K621" s="158">
        <v>94.94</v>
      </c>
      <c r="L621" s="158">
        <v>129.8203741686867</v>
      </c>
      <c r="M621" s="159">
        <v>19957.95</v>
      </c>
      <c r="N621" s="184">
        <v>27290.378519485366</v>
      </c>
      <c r="O621" s="175">
        <v>9764.59</v>
      </c>
      <c r="P621" s="175">
        <v>13352.040524582015</v>
      </c>
      <c r="Q621" s="175">
        <v>2346.94</v>
      </c>
      <c r="R621" s="175">
        <v>3209.191372987756</v>
      </c>
      <c r="S621" s="175">
        <v>3316.65</v>
      </c>
      <c r="T621" s="175">
        <v>4535.166884206601</v>
      </c>
      <c r="U621" s="161">
        <v>1684.7474757651003</v>
      </c>
      <c r="V621" s="161">
        <v>2303.7133735367152</v>
      </c>
      <c r="W621" s="161">
        <v>3206.7674763366977</v>
      </c>
      <c r="X621" s="161">
        <v>4384.9141947546368</v>
      </c>
      <c r="Y621" s="185">
        <v>28558.364254416887</v>
      </c>
      <c r="Z621" s="186">
        <v>39050.532264104142</v>
      </c>
      <c r="AA621" s="185">
        <v>1922.73</v>
      </c>
      <c r="AB621" s="185">
        <v>2629.1292187208655</v>
      </c>
      <c r="AC621" s="163">
        <v>24.196000000000002</v>
      </c>
      <c r="AD621" s="163">
        <v>33.4</v>
      </c>
      <c r="AE621" s="163">
        <v>59900.23</v>
      </c>
      <c r="AF621" s="163">
        <v>81907.207408788629</v>
      </c>
      <c r="AG621" s="163">
        <v>1035.7729999999999</v>
      </c>
      <c r="AH621" s="163">
        <v>1434.0845630000003</v>
      </c>
      <c r="AI621" s="163">
        <v>2004.4760000000001</v>
      </c>
      <c r="AJ621" s="163">
        <v>2822.51</v>
      </c>
      <c r="AK621" s="187">
        <v>80.77</v>
      </c>
      <c r="AL621" s="187">
        <v>110.44440300826652</v>
      </c>
      <c r="AM621" s="164">
        <v>83.59</v>
      </c>
      <c r="AN621" s="164">
        <v>114.30045372614832</v>
      </c>
      <c r="AO621" s="164">
        <v>12.818625212223122</v>
      </c>
      <c r="AP621" s="187">
        <v>17.52810955739379</v>
      </c>
      <c r="AR621" s="174"/>
      <c r="AS621" s="142"/>
      <c r="AT621" s="1170"/>
      <c r="AU621" s="1171"/>
      <c r="AV621" s="1171"/>
      <c r="AW621" s="1172"/>
      <c r="AX621" s="1172"/>
      <c r="AY621" s="1172"/>
      <c r="AZ621" s="1172"/>
      <c r="BA621" s="1283" t="s">
        <v>71</v>
      </c>
      <c r="BB621" s="1237">
        <v>2008</v>
      </c>
      <c r="BC621" s="1236" t="s">
        <v>281</v>
      </c>
      <c r="BD621" s="1236">
        <v>4</v>
      </c>
      <c r="BE621" s="1238">
        <v>855348594.64000022</v>
      </c>
      <c r="BF621" s="1239">
        <v>6.5933725037930657E-2</v>
      </c>
      <c r="BG621" s="1236"/>
      <c r="BH621" s="1308" t="s">
        <v>40</v>
      </c>
      <c r="BI621" s="1308" t="s">
        <v>293</v>
      </c>
      <c r="BJ621" s="1236" t="s">
        <v>292</v>
      </c>
      <c r="BK621" s="1236"/>
      <c r="BL621" s="1238">
        <v>54369928989.267403</v>
      </c>
      <c r="BM621" s="1239"/>
      <c r="BN621" s="1236">
        <v>2014</v>
      </c>
      <c r="BO621" s="174"/>
      <c r="BP621" s="174"/>
      <c r="BQ621" s="174"/>
      <c r="BR621" s="174"/>
      <c r="BS621" s="174"/>
      <c r="BT621" s="174"/>
      <c r="BU621" s="174"/>
      <c r="BV621" s="174"/>
      <c r="BW621" s="174"/>
      <c r="BX621" s="174"/>
    </row>
    <row r="622" spans="1:76" s="152" customFormat="1" ht="15" customHeight="1" x14ac:dyDescent="0.35">
      <c r="A622" s="152">
        <f t="shared" si="18"/>
        <v>2021</v>
      </c>
      <c r="B622" s="152" t="str">
        <f t="shared" si="19"/>
        <v>2021-22</v>
      </c>
      <c r="C622" s="173">
        <v>44531</v>
      </c>
      <c r="D622" s="169">
        <v>0.71505714285714284</v>
      </c>
      <c r="E622" s="170">
        <v>385.65197234914837</v>
      </c>
      <c r="F622" s="170">
        <v>539.33028458145975</v>
      </c>
      <c r="G622" s="170">
        <v>24.183006323303118</v>
      </c>
      <c r="H622" s="169">
        <v>33.819683594342479</v>
      </c>
      <c r="I622" s="169">
        <v>1786.653</v>
      </c>
      <c r="J622" s="169">
        <v>2514.13</v>
      </c>
      <c r="K622" s="170">
        <v>112.94</v>
      </c>
      <c r="L622" s="170">
        <v>157.94541894753667</v>
      </c>
      <c r="M622" s="170">
        <v>20064.759999999998</v>
      </c>
      <c r="N622" s="170">
        <v>28060.358812482518</v>
      </c>
      <c r="O622" s="170">
        <v>9549.11</v>
      </c>
      <c r="P622" s="170">
        <v>13354.331322172055</v>
      </c>
      <c r="Q622" s="170">
        <v>2304.1999999999998</v>
      </c>
      <c r="R622" s="170">
        <v>3222.3998082071362</v>
      </c>
      <c r="S622" s="170">
        <v>3407.32</v>
      </c>
      <c r="T622" s="170">
        <v>4765.1016901746116</v>
      </c>
      <c r="U622" s="170">
        <v>1660.5109562157866</v>
      </c>
      <c r="V622" s="170">
        <v>2322.2073547589616</v>
      </c>
      <c r="W622" s="170">
        <v>3101.8693085260211</v>
      </c>
      <c r="X622" s="170">
        <v>4337.9320653058994</v>
      </c>
      <c r="Y622" s="170">
        <v>30272.472691251791</v>
      </c>
      <c r="Z622" s="170">
        <v>42335.739169449502</v>
      </c>
      <c r="AA622" s="170">
        <v>2379.13</v>
      </c>
      <c r="AB622" s="170">
        <v>3327.1886362728255</v>
      </c>
      <c r="AC622" s="170">
        <v>22.468</v>
      </c>
      <c r="AD622" s="170">
        <v>31.82</v>
      </c>
      <c r="AE622" s="170">
        <v>68925.240000000005</v>
      </c>
      <c r="AF622" s="170">
        <v>96391.233467854734</v>
      </c>
      <c r="AG622" s="170">
        <v>940.11099999999999</v>
      </c>
      <c r="AH622" s="170">
        <v>1324.6177087096776</v>
      </c>
      <c r="AI622" s="170">
        <v>1789.421</v>
      </c>
      <c r="AJ622" s="170">
        <v>2655.05</v>
      </c>
      <c r="AK622" s="169">
        <v>74.31</v>
      </c>
      <c r="AL622" s="169">
        <v>103.92176449434611</v>
      </c>
      <c r="AM622" s="170">
        <v>77.239999999999995</v>
      </c>
      <c r="AN622" s="170">
        <v>108.01933911375714</v>
      </c>
      <c r="AO622" s="170">
        <v>12.421455019498751</v>
      </c>
      <c r="AP622" s="170">
        <v>17.371276049165154</v>
      </c>
      <c r="AR622" s="174"/>
      <c r="AS622" s="142"/>
      <c r="AT622" s="1170"/>
      <c r="AU622" s="1171"/>
      <c r="AV622" s="1171"/>
      <c r="AW622" s="1172"/>
      <c r="AX622" s="1172"/>
      <c r="AY622" s="1172"/>
      <c r="AZ622" s="1172"/>
      <c r="BA622" s="1283" t="s">
        <v>71</v>
      </c>
      <c r="BB622" s="1237">
        <v>2008</v>
      </c>
      <c r="BC622" s="1236" t="s">
        <v>323</v>
      </c>
      <c r="BD622" s="1236">
        <v>5</v>
      </c>
      <c r="BE622" s="1238">
        <v>592867349.92000008</v>
      </c>
      <c r="BF622" s="1239">
        <v>4.5700610345942187E-2</v>
      </c>
      <c r="BG622" s="1236"/>
      <c r="BH622" s="1308" t="s">
        <v>40</v>
      </c>
      <c r="BI622" s="1308" t="s">
        <v>294</v>
      </c>
      <c r="BJ622" s="1236" t="s">
        <v>281</v>
      </c>
      <c r="BK622" s="1236">
        <v>1</v>
      </c>
      <c r="BL622" s="1238">
        <v>49014730714.380302</v>
      </c>
      <c r="BM622" s="1239">
        <v>0.65372439248930869</v>
      </c>
      <c r="BN622" s="1236">
        <v>2013</v>
      </c>
      <c r="BO622" s="174"/>
      <c r="BP622" s="174"/>
      <c r="BQ622" s="174"/>
      <c r="BR622" s="174"/>
      <c r="BS622" s="174"/>
      <c r="BT622" s="174"/>
      <c r="BU622" s="174"/>
      <c r="BV622" s="174"/>
      <c r="BW622" s="174"/>
      <c r="BX622" s="174"/>
    </row>
    <row r="623" spans="1:76" ht="15" customHeight="1" x14ac:dyDescent="0.35">
      <c r="A623">
        <f t="shared" si="18"/>
        <v>2022</v>
      </c>
      <c r="B623" s="152" t="str">
        <f t="shared" si="19"/>
        <v>2021-22</v>
      </c>
      <c r="C623" s="188">
        <v>44562</v>
      </c>
      <c r="D623" s="154">
        <v>0.71793157894736848</v>
      </c>
      <c r="E623" s="180">
        <v>372.96482302981616</v>
      </c>
      <c r="F623" s="180">
        <v>519.4991193682514</v>
      </c>
      <c r="G623" s="180">
        <v>21.406879188441941</v>
      </c>
      <c r="H623" s="180">
        <v>29.817436391123394</v>
      </c>
      <c r="I623" s="179">
        <v>1816.7650000000001</v>
      </c>
      <c r="J623" s="179">
        <v>2538.2399999999998</v>
      </c>
      <c r="K623" s="158">
        <v>131.37</v>
      </c>
      <c r="L623" s="158">
        <v>182.98401108447513</v>
      </c>
      <c r="M623" s="159">
        <v>22319.38</v>
      </c>
      <c r="N623" s="159">
        <v>31088.450006231349</v>
      </c>
      <c r="O623" s="175">
        <v>9774.51</v>
      </c>
      <c r="P623" s="175">
        <v>13614.821086894366</v>
      </c>
      <c r="Q623" s="175">
        <v>2341.9899999999998</v>
      </c>
      <c r="R623" s="175">
        <v>3262.1353742843103</v>
      </c>
      <c r="S623" s="175">
        <v>3674.5</v>
      </c>
      <c r="T623" s="175">
        <v>5118.1757534437374</v>
      </c>
      <c r="U623" s="161">
        <v>1765.139287149653</v>
      </c>
      <c r="V623" s="161">
        <v>2458.6455574745728</v>
      </c>
      <c r="W623" s="161">
        <v>3224.0364966995649</v>
      </c>
      <c r="X623" s="161">
        <v>4490.7294667642955</v>
      </c>
      <c r="Y623" s="185">
        <v>40713.478177145567</v>
      </c>
      <c r="Z623" s="186">
        <v>56709.412666928067</v>
      </c>
      <c r="AA623" s="185">
        <v>2663.16</v>
      </c>
      <c r="AB623" s="185">
        <v>3709.4899821856643</v>
      </c>
      <c r="AC623" s="163">
        <v>23.129000000000001</v>
      </c>
      <c r="AD623" s="163">
        <v>32.590000000000003</v>
      </c>
      <c r="AE623" s="163">
        <v>70465</v>
      </c>
      <c r="AF623" s="163">
        <v>98150.021626456117</v>
      </c>
      <c r="AG623" s="163">
        <v>995.5</v>
      </c>
      <c r="AH623" s="163">
        <v>1383.7888109677422</v>
      </c>
      <c r="AI623" s="163">
        <v>2033.75</v>
      </c>
      <c r="AJ623" s="163">
        <v>2901.49</v>
      </c>
      <c r="AK623" s="164">
        <v>85.53</v>
      </c>
      <c r="AL623" s="164">
        <v>119.13391541489806</v>
      </c>
      <c r="AM623" s="164">
        <v>89.75</v>
      </c>
      <c r="AN623" s="164">
        <v>125.01191287837133</v>
      </c>
      <c r="AO623" s="164">
        <v>12.805328196950629</v>
      </c>
      <c r="AP623" s="164">
        <v>17.836418639957035</v>
      </c>
      <c r="BA623" s="1310" t="s">
        <v>71</v>
      </c>
      <c r="BB623" s="1225">
        <v>2008</v>
      </c>
      <c r="BC623" s="824" t="s">
        <v>299</v>
      </c>
      <c r="BD623" s="824">
        <v>6</v>
      </c>
      <c r="BE623" s="1226">
        <v>224188668.60000002</v>
      </c>
      <c r="BF623" s="1227">
        <v>1.7281368233630464E-2</v>
      </c>
      <c r="BH623" s="1311" t="s">
        <v>40</v>
      </c>
      <c r="BI623" s="1311" t="s">
        <v>294</v>
      </c>
      <c r="BJ623" s="824" t="s">
        <v>308</v>
      </c>
      <c r="BK623" s="824">
        <v>2</v>
      </c>
      <c r="BL623" s="1226">
        <v>10956237957.531624</v>
      </c>
      <c r="BM623" s="1227">
        <v>0.14612668270060125</v>
      </c>
      <c r="BN623" s="824">
        <v>2013</v>
      </c>
    </row>
    <row r="624" spans="1:76" ht="15" customHeight="1" x14ac:dyDescent="0.35">
      <c r="A624">
        <f t="shared" si="18"/>
        <v>2022</v>
      </c>
      <c r="B624" s="152" t="str">
        <f t="shared" si="19"/>
        <v>2021-22</v>
      </c>
      <c r="C624" s="173">
        <v>44593</v>
      </c>
      <c r="D624" s="169">
        <v>0.71576499999999998</v>
      </c>
      <c r="E624" s="169">
        <v>375.76197630859633</v>
      </c>
      <c r="F624" s="169">
        <v>524.97953421667216</v>
      </c>
      <c r="G624" s="169">
        <v>22.763237241182082</v>
      </c>
      <c r="H624" s="169">
        <v>31.802668810548269</v>
      </c>
      <c r="I624" s="170">
        <v>1856.2950000000001</v>
      </c>
      <c r="J624" s="170">
        <v>2595.4325389285709</v>
      </c>
      <c r="K624" s="170">
        <v>141.65</v>
      </c>
      <c r="L624" s="170">
        <v>197.90014879185208</v>
      </c>
      <c r="M624" s="170">
        <v>24172.5</v>
      </c>
      <c r="N624" s="170">
        <v>33771.559101101622</v>
      </c>
      <c r="O624" s="170">
        <v>9939.98</v>
      </c>
      <c r="P624" s="170">
        <v>13887.211584807863</v>
      </c>
      <c r="Q624" s="170">
        <v>2299.16</v>
      </c>
      <c r="R624" s="170">
        <v>3212.1715926316597</v>
      </c>
      <c r="S624" s="170">
        <v>3643.68</v>
      </c>
      <c r="T624" s="170">
        <v>5090.6093480402087</v>
      </c>
      <c r="U624" s="170">
        <v>1855.4970346360819</v>
      </c>
      <c r="V624" s="170">
        <v>2592.3271389856754</v>
      </c>
      <c r="W624" s="170">
        <v>3238.463441213547</v>
      </c>
      <c r="X624" s="170">
        <v>4524.4786224718264</v>
      </c>
      <c r="Y624" s="170">
        <v>56978.311792570181</v>
      </c>
      <c r="Z624" s="169">
        <v>79604.775020530738</v>
      </c>
      <c r="AA624" s="170">
        <v>2710.63</v>
      </c>
      <c r="AB624" s="170">
        <v>3787.0390421437205</v>
      </c>
      <c r="AC624" s="170">
        <v>23.465</v>
      </c>
      <c r="AD624" s="170">
        <v>32.828287142857143</v>
      </c>
      <c r="AE624" s="170">
        <v>71287.75</v>
      </c>
      <c r="AF624" s="170">
        <v>99596.58547148855</v>
      </c>
      <c r="AG624" s="170">
        <v>1051.222</v>
      </c>
      <c r="AH624" s="170">
        <v>1464.9692707142856</v>
      </c>
      <c r="AI624" s="170">
        <v>2356.6669999999999</v>
      </c>
      <c r="AJ624" s="170">
        <v>3358.66</v>
      </c>
      <c r="AK624" s="170">
        <v>95.76</v>
      </c>
      <c r="AL624" s="170">
        <v>133.78692727361636</v>
      </c>
      <c r="AM624" s="170">
        <v>99.98</v>
      </c>
      <c r="AN624" s="170">
        <v>139.68271709290062</v>
      </c>
      <c r="AO624" s="170">
        <v>12.337731353979118</v>
      </c>
      <c r="AP624" s="170">
        <v>17.237125808022352</v>
      </c>
      <c r="BA624" s="1310" t="s">
        <v>71</v>
      </c>
      <c r="BB624" s="1225">
        <v>2008</v>
      </c>
      <c r="BC624" s="824" t="s">
        <v>315</v>
      </c>
      <c r="BD624" s="824">
        <v>7</v>
      </c>
      <c r="BE624" s="1226">
        <v>206714278.58000001</v>
      </c>
      <c r="BF624" s="1227">
        <v>1.5934371659363386E-2</v>
      </c>
      <c r="BH624" s="1311" t="s">
        <v>40</v>
      </c>
      <c r="BI624" s="1311" t="s">
        <v>294</v>
      </c>
      <c r="BJ624" s="824" t="s">
        <v>320</v>
      </c>
      <c r="BK624" s="824">
        <v>3</v>
      </c>
      <c r="BL624" s="1226">
        <v>5237371639.0353251</v>
      </c>
      <c r="BM624" s="1227">
        <v>6.9852420753269667E-2</v>
      </c>
      <c r="BN624" s="824">
        <v>2013</v>
      </c>
    </row>
    <row r="625" spans="1:66" ht="15" customHeight="1" x14ac:dyDescent="0.35">
      <c r="A625">
        <f t="shared" si="18"/>
        <v>2022</v>
      </c>
      <c r="B625" s="152" t="str">
        <f t="shared" si="19"/>
        <v>2021-22</v>
      </c>
      <c r="C625" s="173">
        <v>44621</v>
      </c>
      <c r="D625" s="154">
        <v>0.73686521739130439</v>
      </c>
      <c r="E625" s="180">
        <v>401.94559885645685</v>
      </c>
      <c r="F625" s="180">
        <v>545.48048865632359</v>
      </c>
      <c r="G625" s="180">
        <v>21.105672792191882</v>
      </c>
      <c r="H625" s="180">
        <v>28.642514660837818</v>
      </c>
      <c r="I625" s="156">
        <v>1947.828</v>
      </c>
      <c r="J625" s="156">
        <v>2640.7890441935479</v>
      </c>
      <c r="K625" s="158">
        <v>150.49</v>
      </c>
      <c r="L625" s="158">
        <v>204.23002259867005</v>
      </c>
      <c r="M625" s="159">
        <v>34101.18</v>
      </c>
      <c r="N625" s="184">
        <v>46278.721257500925</v>
      </c>
      <c r="O625" s="175">
        <v>10236.700000000001</v>
      </c>
      <c r="P625" s="175">
        <v>13892.228535688788</v>
      </c>
      <c r="Q625" s="175">
        <v>2358.79</v>
      </c>
      <c r="R625" s="175">
        <v>3201.1145923683757</v>
      </c>
      <c r="S625" s="175">
        <v>3973.62</v>
      </c>
      <c r="T625" s="175">
        <v>5392.600853203051</v>
      </c>
      <c r="U625" s="161">
        <v>1862.4105596803022</v>
      </c>
      <c r="V625" s="161">
        <v>2527.4779101037266</v>
      </c>
      <c r="W625" s="161">
        <v>3387.1068061597693</v>
      </c>
      <c r="X625" s="161">
        <v>4596.6436279229101</v>
      </c>
      <c r="Y625" s="185">
        <v>72551.840092643746</v>
      </c>
      <c r="Z625" s="186">
        <v>98460.123208822682</v>
      </c>
      <c r="AA625" s="185">
        <v>2763</v>
      </c>
      <c r="AB625" s="185">
        <v>3749.6681004726247</v>
      </c>
      <c r="AC625" s="163">
        <v>25.24</v>
      </c>
      <c r="AD625" s="163">
        <v>34.249204193548387</v>
      </c>
      <c r="AE625" s="163">
        <v>80399.13</v>
      </c>
      <c r="AF625" s="163">
        <v>109109.68261554529</v>
      </c>
      <c r="AG625" s="163">
        <v>1043.261</v>
      </c>
      <c r="AH625" s="163">
        <v>1422.8114396774195</v>
      </c>
      <c r="AI625" s="163">
        <v>2582.7829999999999</v>
      </c>
      <c r="AJ625" s="163">
        <v>3665.58</v>
      </c>
      <c r="AK625" s="164">
        <v>115.59</v>
      </c>
      <c r="AL625" s="164">
        <v>156.86722248774183</v>
      </c>
      <c r="AM625" s="164">
        <v>121.43</v>
      </c>
      <c r="AN625" s="164">
        <v>164.79268817965647</v>
      </c>
      <c r="AO625" s="164">
        <v>12.888328608494382</v>
      </c>
      <c r="AP625" s="164">
        <v>17.490754488483574</v>
      </c>
      <c r="BA625" s="1310" t="s">
        <v>71</v>
      </c>
      <c r="BB625" s="1225">
        <v>2008</v>
      </c>
      <c r="BC625" s="824" t="s">
        <v>286</v>
      </c>
      <c r="BD625" s="824">
        <v>8</v>
      </c>
      <c r="BE625" s="1226">
        <v>192480190.47</v>
      </c>
      <c r="BF625" s="1227">
        <v>1.4837150646209774E-2</v>
      </c>
      <c r="BH625" s="1311" t="s">
        <v>40</v>
      </c>
      <c r="BI625" s="1311" t="s">
        <v>294</v>
      </c>
      <c r="BJ625" s="824" t="s">
        <v>315</v>
      </c>
      <c r="BK625" s="824">
        <v>4</v>
      </c>
      <c r="BL625" s="1226">
        <v>1952610827.1688156</v>
      </c>
      <c r="BM625" s="1227">
        <v>2.6042565329946421E-2</v>
      </c>
      <c r="BN625" s="824">
        <v>2013</v>
      </c>
    </row>
    <row r="626" spans="1:66" ht="15" customHeight="1" x14ac:dyDescent="0.35">
      <c r="A626">
        <f t="shared" si="18"/>
        <v>2022</v>
      </c>
      <c r="B626" s="152" t="str">
        <f t="shared" si="19"/>
        <v>2021-22</v>
      </c>
      <c r="C626" s="173">
        <v>44652</v>
      </c>
      <c r="D626" s="169">
        <v>0.73974999999999991</v>
      </c>
      <c r="E626" s="169">
        <v>460.09803697424434</v>
      </c>
      <c r="F626" s="169">
        <v>621.96422706893463</v>
      </c>
      <c r="G626" s="169">
        <v>22.409576231430414</v>
      </c>
      <c r="H626" s="169">
        <v>30.293445395647741</v>
      </c>
      <c r="I626" s="169">
        <v>1933.9</v>
      </c>
      <c r="J626" s="169">
        <v>2630.7344226666669</v>
      </c>
      <c r="K626" s="170">
        <v>150.71</v>
      </c>
      <c r="L626" s="170">
        <v>203.73099019939173</v>
      </c>
      <c r="M626" s="170">
        <v>33287.24</v>
      </c>
      <c r="N626" s="170">
        <v>44997.958769854682</v>
      </c>
      <c r="O626" s="170">
        <v>10182.33</v>
      </c>
      <c r="P626" s="170">
        <v>13764.555593105781</v>
      </c>
      <c r="Q626" s="170">
        <v>2396.0500000000002</v>
      </c>
      <c r="R626" s="170">
        <v>3238.9996620479897</v>
      </c>
      <c r="S626" s="170">
        <v>4370.41</v>
      </c>
      <c r="T626" s="170">
        <v>5907.9553903345732</v>
      </c>
      <c r="U626" s="170">
        <v>2015.5142967997244</v>
      </c>
      <c r="V626" s="170">
        <v>2724.5884377150724</v>
      </c>
      <c r="W626" s="170">
        <v>3278.4088281211384</v>
      </c>
      <c r="X626" s="170">
        <v>4431.7794229417223</v>
      </c>
      <c r="Y626" s="170">
        <v>74847.210889658047</v>
      </c>
      <c r="Z626" s="169">
        <v>101179.06169605686</v>
      </c>
      <c r="AA626" s="170">
        <v>3107.14</v>
      </c>
      <c r="AB626" s="170">
        <v>4200.2568435282192</v>
      </c>
      <c r="AC626" s="170">
        <v>24.541</v>
      </c>
      <c r="AD626" s="170">
        <v>33.376000666666663</v>
      </c>
      <c r="AE626" s="170">
        <v>81539.47</v>
      </c>
      <c r="AF626" s="170">
        <v>110225.71138898277</v>
      </c>
      <c r="AG626" s="170">
        <v>962.31600000000003</v>
      </c>
      <c r="AH626" s="170">
        <v>1313.6448070000004</v>
      </c>
      <c r="AI626" s="170">
        <v>2325.3679999999999</v>
      </c>
      <c r="AJ626" s="170">
        <v>3263.69</v>
      </c>
      <c r="AK626" s="170">
        <v>105.78</v>
      </c>
      <c r="AL626" s="170">
        <v>142.99425481581616</v>
      </c>
      <c r="AM626" s="170">
        <v>111.16</v>
      </c>
      <c r="AN626" s="170">
        <v>150.26698208854344</v>
      </c>
      <c r="AO626" s="170">
        <v>13.80613581202075</v>
      </c>
      <c r="AP626" s="170">
        <v>18.663245437000004</v>
      </c>
      <c r="BA626" s="1310" t="s">
        <v>71</v>
      </c>
      <c r="BB626" s="1225">
        <v>2008</v>
      </c>
      <c r="BC626" s="824" t="s">
        <v>342</v>
      </c>
      <c r="BD626" s="824">
        <v>9</v>
      </c>
      <c r="BE626" s="1226">
        <v>155580477.22999999</v>
      </c>
      <c r="BF626" s="1227">
        <v>1.1992771685408854E-2</v>
      </c>
      <c r="BH626" s="1311" t="s">
        <v>40</v>
      </c>
      <c r="BI626" s="1311" t="s">
        <v>294</v>
      </c>
      <c r="BJ626" s="824" t="s">
        <v>286</v>
      </c>
      <c r="BK626" s="824">
        <v>5</v>
      </c>
      <c r="BL626" s="1226">
        <v>1122577092.247129</v>
      </c>
      <c r="BM626" s="1227">
        <v>1.4972152594859916E-2</v>
      </c>
      <c r="BN626" s="824">
        <v>2013</v>
      </c>
    </row>
    <row r="627" spans="1:66" ht="15" customHeight="1" x14ac:dyDescent="0.35">
      <c r="A627">
        <f t="shared" si="18"/>
        <v>2022</v>
      </c>
      <c r="B627" s="152" t="str">
        <f t="shared" si="19"/>
        <v>2021-22</v>
      </c>
      <c r="C627" s="173">
        <v>44682</v>
      </c>
      <c r="D627" s="154">
        <v>0.70520000000000005</v>
      </c>
      <c r="E627" s="180">
        <v>396.73291139959559</v>
      </c>
      <c r="F627" s="180">
        <v>562.58212053260854</v>
      </c>
      <c r="G627" s="180">
        <v>20.874379627919211</v>
      </c>
      <c r="H627" s="180">
        <v>29.600651769596155</v>
      </c>
      <c r="I627" s="156">
        <v>1848.3019999999999</v>
      </c>
      <c r="J627" s="156">
        <v>2623.7636222580645</v>
      </c>
      <c r="K627" s="158">
        <v>133.41999999999999</v>
      </c>
      <c r="L627" s="158">
        <v>189.19455473624501</v>
      </c>
      <c r="M627" s="159">
        <v>27938.57</v>
      </c>
      <c r="N627" s="184">
        <v>39617.938173567782</v>
      </c>
      <c r="O627" s="175">
        <v>9362.08</v>
      </c>
      <c r="P627" s="175">
        <v>13275.779920589903</v>
      </c>
      <c r="Q627" s="175">
        <v>2144.48</v>
      </c>
      <c r="R627" s="175">
        <v>3040.9529211571185</v>
      </c>
      <c r="S627" s="175">
        <v>3758.77</v>
      </c>
      <c r="T627" s="175">
        <v>5330.0765740215538</v>
      </c>
      <c r="U627" s="161">
        <v>1986.1884642925613</v>
      </c>
      <c r="V627" s="161">
        <v>2816.4895976922307</v>
      </c>
      <c r="W627" s="161">
        <v>3272.4548813472575</v>
      </c>
      <c r="X627" s="161">
        <v>4640.4635299876027</v>
      </c>
      <c r="Y627" s="185">
        <v>69192.00478027387</v>
      </c>
      <c r="Z627" s="186">
        <v>98116.853063349205</v>
      </c>
      <c r="AA627" s="185">
        <v>4030.5</v>
      </c>
      <c r="AB627" s="185">
        <v>5715.3998865570047</v>
      </c>
      <c r="AC627" s="163">
        <v>21.904</v>
      </c>
      <c r="AD627" s="163">
        <v>31.063537096774194</v>
      </c>
      <c r="AE627" s="163">
        <v>77327.38</v>
      </c>
      <c r="AF627" s="163">
        <v>109653.11968235961</v>
      </c>
      <c r="AG627" s="163">
        <v>960.1</v>
      </c>
      <c r="AH627" s="163">
        <v>1358.5576329032258</v>
      </c>
      <c r="AI627" s="163">
        <v>2048.0479999999998</v>
      </c>
      <c r="AJ627" s="163">
        <v>2904.2087351106065</v>
      </c>
      <c r="AK627" s="164">
        <v>112.37</v>
      </c>
      <c r="AL627" s="164">
        <v>159.34486670448101</v>
      </c>
      <c r="AM627" s="164">
        <v>118.62</v>
      </c>
      <c r="AN627" s="164">
        <v>168.20760068065798</v>
      </c>
      <c r="AO627" s="164">
        <v>12.854020542703786</v>
      </c>
      <c r="AP627" s="164">
        <v>18.227482335087615</v>
      </c>
      <c r="AR627" s="189"/>
      <c r="BA627" s="1310" t="s">
        <v>71</v>
      </c>
      <c r="BB627" s="1225">
        <v>2008</v>
      </c>
      <c r="BC627" s="824" t="s">
        <v>287</v>
      </c>
      <c r="BD627" s="824">
        <v>10</v>
      </c>
      <c r="BE627" s="1226">
        <v>117731109.77</v>
      </c>
      <c r="BF627" s="1227">
        <v>9.0751895409995707E-3</v>
      </c>
      <c r="BH627" s="1311" t="s">
        <v>40</v>
      </c>
      <c r="BI627" s="1311" t="s">
        <v>294</v>
      </c>
      <c r="BJ627" s="824" t="s">
        <v>291</v>
      </c>
      <c r="BL627" s="1226">
        <v>6694140153.3080044</v>
      </c>
      <c r="BM627" s="1227">
        <v>8.9281786132014054E-2</v>
      </c>
      <c r="BN627" s="824">
        <v>2013</v>
      </c>
    </row>
    <row r="628" spans="1:66" ht="15" customHeight="1" x14ac:dyDescent="0.35">
      <c r="A628">
        <f t="shared" si="18"/>
        <v>2022</v>
      </c>
      <c r="B628" s="152" t="str">
        <f t="shared" si="19"/>
        <v>2021-22</v>
      </c>
      <c r="C628" s="173">
        <v>44713</v>
      </c>
      <c r="D628" s="169">
        <v>0.70303333333333329</v>
      </c>
      <c r="E628" s="169">
        <v>373.28834830610083</v>
      </c>
      <c r="F628" s="169">
        <v>530.9682067793384</v>
      </c>
      <c r="G628" s="169">
        <v>20.502355266631927</v>
      </c>
      <c r="H628" s="169">
        <v>29.162707221040151</v>
      </c>
      <c r="I628" s="170">
        <v>1833.825</v>
      </c>
      <c r="J628" s="170">
        <v>2618.6942396666664</v>
      </c>
      <c r="K628" s="170">
        <v>130.07</v>
      </c>
      <c r="L628" s="170">
        <v>185.01256460101465</v>
      </c>
      <c r="M628" s="170">
        <v>25824.880000000001</v>
      </c>
      <c r="N628" s="170">
        <v>36733.507183158697</v>
      </c>
      <c r="O628" s="170">
        <v>9031.99</v>
      </c>
      <c r="P628" s="170">
        <v>12847.171779431987</v>
      </c>
      <c r="Q628" s="170">
        <v>2066.73</v>
      </c>
      <c r="R628" s="170">
        <v>2939.7325873595373</v>
      </c>
      <c r="S628" s="170">
        <v>3643.29</v>
      </c>
      <c r="T628" s="170">
        <v>5182.2436110189183</v>
      </c>
      <c r="U628" s="170">
        <v>1949.0415780241326</v>
      </c>
      <c r="V628" s="170">
        <v>2772.3316742081447</v>
      </c>
      <c r="W628" s="170">
        <v>3387.8235332540198</v>
      </c>
      <c r="X628" s="170">
        <v>4818.8661513261868</v>
      </c>
      <c r="Y628" s="170">
        <v>71256.455086269038</v>
      </c>
      <c r="Z628" s="169">
        <v>101355.72768422887</v>
      </c>
      <c r="AA628" s="170">
        <v>4500</v>
      </c>
      <c r="AB628" s="170">
        <v>6400.8344791617283</v>
      </c>
      <c r="AC628" s="170">
        <v>21.49</v>
      </c>
      <c r="AD628" s="170">
        <v>30.70160233333333</v>
      </c>
      <c r="AE628" s="170">
        <v>71827.75</v>
      </c>
      <c r="AF628" s="170">
        <v>102168.34194680196</v>
      </c>
      <c r="AG628" s="170">
        <v>950.5</v>
      </c>
      <c r="AH628" s="170">
        <v>1363.8314016666668</v>
      </c>
      <c r="AI628" s="170">
        <v>1902.95</v>
      </c>
      <c r="AJ628" s="170">
        <v>2706.7706604712912</v>
      </c>
      <c r="AK628" s="169">
        <v>120.08</v>
      </c>
      <c r="AL628" s="169">
        <v>170.80271205727561</v>
      </c>
      <c r="AM628" s="170">
        <v>126.18</v>
      </c>
      <c r="AN628" s="170">
        <v>179.47939879569486</v>
      </c>
      <c r="AO628" s="170">
        <v>13.182748873130544</v>
      </c>
      <c r="AP628" s="170">
        <v>18.751243003836535</v>
      </c>
      <c r="AR628" s="189"/>
      <c r="BA628" s="1310" t="s">
        <v>71</v>
      </c>
      <c r="BB628" s="1225">
        <v>2008</v>
      </c>
      <c r="BC628" s="824" t="s">
        <v>291</v>
      </c>
      <c r="BE628" s="1226">
        <v>181971515.5</v>
      </c>
      <c r="BF628" s="1227">
        <v>1.4027099527488309E-2</v>
      </c>
      <c r="BH628" s="1311" t="s">
        <v>40</v>
      </c>
      <c r="BI628" s="1311" t="s">
        <v>294</v>
      </c>
      <c r="BJ628" s="824" t="s">
        <v>292</v>
      </c>
      <c r="BL628" s="1226">
        <v>74977668383.671204</v>
      </c>
      <c r="BN628" s="824">
        <v>2013</v>
      </c>
    </row>
    <row r="629" spans="1:66" ht="15" customHeight="1" x14ac:dyDescent="0.35">
      <c r="A629">
        <f t="shared" si="18"/>
        <v>2022</v>
      </c>
      <c r="B629" s="152" t="str">
        <f>IF(MONTH(C629) &gt;= 7, A629 &amp; "-" &amp; RIGHT(A629+1, 2), A629-1 &amp; "-" &amp; RIGHT(A629, 2))</f>
        <v>2022-23</v>
      </c>
      <c r="C629" s="173">
        <v>44743</v>
      </c>
      <c r="D629" s="154">
        <v>0.68548571428571436</v>
      </c>
      <c r="E629" s="180">
        <v>346.79557030924474</v>
      </c>
      <c r="F629" s="180">
        <v>505.91217742679078</v>
      </c>
      <c r="G629" s="180">
        <v>21.863757350186809</v>
      </c>
      <c r="H629" s="180">
        <v>31.895277894987423</v>
      </c>
      <c r="I629" s="179">
        <v>1736.3710000000001</v>
      </c>
      <c r="J629" s="179">
        <v>2539.8083667741939</v>
      </c>
      <c r="K629" s="158">
        <v>107.43</v>
      </c>
      <c r="L629" s="158">
        <v>156.72099033011003</v>
      </c>
      <c r="M629" s="184">
        <v>21470.95</v>
      </c>
      <c r="N629" s="184">
        <v>31322.242830943644</v>
      </c>
      <c r="O629" s="175">
        <v>7529.08</v>
      </c>
      <c r="P629" s="175">
        <v>10983.56952317439</v>
      </c>
      <c r="Q629" s="175">
        <v>1975.54</v>
      </c>
      <c r="R629" s="175">
        <v>2881.9564854951645</v>
      </c>
      <c r="S629" s="175">
        <v>3096.58</v>
      </c>
      <c r="T629" s="175">
        <v>4517.3516172057343</v>
      </c>
      <c r="U629" s="161">
        <v>2151.869493305976</v>
      </c>
      <c r="V629" s="161">
        <v>3139.1894075403948</v>
      </c>
      <c r="W629" s="161">
        <v>3286.2220123551174</v>
      </c>
      <c r="X629" s="161">
        <v>4794.00510305223</v>
      </c>
      <c r="Y629" s="185">
        <v>70918.02192836297</v>
      </c>
      <c r="Z629" s="186">
        <v>103456.60084581125</v>
      </c>
      <c r="AA629" s="185">
        <v>4653.33</v>
      </c>
      <c r="AB629" s="185">
        <v>6788.369039679892</v>
      </c>
      <c r="AC629" s="163">
        <v>19.076000000000001</v>
      </c>
      <c r="AD629" s="163">
        <v>27.944459354838713</v>
      </c>
      <c r="AE629" s="163">
        <v>55940</v>
      </c>
      <c r="AF629" s="163">
        <v>81606.368789596527</v>
      </c>
      <c r="AG629" s="163">
        <v>870</v>
      </c>
      <c r="AH629" s="163">
        <v>1276.4314993548389</v>
      </c>
      <c r="AI629" s="163">
        <v>1973.095</v>
      </c>
      <c r="AJ629" s="163">
        <v>2878.3896715571855</v>
      </c>
      <c r="AK629" s="164">
        <v>108.92</v>
      </c>
      <c r="AL629" s="187">
        <v>158.89463154384794</v>
      </c>
      <c r="AM629" s="164">
        <v>114.82</v>
      </c>
      <c r="AN629" s="164">
        <v>167.50166722240743</v>
      </c>
      <c r="AO629" s="164">
        <v>15.253926414988785</v>
      </c>
      <c r="AP629" s="164">
        <v>22.252726930835586</v>
      </c>
      <c r="AR629" s="189"/>
      <c r="BA629" s="1310" t="s">
        <v>71</v>
      </c>
      <c r="BB629" s="1225">
        <v>2008</v>
      </c>
      <c r="BC629" s="824" t="s">
        <v>292</v>
      </c>
      <c r="BE629" s="1226">
        <v>12972854091.709991</v>
      </c>
      <c r="BH629" s="1311" t="s">
        <v>40</v>
      </c>
      <c r="BI629" s="824" t="s">
        <v>295</v>
      </c>
      <c r="BJ629" s="824" t="s">
        <v>281</v>
      </c>
      <c r="BK629" s="1228">
        <v>1</v>
      </c>
      <c r="BL629" s="1226">
        <v>41507439528.252579</v>
      </c>
      <c r="BM629" s="1227">
        <v>0.73192243194079032</v>
      </c>
      <c r="BN629" s="824">
        <v>2012</v>
      </c>
    </row>
    <row r="630" spans="1:66" ht="15" customHeight="1" x14ac:dyDescent="0.35">
      <c r="A630">
        <f t="shared" si="18"/>
        <v>2022</v>
      </c>
      <c r="B630" s="152" t="str">
        <f t="shared" ref="B630:B693" si="20">IF(MONTH(C630) &gt;= 7, A630 &amp; "-" &amp; RIGHT(A630+1, 2), A630-1 &amp; "-" &amp; RIGHT(A630, 2))</f>
        <v>2022-23</v>
      </c>
      <c r="C630" s="188">
        <v>44774</v>
      </c>
      <c r="D630" s="169">
        <v>0.6960045454545456</v>
      </c>
      <c r="E630" s="169">
        <v>343.46431867387611</v>
      </c>
      <c r="F630" s="169">
        <v>493.47999365372959</v>
      </c>
      <c r="G630" s="169">
        <v>19.21643929872371</v>
      </c>
      <c r="H630" s="169">
        <v>27.609646264844244</v>
      </c>
      <c r="I630" s="170">
        <v>1765.655</v>
      </c>
      <c r="J630" s="170">
        <v>2537.6864038709678</v>
      </c>
      <c r="K630" s="170">
        <v>104.84</v>
      </c>
      <c r="L630" s="170">
        <v>150.63120016196339</v>
      </c>
      <c r="M630" s="170">
        <v>21987.95</v>
      </c>
      <c r="N630" s="170">
        <v>31591.675864185836</v>
      </c>
      <c r="O630" s="170">
        <v>7960.24</v>
      </c>
      <c r="P630" s="170">
        <v>11437.051743392478</v>
      </c>
      <c r="Q630" s="170">
        <v>2077.2399999999998</v>
      </c>
      <c r="R630" s="170">
        <v>2984.520738500923</v>
      </c>
      <c r="S630" s="170">
        <v>3572.13</v>
      </c>
      <c r="T630" s="170">
        <v>5132.3371712567177</v>
      </c>
      <c r="U630" s="170">
        <v>2151.4212785353538</v>
      </c>
      <c r="V630" s="170">
        <v>3091.1023391812864</v>
      </c>
      <c r="W630" s="170">
        <v>3280.4514868695555</v>
      </c>
      <c r="X630" s="170">
        <v>4713.261584702961</v>
      </c>
      <c r="Y630" s="170">
        <v>70328.345507790116</v>
      </c>
      <c r="Z630" s="169">
        <v>101045.81351815768</v>
      </c>
      <c r="AA630" s="170">
        <v>4770.87</v>
      </c>
      <c r="AB630" s="170">
        <v>6854.6535093161601</v>
      </c>
      <c r="AC630" s="170">
        <v>19.75</v>
      </c>
      <c r="AD630" s="170">
        <v>28.314165806451605</v>
      </c>
      <c r="AE630" s="170">
        <v>49095</v>
      </c>
      <c r="AF630" s="170">
        <v>70538.332429908362</v>
      </c>
      <c r="AG630" s="170">
        <v>910.40899999999999</v>
      </c>
      <c r="AH630" s="170">
        <v>1309.6337922580642</v>
      </c>
      <c r="AI630" s="170">
        <v>2134.7269999999999</v>
      </c>
      <c r="AJ630" s="170">
        <v>3067.116463450473</v>
      </c>
      <c r="AK630" s="170">
        <v>98.6</v>
      </c>
      <c r="AL630" s="169">
        <v>141.66574147243026</v>
      </c>
      <c r="AM630" s="170">
        <v>112.4</v>
      </c>
      <c r="AN630" s="170">
        <v>161.49319818966697</v>
      </c>
      <c r="AO630" s="170">
        <v>16.719651337147202</v>
      </c>
      <c r="AP630" s="170">
        <v>24.022330667722805</v>
      </c>
      <c r="AR630" s="189"/>
      <c r="BA630" s="1310" t="s">
        <v>71</v>
      </c>
      <c r="BB630" s="1225">
        <v>2007</v>
      </c>
      <c r="BC630" s="824" t="s">
        <v>308</v>
      </c>
      <c r="BD630" s="824">
        <v>1</v>
      </c>
      <c r="BE630" s="1226">
        <v>4499727895.9300003</v>
      </c>
      <c r="BF630" s="1227">
        <v>0.45126358876600725</v>
      </c>
      <c r="BH630" s="1311" t="s">
        <v>40</v>
      </c>
      <c r="BI630" s="824" t="s">
        <v>295</v>
      </c>
      <c r="BJ630" s="824" t="s">
        <v>308</v>
      </c>
      <c r="BK630" s="824">
        <v>2</v>
      </c>
      <c r="BL630" s="1226">
        <v>8441257893.429245</v>
      </c>
      <c r="BM630" s="1227">
        <v>0.14884912382496526</v>
      </c>
      <c r="BN630" s="824">
        <v>2012</v>
      </c>
    </row>
    <row r="631" spans="1:66" ht="15" customHeight="1" x14ac:dyDescent="0.35">
      <c r="A631">
        <f t="shared" si="18"/>
        <v>2022</v>
      </c>
      <c r="B631" s="152" t="str">
        <f t="shared" si="20"/>
        <v>2022-23</v>
      </c>
      <c r="C631" s="173">
        <v>44805</v>
      </c>
      <c r="D631" s="154">
        <v>0.66874761904761915</v>
      </c>
      <c r="E631" s="180">
        <v>327.67612362150766</v>
      </c>
      <c r="F631" s="180">
        <v>489.98473308684032</v>
      </c>
      <c r="G631" s="180">
        <v>21.791104954644787</v>
      </c>
      <c r="H631" s="180">
        <v>32.584945850989442</v>
      </c>
      <c r="I631" s="179">
        <v>1682.9670000000001</v>
      </c>
      <c r="J631" s="179">
        <v>2517.5442363333336</v>
      </c>
      <c r="K631" s="158">
        <v>98.35</v>
      </c>
      <c r="L631" s="158">
        <v>147.06594416001479</v>
      </c>
      <c r="M631" s="184">
        <v>22672.84</v>
      </c>
      <c r="N631" s="184">
        <v>33903.432856013722</v>
      </c>
      <c r="O631" s="175">
        <v>7733.82</v>
      </c>
      <c r="P631" s="175">
        <v>11564.631827794667</v>
      </c>
      <c r="Q631" s="175">
        <v>1873.66</v>
      </c>
      <c r="R631" s="175">
        <v>2801.7445544977459</v>
      </c>
      <c r="S631" s="175">
        <v>3135.72</v>
      </c>
      <c r="T631" s="175">
        <v>4688.9437968626489</v>
      </c>
      <c r="U631" s="161">
        <v>2160.707532381768</v>
      </c>
      <c r="V631" s="161">
        <v>3230.9760376551135</v>
      </c>
      <c r="W631" s="161">
        <v>3307.122388057468</v>
      </c>
      <c r="X631" s="161">
        <v>4945.2473457284632</v>
      </c>
      <c r="Y631" s="185">
        <v>69325.522267157154</v>
      </c>
      <c r="Z631" s="186">
        <v>103664.70143981288</v>
      </c>
      <c r="AA631" s="185">
        <v>5258.5</v>
      </c>
      <c r="AB631" s="185">
        <v>7863.2055654848782</v>
      </c>
      <c r="AC631" s="163">
        <v>18.835999999999999</v>
      </c>
      <c r="AD631" s="163">
        <v>28.221303666666675</v>
      </c>
      <c r="AE631" s="163">
        <v>51265</v>
      </c>
      <c r="AF631" s="163">
        <v>76658.216851684367</v>
      </c>
      <c r="AG631" s="163">
        <v>878.33299999999997</v>
      </c>
      <c r="AH631" s="163">
        <v>1314.3049456666665</v>
      </c>
      <c r="AI631" s="163">
        <v>2115.143</v>
      </c>
      <c r="AJ631" s="163">
        <v>3162.8419148799812</v>
      </c>
      <c r="AK631" s="164">
        <v>90.16</v>
      </c>
      <c r="AL631" s="187">
        <v>134.81917158583562</v>
      </c>
      <c r="AM631" s="164">
        <v>103.14</v>
      </c>
      <c r="AN631" s="164">
        <v>154.22858648361895</v>
      </c>
      <c r="AO631" s="164">
        <v>18.880296803952341</v>
      </c>
      <c r="AP631" s="164">
        <v>28.232320035531881</v>
      </c>
      <c r="AR631" s="189"/>
      <c r="BA631" s="1310" t="s">
        <v>71</v>
      </c>
      <c r="BB631" s="1225">
        <v>2007</v>
      </c>
      <c r="BC631" s="824" t="s">
        <v>320</v>
      </c>
      <c r="BD631" s="824">
        <v>2</v>
      </c>
      <c r="BE631" s="1226">
        <v>2048579250.27</v>
      </c>
      <c r="BF631" s="1227">
        <v>0.20544558376176039</v>
      </c>
      <c r="BH631" s="1311" t="s">
        <v>40</v>
      </c>
      <c r="BI631" s="824" t="s">
        <v>295</v>
      </c>
      <c r="BJ631" s="824" t="s">
        <v>320</v>
      </c>
      <c r="BK631" s="824">
        <v>3</v>
      </c>
      <c r="BL631" s="1226">
        <v>4956212326.0423832</v>
      </c>
      <c r="BM631" s="1227">
        <v>8.7395489100760226E-2</v>
      </c>
      <c r="BN631" s="824">
        <v>2012</v>
      </c>
    </row>
    <row r="632" spans="1:66" ht="15" customHeight="1" x14ac:dyDescent="0.35">
      <c r="A632">
        <f t="shared" si="18"/>
        <v>2022</v>
      </c>
      <c r="B632" s="152" t="str">
        <f t="shared" si="20"/>
        <v>2022-23</v>
      </c>
      <c r="C632" s="173">
        <v>44835</v>
      </c>
      <c r="D632" s="169">
        <v>0.63608999999999993</v>
      </c>
      <c r="E632" s="169">
        <v>337.59187699119093</v>
      </c>
      <c r="F632" s="169">
        <v>530.72973477210928</v>
      </c>
      <c r="G632" s="169">
        <v>21.169342004318196</v>
      </c>
      <c r="H632" s="169">
        <v>33.280419444289642</v>
      </c>
      <c r="I632" s="170">
        <v>1664.4449999999999</v>
      </c>
      <c r="J632" s="170">
        <v>2617.8040206451606</v>
      </c>
      <c r="K632" s="170">
        <v>92.28</v>
      </c>
      <c r="L632" s="170">
        <v>145.07381030986184</v>
      </c>
      <c r="M632" s="170">
        <v>21924.52</v>
      </c>
      <c r="N632" s="170">
        <v>34467.638227294883</v>
      </c>
      <c r="O632" s="170">
        <v>7620.25</v>
      </c>
      <c r="P632" s="170">
        <v>11979.829898284836</v>
      </c>
      <c r="Q632" s="170">
        <v>1987.32</v>
      </c>
      <c r="R632" s="170">
        <v>3124.2748667641372</v>
      </c>
      <c r="S632" s="170">
        <v>2959.05</v>
      </c>
      <c r="T632" s="170">
        <v>4651.9360467858332</v>
      </c>
      <c r="U632" s="170">
        <v>2148.5148997138181</v>
      </c>
      <c r="V632" s="170">
        <v>3377.6901062959932</v>
      </c>
      <c r="W632" s="170">
        <v>3093.7189753878815</v>
      </c>
      <c r="X632" s="170">
        <v>4863.6497592917385</v>
      </c>
      <c r="Y632" s="170">
        <v>73594.508578656227</v>
      </c>
      <c r="Z632" s="169">
        <v>115698.2637341512</v>
      </c>
      <c r="AA632" s="170">
        <v>5738.75</v>
      </c>
      <c r="AB632" s="170">
        <v>9021.9151377949674</v>
      </c>
      <c r="AC632" s="170">
        <v>19.363</v>
      </c>
      <c r="AD632" s="170">
        <v>30.414000645161291</v>
      </c>
      <c r="AE632" s="170">
        <v>51260</v>
      </c>
      <c r="AF632" s="170">
        <v>80586.080586080599</v>
      </c>
      <c r="AG632" s="170">
        <v>914.66700000000003</v>
      </c>
      <c r="AH632" s="170">
        <v>1439.4807512903221</v>
      </c>
      <c r="AI632" s="170">
        <v>2078.857</v>
      </c>
      <c r="AJ632" s="170">
        <v>3268.1806033737366</v>
      </c>
      <c r="AK632" s="170">
        <v>93.13</v>
      </c>
      <c r="AL632" s="169">
        <v>146.41009919979876</v>
      </c>
      <c r="AM632" s="170">
        <v>105.45</v>
      </c>
      <c r="AN632" s="170">
        <v>165.77842758100272</v>
      </c>
      <c r="AO632" s="170">
        <v>17.409252017929251</v>
      </c>
      <c r="AP632" s="170">
        <v>27.369164769025222</v>
      </c>
      <c r="AR632" s="189"/>
      <c r="BA632" s="1310" t="s">
        <v>71</v>
      </c>
      <c r="BB632" s="1225">
        <v>2007</v>
      </c>
      <c r="BC632" s="824" t="s">
        <v>281</v>
      </c>
      <c r="BD632" s="824">
        <v>3</v>
      </c>
      <c r="BE632" s="1226">
        <v>678326661.55999982</v>
      </c>
      <c r="BF632" s="1227">
        <v>6.8027252031862023E-2</v>
      </c>
      <c r="BH632" s="1311" t="s">
        <v>40</v>
      </c>
      <c r="BI632" s="824" t="s">
        <v>295</v>
      </c>
      <c r="BJ632" s="824" t="s">
        <v>315</v>
      </c>
      <c r="BK632" s="824">
        <v>4</v>
      </c>
      <c r="BL632" s="1226">
        <v>1518699067.1814537</v>
      </c>
      <c r="BM632" s="1227">
        <v>2.6780016480685464E-2</v>
      </c>
      <c r="BN632" s="824">
        <v>2012</v>
      </c>
    </row>
    <row r="633" spans="1:66" ht="15" customHeight="1" x14ac:dyDescent="0.35">
      <c r="A633">
        <f t="shared" si="18"/>
        <v>2022</v>
      </c>
      <c r="B633" s="152" t="str">
        <f t="shared" si="20"/>
        <v>2022-23</v>
      </c>
      <c r="C633" s="173">
        <v>44866</v>
      </c>
      <c r="D633" s="154">
        <v>0.65939545454545467</v>
      </c>
      <c r="E633" s="180">
        <v>317.04978443553046</v>
      </c>
      <c r="F633" s="180">
        <v>480.81888076417579</v>
      </c>
      <c r="G633" s="180">
        <v>23.343434299529374</v>
      </c>
      <c r="H633" s="180">
        <v>35.40126662780964</v>
      </c>
      <c r="I633" s="179">
        <v>1726.4480000000001</v>
      </c>
      <c r="J633" s="179">
        <v>2614.5277180000003</v>
      </c>
      <c r="K633" s="158">
        <v>93.13</v>
      </c>
      <c r="L633" s="158">
        <v>141.23542914653225</v>
      </c>
      <c r="M633" s="184">
        <v>25246.25</v>
      </c>
      <c r="N633" s="184">
        <v>38286.963954586492</v>
      </c>
      <c r="O633" s="175">
        <v>8028.88</v>
      </c>
      <c r="P633" s="175">
        <v>12176.122757070869</v>
      </c>
      <c r="Q633" s="175">
        <v>2098.65</v>
      </c>
      <c r="R633" s="175">
        <v>3182.6879993382363</v>
      </c>
      <c r="S633" s="175">
        <v>2922.97</v>
      </c>
      <c r="T633" s="175">
        <v>4432.802773890684</v>
      </c>
      <c r="U633" s="161">
        <v>2025.5218715754534</v>
      </c>
      <c r="V633" s="161">
        <v>3071.7862211709048</v>
      </c>
      <c r="W633" s="161">
        <v>3339.8903199958272</v>
      </c>
      <c r="X633" s="161">
        <v>5065.079379866419</v>
      </c>
      <c r="Y633" s="185">
        <v>78847.972986360241</v>
      </c>
      <c r="Z633" s="186">
        <v>119576.15485947355</v>
      </c>
      <c r="AA633" s="185">
        <v>6107.73</v>
      </c>
      <c r="AB633" s="185">
        <v>9262.6207200810641</v>
      </c>
      <c r="AC633" s="163">
        <v>20.998999999999999</v>
      </c>
      <c r="AD633" s="163">
        <v>31.871683666666669</v>
      </c>
      <c r="AE633" s="163">
        <v>51255.45</v>
      </c>
      <c r="AF633" s="163">
        <v>77730.972585081356</v>
      </c>
      <c r="AG633" s="163">
        <v>989</v>
      </c>
      <c r="AH633" s="163">
        <v>1497.8258660000001</v>
      </c>
      <c r="AI633" s="163">
        <v>1911.5450000000001</v>
      </c>
      <c r="AJ633" s="163">
        <v>2898.9356642103298</v>
      </c>
      <c r="AK633" s="164">
        <v>91.07</v>
      </c>
      <c r="AL633" s="187">
        <v>138.1113554426575</v>
      </c>
      <c r="AM633" s="164">
        <v>98.38</v>
      </c>
      <c r="AN633" s="164">
        <v>149.19726746951406</v>
      </c>
      <c r="AO633" s="164">
        <v>15.39536833135919</v>
      </c>
      <c r="AP633" s="164">
        <v>23.347701633721115</v>
      </c>
      <c r="AR633" s="189"/>
      <c r="BA633" s="1310" t="s">
        <v>71</v>
      </c>
      <c r="BB633" s="1225">
        <v>2007</v>
      </c>
      <c r="BC633" s="824" t="s">
        <v>306</v>
      </c>
      <c r="BD633" s="824">
        <v>4</v>
      </c>
      <c r="BE633" s="1226">
        <v>666280634.88</v>
      </c>
      <c r="BF633" s="1227">
        <v>6.6819193821296766E-2</v>
      </c>
      <c r="BH633" s="1311" t="s">
        <v>40</v>
      </c>
      <c r="BI633" s="824" t="s">
        <v>295</v>
      </c>
      <c r="BJ633" s="824" t="s">
        <v>286</v>
      </c>
      <c r="BK633" s="824">
        <v>5</v>
      </c>
      <c r="BL633" s="1226">
        <v>44076354.093250401</v>
      </c>
      <c r="BM633" s="1227">
        <v>7.7722144862866647E-4</v>
      </c>
      <c r="BN633" s="824">
        <v>2012</v>
      </c>
    </row>
    <row r="634" spans="1:66" ht="15" customHeight="1" x14ac:dyDescent="0.35">
      <c r="A634">
        <f t="shared" si="18"/>
        <v>2022</v>
      </c>
      <c r="B634" s="152" t="str">
        <f t="shared" si="20"/>
        <v>2022-23</v>
      </c>
      <c r="C634" s="173">
        <v>44896</v>
      </c>
      <c r="D634" s="169">
        <v>0.67519499999999999</v>
      </c>
      <c r="E634" s="169">
        <v>316.50059945480268</v>
      </c>
      <c r="F634" s="169">
        <v>468.754359044132</v>
      </c>
      <c r="G634" s="169">
        <v>25.988041541742664</v>
      </c>
      <c r="H634" s="169">
        <v>38.489683042295432</v>
      </c>
      <c r="I634" s="170">
        <v>1796.742</v>
      </c>
      <c r="J634" s="170">
        <v>2662.9885051612905</v>
      </c>
      <c r="K634" s="170">
        <v>111.15</v>
      </c>
      <c r="L634" s="170">
        <v>164.61911003487882</v>
      </c>
      <c r="M634" s="170">
        <v>26925</v>
      </c>
      <c r="N634" s="170">
        <v>39877.368760135963</v>
      </c>
      <c r="O634" s="170">
        <v>8366.7900000000009</v>
      </c>
      <c r="P634" s="170">
        <v>12391.664630217938</v>
      </c>
      <c r="Q634" s="170">
        <v>2211.8000000000002</v>
      </c>
      <c r="R634" s="170">
        <v>3275.7944001362571</v>
      </c>
      <c r="S634" s="170">
        <v>3127.5</v>
      </c>
      <c r="T634" s="170">
        <v>4631.9952013862667</v>
      </c>
      <c r="U634" s="170">
        <v>1887.3570360392341</v>
      </c>
      <c r="V634" s="170">
        <v>2795.2769733769269</v>
      </c>
      <c r="W634" s="170">
        <v>3463.9172127307284</v>
      </c>
      <c r="X634" s="170">
        <v>5130.2471326516461</v>
      </c>
      <c r="Y634" s="170">
        <v>79577.392388813882</v>
      </c>
      <c r="Z634" s="169">
        <v>117858.38519066919</v>
      </c>
      <c r="AA634" s="170">
        <v>6066.36</v>
      </c>
      <c r="AB634" s="170">
        <v>8984.6044476040261</v>
      </c>
      <c r="AC634" s="170">
        <v>23.242000000000001</v>
      </c>
      <c r="AD634" s="170">
        <v>34.622875161290317</v>
      </c>
      <c r="AE634" s="170">
        <v>51246.25</v>
      </c>
      <c r="AF634" s="170">
        <v>75898.444153170567</v>
      </c>
      <c r="AG634" s="170">
        <v>1008.833</v>
      </c>
      <c r="AH634" s="170">
        <v>1506.2496583870968</v>
      </c>
      <c r="AI634" s="170">
        <v>1829.6110000000001</v>
      </c>
      <c r="AJ634" s="170">
        <v>2709.7519975710725</v>
      </c>
      <c r="AK634" s="170">
        <v>80.900000000000006</v>
      </c>
      <c r="AL634" s="169">
        <v>119.81723798310119</v>
      </c>
      <c r="AM634" s="170">
        <v>88.11</v>
      </c>
      <c r="AN634" s="170">
        <v>130.49563459445051</v>
      </c>
      <c r="AO634" s="170">
        <v>15.909924436635091</v>
      </c>
      <c r="AP634" s="170">
        <v>23.563451205407461</v>
      </c>
      <c r="AR634" s="189"/>
      <c r="BA634" s="1310" t="s">
        <v>71</v>
      </c>
      <c r="BB634" s="1225">
        <v>2007</v>
      </c>
      <c r="BC634" s="824" t="s">
        <v>323</v>
      </c>
      <c r="BD634" s="824">
        <v>5</v>
      </c>
      <c r="BE634" s="1226">
        <v>638197708.50999999</v>
      </c>
      <c r="BF634" s="1227">
        <v>6.4002845270923245E-2</v>
      </c>
      <c r="BH634" s="1311" t="s">
        <v>40</v>
      </c>
      <c r="BI634" s="824" t="s">
        <v>295</v>
      </c>
      <c r="BJ634" s="824" t="s">
        <v>291</v>
      </c>
      <c r="BL634" s="1226">
        <v>242476614.3884967</v>
      </c>
      <c r="BM634" s="1227">
        <v>4.2757172041700551E-3</v>
      </c>
      <c r="BN634" s="824">
        <v>2012</v>
      </c>
    </row>
    <row r="635" spans="1:66" ht="15" customHeight="1" x14ac:dyDescent="0.35">
      <c r="A635">
        <f t="shared" si="18"/>
        <v>2023</v>
      </c>
      <c r="B635" s="152" t="str">
        <f t="shared" si="20"/>
        <v>2022-23</v>
      </c>
      <c r="C635" s="173">
        <v>44927</v>
      </c>
      <c r="D635" s="154">
        <v>0.6948700000000001</v>
      </c>
      <c r="E635" s="180">
        <v>319.94372456323663</v>
      </c>
      <c r="F635" s="180">
        <v>460.43680769530499</v>
      </c>
      <c r="G635" s="180">
        <v>23.823512411737173</v>
      </c>
      <c r="H635" s="180">
        <v>34.284848117974832</v>
      </c>
      <c r="I635" s="179">
        <v>1898.6289999999999</v>
      </c>
      <c r="J635" s="179">
        <v>2730.4556435483869</v>
      </c>
      <c r="K635" s="158">
        <v>122.93</v>
      </c>
      <c r="L635" s="158">
        <v>176.91078906845883</v>
      </c>
      <c r="M635" s="184">
        <v>28226.07</v>
      </c>
      <c r="N635" s="184">
        <v>40620.648466619648</v>
      </c>
      <c r="O635" s="175">
        <v>8999.27</v>
      </c>
      <c r="P635" s="175">
        <v>12951.012419589275</v>
      </c>
      <c r="Q635" s="175">
        <v>2207.5</v>
      </c>
      <c r="R635" s="175">
        <v>3176.8532243441214</v>
      </c>
      <c r="S635" s="175">
        <v>3288.55</v>
      </c>
      <c r="T635" s="175">
        <v>4732.6118554549766</v>
      </c>
      <c r="U635" s="161">
        <v>2194.939417331992</v>
      </c>
      <c r="V635" s="161">
        <v>3158.7770623742454</v>
      </c>
      <c r="W635" s="161">
        <v>3345.0167785124622</v>
      </c>
      <c r="X635" s="161">
        <v>4813.8742189365803</v>
      </c>
      <c r="Y635" s="185">
        <v>74141.049646210566</v>
      </c>
      <c r="Z635" s="186">
        <v>106697.72712336201</v>
      </c>
      <c r="AA635" s="185">
        <v>5978.57</v>
      </c>
      <c r="AB635" s="185">
        <v>8603.8683494754405</v>
      </c>
      <c r="AC635" s="163">
        <v>23.748000000000001</v>
      </c>
      <c r="AD635" s="163">
        <v>34.272043225806456</v>
      </c>
      <c r="AE635" s="163">
        <v>48639.76</v>
      </c>
      <c r="AF635" s="163">
        <v>69998.359405356387</v>
      </c>
      <c r="AG635" s="163">
        <v>1053.5239999999999</v>
      </c>
      <c r="AH635" s="163">
        <v>1519.0419874193549</v>
      </c>
      <c r="AI635" s="163">
        <v>1732.3330000000001</v>
      </c>
      <c r="AJ635" s="163">
        <v>2493.0317901190147</v>
      </c>
      <c r="AK635" s="164">
        <v>83.09</v>
      </c>
      <c r="AL635" s="187">
        <v>119.5763236288802</v>
      </c>
      <c r="AM635" s="164">
        <v>88.05</v>
      </c>
      <c r="AN635" s="164">
        <v>126.71434944665907</v>
      </c>
      <c r="AO635" s="164">
        <v>16.269229450429968</v>
      </c>
      <c r="AP635" s="164">
        <v>23.413342712205111</v>
      </c>
      <c r="BA635" s="1310" t="s">
        <v>71</v>
      </c>
      <c r="BB635" s="1225">
        <v>2007</v>
      </c>
      <c r="BC635" s="824" t="s">
        <v>342</v>
      </c>
      <c r="BD635" s="824">
        <v>6</v>
      </c>
      <c r="BE635" s="1226">
        <v>436184095.39999998</v>
      </c>
      <c r="BF635" s="1227">
        <v>4.3743534010333075E-2</v>
      </c>
      <c r="BH635" s="1311" t="s">
        <v>40</v>
      </c>
      <c r="BI635" s="824" t="s">
        <v>295</v>
      </c>
      <c r="BJ635" s="824" t="s">
        <v>292</v>
      </c>
      <c r="BL635" s="1226">
        <v>56710161783.387405</v>
      </c>
      <c r="BN635" s="824">
        <v>2012</v>
      </c>
    </row>
    <row r="636" spans="1:66" ht="15" customHeight="1" x14ac:dyDescent="0.35">
      <c r="A636">
        <f t="shared" si="18"/>
        <v>2023</v>
      </c>
      <c r="B636" s="152" t="str">
        <f t="shared" si="20"/>
        <v>2022-23</v>
      </c>
      <c r="C636" s="188">
        <v>44958</v>
      </c>
      <c r="D636" s="169">
        <v>0.69146000000000007</v>
      </c>
      <c r="E636" s="169">
        <v>344.26909250196201</v>
      </c>
      <c r="F636" s="169">
        <v>497.88721329066323</v>
      </c>
      <c r="G636" s="169">
        <v>26.703115609585634</v>
      </c>
      <c r="H636" s="169">
        <v>38.618453142026482</v>
      </c>
      <c r="I636" s="170">
        <v>1854.54</v>
      </c>
      <c r="J636" s="170">
        <v>2690.315099285714</v>
      </c>
      <c r="K636" s="170">
        <v>125.75</v>
      </c>
      <c r="L636" s="170">
        <v>181.86156827582215</v>
      </c>
      <c r="M636" s="170">
        <v>26678.880000000001</v>
      </c>
      <c r="N636" s="170">
        <v>38583.403233737306</v>
      </c>
      <c r="O636" s="170">
        <v>8954.4</v>
      </c>
      <c r="P636" s="170">
        <v>12949.989876493215</v>
      </c>
      <c r="Q636" s="170">
        <v>2098.29</v>
      </c>
      <c r="R636" s="170">
        <v>3034.5790067393627</v>
      </c>
      <c r="S636" s="170">
        <v>3143.04</v>
      </c>
      <c r="T636" s="170">
        <v>4545.5123940647318</v>
      </c>
      <c r="U636" s="170">
        <v>2182.9078504190697</v>
      </c>
      <c r="V636" s="170">
        <v>3156.9546328335255</v>
      </c>
      <c r="W636" s="170">
        <v>3277.3978849911737</v>
      </c>
      <c r="X636" s="170">
        <v>4739.822816925308</v>
      </c>
      <c r="Y636" s="170">
        <v>65667.023151782691</v>
      </c>
      <c r="Z636" s="169">
        <v>94968.650611434772</v>
      </c>
      <c r="AA636" s="170">
        <v>5919.5</v>
      </c>
      <c r="AB636" s="170">
        <v>8560.8712000694177</v>
      </c>
      <c r="AC636" s="170">
        <v>22.01</v>
      </c>
      <c r="AD636" s="170">
        <v>31.809828928571424</v>
      </c>
      <c r="AE636" s="170">
        <v>37106</v>
      </c>
      <c r="AF636" s="170">
        <v>53663.263240100649</v>
      </c>
      <c r="AG636" s="170">
        <v>958.85</v>
      </c>
      <c r="AH636" s="170">
        <v>1382.6721650000002</v>
      </c>
      <c r="AI636" s="170">
        <v>1543.9</v>
      </c>
      <c r="AJ636" s="170">
        <v>2232.8117316981456</v>
      </c>
      <c r="AK636" s="170">
        <v>82.72</v>
      </c>
      <c r="AL636" s="169">
        <v>119.63092586700603</v>
      </c>
      <c r="AM636" s="170">
        <v>86.63</v>
      </c>
      <c r="AN636" s="170">
        <v>125.28562751279898</v>
      </c>
      <c r="AO636" s="170">
        <v>14.293998024101132</v>
      </c>
      <c r="AP636" s="170">
        <v>20.672197992799482</v>
      </c>
      <c r="BA636" s="1310" t="s">
        <v>71</v>
      </c>
      <c r="BB636" s="1225">
        <v>2007</v>
      </c>
      <c r="BC636" s="824" t="s">
        <v>289</v>
      </c>
      <c r="BD636" s="824">
        <v>7</v>
      </c>
      <c r="BE636" s="1226">
        <v>303777385.22000003</v>
      </c>
      <c r="BF636" s="1227">
        <v>3.0464880590740415E-2</v>
      </c>
      <c r="BH636" s="1311" t="s">
        <v>40</v>
      </c>
      <c r="BI636" s="824" t="s">
        <v>297</v>
      </c>
      <c r="BJ636" s="824" t="s">
        <v>281</v>
      </c>
      <c r="BK636" s="1228">
        <v>1</v>
      </c>
      <c r="BL636" s="1226">
        <v>42198077215.796463</v>
      </c>
      <c r="BM636" s="1227">
        <v>0.69325972763464394</v>
      </c>
      <c r="BN636" s="824">
        <v>2011</v>
      </c>
    </row>
    <row r="637" spans="1:66" ht="15" customHeight="1" x14ac:dyDescent="0.35">
      <c r="A637">
        <f t="shared" si="18"/>
        <v>2023</v>
      </c>
      <c r="B637" s="152" t="str">
        <f t="shared" si="20"/>
        <v>2022-23</v>
      </c>
      <c r="C637" s="173">
        <v>44986</v>
      </c>
      <c r="D637" s="154">
        <v>0.66871304347826088</v>
      </c>
      <c r="E637" s="180">
        <v>364.2671463352101</v>
      </c>
      <c r="F637" s="180">
        <v>544.72863941833975</v>
      </c>
      <c r="G637" s="180">
        <v>31.725754213643871</v>
      </c>
      <c r="H637" s="180">
        <v>47.443001931926936</v>
      </c>
      <c r="I637" s="179">
        <v>1912.73</v>
      </c>
      <c r="J637" s="179">
        <v>2866.6851138709671</v>
      </c>
      <c r="K637" s="158">
        <v>126.67</v>
      </c>
      <c r="L637" s="158">
        <v>189.4235520532626</v>
      </c>
      <c r="M637" s="184">
        <v>23289.46</v>
      </c>
      <c r="N637" s="184">
        <v>34827.285376193075</v>
      </c>
      <c r="O637" s="175">
        <v>8834.68</v>
      </c>
      <c r="P637" s="175">
        <v>13211.466541832462</v>
      </c>
      <c r="Q637" s="175">
        <v>2114.08</v>
      </c>
      <c r="R637" s="175">
        <v>3161.4158279368544</v>
      </c>
      <c r="S637" s="175">
        <v>2955.59</v>
      </c>
      <c r="T637" s="175">
        <v>4419.818080153962</v>
      </c>
      <c r="U637" s="161">
        <v>2207.4558129060406</v>
      </c>
      <c r="V637" s="161">
        <v>3301.0509282488711</v>
      </c>
      <c r="W637" s="161">
        <v>3379.0596046937012</v>
      </c>
      <c r="X637" s="161">
        <v>5053.0786525678868</v>
      </c>
      <c r="Y637" s="185">
        <v>53163.830238952949</v>
      </c>
      <c r="Z637" s="186">
        <v>79501.709675685794</v>
      </c>
      <c r="AA637" s="185">
        <v>5092.17</v>
      </c>
      <c r="AB637" s="185">
        <v>7614.8806272918782</v>
      </c>
      <c r="AC637" s="163">
        <v>21.917000000000002</v>
      </c>
      <c r="AD637" s="163">
        <v>32.856749999999998</v>
      </c>
      <c r="AE637" s="163">
        <v>33582.61</v>
      </c>
      <c r="AF637" s="163">
        <v>50219.762164833162</v>
      </c>
      <c r="AG637" s="163">
        <v>970.60900000000004</v>
      </c>
      <c r="AH637" s="163">
        <v>1456.7341290322581</v>
      </c>
      <c r="AI637" s="163">
        <v>1426</v>
      </c>
      <c r="AJ637" s="163">
        <v>2132.4542924761386</v>
      </c>
      <c r="AK637" s="164">
        <v>78.53</v>
      </c>
      <c r="AL637" s="187">
        <v>117.43452706041455</v>
      </c>
      <c r="AM637" s="164">
        <v>82.73</v>
      </c>
      <c r="AN637" s="164">
        <v>123.71524797794596</v>
      </c>
      <c r="AO637" s="164">
        <v>12.852979986537187</v>
      </c>
      <c r="AP637" s="164">
        <v>19.220471489061097</v>
      </c>
      <c r="BA637" s="1310" t="s">
        <v>71</v>
      </c>
      <c r="BB637" s="1225">
        <v>2007</v>
      </c>
      <c r="BC637" s="824" t="s">
        <v>299</v>
      </c>
      <c r="BD637" s="824">
        <v>8</v>
      </c>
      <c r="BE637" s="1226">
        <v>229810652.37000006</v>
      </c>
      <c r="BF637" s="1227">
        <v>2.3046989089928038E-2</v>
      </c>
      <c r="BH637" s="1311" t="s">
        <v>40</v>
      </c>
      <c r="BI637" s="824" t="s">
        <v>297</v>
      </c>
      <c r="BJ637" s="824" t="s">
        <v>308</v>
      </c>
      <c r="BK637" s="824">
        <v>2</v>
      </c>
      <c r="BL637" s="1226">
        <v>10399054315.637474</v>
      </c>
      <c r="BM637" s="1227">
        <v>0.1708429871259155</v>
      </c>
      <c r="BN637" s="824">
        <v>2011</v>
      </c>
    </row>
    <row r="638" spans="1:66" ht="15" customHeight="1" x14ac:dyDescent="0.35">
      <c r="A638">
        <f t="shared" si="18"/>
        <v>2023</v>
      </c>
      <c r="B638" s="152" t="str">
        <f t="shared" si="20"/>
        <v>2022-23</v>
      </c>
      <c r="C638" s="173">
        <v>45017</v>
      </c>
      <c r="D638" s="169">
        <v>0.66947058823529404</v>
      </c>
      <c r="E638" s="169">
        <v>358.7971686830727</v>
      </c>
      <c r="F638" s="169">
        <v>535.9416455155291</v>
      </c>
      <c r="G638" s="169">
        <v>30.205072678142315</v>
      </c>
      <c r="H638" s="169">
        <v>45.117848653757967</v>
      </c>
      <c r="I638" s="170">
        <v>2000.4169999999999</v>
      </c>
      <c r="J638" s="170">
        <v>2986.6147209999999</v>
      </c>
      <c r="K638" s="170">
        <v>115.37</v>
      </c>
      <c r="L638" s="170">
        <v>172.33019945523245</v>
      </c>
      <c r="M638" s="170">
        <v>23749.17</v>
      </c>
      <c r="N638" s="170">
        <v>35474.553202706265</v>
      </c>
      <c r="O638" s="170">
        <v>8813.35</v>
      </c>
      <c r="P638" s="170">
        <v>13164.65600562341</v>
      </c>
      <c r="Q638" s="170">
        <v>2148.31</v>
      </c>
      <c r="R638" s="170">
        <v>3208.9684561989284</v>
      </c>
      <c r="S638" s="170">
        <v>2772.06</v>
      </c>
      <c r="T638" s="170">
        <v>4140.6748088920131</v>
      </c>
      <c r="U638" s="170">
        <v>2185.8593922229024</v>
      </c>
      <c r="V638" s="170">
        <v>3265.0566442131048</v>
      </c>
      <c r="W638" s="170">
        <v>3334.5415611148915</v>
      </c>
      <c r="X638" s="170">
        <v>4980.8634161280343</v>
      </c>
      <c r="Y638" s="170">
        <v>42118.560798413782</v>
      </c>
      <c r="Z638" s="169">
        <v>62913.235530536367</v>
      </c>
      <c r="AA638" s="170">
        <v>4414</v>
      </c>
      <c r="AB638" s="170">
        <v>6593.2694842280998</v>
      </c>
      <c r="AC638" s="170">
        <v>24.995999999999999</v>
      </c>
      <c r="AD638" s="170">
        <v>37.344565000000003</v>
      </c>
      <c r="AE638" s="170">
        <v>34247.67</v>
      </c>
      <c r="AF638" s="170">
        <v>51156.347421140497</v>
      </c>
      <c r="AG638" s="170">
        <v>1053.556</v>
      </c>
      <c r="AH638" s="170">
        <v>1571.4606073333334</v>
      </c>
      <c r="AI638" s="170">
        <v>1515</v>
      </c>
      <c r="AJ638" s="170">
        <v>2262.9821632545472</v>
      </c>
      <c r="AK638" s="170">
        <v>84.11</v>
      </c>
      <c r="AL638" s="169">
        <v>125.63658729461385</v>
      </c>
      <c r="AM638" s="170">
        <v>86.05</v>
      </c>
      <c r="AN638" s="170">
        <v>128.53439943765926</v>
      </c>
      <c r="AO638" s="170">
        <v>11.585918207688394</v>
      </c>
      <c r="AP638" s="170">
        <v>17.306089933283783</v>
      </c>
      <c r="BA638" s="1310" t="s">
        <v>71</v>
      </c>
      <c r="BB638" s="1225">
        <v>2007</v>
      </c>
      <c r="BC638" s="824" t="s">
        <v>285</v>
      </c>
      <c r="BD638" s="824">
        <v>9</v>
      </c>
      <c r="BE638" s="1226">
        <v>144629099.77000001</v>
      </c>
      <c r="BF638" s="1227">
        <v>1.450439851290564E-2</v>
      </c>
      <c r="BH638" s="1311" t="s">
        <v>40</v>
      </c>
      <c r="BI638" s="824" t="s">
        <v>297</v>
      </c>
      <c r="BJ638" s="824" t="s">
        <v>320</v>
      </c>
      <c r="BK638" s="824">
        <v>3</v>
      </c>
      <c r="BL638" s="1226">
        <v>6379743143.9624119</v>
      </c>
      <c r="BM638" s="1227">
        <v>0.104810912870379</v>
      </c>
      <c r="BN638" s="824">
        <v>2011</v>
      </c>
    </row>
    <row r="639" spans="1:66" ht="15" customHeight="1" x14ac:dyDescent="0.35">
      <c r="A639">
        <f t="shared" si="18"/>
        <v>2023</v>
      </c>
      <c r="B639" s="152" t="str">
        <f t="shared" si="20"/>
        <v>2022-23</v>
      </c>
      <c r="C639" s="173">
        <v>45047</v>
      </c>
      <c r="D639" s="154">
        <v>0.66509565217391309</v>
      </c>
      <c r="E639" s="180">
        <v>360.93684830757269</v>
      </c>
      <c r="F639" s="180">
        <v>542.68411938617339</v>
      </c>
      <c r="G639" s="180">
        <v>30.041708231626405</v>
      </c>
      <c r="H639" s="180">
        <v>45.169004087506686</v>
      </c>
      <c r="I639" s="179">
        <v>1990.2180000000001</v>
      </c>
      <c r="J639" s="179">
        <v>2995.570909032258</v>
      </c>
      <c r="K639" s="158">
        <v>104.37</v>
      </c>
      <c r="L639" s="158">
        <v>156.92479669481997</v>
      </c>
      <c r="M639" s="184">
        <v>22214.880000000001</v>
      </c>
      <c r="N639" s="184">
        <v>33401.030253902674</v>
      </c>
      <c r="O639" s="175">
        <v>8233.58</v>
      </c>
      <c r="P639" s="175">
        <v>12379.542661402085</v>
      </c>
      <c r="Q639" s="175">
        <v>2086.84</v>
      </c>
      <c r="R639" s="175">
        <v>3137.6539497424365</v>
      </c>
      <c r="S639" s="175">
        <v>2477.1</v>
      </c>
      <c r="T639" s="175">
        <v>3724.4266924665949</v>
      </c>
      <c r="U639" s="161">
        <v>2292.9872619302291</v>
      </c>
      <c r="V639" s="161">
        <v>3447.6052496139991</v>
      </c>
      <c r="W639" s="161">
        <v>3414.1231553955272</v>
      </c>
      <c r="X639" s="161">
        <v>5133.2814223581518</v>
      </c>
      <c r="Y639" s="185">
        <v>41677.254484793026</v>
      </c>
      <c r="Z639" s="186">
        <v>62663.549744413322</v>
      </c>
      <c r="AA639" s="185">
        <v>4009.05</v>
      </c>
      <c r="AB639" s="185">
        <v>6027.7795936511257</v>
      </c>
      <c r="AC639" s="163">
        <v>24.146999999999998</v>
      </c>
      <c r="AD639" s="163">
        <v>36.454196451612901</v>
      </c>
      <c r="AE639" s="163">
        <v>33226.25</v>
      </c>
      <c r="AF639" s="163">
        <v>49957.099992155425</v>
      </c>
      <c r="AG639" s="163">
        <v>1060.095</v>
      </c>
      <c r="AH639" s="163">
        <v>1593.1196767741935</v>
      </c>
      <c r="AI639" s="163">
        <v>1483.857</v>
      </c>
      <c r="AJ639" s="163">
        <v>2231.0430013335772</v>
      </c>
      <c r="AK639" s="164">
        <v>75.7</v>
      </c>
      <c r="AL639" s="187">
        <v>113.81821509818791</v>
      </c>
      <c r="AM639" s="164">
        <v>79.62</v>
      </c>
      <c r="AN639" s="164">
        <v>119.71210417592762</v>
      </c>
      <c r="AO639" s="164">
        <v>11.16550881990536</v>
      </c>
      <c r="AP639" s="164">
        <v>16.787824102307827</v>
      </c>
      <c r="BA639" s="1310" t="s">
        <v>71</v>
      </c>
      <c r="BB639" s="1225">
        <v>2007</v>
      </c>
      <c r="BC639" s="824" t="s">
        <v>286</v>
      </c>
      <c r="BD639" s="824">
        <v>10</v>
      </c>
      <c r="BE639" s="1226">
        <v>136152981.06</v>
      </c>
      <c r="BF639" s="1227">
        <v>1.3654355168875663E-2</v>
      </c>
      <c r="BH639" s="1311" t="s">
        <v>40</v>
      </c>
      <c r="BI639" s="824" t="s">
        <v>297</v>
      </c>
      <c r="BJ639" s="824" t="s">
        <v>315</v>
      </c>
      <c r="BK639" s="824">
        <v>4</v>
      </c>
      <c r="BL639" s="1226">
        <v>1747417687.4970729</v>
      </c>
      <c r="BM639" s="1227">
        <v>2.8707808270579168E-2</v>
      </c>
      <c r="BN639" s="824">
        <v>2011</v>
      </c>
    </row>
    <row r="640" spans="1:66" ht="15" customHeight="1" x14ac:dyDescent="0.35">
      <c r="A640">
        <f t="shared" si="18"/>
        <v>2023</v>
      </c>
      <c r="B640" s="152" t="str">
        <f t="shared" si="20"/>
        <v>2022-23</v>
      </c>
      <c r="C640" s="173">
        <v>45078</v>
      </c>
      <c r="D640" s="169">
        <v>0.67080952380952397</v>
      </c>
      <c r="E640" s="169">
        <v>341.49841372563816</v>
      </c>
      <c r="F640" s="169">
        <v>509.08402699214878</v>
      </c>
      <c r="G640" s="169">
        <v>28.606276110154035</v>
      </c>
      <c r="H640" s="169">
        <v>42.644409619736962</v>
      </c>
      <c r="I640" s="170">
        <v>1942.9</v>
      </c>
      <c r="J640" s="170">
        <v>2895.1332883333334</v>
      </c>
      <c r="K640" s="170">
        <v>112.91</v>
      </c>
      <c r="L640" s="170">
        <v>168.31901753389644</v>
      </c>
      <c r="M640" s="170">
        <v>21184.09</v>
      </c>
      <c r="N640" s="170">
        <v>31579.888549726693</v>
      </c>
      <c r="O640" s="170">
        <v>8385.56</v>
      </c>
      <c r="P640" s="170">
        <v>12500.657343650169</v>
      </c>
      <c r="Q640" s="170">
        <v>2117.64</v>
      </c>
      <c r="R640" s="170">
        <v>3156.8424788812372</v>
      </c>
      <c r="S640" s="170">
        <v>2367.64</v>
      </c>
      <c r="T640" s="170">
        <v>3529.5265138070549</v>
      </c>
      <c r="U640" s="170">
        <v>2178.3203636050644</v>
      </c>
      <c r="V640" s="170">
        <v>3247.300889877642</v>
      </c>
      <c r="W640" s="170">
        <v>3518.5498048921754</v>
      </c>
      <c r="X640" s="170">
        <v>5245.2293534986629</v>
      </c>
      <c r="Y640" s="170">
        <v>43361.820769964157</v>
      </c>
      <c r="Z640" s="169">
        <v>64641.033305121535</v>
      </c>
      <c r="AA640" s="170">
        <v>4077.14</v>
      </c>
      <c r="AB640" s="170">
        <v>6077.9399446297994</v>
      </c>
      <c r="AC640" s="170">
        <v>23.408000000000001</v>
      </c>
      <c r="AD640" s="170">
        <v>34.925759333333332</v>
      </c>
      <c r="AE640" s="170">
        <v>28924.09</v>
      </c>
      <c r="AF640" s="170">
        <v>43118.186271030019</v>
      </c>
      <c r="AG640" s="170">
        <v>970.63599999999997</v>
      </c>
      <c r="AH640" s="170">
        <v>1451.3903586666665</v>
      </c>
      <c r="AI640" s="170">
        <v>1348.0909999999999</v>
      </c>
      <c r="AJ640" s="170">
        <v>2009.6479733087237</v>
      </c>
      <c r="AK640" s="170">
        <v>74.89</v>
      </c>
      <c r="AL640" s="169">
        <v>111.64122950237805</v>
      </c>
      <c r="AM640" s="170">
        <v>77.22</v>
      </c>
      <c r="AN640" s="170">
        <v>115.11464470788667</v>
      </c>
      <c r="AO640" s="170">
        <v>10.482997896251357</v>
      </c>
      <c r="AP640" s="170">
        <v>15.62738381637527</v>
      </c>
      <c r="BA640" s="1310" t="s">
        <v>71</v>
      </c>
      <c r="BB640" s="1225">
        <v>2007</v>
      </c>
      <c r="BC640" s="824" t="s">
        <v>291</v>
      </c>
      <c r="BE640" s="1226">
        <v>189729528.57999802</v>
      </c>
      <c r="BF640" s="1227">
        <v>1.9027378975367392E-2</v>
      </c>
      <c r="BH640" s="1311" t="s">
        <v>40</v>
      </c>
      <c r="BI640" s="824" t="s">
        <v>297</v>
      </c>
      <c r="BJ640" s="824" t="s">
        <v>312</v>
      </c>
      <c r="BK640" s="824">
        <v>5</v>
      </c>
      <c r="BL640" s="1226">
        <v>83854138.601706073</v>
      </c>
      <c r="BM640" s="1227">
        <v>1.3776148375380238E-3</v>
      </c>
      <c r="BN640" s="824">
        <v>2011</v>
      </c>
    </row>
    <row r="641" spans="1:66" ht="15" customHeight="1" x14ac:dyDescent="0.35">
      <c r="A641">
        <f t="shared" si="18"/>
        <v>2023</v>
      </c>
      <c r="B641" s="152" t="str">
        <f t="shared" si="20"/>
        <v>2023-24</v>
      </c>
      <c r="C641" s="188">
        <v>45108</v>
      </c>
      <c r="D641" s="154">
        <v>0.67375714285714283</v>
      </c>
      <c r="E641" s="180">
        <v>334.98200298049187</v>
      </c>
      <c r="F641" s="180">
        <v>497.18508594946104</v>
      </c>
      <c r="G641" s="180">
        <v>29.600653338950181</v>
      </c>
      <c r="H641" s="180">
        <v>43.933713583243488</v>
      </c>
      <c r="I641" s="179">
        <v>1948.855</v>
      </c>
      <c r="J641" s="179">
        <v>2894.3292848387096</v>
      </c>
      <c r="K641" s="158">
        <v>112.96</v>
      </c>
      <c r="L641" s="158">
        <v>167.65684964908934</v>
      </c>
      <c r="M641" s="184">
        <v>20889.88</v>
      </c>
      <c r="N641" s="184">
        <v>31005.059050526899</v>
      </c>
      <c r="O641" s="175">
        <v>8444.6200000000008</v>
      </c>
      <c r="P641" s="175">
        <v>12533.6259355851</v>
      </c>
      <c r="Q641" s="175">
        <v>2106.13</v>
      </c>
      <c r="R641" s="175">
        <v>3125.9483069355219</v>
      </c>
      <c r="S641" s="175">
        <v>2395.9899999999998</v>
      </c>
      <c r="T641" s="175">
        <v>3556.162669889532</v>
      </c>
      <c r="U641" s="161">
        <v>2176.5075827474443</v>
      </c>
      <c r="V641" s="161">
        <v>3230.4037230948225</v>
      </c>
      <c r="W641" s="161">
        <v>3316.0577010978363</v>
      </c>
      <c r="X641" s="161">
        <v>4921.7403277325138</v>
      </c>
      <c r="Y641" s="185">
        <v>39612.200514729964</v>
      </c>
      <c r="Z641" s="186">
        <v>58792.995272376604</v>
      </c>
      <c r="AA641" s="185">
        <v>4058.57</v>
      </c>
      <c r="AB641" s="185">
        <v>6023.7877149460382</v>
      </c>
      <c r="AC641" s="163">
        <v>24.041</v>
      </c>
      <c r="AD641" s="163">
        <v>35.741268387096774</v>
      </c>
      <c r="AE641" s="163">
        <v>32732.14</v>
      </c>
      <c r="AF641" s="163">
        <v>48581.510930178316</v>
      </c>
      <c r="AG641" s="163">
        <v>947</v>
      </c>
      <c r="AH641" s="163">
        <v>1405.2306080645162</v>
      </c>
      <c r="AI641" s="163">
        <v>1264.4760000000001</v>
      </c>
      <c r="AJ641" s="163">
        <v>1876.7533871891103</v>
      </c>
      <c r="AK641" s="164">
        <v>80.099999999999994</v>
      </c>
      <c r="AL641" s="187">
        <v>118.88556707588576</v>
      </c>
      <c r="AM641" s="164">
        <v>83.03</v>
      </c>
      <c r="AN641" s="164">
        <v>123.23431503509107</v>
      </c>
      <c r="AO641" s="164">
        <v>10.697541931866301</v>
      </c>
      <c r="AP641" s="164">
        <v>15.877444929937473</v>
      </c>
      <c r="BA641" s="1310" t="s">
        <v>71</v>
      </c>
      <c r="BB641" s="1225">
        <v>2007</v>
      </c>
      <c r="BC641" s="824" t="s">
        <v>292</v>
      </c>
      <c r="BE641" s="1226">
        <v>9971395893.5499992</v>
      </c>
      <c r="BH641" s="1311" t="s">
        <v>40</v>
      </c>
      <c r="BI641" s="824" t="s">
        <v>297</v>
      </c>
      <c r="BJ641" s="824" t="s">
        <v>291</v>
      </c>
      <c r="BL641" s="1226">
        <v>60926853.989545316</v>
      </c>
      <c r="BM641" s="1227">
        <v>1.0009492609444404E-3</v>
      </c>
      <c r="BN641" s="824">
        <v>2011</v>
      </c>
    </row>
    <row r="642" spans="1:66" ht="15" customHeight="1" x14ac:dyDescent="0.35">
      <c r="A642">
        <f t="shared" si="18"/>
        <v>2023</v>
      </c>
      <c r="B642" s="152" t="str">
        <f t="shared" si="20"/>
        <v>2023-24</v>
      </c>
      <c r="C642" s="173">
        <v>45139</v>
      </c>
      <c r="D642" s="169">
        <v>0.64881818181818196</v>
      </c>
      <c r="E642" s="169">
        <v>330.06982309848189</v>
      </c>
      <c r="F642" s="169">
        <v>508.7246818107468</v>
      </c>
      <c r="G642" s="169">
        <v>28.971506165937267</v>
      </c>
      <c r="H642" s="169">
        <v>44.652734738028563</v>
      </c>
      <c r="I642" s="170">
        <v>1920.0250000000001</v>
      </c>
      <c r="J642" s="170">
        <v>2960.7191825806453</v>
      </c>
      <c r="K642" s="170">
        <v>109.3</v>
      </c>
      <c r="L642" s="170">
        <v>168.46013731259629</v>
      </c>
      <c r="M642" s="170">
        <v>20484.43</v>
      </c>
      <c r="N642" s="170">
        <v>31571.911167157061</v>
      </c>
      <c r="O642" s="170">
        <v>8351.19</v>
      </c>
      <c r="P642" s="170">
        <v>12871.38713745271</v>
      </c>
      <c r="Q642" s="170">
        <v>2151.06</v>
      </c>
      <c r="R642" s="170">
        <v>3315.3509878100035</v>
      </c>
      <c r="S642" s="170">
        <v>2400.48</v>
      </c>
      <c r="T642" s="170">
        <v>3699.7730138713737</v>
      </c>
      <c r="U642" s="170">
        <v>2029.0665681818184</v>
      </c>
      <c r="V642" s="170">
        <v>3127.3269230769229</v>
      </c>
      <c r="W642" s="170">
        <v>3278.2032708729366</v>
      </c>
      <c r="X642" s="170">
        <v>5052.5761495869829</v>
      </c>
      <c r="Y642" s="170">
        <v>31038.28596767745</v>
      </c>
      <c r="Z642" s="169">
        <v>47838.187704140655</v>
      </c>
      <c r="AA642" s="170">
        <v>3377.39</v>
      </c>
      <c r="AB642" s="170">
        <v>5205.4490682359519</v>
      </c>
      <c r="AC642" s="170">
        <v>23.439</v>
      </c>
      <c r="AD642" s="170">
        <v>36.16069741935484</v>
      </c>
      <c r="AE642" s="170">
        <v>32729.77</v>
      </c>
      <c r="AF642" s="170">
        <v>50445.210872915777</v>
      </c>
      <c r="AG642" s="170">
        <v>923.95500000000004</v>
      </c>
      <c r="AH642" s="170">
        <v>1430.0717251612903</v>
      </c>
      <c r="AI642" s="170">
        <v>1247.9549999999999</v>
      </c>
      <c r="AJ642" s="170">
        <v>1923.4279108869268</v>
      </c>
      <c r="AK642" s="170">
        <v>86.16</v>
      </c>
      <c r="AL642" s="169">
        <v>132.79529213955439</v>
      </c>
      <c r="AM642" s="170">
        <v>89.84</v>
      </c>
      <c r="AN642" s="170">
        <v>138.46714305730697</v>
      </c>
      <c r="AO642" s="170">
        <v>10.794511553812832</v>
      </c>
      <c r="AP642" s="170">
        <v>16.637190288908663</v>
      </c>
      <c r="BA642" s="1310" t="s">
        <v>165</v>
      </c>
      <c r="BB642" s="1225">
        <v>2016</v>
      </c>
      <c r="BC642" s="824" t="s">
        <v>279</v>
      </c>
      <c r="BD642" s="824">
        <v>1</v>
      </c>
      <c r="BE642" s="1226">
        <v>966122261.19000018</v>
      </c>
      <c r="BF642" s="1227">
        <v>0.21394147123030136</v>
      </c>
      <c r="BH642" s="1311" t="s">
        <v>40</v>
      </c>
      <c r="BI642" s="824" t="s">
        <v>297</v>
      </c>
      <c r="BJ642" s="824" t="s">
        <v>292</v>
      </c>
      <c r="BL642" s="1226">
        <v>60869073355.484673</v>
      </c>
      <c r="BN642" s="824">
        <v>2011</v>
      </c>
    </row>
    <row r="643" spans="1:66" ht="15" customHeight="1" x14ac:dyDescent="0.35">
      <c r="A643">
        <f t="shared" si="18"/>
        <v>2023</v>
      </c>
      <c r="B643" s="152" t="str">
        <f t="shared" si="20"/>
        <v>2023-24</v>
      </c>
      <c r="C643" s="173">
        <v>45170</v>
      </c>
      <c r="D643" s="154">
        <v>0.64246190476190479</v>
      </c>
      <c r="E643" s="180">
        <v>337.38973856370689</v>
      </c>
      <c r="F643" s="180">
        <v>525.15135304208104</v>
      </c>
      <c r="G643" s="180">
        <v>30.060202200002617</v>
      </c>
      <c r="H643" s="180">
        <v>46.789081153602211</v>
      </c>
      <c r="I643" s="179">
        <v>1916.96</v>
      </c>
      <c r="J643" s="179">
        <v>2984.2054969999999</v>
      </c>
      <c r="K643" s="158">
        <v>120.53</v>
      </c>
      <c r="L643" s="158">
        <v>187.60645433859335</v>
      </c>
      <c r="M643" s="184">
        <v>19620.599999999999</v>
      </c>
      <c r="N643" s="184">
        <v>30539.709599235081</v>
      </c>
      <c r="O643" s="175">
        <v>8270.19</v>
      </c>
      <c r="P643" s="175">
        <v>12872.65429856875</v>
      </c>
      <c r="Q643" s="175">
        <v>2252.2399999999998</v>
      </c>
      <c r="R643" s="175">
        <v>3505.6397637065747</v>
      </c>
      <c r="S643" s="175">
        <v>2487.75</v>
      </c>
      <c r="T643" s="175">
        <v>3872.2140278838101</v>
      </c>
      <c r="U643" s="161">
        <v>1988.5555411493426</v>
      </c>
      <c r="V643" s="161">
        <v>3095.211601513241</v>
      </c>
      <c r="W643" s="161">
        <v>3186.3556003907102</v>
      </c>
      <c r="X643" s="161">
        <v>4959.602393190251</v>
      </c>
      <c r="Y643" s="185">
        <v>23220.109400402143</v>
      </c>
      <c r="Z643" s="186">
        <v>36142.391055867309</v>
      </c>
      <c r="AA643" s="185">
        <v>2612.11</v>
      </c>
      <c r="AB643" s="185">
        <v>4065.7819251836313</v>
      </c>
      <c r="AC643" s="163">
        <v>23.239000000000001</v>
      </c>
      <c r="AD643" s="163">
        <v>36.132035333333334</v>
      </c>
      <c r="AE643" s="163">
        <v>32732.14</v>
      </c>
      <c r="AF643" s="163">
        <v>50947.985798676222</v>
      </c>
      <c r="AG643" s="163">
        <v>922.76199999999994</v>
      </c>
      <c r="AH643" s="163">
        <v>1438.2920160000001</v>
      </c>
      <c r="AI643" s="163">
        <v>1239.2860000000001</v>
      </c>
      <c r="AJ643" s="163">
        <v>1928.9641779760891</v>
      </c>
      <c r="AK643" s="164">
        <v>94</v>
      </c>
      <c r="AL643" s="187">
        <v>146.31217711630111</v>
      </c>
      <c r="AM643" s="164">
        <v>98.4</v>
      </c>
      <c r="AN643" s="164">
        <v>153.16083221536203</v>
      </c>
      <c r="AO643" s="164">
        <v>10.814685267100266</v>
      </c>
      <c r="AP643" s="164">
        <v>16.833193045287516</v>
      </c>
      <c r="BA643" s="1310" t="s">
        <v>165</v>
      </c>
      <c r="BB643" s="1225">
        <v>2016</v>
      </c>
      <c r="BC643" s="824" t="s">
        <v>282</v>
      </c>
      <c r="BD643" s="824">
        <v>2</v>
      </c>
      <c r="BE643" s="1226">
        <v>608194648.67000008</v>
      </c>
      <c r="BF643" s="1227">
        <v>0.13468073675332351</v>
      </c>
      <c r="BH643" s="1311" t="s">
        <v>40</v>
      </c>
      <c r="BI643" s="824" t="s">
        <v>301</v>
      </c>
      <c r="BJ643" s="824" t="s">
        <v>281</v>
      </c>
      <c r="BK643" s="824">
        <v>1</v>
      </c>
      <c r="BL643" s="1226">
        <v>39558337456.315392</v>
      </c>
      <c r="BM643" s="1227">
        <v>0.68252458418875683</v>
      </c>
      <c r="BN643" s="824">
        <v>2010</v>
      </c>
    </row>
    <row r="644" spans="1:66" ht="15" customHeight="1" x14ac:dyDescent="0.35">
      <c r="A644">
        <f t="shared" si="18"/>
        <v>2023</v>
      </c>
      <c r="B644" s="152" t="str">
        <f t="shared" si="20"/>
        <v>2023-24</v>
      </c>
      <c r="C644" s="173">
        <v>45200</v>
      </c>
      <c r="D644" s="169">
        <v>0.63501428571428575</v>
      </c>
      <c r="E644" s="169">
        <v>338.8692439286898</v>
      </c>
      <c r="F644" s="169">
        <v>533.64034723646898</v>
      </c>
      <c r="G644" s="169">
        <v>29.853022643277146</v>
      </c>
      <c r="H644" s="169">
        <v>47.011576455634298</v>
      </c>
      <c r="I644" s="170">
        <v>1913.0360000000001</v>
      </c>
      <c r="J644" s="170">
        <v>3023.2649787096775</v>
      </c>
      <c r="K644" s="170">
        <v>118.97</v>
      </c>
      <c r="L644" s="170">
        <v>187.35011585791094</v>
      </c>
      <c r="M644" s="170">
        <v>18249.2</v>
      </c>
      <c r="N644" s="170">
        <v>28738.251107961576</v>
      </c>
      <c r="O644" s="170">
        <v>7939.24</v>
      </c>
      <c r="P644" s="170">
        <v>12502.45888731412</v>
      </c>
      <c r="Q644" s="170">
        <v>2135.8000000000002</v>
      </c>
      <c r="R644" s="170">
        <v>3363.3889001372299</v>
      </c>
      <c r="S644" s="170">
        <v>2448.75</v>
      </c>
      <c r="T644" s="170">
        <v>3856.2124586623472</v>
      </c>
      <c r="U644" s="170">
        <v>1919.4064031538321</v>
      </c>
      <c r="V644" s="170">
        <v>3022.6192486281129</v>
      </c>
      <c r="W644" s="170">
        <v>3096.4595990885587</v>
      </c>
      <c r="X644" s="170">
        <v>4876.2046283817936</v>
      </c>
      <c r="Y644" s="170">
        <v>21571.801175382097</v>
      </c>
      <c r="Z644" s="169">
        <v>33970.576191238593</v>
      </c>
      <c r="AA644" s="170">
        <v>2131.1799999999998</v>
      </c>
      <c r="AB644" s="170">
        <v>3356.1134732626933</v>
      </c>
      <c r="AC644" s="170">
        <v>22.321999999999999</v>
      </c>
      <c r="AD644" s="170">
        <v>35.368359677419356</v>
      </c>
      <c r="AE644" s="170">
        <v>32732.5</v>
      </c>
      <c r="AF644" s="170">
        <v>51546.084452543248</v>
      </c>
      <c r="AG644" s="170">
        <v>891.36400000000003</v>
      </c>
      <c r="AH644" s="170">
        <v>1407.6872970967743</v>
      </c>
      <c r="AI644" s="170">
        <v>1142.0909999999999</v>
      </c>
      <c r="AJ644" s="170">
        <v>1798.5280421137879</v>
      </c>
      <c r="AK644" s="170">
        <v>91.06</v>
      </c>
      <c r="AL644" s="169">
        <v>143.39834874356032</v>
      </c>
      <c r="AM644" s="170">
        <v>95.93</v>
      </c>
      <c r="AN644" s="170">
        <v>151.0674675485366</v>
      </c>
      <c r="AO644" s="170">
        <v>10.718464432880021</v>
      </c>
      <c r="AP644" s="170">
        <v>16.879091815743209</v>
      </c>
      <c r="BA644" s="1310" t="s">
        <v>165</v>
      </c>
      <c r="BB644" s="1225">
        <v>2016</v>
      </c>
      <c r="BC644" s="824" t="s">
        <v>284</v>
      </c>
      <c r="BD644" s="824">
        <v>3</v>
      </c>
      <c r="BE644" s="1226">
        <v>384411897.37999988</v>
      </c>
      <c r="BF644" s="1227">
        <v>8.5125506561260098E-2</v>
      </c>
      <c r="BH644" s="1311" t="s">
        <v>40</v>
      </c>
      <c r="BI644" s="824" t="s">
        <v>301</v>
      </c>
      <c r="BJ644" s="824" t="s">
        <v>308</v>
      </c>
      <c r="BK644" s="824">
        <v>2</v>
      </c>
      <c r="BL644" s="1226">
        <v>10347639130.988295</v>
      </c>
      <c r="BM644" s="1227">
        <v>0.17853424965122189</v>
      </c>
      <c r="BN644" s="824">
        <v>2010</v>
      </c>
    </row>
    <row r="645" spans="1:66" ht="15" customHeight="1" x14ac:dyDescent="0.35">
      <c r="A645">
        <f t="shared" si="18"/>
        <v>2023</v>
      </c>
      <c r="B645" s="152" t="str">
        <f t="shared" si="20"/>
        <v>2023-24</v>
      </c>
      <c r="C645" s="173">
        <v>45231</v>
      </c>
      <c r="D645" s="154">
        <v>0.64918636363636362</v>
      </c>
      <c r="E645" s="180">
        <v>334.84082852011335</v>
      </c>
      <c r="F645" s="180">
        <v>515.78536961948828</v>
      </c>
      <c r="G645" s="180">
        <v>31.299647089921308</v>
      </c>
      <c r="H645" s="180">
        <v>48.213654573085805</v>
      </c>
      <c r="I645" s="179">
        <v>1985.2729999999999</v>
      </c>
      <c r="J645" s="179">
        <v>3052.067697</v>
      </c>
      <c r="K645" s="158">
        <v>130.69</v>
      </c>
      <c r="L645" s="158">
        <v>201.31353232367789</v>
      </c>
      <c r="M645" s="184">
        <v>16974.32</v>
      </c>
      <c r="N645" s="184">
        <v>26147.068008206075</v>
      </c>
      <c r="O645" s="175">
        <v>8173.48</v>
      </c>
      <c r="P645" s="175">
        <v>12590.344557172964</v>
      </c>
      <c r="Q645" s="175">
        <v>2184.64</v>
      </c>
      <c r="R645" s="175">
        <v>3365.1969948396945</v>
      </c>
      <c r="S645" s="175">
        <v>2543.25</v>
      </c>
      <c r="T645" s="175">
        <v>3917.5961518264121</v>
      </c>
      <c r="U645" s="161">
        <v>1902.8289886631483</v>
      </c>
      <c r="V645" s="161">
        <v>2931.0982103884767</v>
      </c>
      <c r="W645" s="161">
        <v>3211.2551210802635</v>
      </c>
      <c r="X645" s="161">
        <v>4946.5843723098005</v>
      </c>
      <c r="Y645" s="185">
        <v>19098.286519385307</v>
      </c>
      <c r="Z645" s="186">
        <v>29418.804197315294</v>
      </c>
      <c r="AA645" s="185">
        <v>1730.91</v>
      </c>
      <c r="AB645" s="185">
        <v>2666.2759678198586</v>
      </c>
      <c r="AC645" s="163">
        <v>23.39</v>
      </c>
      <c r="AD645" s="163">
        <v>36.084102000000001</v>
      </c>
      <c r="AE645" s="163">
        <v>32753.41</v>
      </c>
      <c r="AF645" s="163">
        <v>50453.016013051303</v>
      </c>
      <c r="AG645" s="163">
        <v>906.90899999999999</v>
      </c>
      <c r="AH645" s="163">
        <v>1396.2423249999999</v>
      </c>
      <c r="AI645" s="163">
        <v>1050.2729999999999</v>
      </c>
      <c r="AJ645" s="163">
        <v>1617.8297309219231</v>
      </c>
      <c r="AK645" s="164">
        <v>83.18</v>
      </c>
      <c r="AL645" s="187">
        <v>128.12961679304865</v>
      </c>
      <c r="AM645" s="164">
        <v>87.89</v>
      </c>
      <c r="AN645" s="164">
        <v>135.38485236764902</v>
      </c>
      <c r="AO645" s="164">
        <v>11.216038869770722</v>
      </c>
      <c r="AP645" s="164">
        <v>17.277070958399388</v>
      </c>
      <c r="BA645" s="1310" t="s">
        <v>165</v>
      </c>
      <c r="BB645" s="1225">
        <v>2016</v>
      </c>
      <c r="BC645" s="824" t="s">
        <v>283</v>
      </c>
      <c r="BD645" s="824">
        <v>4</v>
      </c>
      <c r="BE645" s="1226">
        <v>373831019.82999992</v>
      </c>
      <c r="BF645" s="1227">
        <v>8.278244026324684E-2</v>
      </c>
      <c r="BH645" s="1311" t="s">
        <v>40</v>
      </c>
      <c r="BI645" s="824" t="s">
        <v>301</v>
      </c>
      <c r="BJ645" s="824" t="s">
        <v>320</v>
      </c>
      <c r="BK645" s="824">
        <v>3</v>
      </c>
      <c r="BL645" s="1226">
        <v>6017937682.9607887</v>
      </c>
      <c r="BM645" s="1227">
        <v>0.10383121938004823</v>
      </c>
      <c r="BN645" s="824">
        <v>2010</v>
      </c>
    </row>
    <row r="646" spans="1:66" ht="15" customHeight="1" x14ac:dyDescent="0.35">
      <c r="A646">
        <f t="shared" si="18"/>
        <v>2023</v>
      </c>
      <c r="B646" s="152" t="str">
        <f t="shared" si="20"/>
        <v>2023-24</v>
      </c>
      <c r="C646" s="188">
        <v>45261</v>
      </c>
      <c r="D646" s="169">
        <v>0.66826842105263162</v>
      </c>
      <c r="E646" s="169">
        <v>329.00129734023977</v>
      </c>
      <c r="F646" s="169">
        <v>492.31908463070744</v>
      </c>
      <c r="G646" s="169">
        <v>31.800483305093678</v>
      </c>
      <c r="H646" s="169">
        <v>47.586392388559581</v>
      </c>
      <c r="I646" s="170">
        <v>2029.2909999999999</v>
      </c>
      <c r="J646" s="170">
        <v>3042.6198648387099</v>
      </c>
      <c r="K646" s="170">
        <v>136.36000000000001</v>
      </c>
      <c r="L646" s="170">
        <v>204.04974364224901</v>
      </c>
      <c r="M646" s="170">
        <v>16381.71</v>
      </c>
      <c r="N646" s="170">
        <v>24513.667687897232</v>
      </c>
      <c r="O646" s="170">
        <v>8393.64</v>
      </c>
      <c r="P646" s="170">
        <v>12560.282269179575</v>
      </c>
      <c r="Q646" s="170">
        <v>2035.8</v>
      </c>
      <c r="R646" s="170">
        <v>3046.38066960172</v>
      </c>
      <c r="S646" s="170">
        <v>2501.29</v>
      </c>
      <c r="T646" s="170">
        <v>3742.9420891384643</v>
      </c>
      <c r="U646" s="170">
        <v>1910.3778031691711</v>
      </c>
      <c r="V646" s="170">
        <v>2858.6983059292475</v>
      </c>
      <c r="W646" s="170">
        <v>3157.7767737112727</v>
      </c>
      <c r="X646" s="170">
        <v>4725.3119767910921</v>
      </c>
      <c r="Y646" s="170">
        <v>14280.526129582391</v>
      </c>
      <c r="Z646" s="169">
        <v>21369.446287897663</v>
      </c>
      <c r="AA646" s="170">
        <v>1355.71</v>
      </c>
      <c r="AB646" s="170">
        <v>2028.6908034118026</v>
      </c>
      <c r="AC646" s="170">
        <v>23.984999999999999</v>
      </c>
      <c r="AD646" s="170">
        <v>35.875717741935482</v>
      </c>
      <c r="AE646" s="170">
        <v>30140.53</v>
      </c>
      <c r="AF646" s="170">
        <v>45102.430476250476</v>
      </c>
      <c r="AG646" s="170">
        <v>939.05899999999997</v>
      </c>
      <c r="AH646" s="170">
        <v>1418.6223241935484</v>
      </c>
      <c r="AI646" s="170">
        <v>1062.059</v>
      </c>
      <c r="AJ646" s="170">
        <v>1589.2700695434389</v>
      </c>
      <c r="AK646" s="170">
        <v>77.86</v>
      </c>
      <c r="AL646" s="169">
        <v>116.51006922840648</v>
      </c>
      <c r="AM646" s="170">
        <v>83.31</v>
      </c>
      <c r="AN646" s="170">
        <v>124.66547479345677</v>
      </c>
      <c r="AO646" s="170">
        <v>11.359774378233965</v>
      </c>
      <c r="AP646" s="170">
        <v>16.998819666415585</v>
      </c>
      <c r="BA646" s="1310" t="s">
        <v>165</v>
      </c>
      <c r="BB646" s="1225">
        <v>2016</v>
      </c>
      <c r="BC646" s="824" t="s">
        <v>281</v>
      </c>
      <c r="BD646" s="824">
        <v>5</v>
      </c>
      <c r="BE646" s="1226">
        <v>371852281</v>
      </c>
      <c r="BF646" s="1227">
        <v>8.2344261459718099E-2</v>
      </c>
      <c r="BH646" s="1311" t="s">
        <v>40</v>
      </c>
      <c r="BI646" s="824" t="s">
        <v>301</v>
      </c>
      <c r="BJ646" s="824" t="s">
        <v>315</v>
      </c>
      <c r="BK646" s="824">
        <v>4</v>
      </c>
      <c r="BL646" s="1226">
        <v>1890021164.969667</v>
      </c>
      <c r="BM646" s="1227">
        <v>3.2609709929124653E-2</v>
      </c>
      <c r="BN646" s="824">
        <v>2010</v>
      </c>
    </row>
    <row r="647" spans="1:66" ht="15" customHeight="1" x14ac:dyDescent="0.35">
      <c r="A647">
        <f t="shared" si="18"/>
        <v>2024</v>
      </c>
      <c r="B647" s="152" t="str">
        <f t="shared" si="20"/>
        <v>2023-24</v>
      </c>
      <c r="C647" s="188">
        <v>45292</v>
      </c>
      <c r="D647" s="154">
        <v>0.66523333333333334</v>
      </c>
      <c r="E647" s="180">
        <v>331.76423088023324</v>
      </c>
      <c r="F647" s="180">
        <v>498.71859129162686</v>
      </c>
      <c r="G647" s="180">
        <v>33.881273626557821</v>
      </c>
      <c r="H647" s="180">
        <v>50.931412977738873</v>
      </c>
      <c r="I647" s="179">
        <v>2034.0409999999999</v>
      </c>
      <c r="J647" s="179">
        <v>3063.5120000000002</v>
      </c>
      <c r="K647" s="158">
        <v>135.19999999999999</v>
      </c>
      <c r="L647" s="158">
        <v>203.23695946284511</v>
      </c>
      <c r="M647" s="184">
        <v>16085.11</v>
      </c>
      <c r="N647" s="184">
        <v>24179.651250187904</v>
      </c>
      <c r="O647" s="175">
        <v>8343.51</v>
      </c>
      <c r="P647" s="175">
        <v>12542.230796211856</v>
      </c>
      <c r="Q647" s="175">
        <v>2086.9</v>
      </c>
      <c r="R647" s="175">
        <v>3137.0947537204993</v>
      </c>
      <c r="S647" s="175">
        <v>2520.88</v>
      </c>
      <c r="T647" s="175">
        <v>3789.4673548128476</v>
      </c>
      <c r="U647" s="161">
        <v>1915.8738113228467</v>
      </c>
      <c r="V647" s="161">
        <v>2880.0027228383724</v>
      </c>
      <c r="W647" s="161">
        <v>3159.4981722416055</v>
      </c>
      <c r="X647" s="161">
        <v>4749.4585943402399</v>
      </c>
      <c r="Y647" s="185">
        <v>11593.117592150982</v>
      </c>
      <c r="Z647" s="186">
        <v>17427.144749437764</v>
      </c>
      <c r="AA647" s="185">
        <v>1024.55</v>
      </c>
      <c r="AB647" s="185">
        <v>1540.1362930300145</v>
      </c>
      <c r="AC647" s="163">
        <v>22.948</v>
      </c>
      <c r="AD647" s="163">
        <v>34.548999999999999</v>
      </c>
      <c r="AE647" s="163">
        <v>28440.23</v>
      </c>
      <c r="AF647" s="163">
        <v>42752.262364082773</v>
      </c>
      <c r="AG647" s="163">
        <v>925.86400000000003</v>
      </c>
      <c r="AH647" s="163">
        <v>1396.136</v>
      </c>
      <c r="AI647" s="163">
        <v>983</v>
      </c>
      <c r="AJ647" s="163">
        <v>1477.6770055619581</v>
      </c>
      <c r="AK647" s="164">
        <v>80.23</v>
      </c>
      <c r="AL647" s="187">
        <v>120.60429924337326</v>
      </c>
      <c r="AM647" s="164">
        <v>83.66</v>
      </c>
      <c r="AN647" s="164">
        <v>125.76038482737886</v>
      </c>
      <c r="AO647" s="164">
        <v>11.339811340134755</v>
      </c>
      <c r="AP647" s="164">
        <v>17.046366698604132</v>
      </c>
      <c r="BA647" s="1310" t="s">
        <v>165</v>
      </c>
      <c r="BB647" s="1225">
        <v>2016</v>
      </c>
      <c r="BC647" s="824" t="s">
        <v>285</v>
      </c>
      <c r="BD647" s="824">
        <v>6</v>
      </c>
      <c r="BE647" s="1226">
        <v>330773158.39000005</v>
      </c>
      <c r="BF647" s="1227">
        <v>7.3247557780405037E-2</v>
      </c>
      <c r="BH647" s="1311" t="s">
        <v>40</v>
      </c>
      <c r="BI647" s="824" t="s">
        <v>301</v>
      </c>
      <c r="BJ647" s="824" t="s">
        <v>312</v>
      </c>
      <c r="BK647" s="824">
        <v>5</v>
      </c>
      <c r="BL647" s="1226">
        <v>84333713.038426876</v>
      </c>
      <c r="BM647" s="1227">
        <v>1.4550619698871332E-3</v>
      </c>
      <c r="BN647" s="824">
        <v>2010</v>
      </c>
    </row>
    <row r="648" spans="1:66" ht="15" customHeight="1" x14ac:dyDescent="0.35">
      <c r="A648">
        <f t="shared" si="18"/>
        <v>2024</v>
      </c>
      <c r="B648" s="152" t="str">
        <f t="shared" si="20"/>
        <v>2023-24</v>
      </c>
      <c r="C648" s="173">
        <v>45323</v>
      </c>
      <c r="D648" s="169">
        <v>0.65300476190476198</v>
      </c>
      <c r="E648" s="169">
        <v>362.75995007349519</v>
      </c>
      <c r="F648" s="169">
        <v>555.52420324677848</v>
      </c>
      <c r="G648" s="169">
        <v>33.0908101420493</v>
      </c>
      <c r="H648" s="169">
        <v>50.674684278757915</v>
      </c>
      <c r="I648" s="170">
        <v>2023.2380000000001</v>
      </c>
      <c r="J648" s="170">
        <v>3103.3919999999998</v>
      </c>
      <c r="K648" s="170">
        <v>124.31</v>
      </c>
      <c r="L648" s="170">
        <v>190.36614623972696</v>
      </c>
      <c r="M648" s="170">
        <v>16302.38</v>
      </c>
      <c r="N648" s="170">
        <v>24965.177822665915</v>
      </c>
      <c r="O648" s="170">
        <v>8310.0499999999993</v>
      </c>
      <c r="P648" s="170">
        <v>12725.864319519289</v>
      </c>
      <c r="Q648" s="170">
        <v>2083.63</v>
      </c>
      <c r="R648" s="170">
        <v>3190.8343117165336</v>
      </c>
      <c r="S648" s="170">
        <v>2363.86</v>
      </c>
      <c r="T648" s="170">
        <v>3619.9736018843296</v>
      </c>
      <c r="U648" s="170">
        <v>1894.5673780034001</v>
      </c>
      <c r="V648" s="170">
        <v>2901.3071397474969</v>
      </c>
      <c r="W648" s="170">
        <v>3176.4308284638896</v>
      </c>
      <c r="X648" s="170">
        <v>4864.3302679730823</v>
      </c>
      <c r="Y648" s="170">
        <v>11459.115131031811</v>
      </c>
      <c r="Z648" s="169">
        <v>17548.28724006009</v>
      </c>
      <c r="AA648" s="170">
        <v>1001.33</v>
      </c>
      <c r="AB648" s="170">
        <v>1533.4191393630906</v>
      </c>
      <c r="AC648" s="170">
        <v>22.684999999999999</v>
      </c>
      <c r="AD648" s="170">
        <v>34.807000000000002</v>
      </c>
      <c r="AE648" s="170">
        <v>28048.33</v>
      </c>
      <c r="AF648" s="170">
        <v>42952.718932991076</v>
      </c>
      <c r="AG648" s="170">
        <v>894.28599999999994</v>
      </c>
      <c r="AH648" s="170">
        <v>1372.2339999999999</v>
      </c>
      <c r="AI648" s="170">
        <v>938.42899999999997</v>
      </c>
      <c r="AJ648" s="170">
        <v>1437.0936549722526</v>
      </c>
      <c r="AK648" s="170">
        <v>83.76</v>
      </c>
      <c r="AL648" s="169">
        <v>128.26858988850077</v>
      </c>
      <c r="AM648" s="170">
        <v>85.83</v>
      </c>
      <c r="AN648" s="170">
        <v>131.43855145809479</v>
      </c>
      <c r="AO648" s="170">
        <v>11.102984177049768</v>
      </c>
      <c r="AP648" s="170">
        <v>17.002914564762534</v>
      </c>
      <c r="BA648" s="1310" t="s">
        <v>165</v>
      </c>
      <c r="BB648" s="1225">
        <v>2016</v>
      </c>
      <c r="BC648" s="824" t="s">
        <v>287</v>
      </c>
      <c r="BD648" s="824">
        <v>7</v>
      </c>
      <c r="BE648" s="1226">
        <v>294070140.32999998</v>
      </c>
      <c r="BF648" s="1227">
        <v>6.5119913901589083E-2</v>
      </c>
      <c r="BH648" s="1311" t="s">
        <v>40</v>
      </c>
      <c r="BI648" s="824" t="s">
        <v>301</v>
      </c>
      <c r="BJ648" s="824" t="s">
        <v>291</v>
      </c>
      <c r="BL648" s="1226">
        <v>60577130.259819478</v>
      </c>
      <c r="BM648" s="1227">
        <v>1.0451748809613018E-3</v>
      </c>
      <c r="BN648" s="824">
        <v>2010</v>
      </c>
    </row>
    <row r="649" spans="1:66" ht="15" customHeight="1" x14ac:dyDescent="0.35">
      <c r="A649">
        <f t="shared" si="18"/>
        <v>2024</v>
      </c>
      <c r="B649" s="152" t="str">
        <f t="shared" si="20"/>
        <v>2023-24</v>
      </c>
      <c r="C649" s="173">
        <v>45352</v>
      </c>
      <c r="D649" s="154">
        <v>0.65589499999999989</v>
      </c>
      <c r="E649" s="180">
        <v>363.07504831790664</v>
      </c>
      <c r="F649" s="180">
        <v>553.55666427996357</v>
      </c>
      <c r="G649" s="180">
        <v>36.469472361770656</v>
      </c>
      <c r="H649" s="180">
        <v>55.602607676183936</v>
      </c>
      <c r="I649" s="179">
        <v>2158.0129999999999</v>
      </c>
      <c r="J649" s="179">
        <v>3300.4520000000002</v>
      </c>
      <c r="K649" s="158">
        <v>109.67</v>
      </c>
      <c r="L649" s="158">
        <v>167.20664130691654</v>
      </c>
      <c r="M649" s="184">
        <v>17427.25</v>
      </c>
      <c r="N649" s="184">
        <v>26570.182727418265</v>
      </c>
      <c r="O649" s="175">
        <v>8675.11</v>
      </c>
      <c r="P649" s="175">
        <v>13226.370074478387</v>
      </c>
      <c r="Q649" s="175">
        <v>2056.4</v>
      </c>
      <c r="R649" s="175">
        <v>3135.2579300040411</v>
      </c>
      <c r="S649" s="175">
        <v>2461.88</v>
      </c>
      <c r="T649" s="175">
        <v>3753.4666371904045</v>
      </c>
      <c r="U649" s="161">
        <v>1604.5230442400623</v>
      </c>
      <c r="V649" s="161">
        <v>2446.3108336548726</v>
      </c>
      <c r="W649" s="161">
        <v>3140.6130251126438</v>
      </c>
      <c r="X649" s="161">
        <v>4788.2862731270161</v>
      </c>
      <c r="Y649" s="185">
        <v>14134.837310261082</v>
      </c>
      <c r="Z649" s="186">
        <v>21550.457482159622</v>
      </c>
      <c r="AA649" s="185">
        <v>1141.43</v>
      </c>
      <c r="AB649" s="185">
        <v>1740.2633043398719</v>
      </c>
      <c r="AC649" s="163">
        <v>24.446999999999999</v>
      </c>
      <c r="AD649" s="163">
        <v>37.354999999999997</v>
      </c>
      <c r="AE649" s="163">
        <v>28028.5</v>
      </c>
      <c r="AF649" s="163">
        <v>42733.211870802501</v>
      </c>
      <c r="AG649" s="163">
        <v>908.75</v>
      </c>
      <c r="AH649" s="163">
        <v>1389.2270000000001</v>
      </c>
      <c r="AI649" s="163">
        <v>1012.1</v>
      </c>
      <c r="AJ649" s="163">
        <v>1543.0823531205456</v>
      </c>
      <c r="AK649" s="164">
        <v>85.45</v>
      </c>
      <c r="AL649" s="187">
        <v>130.27999908521946</v>
      </c>
      <c r="AM649" s="164">
        <v>89.4</v>
      </c>
      <c r="AN649" s="164">
        <v>136.30230448471175</v>
      </c>
      <c r="AO649" s="164">
        <v>10.552837486101733</v>
      </c>
      <c r="AP649" s="164">
        <v>16.08921776519372</v>
      </c>
      <c r="BA649" s="1310" t="s">
        <v>165</v>
      </c>
      <c r="BB649" s="1225">
        <v>2016</v>
      </c>
      <c r="BC649" s="824" t="s">
        <v>304</v>
      </c>
      <c r="BD649" s="824">
        <v>8</v>
      </c>
      <c r="BE649" s="1226">
        <v>211057990.67000002</v>
      </c>
      <c r="BF649" s="1227">
        <v>4.6737414976064713E-2</v>
      </c>
      <c r="BH649" s="1311" t="s">
        <v>40</v>
      </c>
      <c r="BI649" s="824" t="s">
        <v>301</v>
      </c>
      <c r="BJ649" s="824" t="s">
        <v>292</v>
      </c>
      <c r="BL649" s="1226">
        <v>57958846278.532387</v>
      </c>
      <c r="BN649" s="824">
        <v>2010</v>
      </c>
    </row>
    <row r="650" spans="1:66" ht="15" customHeight="1" x14ac:dyDescent="0.35">
      <c r="A650">
        <f t="shared" si="18"/>
        <v>2024</v>
      </c>
      <c r="B650" s="152" t="str">
        <f t="shared" si="20"/>
        <v>2023-24</v>
      </c>
      <c r="C650" s="173">
        <v>45383</v>
      </c>
      <c r="D650" s="169">
        <v>0.65116499999999999</v>
      </c>
      <c r="E650" s="169">
        <v>365.66256016118234</v>
      </c>
      <c r="F650" s="169">
        <v>561.55131212700678</v>
      </c>
      <c r="G650" s="169">
        <v>37.177836397393321</v>
      </c>
      <c r="H650" s="169">
        <v>57.094340754483611</v>
      </c>
      <c r="I650" s="170">
        <v>2335.4899999999998</v>
      </c>
      <c r="J650" s="170">
        <v>3594.018</v>
      </c>
      <c r="K650" s="170">
        <v>110.95</v>
      </c>
      <c r="L650" s="170">
        <v>170.386921901515</v>
      </c>
      <c r="M650" s="170">
        <v>18167.86</v>
      </c>
      <c r="N650" s="170">
        <v>27900.547480285335</v>
      </c>
      <c r="O650" s="170">
        <v>9481.5400000000009</v>
      </c>
      <c r="P650" s="170">
        <v>14560.887025561879</v>
      </c>
      <c r="Q650" s="170">
        <v>2129.1999999999998</v>
      </c>
      <c r="R650" s="170">
        <v>3269.8317630708038</v>
      </c>
      <c r="S650" s="170">
        <v>2730.11</v>
      </c>
      <c r="T650" s="170">
        <v>4192.6547034929708</v>
      </c>
      <c r="U650" s="170">
        <v>1907.4230051145039</v>
      </c>
      <c r="V650" s="170">
        <v>2929.2468193384225</v>
      </c>
      <c r="W650" s="170">
        <v>3125.2355044387718</v>
      </c>
      <c r="X650" s="170">
        <v>4799.4525265313277</v>
      </c>
      <c r="Y650" s="170">
        <v>14286.007083951245</v>
      </c>
      <c r="Z650" s="169">
        <v>21939.150728235156</v>
      </c>
      <c r="AA650" s="170">
        <v>1232.73</v>
      </c>
      <c r="AB650" s="170">
        <v>1893.1146483610146</v>
      </c>
      <c r="AC650" s="170">
        <v>27.582999999999998</v>
      </c>
      <c r="AD650" s="170">
        <v>42.414000000000001</v>
      </c>
      <c r="AE650" s="170">
        <v>27763.33</v>
      </c>
      <c r="AF650" s="170">
        <v>42636.397840793041</v>
      </c>
      <c r="AG650" s="170">
        <v>941.85699999999997</v>
      </c>
      <c r="AH650" s="170">
        <v>1447.7190000000001</v>
      </c>
      <c r="AI650" s="170">
        <v>1015.19</v>
      </c>
      <c r="AJ650" s="170">
        <v>1559.0364961261739</v>
      </c>
      <c r="AK650" s="170">
        <v>90.05</v>
      </c>
      <c r="AL650" s="169">
        <v>138.29060222831387</v>
      </c>
      <c r="AM650" s="170">
        <v>95.15</v>
      </c>
      <c r="AN650" s="170">
        <v>146.12271851220507</v>
      </c>
      <c r="AO650" s="170">
        <v>10.262470304245438</v>
      </c>
      <c r="AP650" s="170">
        <v>15.760168780947129</v>
      </c>
      <c r="BA650" s="1310" t="s">
        <v>165</v>
      </c>
      <c r="BB650" s="1225">
        <v>2016</v>
      </c>
      <c r="BC650" s="824" t="s">
        <v>305</v>
      </c>
      <c r="BD650" s="824">
        <v>9</v>
      </c>
      <c r="BE650" s="1226">
        <v>183952047.45000002</v>
      </c>
      <c r="BF650" s="1227">
        <v>4.0734980703999696E-2</v>
      </c>
      <c r="BH650" s="1311" t="s">
        <v>40</v>
      </c>
      <c r="BI650" s="824" t="s">
        <v>302</v>
      </c>
      <c r="BJ650" s="824" t="s">
        <v>281</v>
      </c>
      <c r="BK650" s="824">
        <v>1</v>
      </c>
      <c r="BL650" s="1226">
        <v>24638089610.395767</v>
      </c>
      <c r="BM650" s="1227">
        <v>0.69334961278812635</v>
      </c>
      <c r="BN650" s="824">
        <v>2009</v>
      </c>
    </row>
    <row r="651" spans="1:66" ht="15" customHeight="1" x14ac:dyDescent="0.35">
      <c r="A651">
        <f t="shared" si="18"/>
        <v>2024</v>
      </c>
      <c r="B651" s="152" t="str">
        <f t="shared" si="20"/>
        <v>2023-24</v>
      </c>
      <c r="C651" s="173">
        <v>45413</v>
      </c>
      <c r="D651" s="154">
        <v>0.66177826086956548</v>
      </c>
      <c r="E651" s="180">
        <v>376.56867666538312</v>
      </c>
      <c r="F651" s="180">
        <v>569.0254560048229</v>
      </c>
      <c r="G651" s="180">
        <v>36.159069745110678</v>
      </c>
      <c r="H651" s="180">
        <v>54.639252878446428</v>
      </c>
      <c r="I651" s="179">
        <v>2352.14</v>
      </c>
      <c r="J651" s="179">
        <v>3547.9270000000001</v>
      </c>
      <c r="K651" s="158">
        <v>117.52</v>
      </c>
      <c r="L651" s="158">
        <v>177.58214034649717</v>
      </c>
      <c r="M651" s="184">
        <v>19515.830000000002</v>
      </c>
      <c r="N651" s="184">
        <v>29489.983509516511</v>
      </c>
      <c r="O651" s="175">
        <v>10128.42</v>
      </c>
      <c r="P651" s="175">
        <v>15304.854509260287</v>
      </c>
      <c r="Q651" s="175">
        <v>2220.64</v>
      </c>
      <c r="R651" s="175">
        <v>3355.5650454309521</v>
      </c>
      <c r="S651" s="175">
        <v>2955.12</v>
      </c>
      <c r="T651" s="175">
        <v>4465.4232009933694</v>
      </c>
      <c r="U651" s="161">
        <v>1848.5228972414538</v>
      </c>
      <c r="V651" s="161">
        <v>2793.2662744353765</v>
      </c>
      <c r="W651" s="161">
        <v>3183.5629298922777</v>
      </c>
      <c r="X651" s="161">
        <v>4810.6187799356385</v>
      </c>
      <c r="Y651" s="185">
        <v>13608.955741623675</v>
      </c>
      <c r="Z651" s="186">
        <v>20564.223012919367</v>
      </c>
      <c r="AA651" s="185">
        <v>1219.52</v>
      </c>
      <c r="AB651" s="185">
        <v>1842.7924761347876</v>
      </c>
      <c r="AC651" s="163">
        <v>29.401</v>
      </c>
      <c r="AD651" s="163">
        <v>44.322000000000003</v>
      </c>
      <c r="AE651" s="163">
        <v>27234.76</v>
      </c>
      <c r="AF651" s="163">
        <v>41153.905485220959</v>
      </c>
      <c r="AG651" s="163">
        <v>1016.952</v>
      </c>
      <c r="AH651" s="163">
        <v>1535.5319999999999</v>
      </c>
      <c r="AI651" s="163">
        <v>975.23800000000006</v>
      </c>
      <c r="AJ651" s="163">
        <v>1473.6627926075325</v>
      </c>
      <c r="AK651" s="164">
        <v>82</v>
      </c>
      <c r="AL651" s="187">
        <v>123.9085730804354</v>
      </c>
      <c r="AM651" s="164">
        <v>86.6</v>
      </c>
      <c r="AN651" s="164">
        <v>130.85954181421593</v>
      </c>
      <c r="AO651" s="164">
        <v>10.092712695179069</v>
      </c>
      <c r="AP651" s="164">
        <v>15.250897909395533</v>
      </c>
      <c r="BA651" s="1310" t="s">
        <v>165</v>
      </c>
      <c r="BB651" s="1225">
        <v>2016</v>
      </c>
      <c r="BC651" s="824" t="s">
        <v>288</v>
      </c>
      <c r="BD651" s="824">
        <v>10</v>
      </c>
      <c r="BE651" s="1226">
        <v>179823287.33999997</v>
      </c>
      <c r="BF651" s="1227">
        <v>3.9820693715930097E-2</v>
      </c>
      <c r="BH651" s="1311" t="s">
        <v>40</v>
      </c>
      <c r="BI651" s="824" t="s">
        <v>302</v>
      </c>
      <c r="BJ651" s="824" t="s">
        <v>308</v>
      </c>
      <c r="BK651" s="824">
        <v>2</v>
      </c>
      <c r="BL651" s="1226">
        <v>6543698100.4362917</v>
      </c>
      <c r="BM651" s="1227">
        <v>0.18414863391947137</v>
      </c>
      <c r="BN651" s="824">
        <v>2009</v>
      </c>
    </row>
    <row r="652" spans="1:66" ht="15" customHeight="1" x14ac:dyDescent="0.35">
      <c r="A652">
        <f t="shared" ref="A652:A715" si="21">YEAR(C652)</f>
        <v>2024</v>
      </c>
      <c r="B652" s="152" t="str">
        <f t="shared" si="20"/>
        <v>2023-24</v>
      </c>
      <c r="C652" s="188">
        <v>45444</v>
      </c>
      <c r="D652" s="169">
        <v>0.66477368421052629</v>
      </c>
      <c r="E652" s="169">
        <v>428.1390079819252</v>
      </c>
      <c r="F652" s="169">
        <v>644.03723876400989</v>
      </c>
      <c r="G652" s="169">
        <v>38.156412446110416</v>
      </c>
      <c r="H652" s="169">
        <v>57.397597637193336</v>
      </c>
      <c r="I652" s="170">
        <v>2326.3330000000001</v>
      </c>
      <c r="J652" s="170">
        <v>3501.97</v>
      </c>
      <c r="K652" s="170">
        <v>106.34</v>
      </c>
      <c r="L652" s="170">
        <v>159.96421417656978</v>
      </c>
      <c r="M652" s="170">
        <v>17502.25</v>
      </c>
      <c r="N652" s="170">
        <v>26328.133040924098</v>
      </c>
      <c r="O652" s="170">
        <v>9640.73</v>
      </c>
      <c r="P652" s="170">
        <v>14502.273824886981</v>
      </c>
      <c r="Q652" s="170">
        <v>2147.1999999999998</v>
      </c>
      <c r="R652" s="170">
        <v>3229.971418844561</v>
      </c>
      <c r="S652" s="170">
        <v>2812.35</v>
      </c>
      <c r="T652" s="170">
        <v>4230.5374999010346</v>
      </c>
      <c r="U652" s="170">
        <v>1746.4897412091532</v>
      </c>
      <c r="V652" s="170">
        <v>2627.1944613500368</v>
      </c>
      <c r="W652" s="170">
        <v>3210.0910246155204</v>
      </c>
      <c r="X652" s="170">
        <v>4828.8479235271907</v>
      </c>
      <c r="Y652" s="170">
        <v>12233.785941228462</v>
      </c>
      <c r="Z652" s="169">
        <v>18402.933557391181</v>
      </c>
      <c r="AA652" s="170">
        <v>1116.32</v>
      </c>
      <c r="AB652" s="170">
        <v>1679.2481810192626</v>
      </c>
      <c r="AC652" s="170">
        <v>29.585000000000001</v>
      </c>
      <c r="AD652" s="170">
        <v>44.515000000000001</v>
      </c>
      <c r="AE652" s="170">
        <v>26575.25</v>
      </c>
      <c r="AF652" s="170">
        <v>39976.38689858836</v>
      </c>
      <c r="AG652" s="170">
        <v>984.77499999999998</v>
      </c>
      <c r="AH652" s="170">
        <v>1487.1569999999999</v>
      </c>
      <c r="AI652" s="170">
        <v>925.15</v>
      </c>
      <c r="AJ652" s="170">
        <v>1391.676629165446</v>
      </c>
      <c r="AK652" s="170">
        <v>82.56</v>
      </c>
      <c r="AL652" s="169">
        <v>124.19264173798761</v>
      </c>
      <c r="AM652" s="170">
        <v>84.49</v>
      </c>
      <c r="AN652" s="170">
        <v>127.09588542202728</v>
      </c>
      <c r="AO652" s="170">
        <v>10.007081801184409</v>
      </c>
      <c r="AP652" s="170">
        <v>15.053366339355996</v>
      </c>
      <c r="BA652" s="1310" t="s">
        <v>165</v>
      </c>
      <c r="BB652" s="1225">
        <v>2016</v>
      </c>
      <c r="BC652" s="824" t="s">
        <v>291</v>
      </c>
      <c r="BE652" s="1226">
        <v>611736346.61000109</v>
      </c>
      <c r="BF652" s="1227">
        <v>0.1354650226541616</v>
      </c>
      <c r="BH652" s="1311" t="s">
        <v>40</v>
      </c>
      <c r="BI652" s="824" t="s">
        <v>302</v>
      </c>
      <c r="BJ652" s="824" t="s">
        <v>320</v>
      </c>
      <c r="BK652" s="824">
        <v>3</v>
      </c>
      <c r="BL652" s="1226">
        <v>3091787345.8649349</v>
      </c>
      <c r="BM652" s="1227">
        <v>8.7007133790688695E-2</v>
      </c>
      <c r="BN652" s="824">
        <v>2009</v>
      </c>
    </row>
    <row r="653" spans="1:66" ht="15" customHeight="1" x14ac:dyDescent="0.35">
      <c r="A653">
        <f t="shared" si="21"/>
        <v>2024</v>
      </c>
      <c r="B653" s="152" t="str">
        <f t="shared" si="20"/>
        <v>2024-25</v>
      </c>
      <c r="C653" s="188">
        <v>45474</v>
      </c>
      <c r="D653" s="154">
        <v>0.66731739130434786</v>
      </c>
      <c r="E653" s="180">
        <v>502.82180760833529</v>
      </c>
      <c r="F653" s="180">
        <v>753.49723259199459</v>
      </c>
      <c r="G653" s="180">
        <v>39.497865616474115</v>
      </c>
      <c r="H653" s="180">
        <v>59.189024789644755</v>
      </c>
      <c r="I653" s="179">
        <v>2395.3069999999998</v>
      </c>
      <c r="J653" s="179">
        <v>3587.6579999999999</v>
      </c>
      <c r="K653" s="158">
        <v>105.73</v>
      </c>
      <c r="L653" s="158">
        <v>158.4403484424985</v>
      </c>
      <c r="M653" s="184">
        <v>16391.96</v>
      </c>
      <c r="N653" s="184">
        <v>24563.963435689944</v>
      </c>
      <c r="O653" s="175">
        <v>9393.17</v>
      </c>
      <c r="P653" s="175">
        <v>14076.01558478789</v>
      </c>
      <c r="Q653" s="175">
        <v>2113.7800000000002</v>
      </c>
      <c r="R653" s="175">
        <v>3167.5781682661923</v>
      </c>
      <c r="S653" s="175">
        <v>2784.71</v>
      </c>
      <c r="T653" s="175">
        <v>4172.9917971371424</v>
      </c>
      <c r="U653" s="161">
        <v>1721.6258708313428</v>
      </c>
      <c r="V653" s="161">
        <v>2579.9205794205795</v>
      </c>
      <c r="W653" s="161">
        <v>3276.9985878402263</v>
      </c>
      <c r="X653" s="161">
        <v>4910.7046070460701</v>
      </c>
      <c r="Y653" s="185">
        <v>11257.947841173776</v>
      </c>
      <c r="Z653" s="186">
        <v>16870.454730947196</v>
      </c>
      <c r="AA653" s="185">
        <v>989.57</v>
      </c>
      <c r="AB653" s="185">
        <v>1482.9075532795164</v>
      </c>
      <c r="AC653" s="163">
        <v>29.745000000000001</v>
      </c>
      <c r="AD653" s="163">
        <v>44.625999999999998</v>
      </c>
      <c r="AE653" s="163">
        <v>26173.48</v>
      </c>
      <c r="AF653" s="163">
        <v>39221.935979880502</v>
      </c>
      <c r="AG653" s="163">
        <v>981.21699999999998</v>
      </c>
      <c r="AH653" s="163">
        <v>1473.079</v>
      </c>
      <c r="AI653" s="163">
        <v>960.52200000000005</v>
      </c>
      <c r="AJ653" s="163">
        <v>1439.3780418678291</v>
      </c>
      <c r="AK653" s="164">
        <v>85.3</v>
      </c>
      <c r="AL653" s="187">
        <v>127.82523145885862</v>
      </c>
      <c r="AM653" s="164">
        <v>84.97</v>
      </c>
      <c r="AN653" s="164">
        <v>127.33071415075284</v>
      </c>
      <c r="AO653" s="164">
        <v>10.393497141456733</v>
      </c>
      <c r="AP653" s="164">
        <v>15.575043115752548</v>
      </c>
      <c r="BA653" s="1310" t="s">
        <v>165</v>
      </c>
      <c r="BB653" s="1225">
        <v>2016</v>
      </c>
      <c r="BC653" s="824" t="s">
        <v>292</v>
      </c>
      <c r="BE653" s="1226">
        <v>4515825078.8600006</v>
      </c>
      <c r="BH653" s="1311" t="s">
        <v>40</v>
      </c>
      <c r="BI653" s="824" t="s">
        <v>302</v>
      </c>
      <c r="BJ653" s="824" t="s">
        <v>315</v>
      </c>
      <c r="BK653" s="824">
        <v>4</v>
      </c>
      <c r="BL653" s="1226">
        <v>978960360.77848065</v>
      </c>
      <c r="BM653" s="1227">
        <v>2.7549286402233395E-2</v>
      </c>
      <c r="BN653" s="824">
        <v>2009</v>
      </c>
    </row>
    <row r="654" spans="1:66" ht="15" customHeight="1" x14ac:dyDescent="0.35">
      <c r="A654">
        <f t="shared" si="21"/>
        <v>2024</v>
      </c>
      <c r="B654" s="152" t="str">
        <f t="shared" si="20"/>
        <v>2024-25</v>
      </c>
      <c r="C654" s="173">
        <v>45505</v>
      </c>
      <c r="D654" s="169">
        <v>0.66611904761904772</v>
      </c>
      <c r="E654" s="169">
        <v>480.23774712523618</v>
      </c>
      <c r="F654" s="169">
        <v>720.9488286542487</v>
      </c>
      <c r="G654" s="169">
        <v>39.057375606003284</v>
      </c>
      <c r="H654" s="169">
        <v>58.634227238522271</v>
      </c>
      <c r="I654" s="170">
        <v>2467.9670000000001</v>
      </c>
      <c r="J654" s="170">
        <v>3716.59</v>
      </c>
      <c r="K654" s="170">
        <v>98.85</v>
      </c>
      <c r="L654" s="170">
        <v>148.39689745147797</v>
      </c>
      <c r="M654" s="170">
        <v>16245.95</v>
      </c>
      <c r="N654" s="170">
        <v>24388.958787575506</v>
      </c>
      <c r="O654" s="170">
        <v>8963.24</v>
      </c>
      <c r="P654" s="170">
        <v>13455.913071451547</v>
      </c>
      <c r="Q654" s="170">
        <v>2001.81</v>
      </c>
      <c r="R654" s="170">
        <v>3005.1835436251199</v>
      </c>
      <c r="S654" s="170">
        <v>2709.24</v>
      </c>
      <c r="T654" s="170">
        <v>4067.200915037351</v>
      </c>
      <c r="U654" s="170">
        <v>1913.5221950058506</v>
      </c>
      <c r="V654" s="170">
        <v>2872.6429635145196</v>
      </c>
      <c r="W654" s="170">
        <v>3335.3528042643775</v>
      </c>
      <c r="X654" s="170">
        <v>5007.1422160740549</v>
      </c>
      <c r="Y654" s="170">
        <v>10401.583366920573</v>
      </c>
      <c r="Z654" s="169">
        <v>15615.201823307145</v>
      </c>
      <c r="AA654" s="170">
        <v>848.64</v>
      </c>
      <c r="AB654" s="170">
        <v>1274.0065053436749</v>
      </c>
      <c r="AC654" s="170">
        <v>28.518999999999998</v>
      </c>
      <c r="AD654" s="170">
        <v>42.982999999999997</v>
      </c>
      <c r="AE654" s="170">
        <v>25026.67</v>
      </c>
      <c r="AF654" s="170">
        <v>37570.866783429236</v>
      </c>
      <c r="AG654" s="170">
        <v>943.81</v>
      </c>
      <c r="AH654" s="170">
        <v>1424.098</v>
      </c>
      <c r="AI654" s="170">
        <v>931.61900000000003</v>
      </c>
      <c r="AJ654" s="170">
        <v>1398.5773313793472</v>
      </c>
      <c r="AK654" s="170">
        <v>80.86</v>
      </c>
      <c r="AL654" s="169">
        <v>121.38971297851805</v>
      </c>
      <c r="AM654" s="170">
        <v>80.959999999999994</v>
      </c>
      <c r="AN654" s="170">
        <v>121.53983629409869</v>
      </c>
      <c r="AO654" s="170">
        <v>10.396524101538922</v>
      </c>
      <c r="AP654" s="170">
        <v>15.607606686372186</v>
      </c>
      <c r="BA654" s="1310" t="s">
        <v>61</v>
      </c>
      <c r="BB654" s="1225">
        <v>2016</v>
      </c>
      <c r="BC654" s="824" t="s">
        <v>285</v>
      </c>
      <c r="BD654" s="824">
        <v>1</v>
      </c>
      <c r="BE654" s="1226">
        <v>589077775.14677739</v>
      </c>
      <c r="BF654" s="1227">
        <v>0.29364614445923903</v>
      </c>
      <c r="BH654" s="1311" t="s">
        <v>40</v>
      </c>
      <c r="BI654" s="824" t="s">
        <v>302</v>
      </c>
      <c r="BJ654" s="824" t="s">
        <v>328</v>
      </c>
      <c r="BK654" s="824">
        <v>5</v>
      </c>
      <c r="BL654" s="1226">
        <v>124134876.57906669</v>
      </c>
      <c r="BM654" s="1227">
        <v>3.493325577210416E-3</v>
      </c>
      <c r="BN654" s="824">
        <v>2009</v>
      </c>
    </row>
    <row r="655" spans="1:66" ht="15" customHeight="1" x14ac:dyDescent="0.35">
      <c r="A655">
        <f t="shared" si="21"/>
        <v>2024</v>
      </c>
      <c r="B655" s="152" t="str">
        <f t="shared" si="20"/>
        <v>2024-25</v>
      </c>
      <c r="C655" s="173">
        <v>45536</v>
      </c>
      <c r="D655" s="154">
        <v>0.67687142857142846</v>
      </c>
      <c r="E655" s="180">
        <v>490.26705820147862</v>
      </c>
      <c r="F655" s="180">
        <v>724.31341833442752</v>
      </c>
      <c r="G655" s="180">
        <v>39.858120892809772</v>
      </c>
      <c r="H655" s="180">
        <v>58.885807865952266</v>
      </c>
      <c r="I655" s="179">
        <v>2567.1239999999998</v>
      </c>
      <c r="J655" s="179">
        <v>3797.5410000000002</v>
      </c>
      <c r="K655" s="158">
        <v>93.92</v>
      </c>
      <c r="L655" s="158">
        <v>138.75604145121466</v>
      </c>
      <c r="M655" s="184">
        <v>16113.33</v>
      </c>
      <c r="N655" s="184">
        <v>23805.599290854989</v>
      </c>
      <c r="O655" s="175">
        <v>9253.8700000000008</v>
      </c>
      <c r="P655" s="175">
        <v>13671.532892931769</v>
      </c>
      <c r="Q655" s="175">
        <v>2006.73</v>
      </c>
      <c r="R655" s="175">
        <v>2964.7137038053233</v>
      </c>
      <c r="S655" s="175">
        <v>2840.31</v>
      </c>
      <c r="T655" s="175">
        <v>4196.2326671028477</v>
      </c>
      <c r="U655" s="161">
        <v>1879.3683218339561</v>
      </c>
      <c r="V655" s="161">
        <v>2776.5514136125653</v>
      </c>
      <c r="W655" s="161">
        <v>3233.4164893496963</v>
      </c>
      <c r="X655" s="161">
        <v>4777.0024747151556</v>
      </c>
      <c r="Y655" s="185">
        <v>10072.932052419847</v>
      </c>
      <c r="Z655" s="186">
        <v>14881.603251712488</v>
      </c>
      <c r="AA655" s="185">
        <v>745.26</v>
      </c>
      <c r="AB655" s="185">
        <v>1101.0362803655476</v>
      </c>
      <c r="AC655" s="163">
        <v>30.007999999999999</v>
      </c>
      <c r="AD655" s="163">
        <v>44.393999999999998</v>
      </c>
      <c r="AE655" s="163">
        <v>23829.759999999998</v>
      </c>
      <c r="AF655" s="163">
        <v>35205.74069774805</v>
      </c>
      <c r="AG655" s="163">
        <v>964.85699999999997</v>
      </c>
      <c r="AH655" s="163">
        <v>1428.105</v>
      </c>
      <c r="AI655" s="163">
        <v>1018.667</v>
      </c>
      <c r="AJ655" s="163">
        <v>1504.9638040564787</v>
      </c>
      <c r="AK655" s="164">
        <v>74.290000000000006</v>
      </c>
      <c r="AL655" s="187">
        <v>109.75496507038689</v>
      </c>
      <c r="AM655" s="164">
        <v>76.77</v>
      </c>
      <c r="AN655" s="164">
        <v>113.41888098604927</v>
      </c>
      <c r="AO655" s="164">
        <v>10.651004894847357</v>
      </c>
      <c r="AP655" s="164">
        <v>15.735639658076343</v>
      </c>
      <c r="BA655" s="1310" t="s">
        <v>61</v>
      </c>
      <c r="BB655" s="1225">
        <v>2016</v>
      </c>
      <c r="BC655" s="824" t="s">
        <v>281</v>
      </c>
      <c r="BD655" s="824">
        <v>2</v>
      </c>
      <c r="BE655" s="1226">
        <v>462829908.42104566</v>
      </c>
      <c r="BF655" s="1227">
        <v>0.23071353882668413</v>
      </c>
      <c r="BH655" s="1311" t="s">
        <v>40</v>
      </c>
      <c r="BI655" s="824" t="s">
        <v>302</v>
      </c>
      <c r="BJ655" s="824" t="s">
        <v>291</v>
      </c>
      <c r="BL655" s="1226">
        <v>158201516.60394403</v>
      </c>
      <c r="BM655" s="1227">
        <v>4.452007522269783E-3</v>
      </c>
      <c r="BN655" s="824">
        <v>2009</v>
      </c>
    </row>
    <row r="656" spans="1:66" ht="15" customHeight="1" x14ac:dyDescent="0.35">
      <c r="A656">
        <f t="shared" si="21"/>
        <v>2024</v>
      </c>
      <c r="B656" s="152" t="str">
        <f t="shared" si="20"/>
        <v>2024-25</v>
      </c>
      <c r="C656" s="173">
        <v>45566</v>
      </c>
      <c r="D656" s="169">
        <v>0.67103636363636354</v>
      </c>
      <c r="E656" s="169">
        <v>523.08190642483294</v>
      </c>
      <c r="F656" s="169">
        <v>779.51350294973349</v>
      </c>
      <c r="G656" s="169">
        <v>39.230885558276491</v>
      </c>
      <c r="H656" s="169">
        <v>58.463129100311789</v>
      </c>
      <c r="I656" s="170">
        <v>2690.078</v>
      </c>
      <c r="J656" s="170">
        <v>4014.0279999999998</v>
      </c>
      <c r="K656" s="170">
        <v>104.07</v>
      </c>
      <c r="L656" s="170">
        <v>155.08846560273119</v>
      </c>
      <c r="M656" s="170">
        <v>16799.57</v>
      </c>
      <c r="N656" s="170">
        <v>25035.260248733306</v>
      </c>
      <c r="O656" s="170">
        <v>9538.7900000000009</v>
      </c>
      <c r="P656" s="170">
        <v>14215.012057333301</v>
      </c>
      <c r="Q656" s="170">
        <v>2035.24</v>
      </c>
      <c r="R656" s="170">
        <v>3032.980193459236</v>
      </c>
      <c r="S656" s="170">
        <v>3102.46</v>
      </c>
      <c r="T656" s="170">
        <v>4623.3858075703802</v>
      </c>
      <c r="U656" s="170">
        <v>1849.8206387987011</v>
      </c>
      <c r="V656" s="170">
        <v>2756.6622899159665</v>
      </c>
      <c r="W656" s="170">
        <v>3182.9504006784764</v>
      </c>
      <c r="X656" s="170">
        <v>4743.3351948767504</v>
      </c>
      <c r="Y656" s="170">
        <v>9868.2407633167713</v>
      </c>
      <c r="Z656" s="169">
        <v>14705.97019487963</v>
      </c>
      <c r="AA656" s="170">
        <v>748.42</v>
      </c>
      <c r="AB656" s="170">
        <v>1115.3195870702036</v>
      </c>
      <c r="AC656" s="170">
        <v>32.414000000000001</v>
      </c>
      <c r="AD656" s="170">
        <v>48.555999999999997</v>
      </c>
      <c r="AE656" s="170">
        <v>23978.91</v>
      </c>
      <c r="AF656" s="170">
        <v>35734.1439293359</v>
      </c>
      <c r="AG656" s="170">
        <v>998.91300000000001</v>
      </c>
      <c r="AH656" s="170">
        <v>1495.596</v>
      </c>
      <c r="AI656" s="170">
        <v>1069.261</v>
      </c>
      <c r="AJ656" s="170">
        <v>1593.4471780421061</v>
      </c>
      <c r="AK656" s="170">
        <v>75.66</v>
      </c>
      <c r="AL656" s="169">
        <v>112.75096865093344</v>
      </c>
      <c r="AM656" s="170">
        <v>78.25</v>
      </c>
      <c r="AN656" s="170">
        <v>116.61067006258978</v>
      </c>
      <c r="AO656" s="170">
        <v>10.620633077394801</v>
      </c>
      <c r="AP656" s="170">
        <v>15.827209452318371</v>
      </c>
      <c r="BA656" s="1310" t="s">
        <v>61</v>
      </c>
      <c r="BB656" s="1225">
        <v>2016</v>
      </c>
      <c r="BC656" s="824" t="s">
        <v>315</v>
      </c>
      <c r="BD656" s="824">
        <v>3</v>
      </c>
      <c r="BE656" s="1226">
        <v>297910826.61290324</v>
      </c>
      <c r="BF656" s="1227">
        <v>0.14850393160011319</v>
      </c>
      <c r="BH656" s="1311" t="s">
        <v>40</v>
      </c>
      <c r="BI656" s="824" t="s">
        <v>302</v>
      </c>
      <c r="BJ656" s="824" t="s">
        <v>292</v>
      </c>
      <c r="BL656" s="1226">
        <v>35534871810.658485</v>
      </c>
      <c r="BN656" s="824">
        <v>2009</v>
      </c>
    </row>
    <row r="657" spans="1:66" ht="15" customHeight="1" x14ac:dyDescent="0.35">
      <c r="A657">
        <f t="shared" si="21"/>
        <v>2024</v>
      </c>
      <c r="B657" s="152" t="str">
        <f t="shared" si="20"/>
        <v>2024-25</v>
      </c>
      <c r="C657" s="173">
        <v>45597</v>
      </c>
      <c r="D657" s="154">
        <v>0.65358571428571421</v>
      </c>
      <c r="E657" s="180">
        <v>623.61703429990177</v>
      </c>
      <c r="F657" s="180">
        <v>954.14728423407416</v>
      </c>
      <c r="G657" s="180">
        <v>42.417371313815408</v>
      </c>
      <c r="H657" s="180">
        <v>64.899477431467702</v>
      </c>
      <c r="I657" s="179">
        <v>2650.683</v>
      </c>
      <c r="J657" s="179">
        <v>4074.1979999999999</v>
      </c>
      <c r="K657" s="158">
        <v>102.22</v>
      </c>
      <c r="L657" s="158">
        <v>156.39876724006035</v>
      </c>
      <c r="M657" s="184">
        <v>15736.9</v>
      </c>
      <c r="N657" s="184">
        <v>24077.790649384715</v>
      </c>
      <c r="O657" s="175">
        <v>9074.27</v>
      </c>
      <c r="P657" s="175">
        <v>13883.825490153224</v>
      </c>
      <c r="Q657" s="175">
        <v>1987.8</v>
      </c>
      <c r="R657" s="175">
        <v>3041.376144783721</v>
      </c>
      <c r="S657" s="175">
        <v>2998.62</v>
      </c>
      <c r="T657" s="175">
        <v>4587.9521759087238</v>
      </c>
      <c r="U657" s="161">
        <v>1839.130648613469</v>
      </c>
      <c r="V657" s="161">
        <v>2813.9088851160159</v>
      </c>
      <c r="W657" s="161">
        <v>3169.4384149505304</v>
      </c>
      <c r="X657" s="161">
        <v>4849.307972427644</v>
      </c>
      <c r="Y657" s="185">
        <v>9531.2262251369066</v>
      </c>
      <c r="Z657" s="186">
        <v>14582.978202871709</v>
      </c>
      <c r="AA657" s="185">
        <v>778.1</v>
      </c>
      <c r="AB657" s="185">
        <v>1190.5094970601738</v>
      </c>
      <c r="AC657" s="163">
        <v>31.135000000000002</v>
      </c>
      <c r="AD657" s="163">
        <v>47.747999999999998</v>
      </c>
      <c r="AE657" s="163">
        <v>24042.38</v>
      </c>
      <c r="AF657" s="163">
        <v>36785.351139865801</v>
      </c>
      <c r="AG657" s="163">
        <v>962.85699999999997</v>
      </c>
      <c r="AH657" s="163">
        <v>1476.652</v>
      </c>
      <c r="AI657" s="163">
        <v>1009.143</v>
      </c>
      <c r="AJ657" s="163">
        <v>1544.0101855697146</v>
      </c>
      <c r="AK657" s="164">
        <v>74.400000000000006</v>
      </c>
      <c r="AL657" s="187">
        <v>113.83357740814411</v>
      </c>
      <c r="AM657" s="164">
        <v>75.739999999999995</v>
      </c>
      <c r="AN657" s="164">
        <v>115.88380581845206</v>
      </c>
      <c r="AO657" s="164">
        <v>10.77608648858533</v>
      </c>
      <c r="AP657" s="164">
        <v>16.487640799129487</v>
      </c>
      <c r="BA657" s="1310" t="s">
        <v>61</v>
      </c>
      <c r="BB657" s="1225">
        <v>2016</v>
      </c>
      <c r="BC657" s="824" t="s">
        <v>306</v>
      </c>
      <c r="BD657" s="824">
        <v>4</v>
      </c>
      <c r="BE657" s="1226">
        <v>207400753</v>
      </c>
      <c r="BF657" s="1227">
        <v>0.1033860621565942</v>
      </c>
      <c r="BH657" s="1311" t="s">
        <v>40</v>
      </c>
      <c r="BI657" s="824" t="s">
        <v>303</v>
      </c>
      <c r="BJ657" s="824" t="s">
        <v>281</v>
      </c>
      <c r="BK657" s="824">
        <v>1</v>
      </c>
      <c r="BL657" s="1226">
        <v>21595554164.365742</v>
      </c>
      <c r="BM657" s="1227">
        <v>0.64243510106795965</v>
      </c>
      <c r="BN657" s="824">
        <v>2008</v>
      </c>
    </row>
    <row r="658" spans="1:66" ht="15" customHeight="1" x14ac:dyDescent="0.35">
      <c r="A658">
        <f t="shared" si="21"/>
        <v>2024</v>
      </c>
      <c r="B658" s="152" t="str">
        <f t="shared" si="20"/>
        <v>2024-25</v>
      </c>
      <c r="C658" s="188">
        <v>45627</v>
      </c>
      <c r="D658" s="169">
        <v>0.6342850000000001</v>
      </c>
      <c r="E658" s="169">
        <v>723.41366910856607</v>
      </c>
      <c r="F658" s="169">
        <v>1140.5183302593723</v>
      </c>
      <c r="G658" s="169">
        <v>45.408416588251143</v>
      </c>
      <c r="H658" s="169">
        <v>71.589926591754704</v>
      </c>
      <c r="I658" s="170">
        <v>2644.067</v>
      </c>
      <c r="J658" s="170">
        <v>4168.5450000000001</v>
      </c>
      <c r="K658" s="170">
        <v>103.84</v>
      </c>
      <c r="L658" s="170">
        <v>163.71189607195501</v>
      </c>
      <c r="M658" s="170">
        <v>15465.75</v>
      </c>
      <c r="N658" s="170">
        <v>24382.966647484958</v>
      </c>
      <c r="O658" s="170">
        <v>8919.15</v>
      </c>
      <c r="P658" s="170">
        <v>14061.738808264421</v>
      </c>
      <c r="Q658" s="170">
        <v>1993.54</v>
      </c>
      <c r="R658" s="170">
        <v>3142.9720078513596</v>
      </c>
      <c r="S658" s="170">
        <v>3042.53</v>
      </c>
      <c r="T658" s="170">
        <v>4796.7869333186181</v>
      </c>
      <c r="U658" s="170">
        <v>1840.883047359765</v>
      </c>
      <c r="V658" s="170">
        <v>2902.2963610360716</v>
      </c>
      <c r="W658" s="170">
        <v>3205.957793982061</v>
      </c>
      <c r="X658" s="170">
        <v>5054.4436554262838</v>
      </c>
      <c r="Y658" s="170">
        <v>9555.1577784274032</v>
      </c>
      <c r="Z658" s="169">
        <v>15064.454903438364</v>
      </c>
      <c r="AA658" s="170">
        <v>790</v>
      </c>
      <c r="AB658" s="170">
        <v>1245.4968980820922</v>
      </c>
      <c r="AC658" s="170">
        <v>30.46</v>
      </c>
      <c r="AD658" s="170">
        <v>47.889000000000003</v>
      </c>
      <c r="AE658" s="170">
        <v>24050</v>
      </c>
      <c r="AF658" s="170">
        <v>37916.709365663693</v>
      </c>
      <c r="AG658" s="170">
        <v>935.77800000000002</v>
      </c>
      <c r="AH658" s="170">
        <v>1476.1220000000001</v>
      </c>
      <c r="AI658" s="170">
        <v>953.38900000000001</v>
      </c>
      <c r="AJ658" s="170">
        <v>1503.0924584374529</v>
      </c>
      <c r="AK658" s="170">
        <v>73.83</v>
      </c>
      <c r="AL658" s="169">
        <v>116.39877972835554</v>
      </c>
      <c r="AM658" s="170">
        <v>76.2</v>
      </c>
      <c r="AN658" s="170">
        <v>120.13527042260181</v>
      </c>
      <c r="AO658" s="170">
        <v>10.83540295341964</v>
      </c>
      <c r="AP658" s="170">
        <v>17.082861731586966</v>
      </c>
      <c r="BA658" s="1310" t="s">
        <v>61</v>
      </c>
      <c r="BB658" s="1225">
        <v>2016</v>
      </c>
      <c r="BC658" s="824" t="s">
        <v>308</v>
      </c>
      <c r="BD658" s="824">
        <v>5</v>
      </c>
      <c r="BE658" s="1226">
        <v>185870947.81962851</v>
      </c>
      <c r="BF658" s="1227">
        <v>9.2653787830679624E-2</v>
      </c>
      <c r="BH658" s="1311" t="s">
        <v>40</v>
      </c>
      <c r="BI658" s="824" t="s">
        <v>303</v>
      </c>
      <c r="BJ658" s="824" t="s">
        <v>308</v>
      </c>
      <c r="BK658" s="824">
        <v>2</v>
      </c>
      <c r="BL658" s="1226">
        <v>7078121538.2306223</v>
      </c>
      <c r="BM658" s="1227">
        <v>0.21056341926560806</v>
      </c>
      <c r="BN658" s="824">
        <v>2008</v>
      </c>
    </row>
    <row r="659" spans="1:66" ht="15" customHeight="1" x14ac:dyDescent="0.35">
      <c r="A659">
        <f t="shared" si="21"/>
        <v>2025</v>
      </c>
      <c r="B659" s="152" t="str">
        <f t="shared" ref="B659:B664" si="22">IF(MONTH(C659) &gt;= 7, A659 &amp; "-" &amp; RIGHT(A659+1, 2), A659-1 &amp; "-" &amp; RIGHT(A659, 2))</f>
        <v>2024-25</v>
      </c>
      <c r="C659" s="188">
        <v>45658</v>
      </c>
      <c r="D659" s="154">
        <v>0.62247619047619052</v>
      </c>
      <c r="E659" s="180">
        <v>699.98947598856091</v>
      </c>
      <c r="F659" s="180">
        <v>1124.5240969828471</v>
      </c>
      <c r="G659" s="180">
        <v>51.801661323756662</v>
      </c>
      <c r="H659" s="180">
        <v>83.218703166989741</v>
      </c>
      <c r="I659" s="179">
        <v>2709.6889999999999</v>
      </c>
      <c r="J659" s="179">
        <v>4343.05496032258</v>
      </c>
      <c r="K659" s="158">
        <v>101.47</v>
      </c>
      <c r="L659" s="158">
        <v>163.01025091799264</v>
      </c>
      <c r="M659" s="184">
        <v>15373.64</v>
      </c>
      <c r="N659" s="184">
        <v>24697.555079559363</v>
      </c>
      <c r="O659" s="175">
        <v>8977.2199999999993</v>
      </c>
      <c r="P659" s="175">
        <v>14421.788555691552</v>
      </c>
      <c r="Q659" s="175">
        <v>1921.23</v>
      </c>
      <c r="R659" s="175">
        <v>3086.4313035495716</v>
      </c>
      <c r="S659" s="175">
        <v>2824.82</v>
      </c>
      <c r="T659" s="175">
        <v>4538.0370257037939</v>
      </c>
      <c r="U659" s="161">
        <v>1766.3883618880388</v>
      </c>
      <c r="V659" s="161">
        <v>2837.6802019315187</v>
      </c>
      <c r="W659" s="161">
        <v>3081.3501244272738</v>
      </c>
      <c r="X659" s="161">
        <v>4950.1493736974253</v>
      </c>
      <c r="Y659" s="185">
        <v>9659.3765263491096</v>
      </c>
      <c r="Z659" s="186">
        <v>15517.664248265857</v>
      </c>
      <c r="AA659" s="185">
        <v>797.65</v>
      </c>
      <c r="AB659" s="185">
        <v>1281.4144736842104</v>
      </c>
      <c r="AC659" s="163">
        <v>30.367000000000001</v>
      </c>
      <c r="AD659" s="163">
        <v>48.639480322580638</v>
      </c>
      <c r="AE659" s="163">
        <v>23630.91</v>
      </c>
      <c r="AF659" s="163">
        <v>37962.75321297429</v>
      </c>
      <c r="AG659" s="163">
        <v>949.22699999999998</v>
      </c>
      <c r="AH659" s="163">
        <v>1522.7591777419354</v>
      </c>
      <c r="AI659" s="163">
        <v>953.36400000000003</v>
      </c>
      <c r="AJ659" s="163">
        <v>1531.5670134638922</v>
      </c>
      <c r="AK659" s="164">
        <v>79.209999999999994</v>
      </c>
      <c r="AL659" s="187">
        <v>127.24984700122397</v>
      </c>
      <c r="AM659" s="164">
        <v>81.84</v>
      </c>
      <c r="AN659" s="164">
        <v>131.4749082007344</v>
      </c>
      <c r="AO659" s="164">
        <v>10.078880583546415</v>
      </c>
      <c r="AP659" s="164">
        <v>16.191592124730317</v>
      </c>
      <c r="BA659" s="1310" t="s">
        <v>61</v>
      </c>
      <c r="BB659" s="1225">
        <v>2016</v>
      </c>
      <c r="BC659" s="824" t="s">
        <v>320</v>
      </c>
      <c r="BD659" s="824">
        <v>6</v>
      </c>
      <c r="BE659" s="1226">
        <v>90085720.329999998</v>
      </c>
      <c r="BF659" s="1227">
        <v>4.4906335906403104E-2</v>
      </c>
      <c r="BH659" s="1311" t="s">
        <v>40</v>
      </c>
      <c r="BI659" s="824" t="s">
        <v>303</v>
      </c>
      <c r="BJ659" s="824" t="s">
        <v>320</v>
      </c>
      <c r="BK659" s="824">
        <v>3</v>
      </c>
      <c r="BL659" s="1226">
        <v>3460345456.2001505</v>
      </c>
      <c r="BM659" s="1227">
        <v>0.10294004802859799</v>
      </c>
      <c r="BN659" s="824">
        <v>2008</v>
      </c>
    </row>
    <row r="660" spans="1:66" ht="15" customHeight="1" x14ac:dyDescent="0.35">
      <c r="A660">
        <f t="shared" ref="A660:A664" si="23">YEAR(C660)</f>
        <v>2025</v>
      </c>
      <c r="B660" s="152" t="str">
        <f t="shared" si="22"/>
        <v>2024-25</v>
      </c>
      <c r="C660" s="173">
        <v>45689</v>
      </c>
      <c r="D660" s="169">
        <v>0.62981999999999982</v>
      </c>
      <c r="E660" s="169">
        <v>614.47110745093823</v>
      </c>
      <c r="F660" s="169">
        <v>975.62971555514014</v>
      </c>
      <c r="G660" s="169">
        <v>58.26956754564506</v>
      </c>
      <c r="H660" s="169">
        <v>92.517810716784282</v>
      </c>
      <c r="I660" s="170">
        <v>2894.7249999999999</v>
      </c>
      <c r="J660" s="170">
        <v>4585.1236410714291</v>
      </c>
      <c r="K660" s="170">
        <v>106.52</v>
      </c>
      <c r="L660" s="170">
        <v>169.12768727572961</v>
      </c>
      <c r="M660" s="170">
        <v>15269.13</v>
      </c>
      <c r="N660" s="170">
        <v>24243.641040297232</v>
      </c>
      <c r="O660" s="170">
        <v>9328.65</v>
      </c>
      <c r="P660" s="170">
        <v>14811.612841764318</v>
      </c>
      <c r="Q660" s="170">
        <v>1954.74</v>
      </c>
      <c r="R660" s="170">
        <v>3103.6486615223407</v>
      </c>
      <c r="S660" s="170">
        <v>2799.23</v>
      </c>
      <c r="T660" s="170">
        <v>4444.4920771013949</v>
      </c>
      <c r="U660" s="170">
        <v>1782.9302651638789</v>
      </c>
      <c r="V660" s="170">
        <v>2830.8568561872908</v>
      </c>
      <c r="W660" s="170">
        <v>3153.2742313718268</v>
      </c>
      <c r="X660" s="170">
        <v>5006.6276576987511</v>
      </c>
      <c r="Y660" s="170">
        <v>9693.8644741625012</v>
      </c>
      <c r="Z660" s="169">
        <v>15391.484033791407</v>
      </c>
      <c r="AA660" s="170">
        <v>815</v>
      </c>
      <c r="AB660" s="170">
        <v>1294.0205137975934</v>
      </c>
      <c r="AC660" s="170">
        <v>32.183</v>
      </c>
      <c r="AD660" s="170">
        <v>50.963282142857153</v>
      </c>
      <c r="AE660" s="170">
        <v>21349.25</v>
      </c>
      <c r="AF660" s="170">
        <v>33897.383379378247</v>
      </c>
      <c r="AG660" s="170">
        <v>978.25</v>
      </c>
      <c r="AH660" s="170">
        <v>1553.4365535714285</v>
      </c>
      <c r="AI660" s="170">
        <v>972.15</v>
      </c>
      <c r="AJ660" s="170">
        <v>1543.5362484519389</v>
      </c>
      <c r="AK660" s="170">
        <v>75.16</v>
      </c>
      <c r="AL660" s="169">
        <v>119.3356832110762</v>
      </c>
      <c r="AM660" s="170">
        <v>78.09</v>
      </c>
      <c r="AN660" s="170">
        <v>123.98780603982094</v>
      </c>
      <c r="AO660" s="170">
        <v>10.036937002746297</v>
      </c>
      <c r="AP660" s="170">
        <v>15.936199235886919</v>
      </c>
      <c r="BA660" s="1310" t="s">
        <v>61</v>
      </c>
      <c r="BB660" s="1225">
        <v>2016</v>
      </c>
      <c r="BC660" s="824" t="s">
        <v>286</v>
      </c>
      <c r="BD660" s="824">
        <v>7</v>
      </c>
      <c r="BE660" s="1226">
        <v>59590613.809999973</v>
      </c>
      <c r="BF660" s="1227">
        <v>2.9704997760110628E-2</v>
      </c>
      <c r="BH660" s="1311" t="s">
        <v>40</v>
      </c>
      <c r="BI660" s="824" t="s">
        <v>303</v>
      </c>
      <c r="BJ660" s="824" t="s">
        <v>315</v>
      </c>
      <c r="BK660" s="824">
        <v>4</v>
      </c>
      <c r="BL660" s="1226">
        <v>1006668518.1948214</v>
      </c>
      <c r="BM660" s="1227">
        <v>2.9946867133215673E-2</v>
      </c>
      <c r="BN660" s="824">
        <v>2008</v>
      </c>
    </row>
    <row r="661" spans="1:66" ht="15" customHeight="1" x14ac:dyDescent="0.35">
      <c r="A661">
        <f t="shared" si="23"/>
        <v>2025</v>
      </c>
      <c r="B661" s="152" t="str">
        <f t="shared" si="22"/>
        <v>2024-25</v>
      </c>
      <c r="C661" s="173">
        <v>45717</v>
      </c>
      <c r="D661" s="154">
        <v>0.62969047619047613</v>
      </c>
      <c r="E661" s="180">
        <v>514.02819112390534</v>
      </c>
      <c r="F661" s="180">
        <v>816.31882736053331</v>
      </c>
      <c r="G661" s="180">
        <v>65.760103156691073</v>
      </c>
      <c r="H661" s="180">
        <v>104.43242456917704</v>
      </c>
      <c r="I661" s="179">
        <v>2983.2550000000001</v>
      </c>
      <c r="J661" s="179">
        <v>4733.5496432258042</v>
      </c>
      <c r="K661" s="158">
        <v>102.02</v>
      </c>
      <c r="L661" s="158">
        <v>162.01610768707226</v>
      </c>
      <c r="M661" s="184">
        <v>16049.29</v>
      </c>
      <c r="N661" s="184">
        <v>25487.585737512763</v>
      </c>
      <c r="O661" s="175">
        <v>9730.6</v>
      </c>
      <c r="P661" s="175">
        <v>15452.98899686165</v>
      </c>
      <c r="Q661" s="175">
        <v>2033.1</v>
      </c>
      <c r="R661" s="175">
        <v>3228.7291564260599</v>
      </c>
      <c r="S661" s="175">
        <v>2887.36</v>
      </c>
      <c r="T661" s="175">
        <v>4585.3639354180068</v>
      </c>
      <c r="U661" s="161">
        <v>1750.3990749279749</v>
      </c>
      <c r="V661" s="161">
        <v>2779.7769556840076</v>
      </c>
      <c r="W661" s="161">
        <v>3047.5056348759267</v>
      </c>
      <c r="X661" s="161">
        <v>4839.6883073614754</v>
      </c>
      <c r="Y661" s="185">
        <v>9570.4523816277087</v>
      </c>
      <c r="Z661" s="186">
        <v>15198.661474963656</v>
      </c>
      <c r="AA661" s="185">
        <v>810.24</v>
      </c>
      <c r="AB661" s="185">
        <v>1286.7274170983478</v>
      </c>
      <c r="AC661" s="163">
        <v>33.183</v>
      </c>
      <c r="AD661" s="163">
        <v>52.545075483870981</v>
      </c>
      <c r="AE661" s="163">
        <v>30809.759999999998</v>
      </c>
      <c r="AF661" s="163">
        <v>48928.419858585097</v>
      </c>
      <c r="AG661" s="163">
        <v>980.048</v>
      </c>
      <c r="AH661" s="163">
        <v>1556.7935948387094</v>
      </c>
      <c r="AI661" s="163">
        <v>958.33299999999997</v>
      </c>
      <c r="AJ661" s="163">
        <v>1521.9112186637426</v>
      </c>
      <c r="AK661" s="164">
        <v>72.569999999999993</v>
      </c>
      <c r="AL661" s="187">
        <v>115.24709796952395</v>
      </c>
      <c r="AM661" s="164">
        <v>73.790000000000006</v>
      </c>
      <c r="AN661" s="164">
        <v>117.18455779483497</v>
      </c>
      <c r="AO661" s="164">
        <v>9.8126458788311837</v>
      </c>
      <c r="AP661" s="164">
        <v>15.583284565769643</v>
      </c>
      <c r="BA661" s="1310" t="s">
        <v>61</v>
      </c>
      <c r="BB661" s="1225">
        <v>2016</v>
      </c>
      <c r="BC661" s="824" t="s">
        <v>312</v>
      </c>
      <c r="BD661" s="824">
        <v>8</v>
      </c>
      <c r="BE661" s="1226">
        <v>40861930.779999986</v>
      </c>
      <c r="BF661" s="1227">
        <v>2.0369039428991504E-2</v>
      </c>
      <c r="BH661" s="1311" t="s">
        <v>40</v>
      </c>
      <c r="BI661" s="824" t="s">
        <v>303</v>
      </c>
      <c r="BJ661" s="824" t="s">
        <v>337</v>
      </c>
      <c r="BK661" s="824">
        <v>5</v>
      </c>
      <c r="BL661" s="1226">
        <v>124664454.95307282</v>
      </c>
      <c r="BM661" s="1227">
        <v>3.7085791412341672E-3</v>
      </c>
      <c r="BN661" s="824">
        <v>2008</v>
      </c>
    </row>
    <row r="662" spans="1:66" ht="15" customHeight="1" x14ac:dyDescent="0.35">
      <c r="A662">
        <f t="shared" si="23"/>
        <v>2025</v>
      </c>
      <c r="B662" s="152" t="str">
        <f t="shared" si="22"/>
        <v>2024-25</v>
      </c>
      <c r="C662" s="173">
        <v>45748</v>
      </c>
      <c r="D662" s="169">
        <v>0.62783684210526314</v>
      </c>
      <c r="E662" s="169">
        <v>472.32572741313788</v>
      </c>
      <c r="F662" s="169">
        <v>752.30648432375324</v>
      </c>
      <c r="G662" s="169">
        <v>63.708974797631818</v>
      </c>
      <c r="H662" s="169">
        <v>101.47377554971578</v>
      </c>
      <c r="I662" s="170">
        <v>3207.4830000000002</v>
      </c>
      <c r="J662" s="170">
        <v>5118.9012359999997</v>
      </c>
      <c r="K662" s="170">
        <v>99.58</v>
      </c>
      <c r="L662" s="170">
        <v>158.60808624433099</v>
      </c>
      <c r="M662" s="170">
        <v>15201.5</v>
      </c>
      <c r="N662" s="170">
        <v>24212.50073351273</v>
      </c>
      <c r="O662" s="170">
        <v>9191.49</v>
      </c>
      <c r="P662" s="170">
        <v>14639.934109599377</v>
      </c>
      <c r="Q662" s="170">
        <v>1908.53</v>
      </c>
      <c r="R662" s="170">
        <v>3039.8502795731374</v>
      </c>
      <c r="S662" s="170">
        <v>2624.75</v>
      </c>
      <c r="T662" s="170">
        <v>4180.6243660354266</v>
      </c>
      <c r="U662" s="170">
        <v>1619.4329637110804</v>
      </c>
      <c r="V662" s="170">
        <v>2579.385048957618</v>
      </c>
      <c r="W662" s="170">
        <v>3090.759536004482</v>
      </c>
      <c r="X662" s="170">
        <v>4922.8706070203589</v>
      </c>
      <c r="Y662" s="170">
        <v>9255.4543819176106</v>
      </c>
      <c r="Z662" s="169">
        <v>14741.814690074913</v>
      </c>
      <c r="AA662" s="170">
        <v>800.91</v>
      </c>
      <c r="AB662" s="170">
        <v>1275.6658199834017</v>
      </c>
      <c r="AC662" s="170">
        <v>32.264000000000003</v>
      </c>
      <c r="AD662" s="170">
        <v>51.040029000000004</v>
      </c>
      <c r="AE662" s="170">
        <v>33081</v>
      </c>
      <c r="AF662" s="170">
        <v>52690.440862107993</v>
      </c>
      <c r="AG662" s="170">
        <v>958.2</v>
      </c>
      <c r="AH662" s="170">
        <v>1523.8442486666668</v>
      </c>
      <c r="AI662" s="170">
        <v>942.6</v>
      </c>
      <c r="AJ662" s="170">
        <v>1501.3454719211327</v>
      </c>
      <c r="AK662" s="170">
        <v>67.75</v>
      </c>
      <c r="AL662" s="169">
        <v>107.910201275893</v>
      </c>
      <c r="AM662" s="170">
        <v>69.09</v>
      </c>
      <c r="AN662" s="170">
        <v>110.04451374393281</v>
      </c>
      <c r="AO662" s="170">
        <v>9.5793385527406656</v>
      </c>
      <c r="AP662" s="170">
        <v>15.257687842305046</v>
      </c>
      <c r="BA662" s="1310" t="s">
        <v>61</v>
      </c>
      <c r="BB662" s="1225">
        <v>2016</v>
      </c>
      <c r="BC662" s="824" t="s">
        <v>314</v>
      </c>
      <c r="BD662" s="824">
        <v>9</v>
      </c>
      <c r="BE662" s="1226">
        <v>26628063.220000003</v>
      </c>
      <c r="BF662" s="1227">
        <v>1.3273676972487367E-2</v>
      </c>
      <c r="BH662" s="1311" t="s">
        <v>40</v>
      </c>
      <c r="BI662" s="824" t="s">
        <v>303</v>
      </c>
      <c r="BJ662" s="824" t="s">
        <v>291</v>
      </c>
      <c r="BL662" s="1226">
        <v>349798789.28625667</v>
      </c>
      <c r="BM662" s="1227">
        <v>1.0405985363384461E-2</v>
      </c>
      <c r="BN662" s="824">
        <v>2008</v>
      </c>
    </row>
    <row r="663" spans="1:66" ht="15" customHeight="1" x14ac:dyDescent="0.35">
      <c r="A663">
        <f t="shared" si="23"/>
        <v>2025</v>
      </c>
      <c r="B663" s="152" t="str">
        <f t="shared" si="22"/>
        <v>2024-25</v>
      </c>
      <c r="C663" s="173">
        <v>45778</v>
      </c>
      <c r="D663" s="154">
        <v>0.64414090909090893</v>
      </c>
      <c r="E663" s="180">
        <v>384.23289092251872</v>
      </c>
      <c r="F663" s="180">
        <v>596.50440687705361</v>
      </c>
      <c r="G663" s="180">
        <v>57.743430324006063</v>
      </c>
      <c r="H663" s="180">
        <v>89.644097291539381</v>
      </c>
      <c r="I663" s="179">
        <v>3277.99</v>
      </c>
      <c r="J663" s="179">
        <v>5101.8207448387093</v>
      </c>
      <c r="K663" s="158">
        <v>99.16</v>
      </c>
      <c r="L663" s="158">
        <v>153.94147243333265</v>
      </c>
      <c r="M663" s="184">
        <v>15317.5</v>
      </c>
      <c r="N663" s="184">
        <v>23779.734812399889</v>
      </c>
      <c r="O663" s="175">
        <v>9529.0499999999993</v>
      </c>
      <c r="P663" s="175">
        <v>14793.424645934334</v>
      </c>
      <c r="Q663" s="175">
        <v>1957.64</v>
      </c>
      <c r="R663" s="175">
        <v>3039.1486899393844</v>
      </c>
      <c r="S663" s="175">
        <v>2645.73</v>
      </c>
      <c r="T663" s="175">
        <v>4107.3776912166322</v>
      </c>
      <c r="U663" s="161">
        <v>1744.2949438875858</v>
      </c>
      <c r="V663" s="161">
        <v>2707.9400163379623</v>
      </c>
      <c r="W663" s="161">
        <v>3056.8700434399593</v>
      </c>
      <c r="X663" s="161">
        <v>4745.6542509529336</v>
      </c>
      <c r="Y663" s="185">
        <v>9013.6752340812855</v>
      </c>
      <c r="Z663" s="186">
        <v>13993.328333706511</v>
      </c>
      <c r="AA663" s="185">
        <v>673.95</v>
      </c>
      <c r="AB663" s="185">
        <v>1046.2772826386099</v>
      </c>
      <c r="AC663" s="163">
        <v>32.704000000000001</v>
      </c>
      <c r="AD663" s="163">
        <v>50.820209032258042</v>
      </c>
      <c r="AE663" s="163">
        <v>33008.75</v>
      </c>
      <c r="AF663" s="163">
        <v>51244.610510122729</v>
      </c>
      <c r="AG663" s="163">
        <v>1019.95</v>
      </c>
      <c r="AH663" s="163">
        <v>1585.5556041935488</v>
      </c>
      <c r="AI663" s="163">
        <v>974.85</v>
      </c>
      <c r="AJ663" s="163">
        <v>1513.4110972331016</v>
      </c>
      <c r="AK663" s="164">
        <v>64.209999999999994</v>
      </c>
      <c r="AL663" s="187">
        <v>99.683157976445031</v>
      </c>
      <c r="AM663" s="164">
        <v>66.19</v>
      </c>
      <c r="AN663" s="164">
        <v>102.75701956799404</v>
      </c>
      <c r="AO663" s="164">
        <v>9.7898727261820184</v>
      </c>
      <c r="AP663" s="164">
        <v>15.198340282406056</v>
      </c>
      <c r="BA663" s="1310" t="s">
        <v>61</v>
      </c>
      <c r="BB663" s="1225">
        <v>2016</v>
      </c>
      <c r="BC663" s="824" t="s">
        <v>322</v>
      </c>
      <c r="BD663" s="824">
        <v>10</v>
      </c>
      <c r="BE663" s="1226">
        <v>17107816.640000001</v>
      </c>
      <c r="BF663" s="1227">
        <v>8.5279815474279229E-3</v>
      </c>
      <c r="BH663" s="1311" t="s">
        <v>40</v>
      </c>
      <c r="BI663" s="824" t="s">
        <v>303</v>
      </c>
      <c r="BJ663" s="824" t="s">
        <v>292</v>
      </c>
      <c r="BL663" s="1226">
        <v>33615152921.230663</v>
      </c>
      <c r="BN663" s="824">
        <v>2008</v>
      </c>
    </row>
    <row r="664" spans="1:66" ht="15" customHeight="1" x14ac:dyDescent="0.35">
      <c r="A664">
        <f t="shared" si="23"/>
        <v>2025</v>
      </c>
      <c r="B664" s="152" t="str">
        <f t="shared" si="22"/>
        <v>2024-25</v>
      </c>
      <c r="C664" s="188">
        <v>45809</v>
      </c>
      <c r="D664" s="169">
        <v>0.64948000000000006</v>
      </c>
      <c r="E664" s="169">
        <v>357.42982632568925</v>
      </c>
      <c r="F664" s="169">
        <v>550.33230634613722</v>
      </c>
      <c r="G664" s="169">
        <v>59.002478696653441</v>
      </c>
      <c r="H664" s="169">
        <v>90.845720725277815</v>
      </c>
      <c r="I664" s="170">
        <v>3352.002</v>
      </c>
      <c r="J664" s="170">
        <v>5155.9045203333326</v>
      </c>
      <c r="K664" s="170">
        <v>93.52</v>
      </c>
      <c r="L664" s="170">
        <v>143.99211677033932</v>
      </c>
      <c r="M664" s="170">
        <v>14985.12</v>
      </c>
      <c r="N664" s="170">
        <v>23072.488760238961</v>
      </c>
      <c r="O664" s="170">
        <v>9832.98</v>
      </c>
      <c r="P664" s="170">
        <v>15139.773357147255</v>
      </c>
      <c r="Q664" s="170">
        <v>1972.31</v>
      </c>
      <c r="R664" s="170">
        <v>3036.7524789062018</v>
      </c>
      <c r="S664" s="170">
        <v>2650.36</v>
      </c>
      <c r="T664" s="170">
        <v>4080.7415162899547</v>
      </c>
      <c r="U664" s="170">
        <v>1633.6280481928516</v>
      </c>
      <c r="V664" s="170">
        <v>2515.2861492160673</v>
      </c>
      <c r="W664" s="170">
        <v>3025.7684139842122</v>
      </c>
      <c r="X664" s="170">
        <v>4658.7553334732584</v>
      </c>
      <c r="Y664" s="170">
        <v>8382.1837281595017</v>
      </c>
      <c r="Z664" s="169">
        <v>12905.992067745738</v>
      </c>
      <c r="AA664" s="170">
        <v>610.75</v>
      </c>
      <c r="AB664" s="170">
        <v>940.36767875839121</v>
      </c>
      <c r="AC664" s="170">
        <v>35.944000000000003</v>
      </c>
      <c r="AD664" s="170">
        <v>55.238934666666658</v>
      </c>
      <c r="AE664" s="170">
        <v>32731.9</v>
      </c>
      <c r="AF664" s="170">
        <v>50397.086900289461</v>
      </c>
      <c r="AG664" s="170">
        <v>1239.5239999999999</v>
      </c>
      <c r="AH664" s="170">
        <v>1905.1669646666669</v>
      </c>
      <c r="AI664" s="170">
        <v>1053.3810000000001</v>
      </c>
      <c r="AJ664" s="170">
        <v>1621.8836607747737</v>
      </c>
      <c r="AK664" s="170">
        <v>71.45</v>
      </c>
      <c r="AL664" s="169">
        <v>110.01108579171029</v>
      </c>
      <c r="AM664" s="170">
        <v>72.81</v>
      </c>
      <c r="AN664" s="170">
        <v>112.10506867032086</v>
      </c>
      <c r="AO664" s="170">
        <v>9.7175770998150188</v>
      </c>
      <c r="AP664" s="170">
        <v>14.96208828572861</v>
      </c>
      <c r="BA664" s="1310" t="s">
        <v>61</v>
      </c>
      <c r="BB664" s="1225">
        <v>2016</v>
      </c>
      <c r="BC664" s="824" t="s">
        <v>291</v>
      </c>
      <c r="BE664" s="1226">
        <v>28716044.940000057</v>
      </c>
      <c r="BF664" s="1227">
        <v>1.4314503511269307E-2</v>
      </c>
      <c r="BH664" s="1311" t="s">
        <v>40</v>
      </c>
      <c r="BI664" s="824" t="s">
        <v>307</v>
      </c>
      <c r="BJ664" s="824" t="s">
        <v>281</v>
      </c>
      <c r="BK664" s="824">
        <v>1</v>
      </c>
      <c r="BL664" s="1226">
        <v>13068287373.815794</v>
      </c>
      <c r="BM664" s="1227">
        <v>0.5900684503769309</v>
      </c>
      <c r="BN664" s="824">
        <v>2007</v>
      </c>
    </row>
    <row r="665" spans="1:66" ht="15" customHeight="1" x14ac:dyDescent="0.35">
      <c r="A665">
        <f t="shared" si="21"/>
        <v>2025</v>
      </c>
      <c r="B665" s="152" t="str">
        <f t="shared" si="20"/>
        <v>2025-26</v>
      </c>
      <c r="C665" s="173">
        <v>45839</v>
      </c>
      <c r="D665" s="154">
        <v>0.65439565217391316</v>
      </c>
      <c r="E665" s="180">
        <v>358.95274013456884</v>
      </c>
      <c r="F665" s="180">
        <v>548.52555780607941</v>
      </c>
      <c r="G665" s="180">
        <v>54.275460570933298</v>
      </c>
      <c r="H665" s="180">
        <v>82.939824539832017</v>
      </c>
      <c r="I665" s="179">
        <v>3338.3130000000001</v>
      </c>
      <c r="J665" s="179">
        <v>5109.9593212903219</v>
      </c>
      <c r="K665" s="158">
        <v>98.74</v>
      </c>
      <c r="L665" s="158">
        <v>150.88731056201868</v>
      </c>
      <c r="M665" s="184">
        <v>15016.52</v>
      </c>
      <c r="N665" s="184">
        <v>22947.157350625534</v>
      </c>
      <c r="O665" s="175">
        <v>9777.66</v>
      </c>
      <c r="P665" s="175">
        <v>14941.51125166931</v>
      </c>
      <c r="Q665" s="175">
        <v>1994.34</v>
      </c>
      <c r="R665" s="175">
        <v>3047.6058228302245</v>
      </c>
      <c r="S665" s="175">
        <v>2758.41</v>
      </c>
      <c r="T665" s="175">
        <v>4215.2022111340693</v>
      </c>
      <c r="U665" s="161">
        <v>1643.8026834357177</v>
      </c>
      <c r="V665" s="161">
        <v>2511.9401053093461</v>
      </c>
      <c r="W665" s="161">
        <v>3110.8615050750896</v>
      </c>
      <c r="X665" s="161">
        <v>4753.7930527819926</v>
      </c>
      <c r="Y665" s="185">
        <v>8396.2940259298721</v>
      </c>
      <c r="Z665" s="186">
        <v>12830.607902172402</v>
      </c>
      <c r="AA665" s="185">
        <v>724.35</v>
      </c>
      <c r="AB665" s="185">
        <v>1106.8991635162877</v>
      </c>
      <c r="AC665" s="163">
        <v>37.67</v>
      </c>
      <c r="AD665" s="163">
        <v>57.69615935483872</v>
      </c>
      <c r="AE665" s="163">
        <v>32644.78</v>
      </c>
      <c r="AF665" s="163">
        <v>49885.386450159778</v>
      </c>
      <c r="AG665" s="163">
        <v>1390.739</v>
      </c>
      <c r="AH665" s="163">
        <v>2133.455919032258</v>
      </c>
      <c r="AI665" s="163">
        <v>1197.261</v>
      </c>
      <c r="AJ665" s="163">
        <v>1829.5674734736992</v>
      </c>
      <c r="AK665" s="164">
        <v>70.739999999999995</v>
      </c>
      <c r="AL665" s="187">
        <v>108.09974021832289</v>
      </c>
      <c r="AM665" s="164">
        <v>72.38</v>
      </c>
      <c r="AN665" s="164">
        <v>110.60586933845364</v>
      </c>
      <c r="AO665" s="164">
        <v>9.8198469354812268</v>
      </c>
      <c r="AP665" s="164">
        <v>15.005978268436738</v>
      </c>
      <c r="BA665" s="1310" t="s">
        <v>61</v>
      </c>
      <c r="BB665" s="1225">
        <v>2016</v>
      </c>
      <c r="BC665" s="824" t="s">
        <v>331</v>
      </c>
      <c r="BE665" s="1226">
        <v>2006080400.7203548</v>
      </c>
      <c r="BH665" s="1311" t="s">
        <v>40</v>
      </c>
      <c r="BI665" s="824" t="s">
        <v>307</v>
      </c>
      <c r="BJ665" s="824" t="s">
        <v>308</v>
      </c>
      <c r="BK665" s="824">
        <v>2</v>
      </c>
      <c r="BL665" s="1226">
        <v>5659730157.2008905</v>
      </c>
      <c r="BM665" s="1227">
        <v>0.25555209400296336</v>
      </c>
      <c r="BN665" s="824">
        <v>2007</v>
      </c>
    </row>
    <row r="666" spans="1:66" ht="15" customHeight="1" x14ac:dyDescent="0.35">
      <c r="A666">
        <f t="shared" si="21"/>
        <v>2025</v>
      </c>
      <c r="B666" s="152" t="str">
        <f t="shared" si="20"/>
        <v>2025-26</v>
      </c>
      <c r="C666" s="188">
        <v>45870</v>
      </c>
      <c r="D666" s="169">
        <v>0.64914999999999989</v>
      </c>
      <c r="E666" s="169">
        <v>354.8398650046887</v>
      </c>
      <c r="F666" s="169">
        <v>546.62229839742554</v>
      </c>
      <c r="G666" s="169">
        <v>46.247538755202086</v>
      </c>
      <c r="H666" s="169">
        <v>71.243223839177531</v>
      </c>
      <c r="I666" s="170">
        <v>3362.9929999999999</v>
      </c>
      <c r="J666" s="170">
        <v>5189.0058141935488</v>
      </c>
      <c r="K666" s="170">
        <v>101.53</v>
      </c>
      <c r="L666" s="170">
        <v>156.40452899946087</v>
      </c>
      <c r="M666" s="170">
        <v>14904.13</v>
      </c>
      <c r="N666" s="170">
        <v>22959.454671493495</v>
      </c>
      <c r="O666" s="170">
        <v>9645.5</v>
      </c>
      <c r="P666" s="170">
        <v>14858.661326349844</v>
      </c>
      <c r="Q666" s="170">
        <v>1944.63</v>
      </c>
      <c r="R666" s="170">
        <v>2995.6558576600178</v>
      </c>
      <c r="S666" s="170">
        <v>2783.9</v>
      </c>
      <c r="T666" s="170">
        <v>4288.5311561272438</v>
      </c>
      <c r="U666" s="170">
        <v>1438.5215024129075</v>
      </c>
      <c r="V666" s="170">
        <v>2216.0078601446626</v>
      </c>
      <c r="W666" s="170">
        <v>3088.8434510593729</v>
      </c>
      <c r="X666" s="170">
        <v>4758.28922600227</v>
      </c>
      <c r="Y666" s="170">
        <v>10248.819217317938</v>
      </c>
      <c r="Z666" s="169">
        <v>15788.060105242146</v>
      </c>
      <c r="AA666" s="170">
        <v>893.57</v>
      </c>
      <c r="AB666" s="170">
        <v>1376.5231456520069</v>
      </c>
      <c r="AC666" s="170">
        <v>37.935000000000002</v>
      </c>
      <c r="AD666" s="170">
        <v>58.767928387096767</v>
      </c>
      <c r="AE666" s="170">
        <v>32644.75</v>
      </c>
      <c r="AF666" s="170">
        <v>50288.4541323269</v>
      </c>
      <c r="AG666" s="170">
        <v>1333.4</v>
      </c>
      <c r="AH666" s="170">
        <v>2063.6099832258064</v>
      </c>
      <c r="AI666" s="170">
        <v>1135.2</v>
      </c>
      <c r="AJ666" s="170">
        <v>1748.7483632442429</v>
      </c>
      <c r="AK666" s="170">
        <v>68.2</v>
      </c>
      <c r="AL666" s="169">
        <v>105.06046368327816</v>
      </c>
      <c r="AM666" s="170">
        <v>70.58</v>
      </c>
      <c r="AN666" s="170">
        <v>108.72679658014329</v>
      </c>
      <c r="AO666" s="170">
        <v>9.688011455894646</v>
      </c>
      <c r="AP666" s="170">
        <v>14.92414920418185</v>
      </c>
      <c r="BA666" s="1310" t="s">
        <v>40</v>
      </c>
      <c r="BB666" s="1225">
        <v>2016</v>
      </c>
      <c r="BC666" s="824" t="s">
        <v>281</v>
      </c>
      <c r="BD666" s="824">
        <v>1</v>
      </c>
      <c r="BE666" s="1226">
        <v>43707756513.134193</v>
      </c>
      <c r="BF666" s="1227">
        <v>0.81117332360199623</v>
      </c>
      <c r="BH666" s="1311" t="s">
        <v>40</v>
      </c>
      <c r="BI666" s="824" t="s">
        <v>307</v>
      </c>
      <c r="BJ666" s="824" t="s">
        <v>320</v>
      </c>
      <c r="BK666" s="824">
        <v>3</v>
      </c>
      <c r="BL666" s="1226">
        <v>2344145245.6895409</v>
      </c>
      <c r="BM666" s="1227">
        <v>0.10584448543379381</v>
      </c>
      <c r="BN666" s="824">
        <v>2007</v>
      </c>
    </row>
    <row r="667" spans="1:66" ht="15" customHeight="1" x14ac:dyDescent="0.35">
      <c r="A667">
        <f t="shared" si="21"/>
        <v>2025</v>
      </c>
      <c r="B667" s="152" t="str">
        <f t="shared" si="20"/>
        <v>2025-26</v>
      </c>
      <c r="C667" s="173">
        <v>45901</v>
      </c>
      <c r="D667" s="154">
        <v>0.65932272727272723</v>
      </c>
      <c r="E667" s="180">
        <v>367.41045217486084</v>
      </c>
      <c r="F667" s="180">
        <v>557.25434142797633</v>
      </c>
      <c r="G667" s="180">
        <v>44.863217639535947</v>
      </c>
      <c r="H667" s="180">
        <v>68.044397354709091</v>
      </c>
      <c r="I667" s="179">
        <v>3665.1950000000002</v>
      </c>
      <c r="J667" s="179">
        <v>5561.4530583333335</v>
      </c>
      <c r="K667" s="158">
        <v>105.03</v>
      </c>
      <c r="L667" s="158">
        <v>159.2998324727165</v>
      </c>
      <c r="M667" s="184">
        <v>15097.61</v>
      </c>
      <c r="N667" s="184">
        <v>22898.664607620769</v>
      </c>
      <c r="O667" s="175">
        <v>9952.09</v>
      </c>
      <c r="P667" s="175">
        <v>15094.41368897836</v>
      </c>
      <c r="Q667" s="175">
        <v>1953.95</v>
      </c>
      <c r="R667" s="175">
        <v>2963.5714334958052</v>
      </c>
      <c r="S667" s="175">
        <v>2929.48</v>
      </c>
      <c r="T667" s="175">
        <v>4443.1655073043275</v>
      </c>
      <c r="U667" s="161">
        <v>1469.6975749620569</v>
      </c>
      <c r="V667" s="161">
        <v>2229.1019468438863</v>
      </c>
      <c r="W667" s="161">
        <v>3053.3795297323313</v>
      </c>
      <c r="X667" s="161">
        <v>4631.0849049031922</v>
      </c>
      <c r="Y667" s="185">
        <v>10418.844116863798</v>
      </c>
      <c r="Z667" s="186">
        <v>15802.343353096745</v>
      </c>
      <c r="AA667" s="185">
        <v>838.64</v>
      </c>
      <c r="AB667" s="185">
        <v>1271.9719271152906</v>
      </c>
      <c r="AC667" s="163">
        <v>42.54</v>
      </c>
      <c r="AD667" s="163">
        <v>64.831473666666653</v>
      </c>
      <c r="AE667" s="163">
        <v>33155.68</v>
      </c>
      <c r="AF667" s="163">
        <v>50287.482333799839</v>
      </c>
      <c r="AG667" s="163">
        <v>1430.2729999999999</v>
      </c>
      <c r="AH667" s="163">
        <v>2175.7881293333339</v>
      </c>
      <c r="AI667" s="163">
        <v>1180.7729999999999</v>
      </c>
      <c r="AJ667" s="163">
        <v>1790.8877567200502</v>
      </c>
      <c r="AK667" s="164">
        <v>67.95</v>
      </c>
      <c r="AL667" s="187">
        <v>103.06030292793571</v>
      </c>
      <c r="AM667" s="164">
        <v>69.86</v>
      </c>
      <c r="AN667" s="164">
        <v>105.95721504850019</v>
      </c>
      <c r="AO667" s="164">
        <v>9.2812343648381699</v>
      </c>
      <c r="AP667" s="164">
        <v>14.076921636282393</v>
      </c>
      <c r="BA667" s="1310" t="s">
        <v>40</v>
      </c>
      <c r="BB667" s="1225">
        <v>2016</v>
      </c>
      <c r="BC667" s="824" t="s">
        <v>308</v>
      </c>
      <c r="BD667" s="824">
        <v>2</v>
      </c>
      <c r="BE667" s="1226">
        <v>5216384281.3427105</v>
      </c>
      <c r="BF667" s="1227">
        <v>9.6811003635257326E-2</v>
      </c>
      <c r="BH667" s="1311" t="s">
        <v>40</v>
      </c>
      <c r="BI667" s="824" t="s">
        <v>307</v>
      </c>
      <c r="BJ667" s="824" t="s">
        <v>315</v>
      </c>
      <c r="BK667" s="824">
        <v>4</v>
      </c>
      <c r="BL667" s="1226">
        <v>764903834.98100543</v>
      </c>
      <c r="BM667" s="1227">
        <v>3.4537472867251895E-2</v>
      </c>
      <c r="BN667" s="824">
        <v>2007</v>
      </c>
    </row>
    <row r="668" spans="1:66" ht="15" customHeight="1" x14ac:dyDescent="0.35">
      <c r="A668">
        <f t="shared" si="21"/>
        <v>2025</v>
      </c>
      <c r="B668" s="152" t="str">
        <f t="shared" si="20"/>
        <v>2025-26</v>
      </c>
      <c r="C668" s="188">
        <v>45931</v>
      </c>
      <c r="D668" s="169">
        <v>0.65447727272727263</v>
      </c>
      <c r="E668" s="169">
        <v>334.67239436881226</v>
      </c>
      <c r="F668" s="169">
        <v>511.35831344333582</v>
      </c>
      <c r="G668" s="169">
        <v>44.211880680392525</v>
      </c>
      <c r="H668" s="169">
        <v>67.552965584514752</v>
      </c>
      <c r="I668" s="170">
        <v>4053.2759999999998</v>
      </c>
      <c r="J668" s="170">
        <v>6208.3185016129037</v>
      </c>
      <c r="K668" s="170">
        <v>105.68</v>
      </c>
      <c r="L668" s="170">
        <v>161.47237559468005</v>
      </c>
      <c r="M668" s="170">
        <v>15075.98</v>
      </c>
      <c r="N668" s="170">
        <v>23035.146716671879</v>
      </c>
      <c r="O668" s="170">
        <v>10695.63</v>
      </c>
      <c r="P668" s="170">
        <v>16342.248150849047</v>
      </c>
      <c r="Q668" s="170">
        <v>1967.7</v>
      </c>
      <c r="R668" s="170">
        <v>3006.521512657569</v>
      </c>
      <c r="S668" s="170">
        <v>3148.45</v>
      </c>
      <c r="T668" s="170">
        <v>4810.6330520540341</v>
      </c>
      <c r="U668" s="170">
        <v>1611.1681746329484</v>
      </c>
      <c r="V668" s="170">
        <v>2461.763367151083</v>
      </c>
      <c r="W668" s="170">
        <v>2960.7412240041504</v>
      </c>
      <c r="X668" s="170">
        <v>4523.8258796465825</v>
      </c>
      <c r="Y668" s="170">
        <v>10525.865478253998</v>
      </c>
      <c r="Z668" s="169">
        <v>16082.85866733257</v>
      </c>
      <c r="AA668" s="170">
        <v>866.11</v>
      </c>
      <c r="AB668" s="170">
        <v>1323.3614612633262</v>
      </c>
      <c r="AC668" s="170">
        <v>49.433</v>
      </c>
      <c r="AD668" s="170">
        <v>75.736653548387068</v>
      </c>
      <c r="AE668" s="170">
        <v>42305.43</v>
      </c>
      <c r="AF668" s="170">
        <v>64640.029169705187</v>
      </c>
      <c r="AG668" s="170">
        <v>1617.6959999999999</v>
      </c>
      <c r="AH668" s="170">
        <v>2468.8154932258062</v>
      </c>
      <c r="AI668" s="170">
        <v>1421.3910000000001</v>
      </c>
      <c r="AJ668" s="170">
        <v>2171.7958120637572</v>
      </c>
      <c r="AK668" s="170">
        <v>64.599999999999994</v>
      </c>
      <c r="AL668" s="169">
        <v>98.704726186755565</v>
      </c>
      <c r="AM668" s="170">
        <v>66.63</v>
      </c>
      <c r="AN668" s="170">
        <v>101.80643817064278</v>
      </c>
      <c r="AO668" s="170">
        <v>9.0333369821341378</v>
      </c>
      <c r="AP668" s="170">
        <v>13.802369247279303</v>
      </c>
      <c r="BA668" s="1310" t="s">
        <v>40</v>
      </c>
      <c r="BB668" s="1225">
        <v>2016</v>
      </c>
      <c r="BC668" s="824" t="s">
        <v>320</v>
      </c>
      <c r="BD668" s="824">
        <v>3</v>
      </c>
      <c r="BE668" s="1226">
        <v>3233991205.6600304</v>
      </c>
      <c r="BF668" s="1227">
        <v>6.0019721991600349E-2</v>
      </c>
      <c r="BH668" s="1311" t="s">
        <v>40</v>
      </c>
      <c r="BI668" s="824" t="s">
        <v>307</v>
      </c>
      <c r="BJ668" s="824" t="s">
        <v>337</v>
      </c>
      <c r="BK668" s="824">
        <v>5</v>
      </c>
      <c r="BL668" s="1226">
        <v>156814736.91208699</v>
      </c>
      <c r="BM668" s="1227">
        <v>7.0806086642524711E-3</v>
      </c>
      <c r="BN668" s="824">
        <v>2007</v>
      </c>
    </row>
    <row r="669" spans="1:66" ht="15" customHeight="1" x14ac:dyDescent="0.35">
      <c r="A669">
        <f t="shared" si="21"/>
        <v>2025</v>
      </c>
      <c r="B669" s="152" t="str">
        <f t="shared" si="20"/>
        <v>2025-26</v>
      </c>
      <c r="C669" s="173">
        <v>45962</v>
      </c>
      <c r="D669" s="154">
        <v>0.65068000000000015</v>
      </c>
      <c r="E669" s="180">
        <v>323.99551695695823</v>
      </c>
      <c r="F669" s="180">
        <v>497.93372618946051</v>
      </c>
      <c r="G669" s="180">
        <v>43.087434361464453</v>
      </c>
      <c r="H669" s="180">
        <v>66.219085205422701</v>
      </c>
      <c r="I669" s="179">
        <v>4082.953</v>
      </c>
      <c r="J669" s="179">
        <v>6273.2346800000023</v>
      </c>
      <c r="K669" s="158">
        <v>104.5</v>
      </c>
      <c r="L669" s="158">
        <v>160.60121718817234</v>
      </c>
      <c r="M669" s="184">
        <v>14685.75</v>
      </c>
      <c r="N669" s="184">
        <v>22569.850003073701</v>
      </c>
      <c r="O669" s="175">
        <v>10800.01</v>
      </c>
      <c r="P669" s="175">
        <v>16598.035900903666</v>
      </c>
      <c r="Q669" s="175">
        <v>2001.2</v>
      </c>
      <c r="R669" s="175">
        <v>3075.551730497325</v>
      </c>
      <c r="S669" s="175">
        <v>3186.65</v>
      </c>
      <c r="T669" s="175">
        <v>4897.4150119874585</v>
      </c>
      <c r="U669" s="161">
        <v>1461.3220714591553</v>
      </c>
      <c r="V669" s="161">
        <v>2245.8383098591548</v>
      </c>
      <c r="W669" s="161">
        <v>2914.1845480939937</v>
      </c>
      <c r="X669" s="161">
        <v>4478.6754596637256</v>
      </c>
      <c r="Y669" s="185">
        <v>11131.001270167286</v>
      </c>
      <c r="Z669" s="186">
        <v>17106.721076669459</v>
      </c>
      <c r="AA669" s="185">
        <v>1031.75</v>
      </c>
      <c r="AB669" s="185">
        <v>1585.6488596545148</v>
      </c>
      <c r="AC669" s="163">
        <v>50.728000000000002</v>
      </c>
      <c r="AD669" s="163">
        <v>77.940675999999982</v>
      </c>
      <c r="AE669" s="163">
        <v>47889.5</v>
      </c>
      <c r="AF669" s="163">
        <v>73599.157804143339</v>
      </c>
      <c r="AG669" s="163">
        <v>1563.65</v>
      </c>
      <c r="AH669" s="163">
        <v>2410.2012853333335</v>
      </c>
      <c r="AI669" s="163">
        <v>1415.2</v>
      </c>
      <c r="AJ669" s="163">
        <v>2174.9554312411628</v>
      </c>
      <c r="AK669" s="164">
        <v>63.61</v>
      </c>
      <c r="AL669" s="187">
        <v>97.759267228130554</v>
      </c>
      <c r="AM669" s="164">
        <v>66.94</v>
      </c>
      <c r="AN669" s="164">
        <v>102.8769902256101</v>
      </c>
      <c r="AO669" s="164">
        <v>9.3378070432125586</v>
      </c>
      <c r="AP669" s="164">
        <v>14.350843799121774</v>
      </c>
      <c r="BA669" s="1310" t="s">
        <v>40</v>
      </c>
      <c r="BB669" s="1225">
        <v>2016</v>
      </c>
      <c r="BC669" s="824" t="s">
        <v>315</v>
      </c>
      <c r="BD669" s="824">
        <v>4</v>
      </c>
      <c r="BE669" s="1226">
        <v>1406831519.7881303</v>
      </c>
      <c r="BF669" s="1227">
        <v>2.6109420631362283E-2</v>
      </c>
      <c r="BH669" s="1311" t="s">
        <v>40</v>
      </c>
      <c r="BI669" s="824" t="s">
        <v>307</v>
      </c>
      <c r="BJ669" s="824" t="s">
        <v>291</v>
      </c>
      <c r="BL669" s="1226">
        <v>153188818.37517339</v>
      </c>
      <c r="BM669" s="1227">
        <v>6.9168886548075853E-3</v>
      </c>
      <c r="BN669" s="824">
        <v>2007</v>
      </c>
    </row>
    <row r="670" spans="1:66" ht="15" customHeight="1" x14ac:dyDescent="0.35">
      <c r="A670">
        <f t="shared" si="21"/>
        <v>2025</v>
      </c>
      <c r="B670" s="152" t="str">
        <f t="shared" si="20"/>
        <v>2025-26</v>
      </c>
      <c r="C670" s="188">
        <v>45992</v>
      </c>
      <c r="D670" s="169">
        <v>0.6637333333333334</v>
      </c>
      <c r="E670" s="169">
        <v>318.96301359319887</v>
      </c>
      <c r="F670" s="169">
        <v>480.55897990136424</v>
      </c>
      <c r="G670" s="169">
        <v>44.672042419410772</v>
      </c>
      <c r="H670" s="169">
        <v>67.304202118437274</v>
      </c>
      <c r="I670" s="170">
        <v>4289.4840000000004</v>
      </c>
      <c r="J670" s="170">
        <v>6512.2556983870982</v>
      </c>
      <c r="K670" s="170">
        <v>106.21</v>
      </c>
      <c r="L670" s="170">
        <v>160.01908396946561</v>
      </c>
      <c r="M670" s="170">
        <v>14875.36</v>
      </c>
      <c r="N670" s="170">
        <v>22411.6512655685</v>
      </c>
      <c r="O670" s="170">
        <v>11802.79</v>
      </c>
      <c r="P670" s="170">
        <v>17782.42768179992</v>
      </c>
      <c r="Q670" s="170">
        <v>1941.75</v>
      </c>
      <c r="R670" s="170">
        <v>2925.4971876255522</v>
      </c>
      <c r="S670" s="170">
        <v>3159.21</v>
      </c>
      <c r="T670" s="170">
        <v>4759.7579349136195</v>
      </c>
      <c r="U670" s="170">
        <v>1390.3719497111792</v>
      </c>
      <c r="V670" s="170">
        <v>2094.7749342775901</v>
      </c>
      <c r="W670" s="170">
        <v>2884.4474723792664</v>
      </c>
      <c r="X670" s="170">
        <v>4345.7926964332055</v>
      </c>
      <c r="Y670" s="170">
        <v>12391.613470506012</v>
      </c>
      <c r="Z670" s="169">
        <v>18669.566297467874</v>
      </c>
      <c r="AA670" s="170">
        <v>1199.1300000000001</v>
      </c>
      <c r="AB670" s="170">
        <v>1806.6442346323824</v>
      </c>
      <c r="AC670" s="170">
        <v>64.337999999999994</v>
      </c>
      <c r="AD670" s="170">
        <v>98.608199354838746</v>
      </c>
      <c r="AE670" s="170">
        <v>51397.38</v>
      </c>
      <c r="AF670" s="170">
        <v>77436.791884290869</v>
      </c>
      <c r="AG670" s="170">
        <v>1865.095</v>
      </c>
      <c r="AH670" s="170">
        <v>2881.2895900000003</v>
      </c>
      <c r="AI670" s="170">
        <v>1586.095</v>
      </c>
      <c r="AJ670" s="170">
        <v>2389.6569907593407</v>
      </c>
      <c r="AK670" s="170">
        <v>62.72</v>
      </c>
      <c r="AL670" s="169">
        <v>94.495781438328635</v>
      </c>
      <c r="AM670" s="170">
        <v>65.099999999999994</v>
      </c>
      <c r="AN670" s="170">
        <v>98.081558858979491</v>
      </c>
      <c r="AO670" s="170">
        <v>9.2682130895449273</v>
      </c>
      <c r="AP670" s="170">
        <v>13.963760179105453</v>
      </c>
      <c r="BA670" s="1310" t="s">
        <v>40</v>
      </c>
      <c r="BB670" s="1225">
        <v>2016</v>
      </c>
      <c r="BC670" s="824" t="s">
        <v>289</v>
      </c>
      <c r="BD670" s="824">
        <v>5</v>
      </c>
      <c r="BE670" s="1226">
        <v>221629215.81880534</v>
      </c>
      <c r="BF670" s="1227">
        <v>4.1132220444446872E-3</v>
      </c>
      <c r="BH670" s="1311" t="s">
        <v>40</v>
      </c>
      <c r="BI670" s="824" t="s">
        <v>307</v>
      </c>
      <c r="BJ670" s="824" t="s">
        <v>292</v>
      </c>
      <c r="BL670" s="1226">
        <v>22147070166.974491</v>
      </c>
      <c r="BN670" s="824">
        <v>2007</v>
      </c>
    </row>
    <row r="671" spans="1:66" ht="15" customHeight="1" x14ac:dyDescent="0.35">
      <c r="A671" s="64">
        <f t="shared" si="21"/>
        <v>1900</v>
      </c>
      <c r="B671" s="168" t="str">
        <f t="shared" si="20"/>
        <v>1899-00</v>
      </c>
      <c r="C671" s="64"/>
      <c r="O671" s="148"/>
      <c r="BA671" s="1310" t="s">
        <v>40</v>
      </c>
      <c r="BB671" s="1225">
        <v>2016</v>
      </c>
      <c r="BC671" s="824" t="s">
        <v>291</v>
      </c>
      <c r="BE671" s="1226">
        <v>95549639.267835259</v>
      </c>
      <c r="BF671" s="1227">
        <v>1.7733080953393422E-3</v>
      </c>
      <c r="BH671" s="1311" t="s">
        <v>71</v>
      </c>
      <c r="BI671" s="824" t="s">
        <v>280</v>
      </c>
      <c r="BJ671" s="824" t="s">
        <v>308</v>
      </c>
      <c r="BK671" s="824">
        <v>1</v>
      </c>
      <c r="BL671" s="1226">
        <v>8337940889.7599955</v>
      </c>
      <c r="BM671" s="1227">
        <v>0.58528471532344073</v>
      </c>
      <c r="BN671" s="824">
        <v>2015</v>
      </c>
    </row>
    <row r="672" spans="1:66" ht="15" customHeight="1" x14ac:dyDescent="0.35">
      <c r="A672" s="64">
        <f t="shared" si="21"/>
        <v>1900</v>
      </c>
      <c r="B672" s="168" t="str">
        <f t="shared" si="20"/>
        <v>1899-00</v>
      </c>
      <c r="C672" s="64"/>
      <c r="O672" s="148"/>
      <c r="BA672" s="1310" t="s">
        <v>40</v>
      </c>
      <c r="BB672" s="1225">
        <v>2016</v>
      </c>
      <c r="BC672" s="824" t="s">
        <v>292</v>
      </c>
      <c r="BE672" s="1226">
        <v>53882142375.011696</v>
      </c>
      <c r="BH672" s="1311" t="s">
        <v>71</v>
      </c>
      <c r="BI672" s="824" t="s">
        <v>280</v>
      </c>
      <c r="BJ672" s="824" t="s">
        <v>281</v>
      </c>
      <c r="BK672" s="824">
        <v>2</v>
      </c>
      <c r="BL672" s="1226">
        <v>1936328375.98</v>
      </c>
      <c r="BM672" s="1227">
        <v>0.13592125649391312</v>
      </c>
      <c r="BN672" s="824">
        <v>2015</v>
      </c>
    </row>
    <row r="673" spans="1:66" ht="15" customHeight="1" x14ac:dyDescent="0.35">
      <c r="A673" s="64">
        <f t="shared" si="21"/>
        <v>1900</v>
      </c>
      <c r="B673" s="168" t="str">
        <f t="shared" si="20"/>
        <v>1899-00</v>
      </c>
      <c r="C673" s="64"/>
      <c r="O673" s="148"/>
      <c r="BA673" s="1310" t="s">
        <v>71</v>
      </c>
      <c r="BB673" s="1225">
        <v>2016</v>
      </c>
      <c r="BC673" s="824" t="s">
        <v>308</v>
      </c>
      <c r="BD673" s="824">
        <v>1</v>
      </c>
      <c r="BE673" s="1226">
        <v>7804566507</v>
      </c>
      <c r="BF673" s="1227">
        <v>0.54800000000000004</v>
      </c>
      <c r="BH673" s="1311" t="s">
        <v>71</v>
      </c>
      <c r="BI673" s="824" t="s">
        <v>280</v>
      </c>
      <c r="BJ673" s="824" t="s">
        <v>320</v>
      </c>
      <c r="BK673" s="824">
        <v>3</v>
      </c>
      <c r="BL673" s="1226">
        <v>1449121793.45</v>
      </c>
      <c r="BM673" s="1227">
        <v>0.1017216177905515</v>
      </c>
      <c r="BN673" s="824">
        <v>2015</v>
      </c>
    </row>
    <row r="674" spans="1:66" ht="15" customHeight="1" x14ac:dyDescent="0.35">
      <c r="A674" s="64">
        <f t="shared" si="21"/>
        <v>1900</v>
      </c>
      <c r="B674" s="168" t="str">
        <f t="shared" si="20"/>
        <v>1899-00</v>
      </c>
      <c r="C674" s="64"/>
      <c r="O674" s="148"/>
      <c r="BA674" s="1310" t="s">
        <v>71</v>
      </c>
      <c r="BB674" s="1225">
        <v>2016</v>
      </c>
      <c r="BC674" s="824" t="s">
        <v>281</v>
      </c>
      <c r="BD674" s="824">
        <v>2</v>
      </c>
      <c r="BE674" s="1226">
        <v>1936328376</v>
      </c>
      <c r="BF674" s="1227">
        <v>0.13600000000000001</v>
      </c>
      <c r="BH674" s="1311" t="s">
        <v>71</v>
      </c>
      <c r="BI674" s="824" t="s">
        <v>280</v>
      </c>
      <c r="BJ674" s="824" t="s">
        <v>306</v>
      </c>
      <c r="BK674" s="824">
        <v>4</v>
      </c>
      <c r="BL674" s="1226">
        <v>598440244.89999998</v>
      </c>
      <c r="BM674" s="1227">
        <v>4.2007725049303953E-2</v>
      </c>
      <c r="BN674" s="824">
        <v>2015</v>
      </c>
    </row>
    <row r="675" spans="1:66" ht="15" customHeight="1" x14ac:dyDescent="0.35">
      <c r="A675" s="64">
        <f t="shared" si="21"/>
        <v>1900</v>
      </c>
      <c r="B675" s="168" t="str">
        <f t="shared" si="20"/>
        <v>1899-00</v>
      </c>
      <c r="C675" s="64"/>
      <c r="D675" s="190"/>
      <c r="O675" s="148"/>
      <c r="AQ675" s="130"/>
      <c r="AS675" s="191"/>
      <c r="BA675" s="1310" t="s">
        <v>71</v>
      </c>
      <c r="BB675" s="1225">
        <v>2016</v>
      </c>
      <c r="BC675" s="824" t="s">
        <v>306</v>
      </c>
      <c r="BD675" s="824">
        <v>3</v>
      </c>
      <c r="BE675" s="1226">
        <v>1100069778</v>
      </c>
      <c r="BF675" s="1227">
        <v>7.6999999999999999E-2</v>
      </c>
      <c r="BH675" s="1311" t="s">
        <v>71</v>
      </c>
      <c r="BI675" s="824" t="s">
        <v>280</v>
      </c>
      <c r="BJ675" s="824" t="s">
        <v>289</v>
      </c>
      <c r="BK675" s="824">
        <v>5</v>
      </c>
      <c r="BL675" s="1226">
        <v>389001810.10000002</v>
      </c>
      <c r="BM675" s="1227">
        <v>2.7306119903571929E-2</v>
      </c>
      <c r="BN675" s="824">
        <v>2015</v>
      </c>
    </row>
    <row r="676" spans="1:66" ht="15" customHeight="1" x14ac:dyDescent="0.35">
      <c r="A676" s="64">
        <f t="shared" si="21"/>
        <v>1900</v>
      </c>
      <c r="B676" s="168" t="str">
        <f t="shared" si="20"/>
        <v>1899-00</v>
      </c>
      <c r="C676" s="64"/>
      <c r="O676" s="148"/>
      <c r="BA676" s="1310" t="s">
        <v>71</v>
      </c>
      <c r="BB676" s="1225">
        <v>2016</v>
      </c>
      <c r="BC676" s="824" t="s">
        <v>320</v>
      </c>
      <c r="BD676" s="824">
        <v>4</v>
      </c>
      <c r="BE676" s="1226">
        <v>1073013912</v>
      </c>
      <c r="BF676" s="1227">
        <v>7.4999999999999997E-2</v>
      </c>
      <c r="BH676" s="1311" t="s">
        <v>71</v>
      </c>
      <c r="BI676" s="824" t="s">
        <v>280</v>
      </c>
      <c r="BJ676" s="824" t="s">
        <v>323</v>
      </c>
      <c r="BK676" s="824">
        <v>6</v>
      </c>
      <c r="BL676" s="1226">
        <v>352297445.79000002</v>
      </c>
      <c r="BM676" s="1227">
        <v>2.4729644044563463E-2</v>
      </c>
      <c r="BN676" s="824">
        <v>2015</v>
      </c>
    </row>
    <row r="677" spans="1:66" ht="15" customHeight="1" x14ac:dyDescent="0.35">
      <c r="A677" s="64">
        <f t="shared" si="21"/>
        <v>1900</v>
      </c>
      <c r="B677" s="168" t="str">
        <f t="shared" si="20"/>
        <v>1899-00</v>
      </c>
      <c r="C677" s="64"/>
      <c r="O677" s="148"/>
      <c r="BA677" s="1310" t="s">
        <v>71</v>
      </c>
      <c r="BB677" s="1225">
        <v>2016</v>
      </c>
      <c r="BC677" s="824" t="s">
        <v>323</v>
      </c>
      <c r="BD677" s="824">
        <v>5</v>
      </c>
      <c r="BE677" s="1226">
        <v>695159292</v>
      </c>
      <c r="BF677" s="1227">
        <v>4.9000000000000002E-2</v>
      </c>
      <c r="BH677" s="1311" t="s">
        <v>71</v>
      </c>
      <c r="BI677" s="824" t="s">
        <v>280</v>
      </c>
      <c r="BJ677" s="824" t="s">
        <v>287</v>
      </c>
      <c r="BK677" s="824">
        <v>7</v>
      </c>
      <c r="BL677" s="1226">
        <v>277793585.93000007</v>
      </c>
      <c r="BM677" s="1227">
        <v>1.9499819201092693E-2</v>
      </c>
      <c r="BN677" s="824">
        <v>2015</v>
      </c>
    </row>
    <row r="678" spans="1:66" ht="15" customHeight="1" x14ac:dyDescent="0.35">
      <c r="A678" s="64">
        <f t="shared" si="21"/>
        <v>1900</v>
      </c>
      <c r="B678" s="168" t="str">
        <f t="shared" si="20"/>
        <v>1899-00</v>
      </c>
      <c r="C678" s="64"/>
      <c r="O678" s="148"/>
      <c r="BA678" s="1310" t="s">
        <v>71</v>
      </c>
      <c r="BB678" s="1225">
        <v>2016</v>
      </c>
      <c r="BC678" s="824" t="s">
        <v>289</v>
      </c>
      <c r="BD678" s="824">
        <v>6</v>
      </c>
      <c r="BE678" s="1226">
        <v>655885163</v>
      </c>
      <c r="BF678" s="1227">
        <v>4.5999999999999999E-2</v>
      </c>
      <c r="BH678" s="1311" t="s">
        <v>71</v>
      </c>
      <c r="BI678" s="824" t="s">
        <v>280</v>
      </c>
      <c r="BJ678" s="824" t="s">
        <v>285</v>
      </c>
      <c r="BK678" s="824">
        <v>8</v>
      </c>
      <c r="BL678" s="1226">
        <v>253206484.62</v>
      </c>
      <c r="BM678" s="1227">
        <v>1.7773918912146629E-2</v>
      </c>
      <c r="BN678" s="824">
        <v>2015</v>
      </c>
    </row>
    <row r="679" spans="1:66" ht="15" customHeight="1" x14ac:dyDescent="0.35">
      <c r="A679" s="64">
        <f t="shared" si="21"/>
        <v>1900</v>
      </c>
      <c r="B679" s="168" t="str">
        <f t="shared" si="20"/>
        <v>1899-00</v>
      </c>
      <c r="C679" s="64"/>
      <c r="O679" s="148"/>
      <c r="BA679" s="1310" t="s">
        <v>71</v>
      </c>
      <c r="BB679" s="1225">
        <v>2016</v>
      </c>
      <c r="BC679" s="824" t="s">
        <v>285</v>
      </c>
      <c r="BD679" s="824">
        <v>7</v>
      </c>
      <c r="BE679" s="1226">
        <v>357107506</v>
      </c>
      <c r="BF679" s="1227">
        <v>2.5000000000000001E-2</v>
      </c>
      <c r="BH679" s="1311" t="s">
        <v>71</v>
      </c>
      <c r="BI679" s="824" t="s">
        <v>280</v>
      </c>
      <c r="BJ679" s="824" t="s">
        <v>286</v>
      </c>
      <c r="BK679" s="824">
        <v>9</v>
      </c>
      <c r="BL679" s="1226">
        <v>205282023.37000003</v>
      </c>
      <c r="BM679" s="1227">
        <v>1.440984437257012E-2</v>
      </c>
      <c r="BN679" s="824">
        <v>2015</v>
      </c>
    </row>
    <row r="680" spans="1:66" ht="15" customHeight="1" x14ac:dyDescent="0.35">
      <c r="A680" s="64">
        <f t="shared" si="21"/>
        <v>1900</v>
      </c>
      <c r="B680" s="168" t="str">
        <f t="shared" si="20"/>
        <v>1899-00</v>
      </c>
      <c r="C680" s="64"/>
      <c r="D680" s="192"/>
      <c r="O680" s="148"/>
      <c r="AQ680" s="193"/>
      <c r="AR680" s="193"/>
      <c r="AS680" s="194"/>
      <c r="BA680" s="1310" t="s">
        <v>71</v>
      </c>
      <c r="BB680" s="1225">
        <v>2016</v>
      </c>
      <c r="BC680" s="824" t="s">
        <v>287</v>
      </c>
      <c r="BD680" s="824">
        <v>8</v>
      </c>
      <c r="BE680" s="1226">
        <v>323494386</v>
      </c>
      <c r="BF680" s="1227">
        <v>2.3E-2</v>
      </c>
      <c r="BH680" s="1311" t="s">
        <v>71</v>
      </c>
      <c r="BI680" s="824" t="s">
        <v>280</v>
      </c>
      <c r="BJ680" s="824" t="s">
        <v>315</v>
      </c>
      <c r="BK680" s="824">
        <v>10</v>
      </c>
      <c r="BL680" s="1226">
        <v>145876042.13999999</v>
      </c>
      <c r="BM680" s="1227">
        <v>1.0239820469496964E-2</v>
      </c>
      <c r="BN680" s="824">
        <v>2015</v>
      </c>
    </row>
    <row r="681" spans="1:66" ht="15" customHeight="1" x14ac:dyDescent="0.35">
      <c r="A681" s="64">
        <f t="shared" si="21"/>
        <v>1900</v>
      </c>
      <c r="B681" s="168" t="str">
        <f t="shared" si="20"/>
        <v>1899-00</v>
      </c>
      <c r="C681" s="64"/>
      <c r="O681" s="148"/>
      <c r="BA681" s="1310" t="s">
        <v>71</v>
      </c>
      <c r="BB681" s="1225">
        <v>2016</v>
      </c>
      <c r="BC681" s="824" t="s">
        <v>315</v>
      </c>
      <c r="BD681" s="824">
        <v>9</v>
      </c>
      <c r="BE681" s="1226">
        <v>104617048</v>
      </c>
      <c r="BF681" s="1227">
        <v>7.0000000000000001E-3</v>
      </c>
      <c r="BH681" s="1311" t="s">
        <v>71</v>
      </c>
      <c r="BI681" s="824" t="s">
        <v>280</v>
      </c>
      <c r="BJ681" s="824" t="s">
        <v>291</v>
      </c>
      <c r="BL681" s="1226">
        <v>300668308.23999977</v>
      </c>
      <c r="BM681" s="1227">
        <v>2.1105518439348665E-2</v>
      </c>
      <c r="BN681" s="824">
        <v>2015</v>
      </c>
    </row>
    <row r="682" spans="1:66" ht="15" customHeight="1" x14ac:dyDescent="0.35">
      <c r="A682" s="64">
        <f t="shared" si="21"/>
        <v>1900</v>
      </c>
      <c r="B682" s="168" t="str">
        <f t="shared" si="20"/>
        <v>1899-00</v>
      </c>
      <c r="C682" s="64"/>
      <c r="O682" s="148"/>
      <c r="BA682" s="1310" t="s">
        <v>71</v>
      </c>
      <c r="BB682" s="1225">
        <v>2016</v>
      </c>
      <c r="BC682" s="824" t="s">
        <v>299</v>
      </c>
      <c r="BD682" s="824">
        <v>10</v>
      </c>
      <c r="BE682" s="1226">
        <v>88824877</v>
      </c>
      <c r="BF682" s="1227">
        <v>6.0000000000000001E-3</v>
      </c>
      <c r="BH682" s="1311" t="s">
        <v>71</v>
      </c>
      <c r="BI682" s="824" t="s">
        <v>280</v>
      </c>
      <c r="BJ682" s="824" t="s">
        <v>292</v>
      </c>
      <c r="BL682" s="1226">
        <v>14245957004.279999</v>
      </c>
      <c r="BN682" s="824">
        <v>2015</v>
      </c>
    </row>
    <row r="683" spans="1:66" ht="15" customHeight="1" x14ac:dyDescent="0.35">
      <c r="A683" s="64">
        <f t="shared" si="21"/>
        <v>1900</v>
      </c>
      <c r="B683" s="168" t="str">
        <f t="shared" si="20"/>
        <v>1899-00</v>
      </c>
      <c r="C683" s="64"/>
      <c r="O683" s="148"/>
      <c r="BA683" s="1310" t="s">
        <v>71</v>
      </c>
      <c r="BB683" s="1225">
        <v>2016</v>
      </c>
      <c r="BC683" s="824" t="s">
        <v>291</v>
      </c>
      <c r="BE683" s="1226">
        <v>113587877</v>
      </c>
      <c r="BF683" s="1227">
        <v>8.0000000000000002E-3</v>
      </c>
      <c r="BH683" s="1311" t="s">
        <v>71</v>
      </c>
      <c r="BI683" s="824" t="s">
        <v>293</v>
      </c>
      <c r="BJ683" s="824" t="s">
        <v>308</v>
      </c>
      <c r="BK683" s="824">
        <v>1</v>
      </c>
      <c r="BL683" s="1226">
        <v>12251880772</v>
      </c>
      <c r="BM683" s="1227">
        <v>0.61899999999999999</v>
      </c>
      <c r="BN683" s="824">
        <v>2014</v>
      </c>
    </row>
    <row r="684" spans="1:66" ht="15" customHeight="1" x14ac:dyDescent="0.35">
      <c r="A684" s="64">
        <f t="shared" si="21"/>
        <v>1900</v>
      </c>
      <c r="B684" s="168" t="str">
        <f t="shared" si="20"/>
        <v>1899-00</v>
      </c>
      <c r="C684" s="64"/>
      <c r="O684" s="148"/>
      <c r="BA684" s="1310" t="s">
        <v>71</v>
      </c>
      <c r="BB684" s="1225">
        <v>2016</v>
      </c>
      <c r="BC684" s="824" t="s">
        <v>331</v>
      </c>
      <c r="BE684" s="1226">
        <v>14252654720</v>
      </c>
      <c r="BF684" s="1227">
        <v>1</v>
      </c>
      <c r="BH684" s="1311" t="s">
        <v>71</v>
      </c>
      <c r="BI684" s="824" t="s">
        <v>293</v>
      </c>
      <c r="BJ684" s="824" t="s">
        <v>320</v>
      </c>
      <c r="BK684" s="824">
        <v>2</v>
      </c>
      <c r="BL684" s="1226">
        <v>2271243378</v>
      </c>
      <c r="BM684" s="1227">
        <v>0.115</v>
      </c>
      <c r="BN684" s="824">
        <v>2014</v>
      </c>
    </row>
    <row r="685" spans="1:66" ht="15" customHeight="1" x14ac:dyDescent="0.35">
      <c r="A685" s="64">
        <f t="shared" si="21"/>
        <v>1900</v>
      </c>
      <c r="B685" s="168" t="str">
        <f t="shared" si="20"/>
        <v>1899-00</v>
      </c>
      <c r="C685" s="64"/>
      <c r="O685" s="148"/>
      <c r="BA685" s="1310" t="s">
        <v>54</v>
      </c>
      <c r="BB685" s="1225">
        <v>2016</v>
      </c>
      <c r="BC685" s="824" t="s">
        <v>314</v>
      </c>
      <c r="BD685" s="824">
        <v>1</v>
      </c>
      <c r="BE685" s="1226">
        <v>116184485.22999999</v>
      </c>
      <c r="BF685" s="1227">
        <v>0.15468502215532481</v>
      </c>
      <c r="BH685" s="1311" t="s">
        <v>71</v>
      </c>
      <c r="BI685" s="824" t="s">
        <v>293</v>
      </c>
      <c r="BJ685" s="824" t="s">
        <v>281</v>
      </c>
      <c r="BK685" s="824">
        <v>3</v>
      </c>
      <c r="BL685" s="1226">
        <v>1936328376</v>
      </c>
      <c r="BM685" s="1227">
        <v>9.8000000000000004E-2</v>
      </c>
      <c r="BN685" s="824">
        <v>2014</v>
      </c>
    </row>
    <row r="686" spans="1:66" ht="15" customHeight="1" x14ac:dyDescent="0.35">
      <c r="A686" s="64">
        <f t="shared" si="21"/>
        <v>1900</v>
      </c>
      <c r="B686" s="168" t="str">
        <f t="shared" si="20"/>
        <v>1899-00</v>
      </c>
      <c r="C686" s="64"/>
      <c r="O686" s="148"/>
      <c r="BA686" s="1310" t="s">
        <v>54</v>
      </c>
      <c r="BB686" s="1225">
        <v>2016</v>
      </c>
      <c r="BC686" s="824" t="s">
        <v>286</v>
      </c>
      <c r="BD686" s="824">
        <v>2</v>
      </c>
      <c r="BE686" s="1226">
        <v>110455581.50999999</v>
      </c>
      <c r="BF686" s="1227">
        <v>0.1470577077415316</v>
      </c>
      <c r="BH686" s="1311" t="s">
        <v>71</v>
      </c>
      <c r="BI686" s="824" t="s">
        <v>293</v>
      </c>
      <c r="BJ686" s="824" t="s">
        <v>306</v>
      </c>
      <c r="BK686" s="824">
        <v>4</v>
      </c>
      <c r="BL686" s="1226">
        <v>1472235510</v>
      </c>
      <c r="BM686" s="1227">
        <v>7.3999999999999996E-2</v>
      </c>
      <c r="BN686" s="824">
        <v>2014</v>
      </c>
    </row>
    <row r="687" spans="1:66" ht="15" customHeight="1" x14ac:dyDescent="0.35">
      <c r="A687" s="64">
        <f t="shared" si="21"/>
        <v>1900</v>
      </c>
      <c r="B687" s="168" t="str">
        <f t="shared" si="20"/>
        <v>1899-00</v>
      </c>
      <c r="C687" s="64"/>
      <c r="O687" s="148"/>
      <c r="BA687" s="1310" t="s">
        <v>54</v>
      </c>
      <c r="BB687" s="1225">
        <v>2016</v>
      </c>
      <c r="BC687" s="824" t="s">
        <v>281</v>
      </c>
      <c r="BD687" s="824">
        <v>3</v>
      </c>
      <c r="BE687" s="1226">
        <v>109730907.50999998</v>
      </c>
      <c r="BF687" s="1227">
        <v>0.14609289549897198</v>
      </c>
      <c r="BH687" s="1311" t="s">
        <v>71</v>
      </c>
      <c r="BI687" s="824" t="s">
        <v>293</v>
      </c>
      <c r="BJ687" s="824" t="s">
        <v>285</v>
      </c>
      <c r="BK687" s="824">
        <v>5</v>
      </c>
      <c r="BL687" s="1226">
        <v>684083684</v>
      </c>
      <c r="BM687" s="1227">
        <v>3.5000000000000003E-2</v>
      </c>
      <c r="BN687" s="824">
        <v>2014</v>
      </c>
    </row>
    <row r="688" spans="1:66" ht="15" customHeight="1" x14ac:dyDescent="0.35">
      <c r="A688" s="64">
        <f t="shared" si="21"/>
        <v>1900</v>
      </c>
      <c r="B688" s="168" t="str">
        <f t="shared" si="20"/>
        <v>1899-00</v>
      </c>
      <c r="C688" s="64"/>
      <c r="O688" s="148"/>
      <c r="BA688" s="1310" t="s">
        <v>54</v>
      </c>
      <c r="BB688" s="1225">
        <v>2016</v>
      </c>
      <c r="BC688" s="824" t="s">
        <v>290</v>
      </c>
      <c r="BD688" s="824">
        <v>4</v>
      </c>
      <c r="BE688" s="1226">
        <v>90044172.909999996</v>
      </c>
      <c r="BF688" s="1227">
        <v>0.11988248563453439</v>
      </c>
      <c r="BH688" s="1311" t="s">
        <v>71</v>
      </c>
      <c r="BI688" s="824" t="s">
        <v>293</v>
      </c>
      <c r="BJ688" s="824" t="s">
        <v>323</v>
      </c>
      <c r="BK688" s="824">
        <v>6</v>
      </c>
      <c r="BL688" s="1226">
        <v>456657713</v>
      </c>
      <c r="BM688" s="1227">
        <v>2.3E-2</v>
      </c>
      <c r="BN688" s="824">
        <v>2014</v>
      </c>
    </row>
    <row r="689" spans="1:66" ht="15" customHeight="1" x14ac:dyDescent="0.35">
      <c r="A689" s="64">
        <f t="shared" si="21"/>
        <v>1900</v>
      </c>
      <c r="B689" s="168" t="str">
        <f t="shared" si="20"/>
        <v>1899-00</v>
      </c>
      <c r="C689" s="64"/>
      <c r="O689" s="148"/>
      <c r="BA689" s="1310" t="s">
        <v>54</v>
      </c>
      <c r="BB689" s="1225">
        <v>2016</v>
      </c>
      <c r="BC689" s="824" t="s">
        <v>312</v>
      </c>
      <c r="BD689" s="824">
        <v>5</v>
      </c>
      <c r="BE689" s="1226">
        <v>65183914.619999997</v>
      </c>
      <c r="BF689" s="1227">
        <v>8.6784179980701717E-2</v>
      </c>
      <c r="BH689" s="1311" t="s">
        <v>71</v>
      </c>
      <c r="BI689" s="824" t="s">
        <v>293</v>
      </c>
      <c r="BJ689" s="824" t="s">
        <v>342</v>
      </c>
      <c r="BK689" s="824">
        <v>7</v>
      </c>
      <c r="BL689" s="1226">
        <v>193116456</v>
      </c>
      <c r="BM689" s="1227">
        <v>0.01</v>
      </c>
      <c r="BN689" s="824">
        <v>2014</v>
      </c>
    </row>
    <row r="690" spans="1:66" ht="15" customHeight="1" x14ac:dyDescent="0.35">
      <c r="A690" s="64">
        <f t="shared" si="21"/>
        <v>1900</v>
      </c>
      <c r="B690" s="168" t="str">
        <f t="shared" si="20"/>
        <v>1899-00</v>
      </c>
      <c r="C690" s="64"/>
      <c r="O690" s="148"/>
      <c r="BA690" s="1310" t="s">
        <v>54</v>
      </c>
      <c r="BB690" s="1225">
        <v>2016</v>
      </c>
      <c r="BC690" s="824" t="s">
        <v>322</v>
      </c>
      <c r="BD690" s="824">
        <v>6</v>
      </c>
      <c r="BE690" s="1226">
        <v>51054366.489999995</v>
      </c>
      <c r="BF690" s="1227">
        <v>6.7972464619506248E-2</v>
      </c>
      <c r="BH690" s="1311" t="s">
        <v>71</v>
      </c>
      <c r="BI690" s="824" t="s">
        <v>293</v>
      </c>
      <c r="BJ690" s="824" t="s">
        <v>315</v>
      </c>
      <c r="BK690" s="824">
        <v>8</v>
      </c>
      <c r="BL690" s="1226">
        <v>126956301</v>
      </c>
      <c r="BM690" s="1227">
        <v>6.0000000000000001E-3</v>
      </c>
      <c r="BN690" s="824">
        <v>2014</v>
      </c>
    </row>
    <row r="691" spans="1:66" ht="15" customHeight="1" x14ac:dyDescent="0.35">
      <c r="A691" s="64">
        <f t="shared" si="21"/>
        <v>1900</v>
      </c>
      <c r="B691" s="168" t="str">
        <f t="shared" si="20"/>
        <v>1899-00</v>
      </c>
      <c r="C691" s="64"/>
      <c r="O691" s="148"/>
      <c r="BA691" s="1310" t="s">
        <v>54</v>
      </c>
      <c r="BB691" s="1225">
        <v>2016</v>
      </c>
      <c r="BC691" s="824" t="s">
        <v>285</v>
      </c>
      <c r="BD691" s="824">
        <v>7</v>
      </c>
      <c r="BE691" s="1226">
        <v>33636942.020000011</v>
      </c>
      <c r="BF691" s="1227">
        <v>4.4783355637380548E-2</v>
      </c>
      <c r="BH691" s="1311" t="s">
        <v>71</v>
      </c>
      <c r="BI691" s="824" t="s">
        <v>293</v>
      </c>
      <c r="BJ691" s="824" t="s">
        <v>287</v>
      </c>
      <c r="BK691" s="824">
        <v>9</v>
      </c>
      <c r="BL691" s="1226">
        <v>123007257</v>
      </c>
      <c r="BM691" s="1227">
        <v>6.0000000000000001E-3</v>
      </c>
      <c r="BN691" s="824">
        <v>2014</v>
      </c>
    </row>
    <row r="692" spans="1:66" ht="15" customHeight="1" x14ac:dyDescent="0.35">
      <c r="A692" s="64">
        <f t="shared" si="21"/>
        <v>1900</v>
      </c>
      <c r="B692" s="168" t="str">
        <f t="shared" si="20"/>
        <v>1899-00</v>
      </c>
      <c r="C692" s="64"/>
      <c r="O692" s="148"/>
      <c r="BA692" s="1310" t="s">
        <v>54</v>
      </c>
      <c r="BB692" s="1225">
        <v>2016</v>
      </c>
      <c r="BC692" s="824" t="s">
        <v>319</v>
      </c>
      <c r="BD692" s="824">
        <v>8</v>
      </c>
      <c r="BE692" s="1226">
        <v>31618901.259999998</v>
      </c>
      <c r="BF692" s="1227">
        <v>4.2096588303058811E-2</v>
      </c>
      <c r="BH692" s="1311" t="s">
        <v>71</v>
      </c>
      <c r="BI692" s="824" t="s">
        <v>293</v>
      </c>
      <c r="BJ692" s="824" t="s">
        <v>343</v>
      </c>
      <c r="BK692" s="824">
        <v>10</v>
      </c>
      <c r="BL692" s="1226">
        <v>70357677</v>
      </c>
      <c r="BM692" s="1227">
        <v>4.0000000000000001E-3</v>
      </c>
      <c r="BN692" s="824">
        <v>2014</v>
      </c>
    </row>
    <row r="693" spans="1:66" ht="15" customHeight="1" x14ac:dyDescent="0.35">
      <c r="A693" s="64">
        <f t="shared" si="21"/>
        <v>1900</v>
      </c>
      <c r="B693" s="168" t="str">
        <f t="shared" si="20"/>
        <v>1899-00</v>
      </c>
      <c r="C693" s="64"/>
      <c r="O693" s="148"/>
      <c r="BA693" s="1310" t="s">
        <v>54</v>
      </c>
      <c r="BB693" s="1225">
        <v>2016</v>
      </c>
      <c r="BC693" s="824" t="s">
        <v>287</v>
      </c>
      <c r="BD693" s="824">
        <v>9</v>
      </c>
      <c r="BE693" s="1226">
        <v>29056666.979999997</v>
      </c>
      <c r="BF693" s="1227">
        <v>3.8685295774763526E-2</v>
      </c>
      <c r="BH693" s="1311" t="s">
        <v>71</v>
      </c>
      <c r="BI693" s="824" t="s">
        <v>293</v>
      </c>
      <c r="BJ693" s="824" t="s">
        <v>291</v>
      </c>
      <c r="BL693" s="1226">
        <v>217463237</v>
      </c>
      <c r="BM693" s="1227">
        <v>1.0999999999999999E-2</v>
      </c>
      <c r="BN693" s="824">
        <v>2014</v>
      </c>
    </row>
    <row r="694" spans="1:66" ht="15" customHeight="1" x14ac:dyDescent="0.35">
      <c r="A694" s="64">
        <f t="shared" si="21"/>
        <v>1900</v>
      </c>
      <c r="B694" s="168" t="str">
        <f t="shared" ref="B694:B757" si="24">IF(MONTH(C694) &gt;= 7, A694 &amp; "-" &amp; RIGHT(A694+1, 2), A694-1 &amp; "-" &amp; RIGHT(A694, 2))</f>
        <v>1899-00</v>
      </c>
      <c r="C694" s="64"/>
      <c r="O694" s="148"/>
      <c r="BA694" s="1310" t="s">
        <v>54</v>
      </c>
      <c r="BB694" s="1225">
        <v>2016</v>
      </c>
      <c r="BC694" s="824" t="s">
        <v>315</v>
      </c>
      <c r="BD694" s="824">
        <v>10</v>
      </c>
      <c r="BE694" s="1226">
        <v>20632773.189999998</v>
      </c>
      <c r="BF694" s="1227">
        <v>2.7469941203447732E-2</v>
      </c>
      <c r="BH694" s="1311" t="s">
        <v>71</v>
      </c>
      <c r="BI694" s="824" t="s">
        <v>293</v>
      </c>
      <c r="BJ694" s="824" t="s">
        <v>292</v>
      </c>
      <c r="BL694" s="1226">
        <v>19803330360</v>
      </c>
      <c r="BM694" s="1227">
        <v>1</v>
      </c>
      <c r="BN694" s="824">
        <v>2014</v>
      </c>
    </row>
    <row r="695" spans="1:66" ht="15" customHeight="1" x14ac:dyDescent="0.35">
      <c r="A695" s="64">
        <f t="shared" si="21"/>
        <v>1900</v>
      </c>
      <c r="B695" s="168" t="str">
        <f t="shared" si="24"/>
        <v>1899-00</v>
      </c>
      <c r="C695" s="64"/>
      <c r="O695" s="148"/>
      <c r="BA695" s="1310" t="s">
        <v>54</v>
      </c>
      <c r="BB695" s="1225">
        <v>2016</v>
      </c>
      <c r="BC695" s="824" t="s">
        <v>291</v>
      </c>
      <c r="BE695" s="1226">
        <v>93504941.439999938</v>
      </c>
      <c r="BF695" s="1227">
        <v>0.12449006345077852</v>
      </c>
      <c r="BH695" s="1311" t="s">
        <v>71</v>
      </c>
      <c r="BI695" s="824" t="s">
        <v>294</v>
      </c>
      <c r="BJ695" s="824" t="s">
        <v>308</v>
      </c>
      <c r="BK695" s="824">
        <v>1</v>
      </c>
      <c r="BL695" s="1226">
        <v>12934183492</v>
      </c>
      <c r="BM695" s="1227">
        <v>0.61099999999999999</v>
      </c>
      <c r="BN695" s="824">
        <v>2013</v>
      </c>
    </row>
    <row r="696" spans="1:66" ht="15" customHeight="1" x14ac:dyDescent="0.35">
      <c r="A696" s="64">
        <f t="shared" si="21"/>
        <v>1900</v>
      </c>
      <c r="B696" s="168" t="str">
        <f t="shared" si="24"/>
        <v>1899-00</v>
      </c>
      <c r="C696" s="64"/>
      <c r="O696" s="148"/>
      <c r="BA696" s="1310" t="s">
        <v>54</v>
      </c>
      <c r="BB696" s="1225">
        <v>2016</v>
      </c>
      <c r="BC696" s="824" t="s">
        <v>292</v>
      </c>
      <c r="BE696" s="1226">
        <v>751103653.15999997</v>
      </c>
      <c r="BH696" s="1311" t="s">
        <v>71</v>
      </c>
      <c r="BI696" s="824" t="s">
        <v>294</v>
      </c>
      <c r="BJ696" s="824" t="s">
        <v>320</v>
      </c>
      <c r="BK696" s="824">
        <v>2</v>
      </c>
      <c r="BL696" s="1226">
        <v>2210936410</v>
      </c>
      <c r="BM696" s="1227">
        <v>0.104</v>
      </c>
      <c r="BN696" s="824">
        <v>2013</v>
      </c>
    </row>
    <row r="697" spans="1:66" ht="15" customHeight="1" x14ac:dyDescent="0.35">
      <c r="A697" s="64">
        <f t="shared" si="21"/>
        <v>1900</v>
      </c>
      <c r="B697" s="168" t="str">
        <f t="shared" si="24"/>
        <v>1899-00</v>
      </c>
      <c r="C697" s="64"/>
      <c r="O697" s="148"/>
      <c r="BA697" s="1310" t="s">
        <v>32</v>
      </c>
      <c r="BB697" s="1225">
        <v>2016</v>
      </c>
      <c r="BC697" s="824" t="s">
        <v>281</v>
      </c>
      <c r="BD697" s="824">
        <v>1</v>
      </c>
      <c r="BE697" s="1226">
        <v>8826362000</v>
      </c>
      <c r="BF697" s="1227">
        <v>0.49722621569246023</v>
      </c>
      <c r="BH697" s="1311" t="s">
        <v>71</v>
      </c>
      <c r="BI697" s="824" t="s">
        <v>294</v>
      </c>
      <c r="BJ697" s="824" t="s">
        <v>281</v>
      </c>
      <c r="BK697" s="824">
        <v>3</v>
      </c>
      <c r="BL697" s="1226">
        <v>1936328376</v>
      </c>
      <c r="BM697" s="1227">
        <v>9.0999999999999998E-2</v>
      </c>
      <c r="BN697" s="824">
        <v>2013</v>
      </c>
    </row>
    <row r="698" spans="1:66" ht="15" customHeight="1" x14ac:dyDescent="0.35">
      <c r="A698" s="64">
        <f t="shared" si="21"/>
        <v>1900</v>
      </c>
      <c r="B698" s="168" t="str">
        <f t="shared" si="24"/>
        <v>1899-00</v>
      </c>
      <c r="C698" s="64"/>
      <c r="O698" s="148"/>
      <c r="BA698" s="1310" t="s">
        <v>32</v>
      </c>
      <c r="BB698" s="1225">
        <v>2016</v>
      </c>
      <c r="BC698" s="824" t="s">
        <v>314</v>
      </c>
      <c r="BD698" s="824">
        <v>2</v>
      </c>
      <c r="BE698" s="1226">
        <v>6962954000</v>
      </c>
      <c r="BF698" s="1227">
        <v>0.39225258010726033</v>
      </c>
      <c r="BH698" s="1311" t="s">
        <v>71</v>
      </c>
      <c r="BI698" s="824" t="s">
        <v>294</v>
      </c>
      <c r="BJ698" s="824" t="s">
        <v>323</v>
      </c>
      <c r="BK698" s="824">
        <v>4</v>
      </c>
      <c r="BL698" s="1226">
        <v>1124351431</v>
      </c>
      <c r="BM698" s="1227">
        <v>5.2999999999999999E-2</v>
      </c>
      <c r="BN698" s="824">
        <v>2013</v>
      </c>
    </row>
    <row r="699" spans="1:66" ht="15" customHeight="1" x14ac:dyDescent="0.35">
      <c r="A699" s="64">
        <f t="shared" si="21"/>
        <v>1900</v>
      </c>
      <c r="B699" s="168" t="str">
        <f t="shared" si="24"/>
        <v>1899-00</v>
      </c>
      <c r="C699" s="64"/>
      <c r="O699" s="148"/>
      <c r="BA699" s="1310" t="s">
        <v>32</v>
      </c>
      <c r="BB699" s="1225">
        <v>2016</v>
      </c>
      <c r="BC699" s="824" t="s">
        <v>306</v>
      </c>
      <c r="BD699" s="824">
        <v>3</v>
      </c>
      <c r="BE699" s="1226">
        <v>677095000</v>
      </c>
      <c r="BF699" s="1227">
        <v>3.8143618459597101E-2</v>
      </c>
      <c r="BH699" s="1311" t="s">
        <v>71</v>
      </c>
      <c r="BI699" s="824" t="s">
        <v>294</v>
      </c>
      <c r="BJ699" s="824" t="s">
        <v>306</v>
      </c>
      <c r="BK699" s="824">
        <v>5</v>
      </c>
      <c r="BL699" s="1226">
        <v>1108091708</v>
      </c>
      <c r="BM699" s="1227">
        <v>5.1999999999999998E-2</v>
      </c>
      <c r="BN699" s="824">
        <v>2013</v>
      </c>
    </row>
    <row r="700" spans="1:66" ht="15" customHeight="1" x14ac:dyDescent="0.35">
      <c r="A700" s="64">
        <f t="shared" si="21"/>
        <v>1900</v>
      </c>
      <c r="B700" s="168" t="str">
        <f t="shared" si="24"/>
        <v>1899-00</v>
      </c>
      <c r="C700" s="64"/>
      <c r="O700" s="148"/>
      <c r="BA700" s="1310" t="s">
        <v>32</v>
      </c>
      <c r="BB700" s="1225">
        <v>2016</v>
      </c>
      <c r="BC700" s="824" t="s">
        <v>323</v>
      </c>
      <c r="BD700" s="824">
        <v>4</v>
      </c>
      <c r="BE700" s="1226">
        <v>413398000</v>
      </c>
      <c r="BF700" s="1227">
        <v>2.3288453738338818E-2</v>
      </c>
      <c r="BH700" s="1311" t="s">
        <v>71</v>
      </c>
      <c r="BI700" s="824" t="s">
        <v>294</v>
      </c>
      <c r="BJ700" s="824" t="s">
        <v>285</v>
      </c>
      <c r="BK700" s="824">
        <v>6</v>
      </c>
      <c r="BL700" s="1226">
        <v>654849377</v>
      </c>
      <c r="BM700" s="1227">
        <v>3.1E-2</v>
      </c>
      <c r="BN700" s="824">
        <v>2013</v>
      </c>
    </row>
    <row r="701" spans="1:66" ht="15" customHeight="1" x14ac:dyDescent="0.35">
      <c r="A701" s="64">
        <f t="shared" si="21"/>
        <v>1900</v>
      </c>
      <c r="B701" s="168" t="str">
        <f t="shared" si="24"/>
        <v>1899-00</v>
      </c>
      <c r="C701" s="64"/>
      <c r="O701" s="148"/>
      <c r="BA701" s="1310" t="s">
        <v>32</v>
      </c>
      <c r="BB701" s="1225">
        <v>2016</v>
      </c>
      <c r="BC701" s="824" t="s">
        <v>287</v>
      </c>
      <c r="BD701" s="824">
        <v>5</v>
      </c>
      <c r="BE701" s="1226">
        <v>292369000</v>
      </c>
      <c r="BF701" s="1227">
        <v>1.647037946730362E-2</v>
      </c>
      <c r="BH701" s="1311" t="s">
        <v>71</v>
      </c>
      <c r="BI701" s="824" t="s">
        <v>294</v>
      </c>
      <c r="BJ701" s="824" t="s">
        <v>342</v>
      </c>
      <c r="BK701" s="824">
        <v>7</v>
      </c>
      <c r="BL701" s="1226">
        <v>425405185</v>
      </c>
      <c r="BM701" s="1227">
        <v>0.02</v>
      </c>
      <c r="BN701" s="824">
        <v>2013</v>
      </c>
    </row>
    <row r="702" spans="1:66" ht="15" customHeight="1" x14ac:dyDescent="0.35">
      <c r="A702" s="64">
        <f t="shared" si="21"/>
        <v>1900</v>
      </c>
      <c r="B702" s="168" t="str">
        <f t="shared" si="24"/>
        <v>1899-00</v>
      </c>
      <c r="C702" s="64"/>
      <c r="O702" s="148"/>
      <c r="BA702" s="1310" t="s">
        <v>32</v>
      </c>
      <c r="BB702" s="1225">
        <v>2016</v>
      </c>
      <c r="BC702" s="824" t="s">
        <v>320</v>
      </c>
      <c r="BD702" s="824">
        <v>6</v>
      </c>
      <c r="BE702" s="1226">
        <v>216016000</v>
      </c>
      <c r="BF702" s="1227">
        <v>1.2169092793726622E-2</v>
      </c>
      <c r="BH702" s="1311" t="s">
        <v>71</v>
      </c>
      <c r="BI702" s="824" t="s">
        <v>294</v>
      </c>
      <c r="BJ702" s="824" t="s">
        <v>289</v>
      </c>
      <c r="BK702" s="824">
        <v>8</v>
      </c>
      <c r="BL702" s="1226">
        <v>307454638</v>
      </c>
      <c r="BM702" s="1227">
        <v>1.4999999999999999E-2</v>
      </c>
      <c r="BN702" s="824">
        <v>2013</v>
      </c>
    </row>
    <row r="703" spans="1:66" ht="15" customHeight="1" x14ac:dyDescent="0.35">
      <c r="A703" s="64">
        <f t="shared" si="21"/>
        <v>1900</v>
      </c>
      <c r="B703" s="168" t="str">
        <f t="shared" si="24"/>
        <v>1899-00</v>
      </c>
      <c r="C703" s="64"/>
      <c r="O703" s="148"/>
      <c r="BA703" s="1310" t="s">
        <v>32</v>
      </c>
      <c r="BB703" s="1225">
        <v>2016</v>
      </c>
      <c r="BC703" s="824" t="s">
        <v>286</v>
      </c>
      <c r="BD703" s="824">
        <v>7</v>
      </c>
      <c r="BE703" s="1226">
        <v>147318000</v>
      </c>
      <c r="BF703" s="1227">
        <v>8.299044571634594E-3</v>
      </c>
      <c r="BH703" s="1311" t="s">
        <v>71</v>
      </c>
      <c r="BI703" s="824" t="s">
        <v>294</v>
      </c>
      <c r="BJ703" s="824" t="s">
        <v>287</v>
      </c>
      <c r="BK703" s="824">
        <v>9</v>
      </c>
      <c r="BL703" s="1226">
        <v>182139294</v>
      </c>
      <c r="BM703" s="1227">
        <v>8.9999999999999993E-3</v>
      </c>
      <c r="BN703" s="824">
        <v>2013</v>
      </c>
    </row>
    <row r="704" spans="1:66" ht="15" customHeight="1" x14ac:dyDescent="0.35">
      <c r="A704" s="64">
        <f t="shared" si="21"/>
        <v>1900</v>
      </c>
      <c r="B704" s="168" t="str">
        <f t="shared" si="24"/>
        <v>1899-00</v>
      </c>
      <c r="C704" s="64"/>
      <c r="O704" s="148"/>
      <c r="BA704" s="1310" t="s">
        <v>32</v>
      </c>
      <c r="BB704" s="1225">
        <v>2016</v>
      </c>
      <c r="BC704" s="824" t="s">
        <v>329</v>
      </c>
      <c r="BD704" s="824">
        <v>8</v>
      </c>
      <c r="BE704" s="1226">
        <v>74805000</v>
      </c>
      <c r="BF704" s="1227">
        <v>4.2140813015458106E-3</v>
      </c>
      <c r="BH704" s="1311" t="s">
        <v>71</v>
      </c>
      <c r="BI704" s="824" t="s">
        <v>294</v>
      </c>
      <c r="BJ704" s="824" t="s">
        <v>315</v>
      </c>
      <c r="BK704" s="824">
        <v>10</v>
      </c>
      <c r="BL704" s="1226">
        <v>165872276</v>
      </c>
      <c r="BM704" s="1227">
        <v>8.0000000000000002E-3</v>
      </c>
      <c r="BN704" s="824">
        <v>2013</v>
      </c>
    </row>
    <row r="705" spans="1:66" ht="15" customHeight="1" x14ac:dyDescent="0.35">
      <c r="A705" s="64">
        <f t="shared" si="21"/>
        <v>1900</v>
      </c>
      <c r="B705" s="168" t="str">
        <f t="shared" si="24"/>
        <v>1899-00</v>
      </c>
      <c r="C705" s="64"/>
      <c r="O705" s="148"/>
      <c r="BA705" s="1310" t="s">
        <v>32</v>
      </c>
      <c r="BB705" s="1225">
        <v>2016</v>
      </c>
      <c r="BC705" s="824" t="s">
        <v>335</v>
      </c>
      <c r="BD705" s="824">
        <v>9</v>
      </c>
      <c r="BE705" s="1226">
        <v>73367000</v>
      </c>
      <c r="BF705" s="1227">
        <v>4.133072693677047E-3</v>
      </c>
      <c r="BH705" s="1311" t="s">
        <v>71</v>
      </c>
      <c r="BI705" s="824" t="s">
        <v>294</v>
      </c>
      <c r="BJ705" s="824" t="s">
        <v>291</v>
      </c>
      <c r="BL705" s="1226">
        <v>113248309</v>
      </c>
      <c r="BM705" s="1227">
        <v>5.0000000000000001E-3</v>
      </c>
      <c r="BN705" s="824">
        <v>2013</v>
      </c>
    </row>
    <row r="706" spans="1:66" ht="15" customHeight="1" x14ac:dyDescent="0.35">
      <c r="A706" s="64">
        <f t="shared" si="21"/>
        <v>1900</v>
      </c>
      <c r="B706" s="168" t="str">
        <f t="shared" si="24"/>
        <v>1899-00</v>
      </c>
      <c r="C706" s="64"/>
      <c r="O706" s="148"/>
      <c r="BA706" s="1310" t="s">
        <v>32</v>
      </c>
      <c r="BB706" s="1225">
        <v>2016</v>
      </c>
      <c r="BC706" s="824" t="s">
        <v>299</v>
      </c>
      <c r="BD706" s="824">
        <v>10</v>
      </c>
      <c r="BE706" s="1226">
        <v>25361000</v>
      </c>
      <c r="BF706" s="1227">
        <v>1.4286921447564109E-3</v>
      </c>
      <c r="BH706" s="1311" t="s">
        <v>71</v>
      </c>
      <c r="BI706" s="824" t="s">
        <v>294</v>
      </c>
      <c r="BJ706" s="824" t="s">
        <v>292</v>
      </c>
      <c r="BL706" s="1226">
        <v>21162860496</v>
      </c>
      <c r="BM706" s="1227">
        <v>1</v>
      </c>
      <c r="BN706" s="824">
        <v>2013</v>
      </c>
    </row>
    <row r="707" spans="1:66" ht="15" customHeight="1" x14ac:dyDescent="0.35">
      <c r="A707" s="64">
        <f t="shared" si="21"/>
        <v>1900</v>
      </c>
      <c r="B707" s="168" t="str">
        <f t="shared" si="24"/>
        <v>1899-00</v>
      </c>
      <c r="C707" s="64"/>
      <c r="O707" s="148"/>
      <c r="BA707" s="1310" t="s">
        <v>32</v>
      </c>
      <c r="BB707" s="1225">
        <v>2016</v>
      </c>
      <c r="BC707" s="824" t="s">
        <v>291</v>
      </c>
      <c r="BE707" s="1226">
        <v>42155000</v>
      </c>
      <c r="BF707" s="1227">
        <v>2.3747690296994006E-3</v>
      </c>
      <c r="BH707" s="1311" t="s">
        <v>71</v>
      </c>
      <c r="BI707" s="824" t="s">
        <v>295</v>
      </c>
      <c r="BJ707" s="824" t="s">
        <v>308</v>
      </c>
      <c r="BK707" s="824">
        <v>1</v>
      </c>
      <c r="BL707" s="1226">
        <v>11181272350</v>
      </c>
      <c r="BM707" s="1227">
        <v>0.55800000000000005</v>
      </c>
      <c r="BN707" s="824">
        <v>2012</v>
      </c>
    </row>
    <row r="708" spans="1:66" ht="15" customHeight="1" x14ac:dyDescent="0.35">
      <c r="A708" s="64">
        <f t="shared" si="21"/>
        <v>1900</v>
      </c>
      <c r="B708" s="168" t="str">
        <f t="shared" si="24"/>
        <v>1899-00</v>
      </c>
      <c r="C708" s="64"/>
      <c r="O708" s="148"/>
      <c r="BA708" s="1310" t="s">
        <v>32</v>
      </c>
      <c r="BB708" s="1225">
        <v>2016</v>
      </c>
      <c r="BC708" s="824" t="s">
        <v>292</v>
      </c>
      <c r="BE708" s="1226">
        <v>17751200000</v>
      </c>
      <c r="BH708" s="1311" t="s">
        <v>71</v>
      </c>
      <c r="BI708" s="824" t="s">
        <v>295</v>
      </c>
      <c r="BJ708" s="824" t="s">
        <v>281</v>
      </c>
      <c r="BK708" s="824">
        <v>2</v>
      </c>
      <c r="BL708" s="1226">
        <v>1936328376</v>
      </c>
      <c r="BM708" s="1227">
        <v>9.7000000000000003E-2</v>
      </c>
      <c r="BN708" s="824">
        <v>2012</v>
      </c>
    </row>
    <row r="709" spans="1:66" ht="15" customHeight="1" x14ac:dyDescent="0.35">
      <c r="A709" s="64">
        <f t="shared" si="21"/>
        <v>1900</v>
      </c>
      <c r="B709" s="168" t="str">
        <f t="shared" si="24"/>
        <v>1899-00</v>
      </c>
      <c r="C709" s="64"/>
      <c r="O709" s="148"/>
      <c r="BA709" s="1310" t="s">
        <v>344</v>
      </c>
      <c r="BB709" s="1225">
        <v>2016</v>
      </c>
      <c r="BE709" s="1226">
        <v>1571587536</v>
      </c>
      <c r="BH709" s="1311" t="s">
        <v>71</v>
      </c>
      <c r="BI709" s="824" t="s">
        <v>295</v>
      </c>
      <c r="BJ709" s="824" t="s">
        <v>320</v>
      </c>
      <c r="BK709" s="824">
        <v>3</v>
      </c>
      <c r="BL709" s="1226">
        <v>1925099567</v>
      </c>
      <c r="BM709" s="1227">
        <v>9.6000000000000002E-2</v>
      </c>
      <c r="BN709" s="824">
        <v>2012</v>
      </c>
    </row>
    <row r="710" spans="1:66" ht="15" customHeight="1" x14ac:dyDescent="0.35">
      <c r="A710" s="64">
        <f t="shared" si="21"/>
        <v>1900</v>
      </c>
      <c r="B710" s="168" t="str">
        <f t="shared" si="24"/>
        <v>1899-00</v>
      </c>
      <c r="C710" s="64"/>
      <c r="O710" s="148"/>
      <c r="BA710" s="1310" t="s">
        <v>344</v>
      </c>
      <c r="BB710" s="1225">
        <v>2015</v>
      </c>
      <c r="BE710" s="1226">
        <v>1677383069.8900001</v>
      </c>
      <c r="BH710" s="1311" t="s">
        <v>71</v>
      </c>
      <c r="BI710" s="824" t="s">
        <v>295</v>
      </c>
      <c r="BJ710" s="824" t="s">
        <v>306</v>
      </c>
      <c r="BK710" s="824">
        <v>4</v>
      </c>
      <c r="BL710" s="1226">
        <v>1895077906</v>
      </c>
      <c r="BM710" s="1227">
        <v>9.5000000000000001E-2</v>
      </c>
      <c r="BN710" s="824">
        <v>2012</v>
      </c>
    </row>
    <row r="711" spans="1:66" ht="15" customHeight="1" x14ac:dyDescent="0.35">
      <c r="A711" s="64">
        <f t="shared" si="21"/>
        <v>1900</v>
      </c>
      <c r="B711" s="168" t="str">
        <f t="shared" si="24"/>
        <v>1899-00</v>
      </c>
      <c r="C711" s="64"/>
      <c r="O711" s="148"/>
      <c r="BA711" s="1310" t="s">
        <v>344</v>
      </c>
      <c r="BB711" s="1225">
        <v>2014</v>
      </c>
      <c r="BE711" s="1226">
        <v>1394427032.1800001</v>
      </c>
      <c r="BH711" s="1311" t="s">
        <v>71</v>
      </c>
      <c r="BI711" s="824" t="s">
        <v>295</v>
      </c>
      <c r="BJ711" s="824" t="s">
        <v>323</v>
      </c>
      <c r="BK711" s="824">
        <v>5</v>
      </c>
      <c r="BL711" s="1226">
        <v>725008512</v>
      </c>
      <c r="BM711" s="1227">
        <v>3.5999999999999997E-2</v>
      </c>
      <c r="BN711" s="824">
        <v>2012</v>
      </c>
    </row>
    <row r="712" spans="1:66" ht="15" customHeight="1" x14ac:dyDescent="0.35">
      <c r="A712" s="64">
        <f t="shared" si="21"/>
        <v>1900</v>
      </c>
      <c r="B712" s="168" t="str">
        <f t="shared" si="24"/>
        <v>1899-00</v>
      </c>
      <c r="C712" s="64"/>
      <c r="O712" s="148"/>
      <c r="BA712" s="1310" t="s">
        <v>344</v>
      </c>
      <c r="BB712" s="1225">
        <v>2013</v>
      </c>
      <c r="BE712" s="1226">
        <v>1437108629.9100001</v>
      </c>
      <c r="BH712" s="1311" t="s">
        <v>71</v>
      </c>
      <c r="BI712" s="824" t="s">
        <v>295</v>
      </c>
      <c r="BJ712" s="824" t="s">
        <v>285</v>
      </c>
      <c r="BK712" s="824">
        <v>6</v>
      </c>
      <c r="BL712" s="1226">
        <v>692532916</v>
      </c>
      <c r="BM712" s="1227">
        <v>3.5000000000000003E-2</v>
      </c>
      <c r="BN712" s="824">
        <v>2012</v>
      </c>
    </row>
    <row r="713" spans="1:66" ht="15" customHeight="1" x14ac:dyDescent="0.35">
      <c r="A713" s="64">
        <f t="shared" si="21"/>
        <v>1900</v>
      </c>
      <c r="B713" s="168" t="str">
        <f t="shared" si="24"/>
        <v>1899-00</v>
      </c>
      <c r="C713" s="64"/>
      <c r="O713" s="148"/>
      <c r="BA713" s="1310" t="s">
        <v>344</v>
      </c>
      <c r="BB713" s="1225">
        <v>2012</v>
      </c>
      <c r="BE713" s="1226">
        <v>1538980691.24</v>
      </c>
      <c r="BH713" s="1311" t="s">
        <v>71</v>
      </c>
      <c r="BI713" s="824" t="s">
        <v>295</v>
      </c>
      <c r="BJ713" s="824" t="s">
        <v>342</v>
      </c>
      <c r="BK713" s="824">
        <v>7</v>
      </c>
      <c r="BL713" s="1226">
        <v>544784212</v>
      </c>
      <c r="BM713" s="1227">
        <v>2.7E-2</v>
      </c>
      <c r="BN713" s="824">
        <v>2012</v>
      </c>
    </row>
    <row r="714" spans="1:66" ht="15" customHeight="1" x14ac:dyDescent="0.35">
      <c r="A714" s="64">
        <f t="shared" si="21"/>
        <v>1900</v>
      </c>
      <c r="B714" s="168" t="str">
        <f t="shared" si="24"/>
        <v>1899-00</v>
      </c>
      <c r="C714" s="64"/>
      <c r="O714" s="148"/>
      <c r="BA714" s="1310" t="s">
        <v>344</v>
      </c>
      <c r="BB714" s="1225">
        <v>2011</v>
      </c>
      <c r="BE714" s="1226">
        <v>1426935860.8</v>
      </c>
      <c r="BH714" s="1311" t="s">
        <v>71</v>
      </c>
      <c r="BI714" s="824" t="s">
        <v>295</v>
      </c>
      <c r="BJ714" s="824" t="s">
        <v>315</v>
      </c>
      <c r="BK714" s="824">
        <v>8</v>
      </c>
      <c r="BL714" s="1226">
        <v>309798437</v>
      </c>
      <c r="BM714" s="1227">
        <v>1.4999999999999999E-2</v>
      </c>
      <c r="BN714" s="824">
        <v>2012</v>
      </c>
    </row>
    <row r="715" spans="1:66" ht="15" customHeight="1" x14ac:dyDescent="0.35">
      <c r="A715" s="64">
        <f t="shared" si="21"/>
        <v>1900</v>
      </c>
      <c r="B715" s="168" t="str">
        <f t="shared" si="24"/>
        <v>1899-00</v>
      </c>
      <c r="C715" s="64"/>
      <c r="O715" s="148"/>
      <c r="BA715" s="1310" t="s">
        <v>344</v>
      </c>
      <c r="BB715" s="1225">
        <v>2010</v>
      </c>
      <c r="BE715" s="1226">
        <v>1352345032.6700001</v>
      </c>
      <c r="BH715" s="1311" t="s">
        <v>71</v>
      </c>
      <c r="BI715" s="824" t="s">
        <v>295</v>
      </c>
      <c r="BJ715" s="824" t="s">
        <v>289</v>
      </c>
      <c r="BK715" s="824">
        <v>9</v>
      </c>
      <c r="BL715" s="1226">
        <v>241839267</v>
      </c>
      <c r="BM715" s="1227">
        <v>1.2E-2</v>
      </c>
      <c r="BN715" s="824">
        <v>2012</v>
      </c>
    </row>
    <row r="716" spans="1:66" ht="15" customHeight="1" x14ac:dyDescent="0.35">
      <c r="A716" s="64">
        <f t="shared" ref="A716:A779" si="25">YEAR(C716)</f>
        <v>1900</v>
      </c>
      <c r="B716" s="168" t="str">
        <f t="shared" si="24"/>
        <v>1899-00</v>
      </c>
      <c r="C716" s="64"/>
      <c r="O716" s="148"/>
      <c r="BA716" s="1310" t="s">
        <v>344</v>
      </c>
      <c r="BB716" s="1225">
        <v>2009</v>
      </c>
      <c r="BE716" s="1226">
        <v>694236040.76999998</v>
      </c>
      <c r="BH716" s="1311" t="s">
        <v>71</v>
      </c>
      <c r="BI716" s="824" t="s">
        <v>295</v>
      </c>
      <c r="BJ716" s="824" t="s">
        <v>286</v>
      </c>
      <c r="BK716" s="824">
        <v>10</v>
      </c>
      <c r="BL716" s="1226">
        <v>191997945</v>
      </c>
      <c r="BM716" s="1227">
        <v>0.01</v>
      </c>
      <c r="BN716" s="824">
        <v>2012</v>
      </c>
    </row>
    <row r="717" spans="1:66" ht="15" customHeight="1" x14ac:dyDescent="0.35">
      <c r="A717" s="64">
        <f t="shared" si="25"/>
        <v>1900</v>
      </c>
      <c r="B717" s="168" t="str">
        <f t="shared" si="24"/>
        <v>1899-00</v>
      </c>
      <c r="C717" s="64"/>
      <c r="BA717" s="1310" t="s">
        <v>344</v>
      </c>
      <c r="BB717" s="1225">
        <v>2008</v>
      </c>
      <c r="BE717" s="1226">
        <v>491296568.06999999</v>
      </c>
      <c r="BH717" s="1311" t="s">
        <v>71</v>
      </c>
      <c r="BI717" s="824" t="s">
        <v>295</v>
      </c>
      <c r="BJ717" s="824" t="s">
        <v>291</v>
      </c>
      <c r="BL717" s="1226">
        <v>391965781</v>
      </c>
      <c r="BM717" s="1227">
        <v>0.02</v>
      </c>
      <c r="BN717" s="824">
        <v>2012</v>
      </c>
    </row>
    <row r="718" spans="1:66" ht="15" customHeight="1" x14ac:dyDescent="0.35">
      <c r="A718" s="64">
        <f t="shared" si="25"/>
        <v>1900</v>
      </c>
      <c r="B718" s="168" t="str">
        <f t="shared" si="24"/>
        <v>1899-00</v>
      </c>
      <c r="C718" s="64"/>
      <c r="BA718" s="1310" t="s">
        <v>344</v>
      </c>
      <c r="BB718" s="1225">
        <v>2007</v>
      </c>
      <c r="BE718" s="1226">
        <v>437912431</v>
      </c>
      <c r="BH718" s="1311" t="s">
        <v>71</v>
      </c>
      <c r="BI718" s="824" t="s">
        <v>295</v>
      </c>
      <c r="BJ718" s="824" t="s">
        <v>292</v>
      </c>
      <c r="BL718" s="1226">
        <v>20035705269</v>
      </c>
      <c r="BM718" s="1227">
        <v>1</v>
      </c>
      <c r="BN718" s="824">
        <v>2012</v>
      </c>
    </row>
    <row r="719" spans="1:66" ht="15" customHeight="1" x14ac:dyDescent="0.35">
      <c r="A719" s="64">
        <f t="shared" si="25"/>
        <v>1900</v>
      </c>
      <c r="B719" s="168" t="str">
        <f t="shared" si="24"/>
        <v>1899-00</v>
      </c>
      <c r="C719" s="64"/>
      <c r="BA719" s="1310" t="s">
        <v>345</v>
      </c>
      <c r="BB719" s="1225">
        <v>2016</v>
      </c>
      <c r="BC719" s="824" t="s">
        <v>320</v>
      </c>
      <c r="BD719" s="824">
        <v>1</v>
      </c>
      <c r="BE719" s="1226">
        <v>866456650</v>
      </c>
      <c r="BF719" s="1227">
        <v>0.27100000000000002</v>
      </c>
      <c r="BH719" s="1311" t="s">
        <v>71</v>
      </c>
      <c r="BI719" s="824" t="s">
        <v>297</v>
      </c>
      <c r="BJ719" s="824" t="s">
        <v>308</v>
      </c>
      <c r="BK719" s="824">
        <v>1</v>
      </c>
      <c r="BL719" s="1226">
        <v>10278079882</v>
      </c>
      <c r="BM719" s="1227">
        <v>0.48699999999999999</v>
      </c>
      <c r="BN719" s="824">
        <v>2011</v>
      </c>
    </row>
    <row r="720" spans="1:66" ht="15" customHeight="1" x14ac:dyDescent="0.35">
      <c r="A720" s="64">
        <f t="shared" si="25"/>
        <v>1900</v>
      </c>
      <c r="B720" s="168" t="str">
        <f t="shared" si="24"/>
        <v>1899-00</v>
      </c>
      <c r="C720" s="64"/>
      <c r="BA720" s="1310" t="s">
        <v>345</v>
      </c>
      <c r="BB720" s="1225">
        <v>2016</v>
      </c>
      <c r="BC720" s="824" t="s">
        <v>281</v>
      </c>
      <c r="BD720" s="824">
        <v>2</v>
      </c>
      <c r="BE720" s="1226">
        <v>764196974</v>
      </c>
      <c r="BF720" s="1227">
        <v>0.23899999999999999</v>
      </c>
      <c r="BH720" s="1311" t="s">
        <v>71</v>
      </c>
      <c r="BI720" s="824" t="s">
        <v>297</v>
      </c>
      <c r="BJ720" s="824" t="s">
        <v>281</v>
      </c>
      <c r="BK720" s="824">
        <v>2</v>
      </c>
      <c r="BL720" s="1226">
        <v>3572345774</v>
      </c>
      <c r="BM720" s="1227">
        <v>0.16900000000000001</v>
      </c>
      <c r="BN720" s="824">
        <v>2011</v>
      </c>
    </row>
    <row r="721" spans="1:66" ht="15" customHeight="1" x14ac:dyDescent="0.35">
      <c r="A721" s="64">
        <f t="shared" si="25"/>
        <v>1900</v>
      </c>
      <c r="B721" s="168" t="str">
        <f t="shared" si="24"/>
        <v>1899-00</v>
      </c>
      <c r="C721" s="64"/>
      <c r="BA721" s="1310" t="s">
        <v>345</v>
      </c>
      <c r="BB721" s="1225">
        <v>2016</v>
      </c>
      <c r="BC721" s="824" t="s">
        <v>346</v>
      </c>
      <c r="BD721" s="824">
        <v>3</v>
      </c>
      <c r="BE721" s="1226">
        <v>597028917</v>
      </c>
      <c r="BF721" s="1227">
        <v>0.187</v>
      </c>
      <c r="BH721" s="1311" t="s">
        <v>71</v>
      </c>
      <c r="BI721" s="824" t="s">
        <v>297</v>
      </c>
      <c r="BJ721" s="824" t="s">
        <v>320</v>
      </c>
      <c r="BK721" s="824">
        <v>3</v>
      </c>
      <c r="BL721" s="1226">
        <v>1939758548</v>
      </c>
      <c r="BM721" s="1227">
        <v>9.1999999999999998E-2</v>
      </c>
      <c r="BN721" s="824">
        <v>2011</v>
      </c>
    </row>
    <row r="722" spans="1:66" ht="15" customHeight="1" x14ac:dyDescent="0.35">
      <c r="A722" s="64">
        <f t="shared" si="25"/>
        <v>1900</v>
      </c>
      <c r="B722" s="168" t="str">
        <f t="shared" si="24"/>
        <v>1899-00</v>
      </c>
      <c r="C722" s="64"/>
      <c r="BA722" s="1310" t="s">
        <v>345</v>
      </c>
      <c r="BB722" s="1225">
        <v>2016</v>
      </c>
      <c r="BC722" s="824" t="s">
        <v>308</v>
      </c>
      <c r="BD722" s="824">
        <v>4</v>
      </c>
      <c r="BE722" s="1226">
        <v>381058259</v>
      </c>
      <c r="BF722" s="1227">
        <v>0.11899999999999999</v>
      </c>
      <c r="BH722" s="1311" t="s">
        <v>71</v>
      </c>
      <c r="BI722" s="824" t="s">
        <v>297</v>
      </c>
      <c r="BJ722" s="824" t="s">
        <v>323</v>
      </c>
      <c r="BK722" s="824">
        <v>4</v>
      </c>
      <c r="BL722" s="1226">
        <v>1204001673</v>
      </c>
      <c r="BM722" s="1227">
        <v>5.7000000000000002E-2</v>
      </c>
      <c r="BN722" s="824">
        <v>2011</v>
      </c>
    </row>
    <row r="723" spans="1:66" ht="15" customHeight="1" x14ac:dyDescent="0.35">
      <c r="A723" s="64">
        <f t="shared" si="25"/>
        <v>1900</v>
      </c>
      <c r="B723" s="168" t="str">
        <f t="shared" si="24"/>
        <v>1899-00</v>
      </c>
      <c r="C723" s="64"/>
      <c r="BA723" s="1310" t="s">
        <v>345</v>
      </c>
      <c r="BB723" s="1225">
        <v>2016</v>
      </c>
      <c r="BC723" s="824" t="s">
        <v>335</v>
      </c>
      <c r="BD723" s="824">
        <v>5</v>
      </c>
      <c r="BE723" s="1226">
        <v>300388036</v>
      </c>
      <c r="BF723" s="1227">
        <v>9.4E-2</v>
      </c>
      <c r="BH723" s="1311" t="s">
        <v>71</v>
      </c>
      <c r="BI723" s="824" t="s">
        <v>297</v>
      </c>
      <c r="BJ723" s="824" t="s">
        <v>306</v>
      </c>
      <c r="BK723" s="824">
        <v>5</v>
      </c>
      <c r="BL723" s="1226">
        <v>989510479.70000005</v>
      </c>
      <c r="BM723" s="1227">
        <v>4.7E-2</v>
      </c>
      <c r="BN723" s="824">
        <v>2011</v>
      </c>
    </row>
    <row r="724" spans="1:66" ht="15" customHeight="1" x14ac:dyDescent="0.35">
      <c r="A724" s="64">
        <f t="shared" si="25"/>
        <v>1900</v>
      </c>
      <c r="B724" s="168" t="str">
        <f t="shared" si="24"/>
        <v>1899-00</v>
      </c>
      <c r="C724" s="64"/>
      <c r="BA724" s="1310" t="s">
        <v>345</v>
      </c>
      <c r="BB724" s="1225">
        <v>2016</v>
      </c>
      <c r="BC724" s="824" t="s">
        <v>287</v>
      </c>
      <c r="BD724" s="824">
        <v>6</v>
      </c>
      <c r="BE724" s="1226">
        <v>197316612</v>
      </c>
      <c r="BF724" s="1227">
        <v>6.2E-2</v>
      </c>
      <c r="BH724" s="1311" t="s">
        <v>71</v>
      </c>
      <c r="BI724" s="824" t="s">
        <v>297</v>
      </c>
      <c r="BJ724" s="824" t="s">
        <v>287</v>
      </c>
      <c r="BK724" s="824">
        <v>6</v>
      </c>
      <c r="BL724" s="1226">
        <v>968737223.60000002</v>
      </c>
      <c r="BM724" s="1227">
        <v>4.5999999999999999E-2</v>
      </c>
      <c r="BN724" s="824">
        <v>2011</v>
      </c>
    </row>
    <row r="725" spans="1:66" ht="15" customHeight="1" x14ac:dyDescent="0.35">
      <c r="A725" s="64">
        <f t="shared" si="25"/>
        <v>1900</v>
      </c>
      <c r="B725" s="168" t="str">
        <f t="shared" si="24"/>
        <v>1899-00</v>
      </c>
      <c r="C725" s="64"/>
      <c r="BA725" s="1310" t="s">
        <v>345</v>
      </c>
      <c r="BB725" s="1225">
        <v>2016</v>
      </c>
      <c r="BC725" s="824" t="s">
        <v>319</v>
      </c>
      <c r="BD725" s="824">
        <v>7</v>
      </c>
      <c r="BE725" s="1226">
        <v>34609876</v>
      </c>
      <c r="BF725" s="1227">
        <v>1.0999999999999999E-2</v>
      </c>
      <c r="BH725" s="1311" t="s">
        <v>71</v>
      </c>
      <c r="BI725" s="824" t="s">
        <v>297</v>
      </c>
      <c r="BJ725" s="824" t="s">
        <v>285</v>
      </c>
      <c r="BK725" s="824">
        <v>7</v>
      </c>
      <c r="BL725" s="1226">
        <v>528099909.80000001</v>
      </c>
      <c r="BM725" s="1227">
        <v>2.5000000000000001E-2</v>
      </c>
      <c r="BN725" s="824">
        <v>2011</v>
      </c>
    </row>
    <row r="726" spans="1:66" ht="15" customHeight="1" x14ac:dyDescent="0.35">
      <c r="A726" s="64">
        <f t="shared" si="25"/>
        <v>1900</v>
      </c>
      <c r="B726" s="168" t="str">
        <f t="shared" si="24"/>
        <v>1899-00</v>
      </c>
      <c r="C726" s="64"/>
      <c r="BA726" s="1310" t="s">
        <v>345</v>
      </c>
      <c r="BB726" s="1225">
        <v>2016</v>
      </c>
      <c r="BC726" s="824" t="s">
        <v>315</v>
      </c>
      <c r="BD726" s="824">
        <v>8</v>
      </c>
      <c r="BE726" s="1226">
        <v>29200956</v>
      </c>
      <c r="BF726" s="1227">
        <v>8.9999999999999993E-3</v>
      </c>
      <c r="BH726" s="1311" t="s">
        <v>71</v>
      </c>
      <c r="BI726" s="824" t="s">
        <v>297</v>
      </c>
      <c r="BJ726" s="824" t="s">
        <v>315</v>
      </c>
      <c r="BK726" s="824">
        <v>8</v>
      </c>
      <c r="BL726" s="1226">
        <v>392696843.60000002</v>
      </c>
      <c r="BM726" s="1227">
        <v>1.9E-2</v>
      </c>
      <c r="BN726" s="824">
        <v>2011</v>
      </c>
    </row>
    <row r="727" spans="1:66" ht="15" customHeight="1" x14ac:dyDescent="0.35">
      <c r="A727" s="64">
        <f t="shared" si="25"/>
        <v>1900</v>
      </c>
      <c r="B727" s="168" t="str">
        <f t="shared" si="24"/>
        <v>1899-00</v>
      </c>
      <c r="C727" s="64"/>
      <c r="BA727" s="1310" t="s">
        <v>345</v>
      </c>
      <c r="BB727" s="1225">
        <v>2016</v>
      </c>
      <c r="BC727" s="824" t="s">
        <v>309</v>
      </c>
      <c r="BD727" s="824">
        <v>9</v>
      </c>
      <c r="BE727" s="1226">
        <v>26896181</v>
      </c>
      <c r="BF727" s="1227">
        <v>8.0000000000000002E-3</v>
      </c>
      <c r="BH727" s="1311" t="s">
        <v>71</v>
      </c>
      <c r="BI727" s="824" t="s">
        <v>297</v>
      </c>
      <c r="BJ727" s="824" t="s">
        <v>342</v>
      </c>
      <c r="BK727" s="824">
        <v>9</v>
      </c>
      <c r="BL727" s="1226">
        <v>362910453.19999999</v>
      </c>
      <c r="BM727" s="1227">
        <v>1.7000000000000001E-2</v>
      </c>
      <c r="BN727" s="824">
        <v>2011</v>
      </c>
    </row>
    <row r="728" spans="1:66" ht="15" customHeight="1" x14ac:dyDescent="0.35">
      <c r="A728" s="64">
        <f t="shared" si="25"/>
        <v>1900</v>
      </c>
      <c r="B728" s="168" t="str">
        <f t="shared" si="24"/>
        <v>1899-00</v>
      </c>
      <c r="C728" s="64"/>
      <c r="BA728" s="1310" t="s">
        <v>345</v>
      </c>
      <c r="BB728" s="1225">
        <v>2016</v>
      </c>
      <c r="BC728" s="824" t="s">
        <v>285</v>
      </c>
      <c r="BD728" s="824">
        <v>10</v>
      </c>
      <c r="BE728" s="1226">
        <v>3402178</v>
      </c>
      <c r="BF728" s="1227">
        <v>1E-3</v>
      </c>
      <c r="BH728" s="1311" t="s">
        <v>71</v>
      </c>
      <c r="BI728" s="824" t="s">
        <v>297</v>
      </c>
      <c r="BJ728" s="824" t="s">
        <v>289</v>
      </c>
      <c r="BK728" s="824">
        <v>10</v>
      </c>
      <c r="BL728" s="1226">
        <v>307686624.39999998</v>
      </c>
      <c r="BM728" s="1227">
        <v>1.4999999999999999E-2</v>
      </c>
      <c r="BN728" s="824">
        <v>2011</v>
      </c>
    </row>
    <row r="729" spans="1:66" ht="15" customHeight="1" x14ac:dyDescent="0.35">
      <c r="A729" s="64">
        <f t="shared" si="25"/>
        <v>1900</v>
      </c>
      <c r="B729" s="168" t="str">
        <f t="shared" si="24"/>
        <v>1899-00</v>
      </c>
      <c r="C729" s="64"/>
      <c r="BA729" s="1310" t="s">
        <v>345</v>
      </c>
      <c r="BB729" s="1225">
        <v>2016</v>
      </c>
      <c r="BC729" s="824" t="s">
        <v>291</v>
      </c>
      <c r="BE729" s="1226">
        <v>0</v>
      </c>
      <c r="BF729" s="1227">
        <v>0</v>
      </c>
      <c r="BH729" s="1311" t="s">
        <v>71</v>
      </c>
      <c r="BI729" s="824" t="s">
        <v>297</v>
      </c>
      <c r="BJ729" s="824" t="s">
        <v>291</v>
      </c>
      <c r="BL729" s="1226">
        <v>540163619.20000076</v>
      </c>
      <c r="BN729" s="824">
        <v>2011</v>
      </c>
    </row>
    <row r="730" spans="1:66" ht="15" customHeight="1" x14ac:dyDescent="0.35">
      <c r="A730" s="64">
        <f t="shared" si="25"/>
        <v>1900</v>
      </c>
      <c r="B730" s="168" t="str">
        <f t="shared" si="24"/>
        <v>1899-00</v>
      </c>
      <c r="C730" s="64"/>
      <c r="BA730" s="1310" t="s">
        <v>345</v>
      </c>
      <c r="BB730" s="1225">
        <v>2016</v>
      </c>
      <c r="BC730" s="824" t="s">
        <v>331</v>
      </c>
      <c r="BE730" s="1226">
        <v>3200554639</v>
      </c>
      <c r="BH730" s="1311" t="s">
        <v>71</v>
      </c>
      <c r="BI730" s="824" t="s">
        <v>297</v>
      </c>
      <c r="BJ730" s="824" t="s">
        <v>292</v>
      </c>
      <c r="BL730" s="1226">
        <v>21083991030.5</v>
      </c>
      <c r="BN730" s="824">
        <v>2011</v>
      </c>
    </row>
    <row r="731" spans="1:66" ht="15" customHeight="1" x14ac:dyDescent="0.35">
      <c r="A731" s="64">
        <f t="shared" si="25"/>
        <v>1900</v>
      </c>
      <c r="B731" s="168" t="str">
        <f t="shared" si="24"/>
        <v>1899-00</v>
      </c>
      <c r="C731" s="64"/>
      <c r="BA731" s="1310" t="s">
        <v>345</v>
      </c>
      <c r="BB731" s="1225">
        <v>2015</v>
      </c>
      <c r="BC731" s="824" t="s">
        <v>281</v>
      </c>
      <c r="BD731" s="824">
        <v>1</v>
      </c>
      <c r="BE731" s="1226">
        <v>761233963</v>
      </c>
      <c r="BF731" s="1227">
        <v>0.26900000000000002</v>
      </c>
      <c r="BH731" s="1311" t="s">
        <v>71</v>
      </c>
      <c r="BI731" s="824" t="s">
        <v>301</v>
      </c>
      <c r="BJ731" s="824" t="s">
        <v>308</v>
      </c>
      <c r="BK731" s="824">
        <v>1</v>
      </c>
      <c r="BL731" s="1226">
        <v>7876986740.7000008</v>
      </c>
      <c r="BM731" s="1227">
        <v>0.42320556894639833</v>
      </c>
      <c r="BN731" s="824">
        <v>2010</v>
      </c>
    </row>
    <row r="732" spans="1:66" ht="15" customHeight="1" x14ac:dyDescent="0.35">
      <c r="A732" s="64">
        <f t="shared" si="25"/>
        <v>1900</v>
      </c>
      <c r="B732" s="168" t="str">
        <f t="shared" si="24"/>
        <v>1899-00</v>
      </c>
      <c r="C732" s="64"/>
      <c r="BA732" s="1310" t="s">
        <v>345</v>
      </c>
      <c r="BB732" s="1225">
        <v>2015</v>
      </c>
      <c r="BC732" s="824" t="s">
        <v>320</v>
      </c>
      <c r="BD732" s="824">
        <v>2</v>
      </c>
      <c r="BE732" s="1226">
        <v>682922009</v>
      </c>
      <c r="BF732" s="1227">
        <v>0.24199999999999999</v>
      </c>
      <c r="BH732" s="1311" t="s">
        <v>71</v>
      </c>
      <c r="BI732" s="824" t="s">
        <v>301</v>
      </c>
      <c r="BJ732" s="824" t="s">
        <v>281</v>
      </c>
      <c r="BK732" s="824">
        <v>2</v>
      </c>
      <c r="BL732" s="1226">
        <v>2795098090.7600002</v>
      </c>
      <c r="BM732" s="1227">
        <v>0.15017177465198542</v>
      </c>
      <c r="BN732" s="824">
        <v>2010</v>
      </c>
    </row>
    <row r="733" spans="1:66" ht="15" customHeight="1" x14ac:dyDescent="0.35">
      <c r="A733" s="64">
        <f t="shared" si="25"/>
        <v>1900</v>
      </c>
      <c r="B733" s="168" t="str">
        <f t="shared" si="24"/>
        <v>1899-00</v>
      </c>
      <c r="C733" s="64"/>
      <c r="BA733" s="1310" t="s">
        <v>345</v>
      </c>
      <c r="BB733" s="1225">
        <v>2015</v>
      </c>
      <c r="BC733" s="824" t="s">
        <v>308</v>
      </c>
      <c r="BD733" s="824">
        <v>3</v>
      </c>
      <c r="BE733" s="1226">
        <v>464918292</v>
      </c>
      <c r="BF733" s="1227">
        <v>0.16500000000000001</v>
      </c>
      <c r="BH733" s="1311" t="s">
        <v>71</v>
      </c>
      <c r="BI733" s="824" t="s">
        <v>301</v>
      </c>
      <c r="BJ733" s="824" t="s">
        <v>320</v>
      </c>
      <c r="BK733" s="824">
        <v>3</v>
      </c>
      <c r="BL733" s="1226">
        <v>2461601685.7299995</v>
      </c>
      <c r="BM733" s="1227">
        <v>0.13225406823983046</v>
      </c>
      <c r="BN733" s="824">
        <v>2010</v>
      </c>
    </row>
    <row r="734" spans="1:66" ht="15" customHeight="1" x14ac:dyDescent="0.35">
      <c r="A734" s="64">
        <f t="shared" si="25"/>
        <v>1900</v>
      </c>
      <c r="B734" s="168" t="str">
        <f t="shared" si="24"/>
        <v>1899-00</v>
      </c>
      <c r="C734" s="64"/>
      <c r="BA734" s="1310" t="s">
        <v>345</v>
      </c>
      <c r="BB734" s="1225">
        <v>2015</v>
      </c>
      <c r="BC734" s="824" t="s">
        <v>346</v>
      </c>
      <c r="BD734" s="824">
        <v>4</v>
      </c>
      <c r="BE734" s="1226">
        <v>369239008</v>
      </c>
      <c r="BF734" s="1227">
        <v>0.13100000000000001</v>
      </c>
      <c r="BH734" s="1311" t="s">
        <v>71</v>
      </c>
      <c r="BI734" s="824" t="s">
        <v>301</v>
      </c>
      <c r="BJ734" s="824" t="s">
        <v>323</v>
      </c>
      <c r="BK734" s="824">
        <v>4</v>
      </c>
      <c r="BL734" s="1226">
        <v>1594005741.51</v>
      </c>
      <c r="BM734" s="1227">
        <v>8.5640883874284188E-2</v>
      </c>
      <c r="BN734" s="824">
        <v>2010</v>
      </c>
    </row>
    <row r="735" spans="1:66" ht="15" customHeight="1" x14ac:dyDescent="0.35">
      <c r="A735" s="64">
        <f t="shared" si="25"/>
        <v>1900</v>
      </c>
      <c r="B735" s="168" t="str">
        <f t="shared" si="24"/>
        <v>1899-00</v>
      </c>
      <c r="C735" s="64"/>
      <c r="BA735" s="1310" t="s">
        <v>345</v>
      </c>
      <c r="BB735" s="1225">
        <v>2015</v>
      </c>
      <c r="BC735" s="824" t="s">
        <v>335</v>
      </c>
      <c r="BD735" s="824">
        <v>5</v>
      </c>
      <c r="BE735" s="1226">
        <v>253135438</v>
      </c>
      <c r="BF735" s="1227">
        <v>0.09</v>
      </c>
      <c r="BH735" s="1311" t="s">
        <v>71</v>
      </c>
      <c r="BI735" s="824" t="s">
        <v>301</v>
      </c>
      <c r="BJ735" s="824" t="s">
        <v>306</v>
      </c>
      <c r="BK735" s="824">
        <v>5</v>
      </c>
      <c r="BL735" s="1226">
        <v>1164623296.97</v>
      </c>
      <c r="BM735" s="1227">
        <v>6.2571524013841223E-2</v>
      </c>
      <c r="BN735" s="824">
        <v>2010</v>
      </c>
    </row>
    <row r="736" spans="1:66" ht="15" customHeight="1" x14ac:dyDescent="0.35">
      <c r="A736" s="64">
        <f t="shared" si="25"/>
        <v>1900</v>
      </c>
      <c r="B736" s="168" t="str">
        <f t="shared" si="24"/>
        <v>1899-00</v>
      </c>
      <c r="C736" s="64"/>
      <c r="BA736" s="1310" t="s">
        <v>345</v>
      </c>
      <c r="BB736" s="1225">
        <v>2015</v>
      </c>
      <c r="BC736" s="824" t="s">
        <v>287</v>
      </c>
      <c r="BD736" s="824">
        <v>6</v>
      </c>
      <c r="BE736" s="1226">
        <v>156089315</v>
      </c>
      <c r="BF736" s="1227">
        <v>5.5E-2</v>
      </c>
      <c r="BH736" s="1311" t="s">
        <v>71</v>
      </c>
      <c r="BI736" s="824" t="s">
        <v>301</v>
      </c>
      <c r="BJ736" s="824" t="s">
        <v>287</v>
      </c>
      <c r="BK736" s="824">
        <v>6</v>
      </c>
      <c r="BL736" s="1226">
        <v>901731950.97000003</v>
      </c>
      <c r="BM736" s="1227">
        <v>4.8447203976566745E-2</v>
      </c>
      <c r="BN736" s="824">
        <v>2010</v>
      </c>
    </row>
    <row r="737" spans="1:66" ht="15" customHeight="1" x14ac:dyDescent="0.35">
      <c r="A737" s="64">
        <f t="shared" si="25"/>
        <v>1900</v>
      </c>
      <c r="B737" s="168" t="str">
        <f t="shared" si="24"/>
        <v>1899-00</v>
      </c>
      <c r="C737" s="64"/>
      <c r="BA737" s="1310" t="s">
        <v>345</v>
      </c>
      <c r="BB737" s="1225">
        <v>2015</v>
      </c>
      <c r="BC737" s="824" t="s">
        <v>315</v>
      </c>
      <c r="BD737" s="824">
        <v>7</v>
      </c>
      <c r="BE737" s="1226">
        <v>57402316</v>
      </c>
      <c r="BF737" s="1227">
        <v>0.02</v>
      </c>
      <c r="BH737" s="1311" t="s">
        <v>71</v>
      </c>
      <c r="BI737" s="824" t="s">
        <v>301</v>
      </c>
      <c r="BJ737" s="824" t="s">
        <v>285</v>
      </c>
      <c r="BK737" s="824">
        <v>7</v>
      </c>
      <c r="BL737" s="1226">
        <v>532895170.69</v>
      </c>
      <c r="BM737" s="1227">
        <v>2.8630771045402056E-2</v>
      </c>
      <c r="BN737" s="824">
        <v>2010</v>
      </c>
    </row>
    <row r="738" spans="1:66" ht="15" customHeight="1" x14ac:dyDescent="0.35">
      <c r="A738" s="64">
        <f t="shared" si="25"/>
        <v>1900</v>
      </c>
      <c r="B738" s="168" t="str">
        <f t="shared" si="24"/>
        <v>1899-00</v>
      </c>
      <c r="C738" s="64"/>
      <c r="BA738" s="1310" t="s">
        <v>345</v>
      </c>
      <c r="BB738" s="1225">
        <v>2015</v>
      </c>
      <c r="BC738" s="824" t="s">
        <v>319</v>
      </c>
      <c r="BD738" s="824">
        <v>8</v>
      </c>
      <c r="BE738" s="1226">
        <v>55730468</v>
      </c>
      <c r="BF738" s="1227">
        <v>0.02</v>
      </c>
      <c r="BH738" s="1311" t="s">
        <v>71</v>
      </c>
      <c r="BI738" s="824" t="s">
        <v>301</v>
      </c>
      <c r="BJ738" s="824" t="s">
        <v>315</v>
      </c>
      <c r="BK738" s="824">
        <v>8</v>
      </c>
      <c r="BL738" s="1226">
        <v>479497291.08999997</v>
      </c>
      <c r="BM738" s="1227">
        <v>2.5761871965010681E-2</v>
      </c>
      <c r="BN738" s="824">
        <v>2010</v>
      </c>
    </row>
    <row r="739" spans="1:66" ht="15" customHeight="1" x14ac:dyDescent="0.35">
      <c r="A739" s="64">
        <f t="shared" si="25"/>
        <v>1900</v>
      </c>
      <c r="B739" s="168" t="str">
        <f t="shared" si="24"/>
        <v>1899-00</v>
      </c>
      <c r="C739" s="64"/>
      <c r="BA739" s="1310" t="s">
        <v>345</v>
      </c>
      <c r="BB739" s="1225">
        <v>2015</v>
      </c>
      <c r="BC739" s="824" t="s">
        <v>323</v>
      </c>
      <c r="BD739" s="824">
        <v>9</v>
      </c>
      <c r="BE739" s="1226">
        <v>17560885</v>
      </c>
      <c r="BF739" s="1227">
        <v>6.0000000000000001E-3</v>
      </c>
      <c r="BH739" s="1311" t="s">
        <v>71</v>
      </c>
      <c r="BI739" s="824" t="s">
        <v>301</v>
      </c>
      <c r="BJ739" s="824" t="s">
        <v>342</v>
      </c>
      <c r="BK739" s="824">
        <v>9</v>
      </c>
      <c r="BL739" s="1226">
        <v>372208692.46000004</v>
      </c>
      <c r="BM739" s="1227">
        <v>1.9997595101363719E-2</v>
      </c>
      <c r="BN739" s="824">
        <v>2010</v>
      </c>
    </row>
    <row r="740" spans="1:66" ht="15" customHeight="1" x14ac:dyDescent="0.35">
      <c r="A740" s="64">
        <f t="shared" si="25"/>
        <v>1900</v>
      </c>
      <c r="B740" s="168" t="str">
        <f t="shared" si="24"/>
        <v>1899-00</v>
      </c>
      <c r="C740" s="64"/>
      <c r="BA740" s="1310" t="s">
        <v>345</v>
      </c>
      <c r="BB740" s="1225">
        <v>2015</v>
      </c>
      <c r="BC740" s="824" t="s">
        <v>283</v>
      </c>
      <c r="BD740" s="824">
        <v>10</v>
      </c>
      <c r="BE740" s="1226">
        <v>2957293</v>
      </c>
      <c r="BF740" s="1227">
        <v>1E-3</v>
      </c>
      <c r="BH740" s="1311" t="s">
        <v>71</v>
      </c>
      <c r="BI740" s="824" t="s">
        <v>301</v>
      </c>
      <c r="BJ740" s="824" t="s">
        <v>289</v>
      </c>
      <c r="BK740" s="824">
        <v>10</v>
      </c>
      <c r="BL740" s="1226">
        <v>178928500.53000003</v>
      </c>
      <c r="BM740" s="1227">
        <v>9.6132620709217173E-3</v>
      </c>
      <c r="BN740" s="824">
        <v>2010</v>
      </c>
    </row>
    <row r="741" spans="1:66" ht="15" customHeight="1" x14ac:dyDescent="0.35">
      <c r="A741" s="64">
        <f t="shared" si="25"/>
        <v>1900</v>
      </c>
      <c r="B741" s="168" t="str">
        <f t="shared" si="24"/>
        <v>1899-00</v>
      </c>
      <c r="C741" s="64"/>
      <c r="BA741" s="1310" t="s">
        <v>345</v>
      </c>
      <c r="BB741" s="1225">
        <v>2015</v>
      </c>
      <c r="BC741" s="824" t="s">
        <v>291</v>
      </c>
      <c r="BE741" s="1226">
        <v>3718762</v>
      </c>
      <c r="BF741" s="1227">
        <v>1E-3</v>
      </c>
      <c r="BH741" s="1311" t="s">
        <v>71</v>
      </c>
      <c r="BI741" s="824" t="s">
        <v>301</v>
      </c>
      <c r="BJ741" s="824" t="s">
        <v>291</v>
      </c>
      <c r="BL741" s="1226">
        <v>255095541.15000153</v>
      </c>
      <c r="BM741" s="1227">
        <v>1.3705476114395734E-2</v>
      </c>
      <c r="BN741" s="824">
        <v>2010</v>
      </c>
    </row>
    <row r="742" spans="1:66" ht="15" customHeight="1" x14ac:dyDescent="0.35">
      <c r="A742" s="64">
        <f t="shared" si="25"/>
        <v>1900</v>
      </c>
      <c r="B742" s="168" t="str">
        <f t="shared" si="24"/>
        <v>1899-00</v>
      </c>
      <c r="C742" s="64"/>
      <c r="BA742" s="1310" t="s">
        <v>345</v>
      </c>
      <c r="BB742" s="1225">
        <v>2015</v>
      </c>
      <c r="BC742" s="824" t="s">
        <v>292</v>
      </c>
      <c r="BE742" s="1226">
        <v>2824907750</v>
      </c>
      <c r="BH742" s="1311" t="s">
        <v>71</v>
      </c>
      <c r="BI742" s="824" t="s">
        <v>301</v>
      </c>
      <c r="BJ742" s="824" t="s">
        <v>292</v>
      </c>
      <c r="BL742" s="1226">
        <v>18612672702.559998</v>
      </c>
      <c r="BM742" s="1227">
        <v>1</v>
      </c>
      <c r="BN742" s="824">
        <v>2010</v>
      </c>
    </row>
    <row r="743" spans="1:66" ht="15" customHeight="1" x14ac:dyDescent="0.35">
      <c r="A743" s="64">
        <f t="shared" si="25"/>
        <v>1900</v>
      </c>
      <c r="B743" s="168" t="str">
        <f t="shared" si="24"/>
        <v>1899-00</v>
      </c>
      <c r="C743" s="64"/>
      <c r="BA743" s="1310" t="s">
        <v>345</v>
      </c>
      <c r="BB743" s="1225">
        <v>2014</v>
      </c>
      <c r="BC743" s="824" t="s">
        <v>281</v>
      </c>
      <c r="BD743" s="824">
        <v>1</v>
      </c>
      <c r="BE743" s="1226">
        <v>973599788</v>
      </c>
      <c r="BF743" s="1227">
        <v>0.35399999999999998</v>
      </c>
      <c r="BH743" s="1311" t="s">
        <v>71</v>
      </c>
      <c r="BI743" s="824" t="s">
        <v>302</v>
      </c>
      <c r="BJ743" s="824" t="s">
        <v>308</v>
      </c>
      <c r="BK743" s="824">
        <v>1</v>
      </c>
      <c r="BL743" s="1226">
        <v>5979438355.0500021</v>
      </c>
      <c r="BM743" s="1227">
        <v>0.46064543998597707</v>
      </c>
      <c r="BN743" s="824">
        <v>2009</v>
      </c>
    </row>
    <row r="744" spans="1:66" ht="15" customHeight="1" x14ac:dyDescent="0.35">
      <c r="A744" s="64">
        <f t="shared" si="25"/>
        <v>1900</v>
      </c>
      <c r="B744" s="168" t="str">
        <f t="shared" si="24"/>
        <v>1899-00</v>
      </c>
      <c r="C744" s="64"/>
      <c r="BA744" s="1310" t="s">
        <v>345</v>
      </c>
      <c r="BB744" s="1225">
        <v>2014</v>
      </c>
      <c r="BC744" s="824" t="s">
        <v>320</v>
      </c>
      <c r="BD744" s="824">
        <v>2</v>
      </c>
      <c r="BE744" s="1226">
        <v>504391398</v>
      </c>
      <c r="BF744" s="1227">
        <v>0.183</v>
      </c>
      <c r="BH744" s="1311" t="s">
        <v>71</v>
      </c>
      <c r="BI744" s="824" t="s">
        <v>302</v>
      </c>
      <c r="BJ744" s="824" t="s">
        <v>320</v>
      </c>
      <c r="BK744" s="824">
        <v>2</v>
      </c>
      <c r="BL744" s="1226">
        <v>1652449589.97</v>
      </c>
      <c r="BM744" s="1227">
        <v>0.12730181719885172</v>
      </c>
      <c r="BN744" s="824">
        <v>2009</v>
      </c>
    </row>
    <row r="745" spans="1:66" ht="15" customHeight="1" x14ac:dyDescent="0.35">
      <c r="A745" s="64">
        <f t="shared" si="25"/>
        <v>1900</v>
      </c>
      <c r="B745" s="168" t="str">
        <f t="shared" si="24"/>
        <v>1899-00</v>
      </c>
      <c r="C745" s="64"/>
      <c r="BA745" s="1310" t="s">
        <v>345</v>
      </c>
      <c r="BB745" s="1225">
        <v>2014</v>
      </c>
      <c r="BC745" s="824" t="s">
        <v>346</v>
      </c>
      <c r="BD745" s="824">
        <v>3</v>
      </c>
      <c r="BE745" s="1226">
        <v>392778223</v>
      </c>
      <c r="BF745" s="1227">
        <v>0.14299999999999999</v>
      </c>
      <c r="BH745" s="1311" t="s">
        <v>71</v>
      </c>
      <c r="BI745" s="824" t="s">
        <v>302</v>
      </c>
      <c r="BJ745" s="824" t="s">
        <v>281</v>
      </c>
      <c r="BK745" s="824">
        <v>3</v>
      </c>
      <c r="BL745" s="1226">
        <v>1397985090.3800001</v>
      </c>
      <c r="BM745" s="1227">
        <v>0.107698318606806</v>
      </c>
      <c r="BN745" s="824">
        <v>2009</v>
      </c>
    </row>
    <row r="746" spans="1:66" ht="15" customHeight="1" x14ac:dyDescent="0.35">
      <c r="A746" s="64">
        <f t="shared" si="25"/>
        <v>1900</v>
      </c>
      <c r="B746" s="168" t="str">
        <f t="shared" si="24"/>
        <v>1899-00</v>
      </c>
      <c r="C746" s="64"/>
      <c r="BA746" s="1310" t="s">
        <v>345</v>
      </c>
      <c r="BB746" s="1225">
        <v>2014</v>
      </c>
      <c r="BC746" s="824" t="s">
        <v>308</v>
      </c>
      <c r="BD746" s="824">
        <v>4</v>
      </c>
      <c r="BE746" s="1226">
        <v>364022458</v>
      </c>
      <c r="BF746" s="1227">
        <v>0.13200000000000001</v>
      </c>
      <c r="BH746" s="1311" t="s">
        <v>71</v>
      </c>
      <c r="BI746" s="824" t="s">
        <v>302</v>
      </c>
      <c r="BJ746" s="824" t="s">
        <v>306</v>
      </c>
      <c r="BK746" s="824">
        <v>4</v>
      </c>
      <c r="BL746" s="1226">
        <v>1341637524.1100001</v>
      </c>
      <c r="BM746" s="1227">
        <v>0.10335740096281666</v>
      </c>
      <c r="BN746" s="824">
        <v>2009</v>
      </c>
    </row>
    <row r="747" spans="1:66" ht="15" customHeight="1" x14ac:dyDescent="0.35">
      <c r="A747" s="64">
        <f t="shared" si="25"/>
        <v>1900</v>
      </c>
      <c r="B747" s="168" t="str">
        <f t="shared" si="24"/>
        <v>1899-00</v>
      </c>
      <c r="C747" s="64"/>
      <c r="BA747" s="1310" t="s">
        <v>345</v>
      </c>
      <c r="BB747" s="1225">
        <v>2014</v>
      </c>
      <c r="BC747" s="824" t="s">
        <v>335</v>
      </c>
      <c r="BD747" s="824">
        <v>5</v>
      </c>
      <c r="BE747" s="1226">
        <v>190807971</v>
      </c>
      <c r="BF747" s="1227">
        <v>6.9000000000000006E-2</v>
      </c>
      <c r="BH747" s="1311" t="s">
        <v>71</v>
      </c>
      <c r="BI747" s="824" t="s">
        <v>302</v>
      </c>
      <c r="BJ747" s="824" t="s">
        <v>323</v>
      </c>
      <c r="BK747" s="824">
        <v>5</v>
      </c>
      <c r="BL747" s="1226">
        <v>936982008.54999995</v>
      </c>
      <c r="BM747" s="1227">
        <v>7.2183450009637232E-2</v>
      </c>
      <c r="BN747" s="824">
        <v>2009</v>
      </c>
    </row>
    <row r="748" spans="1:66" ht="15" customHeight="1" x14ac:dyDescent="0.35">
      <c r="A748" s="64">
        <f t="shared" si="25"/>
        <v>1900</v>
      </c>
      <c r="B748" s="168" t="str">
        <f t="shared" si="24"/>
        <v>1899-00</v>
      </c>
      <c r="C748" s="64"/>
      <c r="BA748" s="1310" t="s">
        <v>345</v>
      </c>
      <c r="BB748" s="1225">
        <v>2014</v>
      </c>
      <c r="BC748" s="824" t="s">
        <v>287</v>
      </c>
      <c r="BD748" s="824">
        <v>6</v>
      </c>
      <c r="BE748" s="1226">
        <v>187620288</v>
      </c>
      <c r="BF748" s="1227">
        <v>6.8000000000000005E-2</v>
      </c>
      <c r="BH748" s="1311" t="s">
        <v>71</v>
      </c>
      <c r="BI748" s="824" t="s">
        <v>302</v>
      </c>
      <c r="BJ748" s="824" t="s">
        <v>287</v>
      </c>
      <c r="BK748" s="824">
        <v>6</v>
      </c>
      <c r="BL748" s="1226">
        <v>435511897.07000005</v>
      </c>
      <c r="BM748" s="1227">
        <v>3.3551072447382077E-2</v>
      </c>
      <c r="BN748" s="824">
        <v>2009</v>
      </c>
    </row>
    <row r="749" spans="1:66" ht="15" customHeight="1" x14ac:dyDescent="0.35">
      <c r="A749" s="64">
        <f t="shared" si="25"/>
        <v>1900</v>
      </c>
      <c r="B749" s="168" t="str">
        <f t="shared" si="24"/>
        <v>1899-00</v>
      </c>
      <c r="C749" s="64"/>
      <c r="BA749" s="1310" t="s">
        <v>345</v>
      </c>
      <c r="BB749" s="1225">
        <v>2014</v>
      </c>
      <c r="BC749" s="824" t="s">
        <v>347</v>
      </c>
      <c r="BD749" s="824">
        <v>7</v>
      </c>
      <c r="BE749" s="1226">
        <v>50575557</v>
      </c>
      <c r="BF749" s="1227">
        <v>1.7999999999999999E-2</v>
      </c>
      <c r="BH749" s="1311" t="s">
        <v>71</v>
      </c>
      <c r="BI749" s="824" t="s">
        <v>302</v>
      </c>
      <c r="BJ749" s="824" t="s">
        <v>342</v>
      </c>
      <c r="BK749" s="824">
        <v>7</v>
      </c>
      <c r="BL749" s="1226">
        <v>320329681.07999998</v>
      </c>
      <c r="BM749" s="1227">
        <v>2.46776366139877E-2</v>
      </c>
      <c r="BN749" s="824">
        <v>2009</v>
      </c>
    </row>
    <row r="750" spans="1:66" ht="15" customHeight="1" x14ac:dyDescent="0.35">
      <c r="A750" s="64">
        <f t="shared" si="25"/>
        <v>1900</v>
      </c>
      <c r="B750" s="168" t="str">
        <f t="shared" si="24"/>
        <v>1899-00</v>
      </c>
      <c r="C750" s="64"/>
      <c r="BA750" s="1310" t="s">
        <v>345</v>
      </c>
      <c r="BB750" s="1225">
        <v>2014</v>
      </c>
      <c r="BC750" s="824" t="s">
        <v>315</v>
      </c>
      <c r="BD750" s="824">
        <v>8</v>
      </c>
      <c r="BE750" s="1226">
        <v>32206698</v>
      </c>
      <c r="BF750" s="1227">
        <v>1.2E-2</v>
      </c>
      <c r="BH750" s="1311" t="s">
        <v>71</v>
      </c>
      <c r="BI750" s="824" t="s">
        <v>302</v>
      </c>
      <c r="BJ750" s="824" t="s">
        <v>315</v>
      </c>
      <c r="BK750" s="824">
        <v>8</v>
      </c>
      <c r="BL750" s="1226">
        <v>290649015.20999998</v>
      </c>
      <c r="BM750" s="1227">
        <v>2.2391090189904931E-2</v>
      </c>
      <c r="BN750" s="824">
        <v>2009</v>
      </c>
    </row>
    <row r="751" spans="1:66" ht="15" customHeight="1" x14ac:dyDescent="0.35">
      <c r="A751" s="64">
        <f t="shared" si="25"/>
        <v>1900</v>
      </c>
      <c r="B751" s="168" t="str">
        <f t="shared" si="24"/>
        <v>1899-00</v>
      </c>
      <c r="C751" s="64"/>
      <c r="BA751" s="1310" t="s">
        <v>345</v>
      </c>
      <c r="BB751" s="1225">
        <v>2014</v>
      </c>
      <c r="BC751" s="824" t="s">
        <v>319</v>
      </c>
      <c r="BD751" s="824">
        <v>9</v>
      </c>
      <c r="BE751" s="1226">
        <v>23029553</v>
      </c>
      <c r="BF751" s="1227">
        <v>8.0000000000000002E-3</v>
      </c>
      <c r="BH751" s="1311" t="s">
        <v>71</v>
      </c>
      <c r="BI751" s="824" t="s">
        <v>302</v>
      </c>
      <c r="BJ751" s="824" t="s">
        <v>286</v>
      </c>
      <c r="BK751" s="824">
        <v>9</v>
      </c>
      <c r="BL751" s="1226">
        <v>229174475.24000001</v>
      </c>
      <c r="BM751" s="1227">
        <v>1.7655199487310782E-2</v>
      </c>
      <c r="BN751" s="824">
        <v>2009</v>
      </c>
    </row>
    <row r="752" spans="1:66" ht="15" customHeight="1" x14ac:dyDescent="0.35">
      <c r="A752" s="64">
        <f t="shared" si="25"/>
        <v>1900</v>
      </c>
      <c r="B752" s="168" t="str">
        <f t="shared" si="24"/>
        <v>1899-00</v>
      </c>
      <c r="C752" s="64"/>
      <c r="BA752" s="1310" t="s">
        <v>345</v>
      </c>
      <c r="BB752" s="1225">
        <v>2014</v>
      </c>
      <c r="BC752" s="824" t="s">
        <v>289</v>
      </c>
      <c r="BD752" s="824">
        <v>10</v>
      </c>
      <c r="BE752" s="1226">
        <v>15865259</v>
      </c>
      <c r="BF752" s="1227">
        <v>6.0000000000000001E-3</v>
      </c>
      <c r="BH752" s="1311" t="s">
        <v>71</v>
      </c>
      <c r="BI752" s="824" t="s">
        <v>302</v>
      </c>
      <c r="BJ752" s="824" t="s">
        <v>285</v>
      </c>
      <c r="BK752" s="824">
        <v>10</v>
      </c>
      <c r="BL752" s="1226">
        <v>202973606.83000001</v>
      </c>
      <c r="BM752" s="1227">
        <v>1.5636730554263605E-2</v>
      </c>
      <c r="BN752" s="824">
        <v>2009</v>
      </c>
    </row>
    <row r="753" spans="1:66" ht="15" customHeight="1" x14ac:dyDescent="0.35">
      <c r="A753" s="64">
        <f t="shared" si="25"/>
        <v>1900</v>
      </c>
      <c r="B753" s="168" t="str">
        <f t="shared" si="24"/>
        <v>1899-00</v>
      </c>
      <c r="C753" s="64"/>
      <c r="BA753" s="1310" t="s">
        <v>345</v>
      </c>
      <c r="BB753" s="1225">
        <v>2014</v>
      </c>
      <c r="BC753" s="824" t="s">
        <v>291</v>
      </c>
      <c r="BE753" s="1226">
        <v>14407936</v>
      </c>
      <c r="BF753" s="1227">
        <v>5.0000000000000001E-3</v>
      </c>
      <c r="BH753" s="1311" t="s">
        <v>71</v>
      </c>
      <c r="BI753" s="824" t="s">
        <v>302</v>
      </c>
      <c r="BJ753" s="824" t="s">
        <v>291</v>
      </c>
      <c r="BL753" s="1226">
        <v>193434362.96000099</v>
      </c>
      <c r="BM753" s="1227">
        <v>1.4901843943062395E-2</v>
      </c>
      <c r="BN753" s="824">
        <v>2009</v>
      </c>
    </row>
    <row r="754" spans="1:66" ht="15" customHeight="1" x14ac:dyDescent="0.35">
      <c r="A754" s="64">
        <f t="shared" si="25"/>
        <v>1900</v>
      </c>
      <c r="B754" s="168" t="str">
        <f t="shared" si="24"/>
        <v>1899-00</v>
      </c>
      <c r="C754" s="64"/>
      <c r="BA754" s="1310" t="s">
        <v>345</v>
      </c>
      <c r="BB754" s="1225">
        <v>2014</v>
      </c>
      <c r="BC754" s="824" t="s">
        <v>292</v>
      </c>
      <c r="BE754" s="1226">
        <v>2749305131</v>
      </c>
      <c r="BH754" s="1311" t="s">
        <v>71</v>
      </c>
      <c r="BI754" s="824" t="s">
        <v>302</v>
      </c>
      <c r="BJ754" s="824" t="s">
        <v>292</v>
      </c>
      <c r="BL754" s="1226">
        <v>12980565606.450001</v>
      </c>
      <c r="BM754" s="1227">
        <v>1</v>
      </c>
      <c r="BN754" s="824">
        <v>2009</v>
      </c>
    </row>
    <row r="755" spans="1:66" ht="15" customHeight="1" x14ac:dyDescent="0.35">
      <c r="A755" s="64">
        <f t="shared" si="25"/>
        <v>1900</v>
      </c>
      <c r="B755" s="168" t="str">
        <f t="shared" si="24"/>
        <v>1899-00</v>
      </c>
      <c r="C755" s="64"/>
      <c r="BA755" s="1310" t="s">
        <v>345</v>
      </c>
      <c r="BB755" s="1225">
        <v>2013</v>
      </c>
      <c r="BC755" s="824" t="s">
        <v>281</v>
      </c>
      <c r="BD755" s="824">
        <v>1</v>
      </c>
      <c r="BE755" s="1226">
        <v>893758146</v>
      </c>
      <c r="BF755" s="1227">
        <v>0.33301379192245451</v>
      </c>
      <c r="BH755" s="1311" t="s">
        <v>71</v>
      </c>
      <c r="BI755" s="824" t="s">
        <v>303</v>
      </c>
      <c r="BJ755" s="824" t="s">
        <v>308</v>
      </c>
      <c r="BK755" s="824">
        <v>1</v>
      </c>
      <c r="BL755" s="1226">
        <v>7537525484.4000053</v>
      </c>
      <c r="BM755" s="1227">
        <v>0.61116818224090752</v>
      </c>
      <c r="BN755" s="824">
        <v>2008</v>
      </c>
    </row>
    <row r="756" spans="1:66" ht="15" customHeight="1" x14ac:dyDescent="0.35">
      <c r="A756" s="64">
        <f t="shared" si="25"/>
        <v>1900</v>
      </c>
      <c r="B756" s="168" t="str">
        <f t="shared" si="24"/>
        <v>1899-00</v>
      </c>
      <c r="C756" s="64"/>
      <c r="BA756" s="1310" t="s">
        <v>345</v>
      </c>
      <c r="BB756" s="1225">
        <v>2013</v>
      </c>
      <c r="BC756" s="824" t="s">
        <v>320</v>
      </c>
      <c r="BD756" s="824">
        <v>2</v>
      </c>
      <c r="BE756" s="1226">
        <v>499164434</v>
      </c>
      <c r="BF756" s="1227">
        <v>0.18598839261283306</v>
      </c>
      <c r="BH756" s="1311" t="s">
        <v>71</v>
      </c>
      <c r="BI756" s="824" t="s">
        <v>303</v>
      </c>
      <c r="BJ756" s="824" t="s">
        <v>320</v>
      </c>
      <c r="BK756" s="824">
        <v>2</v>
      </c>
      <c r="BL756" s="1226">
        <v>1476797969.1000001</v>
      </c>
      <c r="BM756" s="1227">
        <v>0.11974379817088694</v>
      </c>
      <c r="BN756" s="824">
        <v>2008</v>
      </c>
    </row>
    <row r="757" spans="1:66" ht="15" customHeight="1" x14ac:dyDescent="0.35">
      <c r="A757" s="64">
        <f t="shared" si="25"/>
        <v>1900</v>
      </c>
      <c r="B757" s="168" t="str">
        <f t="shared" si="24"/>
        <v>1899-00</v>
      </c>
      <c r="C757" s="64"/>
      <c r="BA757" s="1310" t="s">
        <v>345</v>
      </c>
      <c r="BB757" s="1225">
        <v>2013</v>
      </c>
      <c r="BC757" s="824" t="s">
        <v>308</v>
      </c>
      <c r="BD757" s="824">
        <v>3</v>
      </c>
      <c r="BE757" s="1226">
        <v>333612601</v>
      </c>
      <c r="BF757" s="1227">
        <v>0.12430387100731705</v>
      </c>
      <c r="BH757" s="1311" t="s">
        <v>71</v>
      </c>
      <c r="BI757" s="824" t="s">
        <v>303</v>
      </c>
      <c r="BJ757" s="824" t="s">
        <v>281</v>
      </c>
      <c r="BK757" s="824">
        <v>3</v>
      </c>
      <c r="BL757" s="1226">
        <v>896703869.18999982</v>
      </c>
      <c r="BM757" s="1227">
        <v>7.2707797124597712E-2</v>
      </c>
      <c r="BN757" s="824">
        <v>2008</v>
      </c>
    </row>
    <row r="758" spans="1:66" ht="15" customHeight="1" x14ac:dyDescent="0.35">
      <c r="A758" s="64">
        <f t="shared" si="25"/>
        <v>1900</v>
      </c>
      <c r="B758" s="168" t="str">
        <f t="shared" ref="B758:B821" si="26">IF(MONTH(C758) &gt;= 7, A758 &amp; "-" &amp; RIGHT(A758+1, 2), A758-1 &amp; "-" &amp; RIGHT(A758, 2))</f>
        <v>1899-00</v>
      </c>
      <c r="C758" s="64"/>
      <c r="BA758" s="1310" t="s">
        <v>345</v>
      </c>
      <c r="BB758" s="1225">
        <v>2013</v>
      </c>
      <c r="BC758" s="824" t="s">
        <v>346</v>
      </c>
      <c r="BD758" s="824">
        <v>4</v>
      </c>
      <c r="BE758" s="1226">
        <v>294208904</v>
      </c>
      <c r="BF758" s="1227">
        <v>0.10962207525254757</v>
      </c>
      <c r="BH758" s="1311" t="s">
        <v>71</v>
      </c>
      <c r="BI758" s="824" t="s">
        <v>303</v>
      </c>
      <c r="BJ758" s="824" t="s">
        <v>306</v>
      </c>
      <c r="BK758" s="824">
        <v>4</v>
      </c>
      <c r="BL758" s="1226">
        <v>852033317.38999987</v>
      </c>
      <c r="BM758" s="1227">
        <v>6.9085756973647897E-2</v>
      </c>
      <c r="BN758" s="824">
        <v>2008</v>
      </c>
    </row>
    <row r="759" spans="1:66" ht="15" customHeight="1" x14ac:dyDescent="0.35">
      <c r="A759" s="64">
        <f t="shared" si="25"/>
        <v>1900</v>
      </c>
      <c r="B759" s="168" t="str">
        <f t="shared" si="26"/>
        <v>1899-00</v>
      </c>
      <c r="C759" s="64"/>
      <c r="BA759" s="1310" t="s">
        <v>345</v>
      </c>
      <c r="BB759" s="1225">
        <v>2013</v>
      </c>
      <c r="BC759" s="824" t="s">
        <v>287</v>
      </c>
      <c r="BD759" s="824">
        <v>5</v>
      </c>
      <c r="BE759" s="1226">
        <v>289065688</v>
      </c>
      <c r="BF759" s="1227">
        <v>0.10770571580955766</v>
      </c>
      <c r="BH759" s="1311" t="s">
        <v>71</v>
      </c>
      <c r="BI759" s="824" t="s">
        <v>303</v>
      </c>
      <c r="BJ759" s="824" t="s">
        <v>323</v>
      </c>
      <c r="BK759" s="824">
        <v>5</v>
      </c>
      <c r="BL759" s="1226">
        <v>514536955.93999994</v>
      </c>
      <c r="BM759" s="1227">
        <v>4.1720405019984051E-2</v>
      </c>
      <c r="BN759" s="824">
        <v>2008</v>
      </c>
    </row>
    <row r="760" spans="1:66" ht="15" customHeight="1" x14ac:dyDescent="0.35">
      <c r="A760" s="64">
        <f t="shared" si="25"/>
        <v>1900</v>
      </c>
      <c r="B760" s="168" t="str">
        <f t="shared" si="26"/>
        <v>1899-00</v>
      </c>
      <c r="C760" s="64"/>
      <c r="BA760" s="1310" t="s">
        <v>345</v>
      </c>
      <c r="BB760" s="1225">
        <v>2013</v>
      </c>
      <c r="BC760" s="824" t="s">
        <v>335</v>
      </c>
      <c r="BD760" s="824">
        <v>6</v>
      </c>
      <c r="BE760" s="1226">
        <v>198529645</v>
      </c>
      <c r="BF760" s="1227">
        <v>7.3972036155817877E-2</v>
      </c>
      <c r="BH760" s="1311" t="s">
        <v>71</v>
      </c>
      <c r="BI760" s="824" t="s">
        <v>303</v>
      </c>
      <c r="BJ760" s="824" t="s">
        <v>286</v>
      </c>
      <c r="BK760" s="824">
        <v>6</v>
      </c>
      <c r="BL760" s="1226">
        <v>221719373.13999999</v>
      </c>
      <c r="BM760" s="1227">
        <v>1.7977760278226621E-2</v>
      </c>
      <c r="BN760" s="824">
        <v>2008</v>
      </c>
    </row>
    <row r="761" spans="1:66" ht="15" customHeight="1" x14ac:dyDescent="0.35">
      <c r="A761" s="64">
        <f t="shared" si="25"/>
        <v>1900</v>
      </c>
      <c r="B761" s="168" t="str">
        <f t="shared" si="26"/>
        <v>1899-00</v>
      </c>
      <c r="C761" s="64"/>
      <c r="BA761" s="1310" t="s">
        <v>345</v>
      </c>
      <c r="BB761" s="1225">
        <v>2013</v>
      </c>
      <c r="BC761" s="824" t="s">
        <v>319</v>
      </c>
      <c r="BD761" s="824">
        <v>7</v>
      </c>
      <c r="BE761" s="1226">
        <v>42798820</v>
      </c>
      <c r="BF761" s="1227">
        <v>1.5946816710755422E-2</v>
      </c>
      <c r="BH761" s="1311" t="s">
        <v>71</v>
      </c>
      <c r="BI761" s="824" t="s">
        <v>303</v>
      </c>
      <c r="BJ761" s="824" t="s">
        <v>315</v>
      </c>
      <c r="BK761" s="824">
        <v>7</v>
      </c>
      <c r="BL761" s="1226">
        <v>217793123.30000001</v>
      </c>
      <c r="BM761" s="1227">
        <v>1.7659406598003219E-2</v>
      </c>
      <c r="BN761" s="824">
        <v>2008</v>
      </c>
    </row>
    <row r="762" spans="1:66" ht="15" customHeight="1" x14ac:dyDescent="0.35">
      <c r="A762" s="64">
        <f t="shared" si="25"/>
        <v>1900</v>
      </c>
      <c r="B762" s="168" t="str">
        <f t="shared" si="26"/>
        <v>1899-00</v>
      </c>
      <c r="C762" s="64"/>
      <c r="BA762" s="1310" t="s">
        <v>345</v>
      </c>
      <c r="BB762" s="1225">
        <v>2013</v>
      </c>
      <c r="BC762" s="824" t="s">
        <v>315</v>
      </c>
      <c r="BD762" s="824">
        <v>8</v>
      </c>
      <c r="BE762" s="1226">
        <v>40312589</v>
      </c>
      <c r="BF762" s="1227">
        <v>1.502044841233976E-2</v>
      </c>
      <c r="BH762" s="1311" t="s">
        <v>71</v>
      </c>
      <c r="BI762" s="824" t="s">
        <v>303</v>
      </c>
      <c r="BJ762" s="824" t="s">
        <v>287</v>
      </c>
      <c r="BK762" s="824">
        <v>8</v>
      </c>
      <c r="BL762" s="1226">
        <v>181852500.06999999</v>
      </c>
      <c r="BM762" s="1227">
        <v>1.474521872380687E-2</v>
      </c>
      <c r="BN762" s="824">
        <v>2008</v>
      </c>
    </row>
    <row r="763" spans="1:66" ht="15" customHeight="1" x14ac:dyDescent="0.35">
      <c r="A763" s="64">
        <f t="shared" si="25"/>
        <v>1900</v>
      </c>
      <c r="B763" s="168" t="str">
        <f t="shared" si="26"/>
        <v>1899-00</v>
      </c>
      <c r="C763" s="64"/>
      <c r="BA763" s="1310" t="s">
        <v>345</v>
      </c>
      <c r="BB763" s="1225">
        <v>2013</v>
      </c>
      <c r="BC763" s="824" t="s">
        <v>286</v>
      </c>
      <c r="BD763" s="824">
        <v>9</v>
      </c>
      <c r="BE763" s="1226">
        <v>38193450</v>
      </c>
      <c r="BF763" s="1227">
        <v>1.4230858390521087E-2</v>
      </c>
      <c r="BH763" s="1311" t="s">
        <v>71</v>
      </c>
      <c r="BI763" s="824" t="s">
        <v>303</v>
      </c>
      <c r="BJ763" s="824" t="s">
        <v>342</v>
      </c>
      <c r="BK763" s="824">
        <v>9</v>
      </c>
      <c r="BL763" s="1226">
        <v>177395280.74000001</v>
      </c>
      <c r="BM763" s="1227">
        <v>1.4383812232856615E-2</v>
      </c>
      <c r="BN763" s="824">
        <v>2008</v>
      </c>
    </row>
    <row r="764" spans="1:66" ht="15" customHeight="1" x14ac:dyDescent="0.35">
      <c r="A764" s="64">
        <f t="shared" si="25"/>
        <v>1900</v>
      </c>
      <c r="B764" s="168" t="str">
        <f t="shared" si="26"/>
        <v>1899-00</v>
      </c>
      <c r="C764" s="64"/>
      <c r="BA764" s="1310" t="s">
        <v>345</v>
      </c>
      <c r="BB764" s="1225">
        <v>2013</v>
      </c>
      <c r="BC764" s="824" t="s">
        <v>323</v>
      </c>
      <c r="BD764" s="824">
        <v>10</v>
      </c>
      <c r="BE764" s="1226">
        <v>18726083</v>
      </c>
      <c r="BF764" s="1227">
        <v>6.9773281906228496E-3</v>
      </c>
      <c r="BH764" s="1311" t="s">
        <v>71</v>
      </c>
      <c r="BI764" s="824" t="s">
        <v>303</v>
      </c>
      <c r="BJ764" s="824" t="s">
        <v>299</v>
      </c>
      <c r="BK764" s="824">
        <v>10</v>
      </c>
      <c r="BL764" s="1226">
        <v>73127857.849999994</v>
      </c>
      <c r="BM764" s="1227">
        <v>5.9294552364506691E-3</v>
      </c>
      <c r="BN764" s="824">
        <v>2008</v>
      </c>
    </row>
    <row r="765" spans="1:66" ht="15" customHeight="1" x14ac:dyDescent="0.35">
      <c r="A765" s="64">
        <f t="shared" si="25"/>
        <v>1900</v>
      </c>
      <c r="B765" s="168" t="str">
        <f t="shared" si="26"/>
        <v>1899-00</v>
      </c>
      <c r="C765" s="64"/>
      <c r="BA765" s="1310" t="s">
        <v>345</v>
      </c>
      <c r="BB765" s="1225">
        <v>2013</v>
      </c>
      <c r="BC765" s="824" t="s">
        <v>291</v>
      </c>
      <c r="BE765" s="1226">
        <v>35476878</v>
      </c>
      <c r="BF765" s="1227">
        <v>1.3218665162633722E-2</v>
      </c>
      <c r="BH765" s="1311" t="s">
        <v>71</v>
      </c>
      <c r="BI765" s="824" t="s">
        <v>303</v>
      </c>
      <c r="BJ765" s="824" t="s">
        <v>291</v>
      </c>
      <c r="BL765" s="1226">
        <v>183495113.46999931</v>
      </c>
      <c r="BM765" s="1227">
        <v>1.4878407400631895E-2</v>
      </c>
      <c r="BN765" s="824">
        <v>2008</v>
      </c>
    </row>
    <row r="766" spans="1:66" ht="15" customHeight="1" x14ac:dyDescent="0.35">
      <c r="A766" s="64">
        <f t="shared" si="25"/>
        <v>1900</v>
      </c>
      <c r="B766" s="168" t="str">
        <f t="shared" si="26"/>
        <v>1899-00</v>
      </c>
      <c r="C766" s="64"/>
      <c r="BA766" s="1310" t="s">
        <v>345</v>
      </c>
      <c r="BB766" s="1225">
        <v>2013</v>
      </c>
      <c r="BC766" s="824" t="s">
        <v>292</v>
      </c>
      <c r="BE766" s="1226">
        <v>2683847239</v>
      </c>
      <c r="BH766" s="1311" t="s">
        <v>71</v>
      </c>
      <c r="BI766" s="824" t="s">
        <v>303</v>
      </c>
      <c r="BJ766" s="824" t="s">
        <v>292</v>
      </c>
      <c r="BL766" s="1226">
        <v>12332980844.590004</v>
      </c>
      <c r="BM766" s="1227">
        <v>1</v>
      </c>
      <c r="BN766" s="824">
        <v>2008</v>
      </c>
    </row>
    <row r="767" spans="1:66" ht="15" customHeight="1" x14ac:dyDescent="0.35">
      <c r="A767" s="64">
        <f t="shared" si="25"/>
        <v>1900</v>
      </c>
      <c r="B767" s="168" t="str">
        <f t="shared" si="26"/>
        <v>1899-00</v>
      </c>
      <c r="C767" s="64"/>
      <c r="BA767" s="1310" t="s">
        <v>345</v>
      </c>
      <c r="BB767" s="1225">
        <v>2012</v>
      </c>
      <c r="BC767" s="824" t="s">
        <v>320</v>
      </c>
      <c r="BD767" s="824">
        <v>1</v>
      </c>
      <c r="BE767" s="1226">
        <v>628330244</v>
      </c>
      <c r="BF767" s="1227">
        <v>0.253</v>
      </c>
      <c r="BH767" s="1311" t="s">
        <v>71</v>
      </c>
      <c r="BI767" s="824" t="s">
        <v>307</v>
      </c>
      <c r="BJ767" s="824" t="s">
        <v>308</v>
      </c>
      <c r="BK767" s="824">
        <v>1</v>
      </c>
      <c r="BL767" s="1226">
        <v>5247427978.6699991</v>
      </c>
      <c r="BM767" s="1227">
        <v>0.49036192243478655</v>
      </c>
      <c r="BN767" s="824">
        <v>2007</v>
      </c>
    </row>
    <row r="768" spans="1:66" ht="15" customHeight="1" x14ac:dyDescent="0.35">
      <c r="A768" s="64">
        <f t="shared" si="25"/>
        <v>1900</v>
      </c>
      <c r="B768" s="168" t="str">
        <f t="shared" si="26"/>
        <v>1899-00</v>
      </c>
      <c r="C768" s="64"/>
      <c r="BA768" s="1310" t="s">
        <v>345</v>
      </c>
      <c r="BB768" s="1225">
        <v>2012</v>
      </c>
      <c r="BC768" s="824" t="s">
        <v>281</v>
      </c>
      <c r="BD768" s="824">
        <v>2</v>
      </c>
      <c r="BE768" s="1226">
        <v>606672670</v>
      </c>
      <c r="BF768" s="1227">
        <v>0.245</v>
      </c>
      <c r="BH768" s="1311" t="s">
        <v>71</v>
      </c>
      <c r="BI768" s="824" t="s">
        <v>307</v>
      </c>
      <c r="BJ768" s="824" t="s">
        <v>320</v>
      </c>
      <c r="BK768" s="824">
        <v>2</v>
      </c>
      <c r="BL768" s="1226">
        <v>1687747371.78</v>
      </c>
      <c r="BM768" s="1227">
        <v>0.15771670410235197</v>
      </c>
      <c r="BN768" s="824">
        <v>2007</v>
      </c>
    </row>
    <row r="769" spans="1:66" ht="15" customHeight="1" x14ac:dyDescent="0.35">
      <c r="A769" s="64">
        <f t="shared" si="25"/>
        <v>1900</v>
      </c>
      <c r="B769" s="168" t="str">
        <f t="shared" si="26"/>
        <v>1899-00</v>
      </c>
      <c r="C769" s="64"/>
      <c r="BA769" s="1310" t="s">
        <v>345</v>
      </c>
      <c r="BB769" s="1225">
        <v>2012</v>
      </c>
      <c r="BC769" s="824" t="s">
        <v>308</v>
      </c>
      <c r="BD769" s="824">
        <v>3</v>
      </c>
      <c r="BE769" s="1226">
        <v>473412647</v>
      </c>
      <c r="BF769" s="1227">
        <v>0.191</v>
      </c>
      <c r="BH769" s="1311" t="s">
        <v>71</v>
      </c>
      <c r="BI769" s="824" t="s">
        <v>307</v>
      </c>
      <c r="BJ769" s="824" t="s">
        <v>306</v>
      </c>
      <c r="BK769" s="824">
        <v>3</v>
      </c>
      <c r="BL769" s="1226">
        <v>1250954274.49</v>
      </c>
      <c r="BM769" s="1227">
        <v>0.11689924004872311</v>
      </c>
      <c r="BN769" s="824">
        <v>2007</v>
      </c>
    </row>
    <row r="770" spans="1:66" ht="15" customHeight="1" x14ac:dyDescent="0.35">
      <c r="A770" s="64">
        <f t="shared" si="25"/>
        <v>1900</v>
      </c>
      <c r="B770" s="168" t="str">
        <f t="shared" si="26"/>
        <v>1899-00</v>
      </c>
      <c r="C770" s="64"/>
      <c r="BA770" s="1310" t="s">
        <v>345</v>
      </c>
      <c r="BB770" s="1225">
        <v>2012</v>
      </c>
      <c r="BC770" s="824" t="s">
        <v>287</v>
      </c>
      <c r="BD770" s="824">
        <v>4</v>
      </c>
      <c r="BE770" s="1226">
        <v>336543866</v>
      </c>
      <c r="BF770" s="1227">
        <v>0.13600000000000001</v>
      </c>
      <c r="BH770" s="1311" t="s">
        <v>71</v>
      </c>
      <c r="BI770" s="824" t="s">
        <v>307</v>
      </c>
      <c r="BJ770" s="824" t="s">
        <v>281</v>
      </c>
      <c r="BK770" s="824">
        <v>4</v>
      </c>
      <c r="BL770" s="1226">
        <v>769675146.28999996</v>
      </c>
      <c r="BM770" s="1227">
        <v>7.1924643066887756E-2</v>
      </c>
      <c r="BN770" s="824">
        <v>2007</v>
      </c>
    </row>
    <row r="771" spans="1:66" ht="15" customHeight="1" x14ac:dyDescent="0.35">
      <c r="A771" s="64">
        <f t="shared" si="25"/>
        <v>1900</v>
      </c>
      <c r="B771" s="168" t="str">
        <f t="shared" si="26"/>
        <v>1899-00</v>
      </c>
      <c r="C771" s="64"/>
      <c r="BA771" s="1310" t="s">
        <v>345</v>
      </c>
      <c r="BB771" s="1225">
        <v>2012</v>
      </c>
      <c r="BC771" s="824" t="s">
        <v>335</v>
      </c>
      <c r="BD771" s="824">
        <v>5</v>
      </c>
      <c r="BE771" s="1226">
        <v>193176932</v>
      </c>
      <c r="BF771" s="1227">
        <v>7.8E-2</v>
      </c>
      <c r="BH771" s="1311" t="s">
        <v>71</v>
      </c>
      <c r="BI771" s="824" t="s">
        <v>307</v>
      </c>
      <c r="BJ771" s="824" t="s">
        <v>323</v>
      </c>
      <c r="BK771" s="824">
        <v>5</v>
      </c>
      <c r="BL771" s="1226">
        <v>561125122.26999998</v>
      </c>
      <c r="BM771" s="1227">
        <v>5.2436049584907662E-2</v>
      </c>
      <c r="BN771" s="824">
        <v>2007</v>
      </c>
    </row>
    <row r="772" spans="1:66" ht="15" customHeight="1" x14ac:dyDescent="0.35">
      <c r="A772" s="64">
        <f t="shared" si="25"/>
        <v>1900</v>
      </c>
      <c r="B772" s="168" t="str">
        <f t="shared" si="26"/>
        <v>1899-00</v>
      </c>
      <c r="C772" s="64"/>
      <c r="BA772" s="1310" t="s">
        <v>345</v>
      </c>
      <c r="BB772" s="1225">
        <v>2012</v>
      </c>
      <c r="BC772" s="824" t="s">
        <v>346</v>
      </c>
      <c r="BD772" s="824">
        <v>6</v>
      </c>
      <c r="BE772" s="1226">
        <v>186862862</v>
      </c>
      <c r="BF772" s="1227">
        <v>7.4999999999999997E-2</v>
      </c>
      <c r="BH772" s="1311" t="s">
        <v>71</v>
      </c>
      <c r="BI772" s="824" t="s">
        <v>307</v>
      </c>
      <c r="BJ772" s="824" t="s">
        <v>342</v>
      </c>
      <c r="BK772" s="824">
        <v>6</v>
      </c>
      <c r="BL772" s="1226">
        <v>291379022.33999997</v>
      </c>
      <c r="BM772" s="1227">
        <v>2.722880202121904E-2</v>
      </c>
      <c r="BN772" s="824">
        <v>2007</v>
      </c>
    </row>
    <row r="773" spans="1:66" ht="15" customHeight="1" x14ac:dyDescent="0.35">
      <c r="A773" s="64">
        <f t="shared" si="25"/>
        <v>1900</v>
      </c>
      <c r="B773" s="168" t="str">
        <f t="shared" si="26"/>
        <v>1899-00</v>
      </c>
      <c r="C773" s="64"/>
      <c r="BA773" s="1310" t="s">
        <v>345</v>
      </c>
      <c r="BB773" s="1225">
        <v>2012</v>
      </c>
      <c r="BC773" s="824" t="s">
        <v>319</v>
      </c>
      <c r="BD773" s="824">
        <v>7</v>
      </c>
      <c r="BE773" s="1226">
        <v>38732849</v>
      </c>
      <c r="BF773" s="1227">
        <v>1.6E-2</v>
      </c>
      <c r="BH773" s="1311" t="s">
        <v>71</v>
      </c>
      <c r="BI773" s="824" t="s">
        <v>307</v>
      </c>
      <c r="BJ773" s="824" t="s">
        <v>299</v>
      </c>
      <c r="BK773" s="824">
        <v>7</v>
      </c>
      <c r="BL773" s="1226">
        <v>244811358.72000003</v>
      </c>
      <c r="BM773" s="1227">
        <v>2.2877144571355888E-2</v>
      </c>
      <c r="BN773" s="824">
        <v>2007</v>
      </c>
    </row>
    <row r="774" spans="1:66" ht="15" customHeight="1" x14ac:dyDescent="0.35">
      <c r="A774" s="64">
        <f t="shared" si="25"/>
        <v>1900</v>
      </c>
      <c r="B774" s="168" t="str">
        <f t="shared" si="26"/>
        <v>1899-00</v>
      </c>
      <c r="C774" s="64"/>
      <c r="BA774" s="1310" t="s">
        <v>345</v>
      </c>
      <c r="BB774" s="1225">
        <v>2012</v>
      </c>
      <c r="BC774" s="824" t="s">
        <v>289</v>
      </c>
      <c r="BD774" s="824">
        <v>8</v>
      </c>
      <c r="BE774" s="1226">
        <v>11002578</v>
      </c>
      <c r="BF774" s="1227">
        <v>4.0000000000000001E-3</v>
      </c>
      <c r="BH774" s="1311" t="s">
        <v>71</v>
      </c>
      <c r="BI774" s="824" t="s">
        <v>307</v>
      </c>
      <c r="BJ774" s="824" t="s">
        <v>285</v>
      </c>
      <c r="BK774" s="824">
        <v>8</v>
      </c>
      <c r="BL774" s="1226">
        <v>186951828.81999999</v>
      </c>
      <c r="BM774" s="1227">
        <v>1.7470284214574361E-2</v>
      </c>
      <c r="BN774" s="824">
        <v>2007</v>
      </c>
    </row>
    <row r="775" spans="1:66" ht="15" customHeight="1" x14ac:dyDescent="0.35">
      <c r="A775" s="64">
        <f t="shared" si="25"/>
        <v>1900</v>
      </c>
      <c r="B775" s="168" t="str">
        <f t="shared" si="26"/>
        <v>1899-00</v>
      </c>
      <c r="C775" s="64"/>
      <c r="BA775" s="1310" t="s">
        <v>345</v>
      </c>
      <c r="BB775" s="1225">
        <v>2012</v>
      </c>
      <c r="BC775" s="824" t="s">
        <v>323</v>
      </c>
      <c r="BD775" s="824">
        <v>9</v>
      </c>
      <c r="BE775" s="1226">
        <v>6491219</v>
      </c>
      <c r="BF775" s="1227">
        <v>3.0000000000000001E-3</v>
      </c>
      <c r="BH775" s="1311" t="s">
        <v>71</v>
      </c>
      <c r="BI775" s="824" t="s">
        <v>307</v>
      </c>
      <c r="BJ775" s="824" t="s">
        <v>286</v>
      </c>
      <c r="BK775" s="824">
        <v>9</v>
      </c>
      <c r="BL775" s="1226">
        <v>136152981.06</v>
      </c>
      <c r="BM775" s="1227">
        <v>1.2723230849321841E-2</v>
      </c>
      <c r="BN775" s="824">
        <v>2007</v>
      </c>
    </row>
    <row r="776" spans="1:66" ht="15" customHeight="1" x14ac:dyDescent="0.35">
      <c r="A776" s="64">
        <f t="shared" si="25"/>
        <v>1900</v>
      </c>
      <c r="B776" s="168" t="str">
        <f t="shared" si="26"/>
        <v>1899-00</v>
      </c>
      <c r="C776" s="64"/>
      <c r="BA776" s="1310" t="s">
        <v>345</v>
      </c>
      <c r="BB776" s="1225">
        <v>2012</v>
      </c>
      <c r="BC776" s="824" t="s">
        <v>348</v>
      </c>
      <c r="BD776" s="824">
        <v>10</v>
      </c>
      <c r="BE776" s="1226">
        <v>4235</v>
      </c>
      <c r="BF776" s="1227">
        <v>0</v>
      </c>
      <c r="BH776" s="1311" t="s">
        <v>71</v>
      </c>
      <c r="BI776" s="824" t="s">
        <v>307</v>
      </c>
      <c r="BJ776" s="824" t="s">
        <v>289</v>
      </c>
      <c r="BK776" s="824">
        <v>10</v>
      </c>
      <c r="BL776" s="1226">
        <v>113789725.36</v>
      </c>
      <c r="BM776" s="1227">
        <v>1.0633428168555533E-2</v>
      </c>
      <c r="BN776" s="824">
        <v>2007</v>
      </c>
    </row>
    <row r="777" spans="1:66" ht="15" customHeight="1" x14ac:dyDescent="0.35">
      <c r="A777" s="64">
        <f t="shared" si="25"/>
        <v>1900</v>
      </c>
      <c r="B777" s="168" t="str">
        <f t="shared" si="26"/>
        <v>1899-00</v>
      </c>
      <c r="C777" s="64"/>
      <c r="BA777" s="1310" t="s">
        <v>345</v>
      </c>
      <c r="BB777" s="1225">
        <v>2012</v>
      </c>
      <c r="BC777" s="824" t="s">
        <v>291</v>
      </c>
      <c r="BE777" s="1226">
        <v>0</v>
      </c>
      <c r="BF777" s="1227">
        <v>0</v>
      </c>
      <c r="BH777" s="1311" t="s">
        <v>71</v>
      </c>
      <c r="BI777" s="824" t="s">
        <v>307</v>
      </c>
      <c r="BJ777" s="824" t="s">
        <v>291</v>
      </c>
      <c r="BL777" s="1226">
        <v>211117840.57999992</v>
      </c>
      <c r="BM777" s="1227">
        <v>1.9728550937316257E-2</v>
      </c>
      <c r="BN777" s="824">
        <v>2007</v>
      </c>
    </row>
    <row r="778" spans="1:66" ht="15" customHeight="1" x14ac:dyDescent="0.35">
      <c r="A778" s="64">
        <f t="shared" si="25"/>
        <v>1900</v>
      </c>
      <c r="B778" s="168" t="str">
        <f t="shared" si="26"/>
        <v>1899-00</v>
      </c>
      <c r="C778" s="64"/>
      <c r="BA778" s="1310" t="s">
        <v>345</v>
      </c>
      <c r="BB778" s="1225">
        <v>2012</v>
      </c>
      <c r="BC778" s="824" t="s">
        <v>292</v>
      </c>
      <c r="BE778" s="1226">
        <v>2481230102</v>
      </c>
      <c r="BH778" s="1311" t="s">
        <v>71</v>
      </c>
      <c r="BI778" s="824" t="s">
        <v>307</v>
      </c>
      <c r="BJ778" s="824" t="s">
        <v>292</v>
      </c>
      <c r="BL778" s="1226">
        <v>10701132650.379999</v>
      </c>
      <c r="BM778" s="1227">
        <v>1</v>
      </c>
      <c r="BN778" s="824">
        <v>2007</v>
      </c>
    </row>
    <row r="779" spans="1:66" ht="15" customHeight="1" x14ac:dyDescent="0.35">
      <c r="A779" s="64">
        <f t="shared" si="25"/>
        <v>1900</v>
      </c>
      <c r="B779" s="168" t="str">
        <f t="shared" si="26"/>
        <v>1899-00</v>
      </c>
      <c r="C779" s="64"/>
      <c r="BA779" s="1310" t="s">
        <v>345</v>
      </c>
      <c r="BB779" s="1225">
        <v>2011</v>
      </c>
      <c r="BC779" s="824" t="s">
        <v>320</v>
      </c>
      <c r="BD779" s="824">
        <v>1</v>
      </c>
      <c r="BE779" s="1226">
        <v>488514317</v>
      </c>
      <c r="BF779" s="1227">
        <v>0.23799999999999999</v>
      </c>
      <c r="BH779" s="1310" t="s">
        <v>344</v>
      </c>
      <c r="BI779" s="824" t="s">
        <v>280</v>
      </c>
      <c r="BJ779" s="1312"/>
      <c r="BL779" s="1226">
        <v>1588816202.8699999</v>
      </c>
      <c r="BN779" s="824">
        <v>2015</v>
      </c>
    </row>
    <row r="780" spans="1:66" ht="15" customHeight="1" x14ac:dyDescent="0.35">
      <c r="A780" s="64">
        <f t="shared" ref="A780:A843" si="27">YEAR(C780)</f>
        <v>1900</v>
      </c>
      <c r="B780" s="168" t="str">
        <f t="shared" si="26"/>
        <v>1899-00</v>
      </c>
      <c r="C780" s="64"/>
      <c r="BA780" s="1310" t="s">
        <v>345</v>
      </c>
      <c r="BB780" s="1225">
        <v>2011</v>
      </c>
      <c r="BC780" s="824" t="s">
        <v>281</v>
      </c>
      <c r="BD780" s="824">
        <v>2</v>
      </c>
      <c r="BE780" s="1226">
        <v>487302886</v>
      </c>
      <c r="BF780" s="1227">
        <v>0.23799999999999999</v>
      </c>
      <c r="BH780" s="1310" t="s">
        <v>344</v>
      </c>
      <c r="BI780" s="824" t="s">
        <v>293</v>
      </c>
      <c r="BJ780" s="1312"/>
      <c r="BL780" s="1226">
        <v>1520554770.7800002</v>
      </c>
      <c r="BN780" s="824">
        <v>2014</v>
      </c>
    </row>
    <row r="781" spans="1:66" ht="15" customHeight="1" x14ac:dyDescent="0.35">
      <c r="A781" s="64">
        <f t="shared" si="27"/>
        <v>1900</v>
      </c>
      <c r="B781" s="168" t="str">
        <f t="shared" si="26"/>
        <v>1899-00</v>
      </c>
      <c r="C781" s="64"/>
      <c r="BA781" s="1310" t="s">
        <v>345</v>
      </c>
      <c r="BB781" s="1225">
        <v>2011</v>
      </c>
      <c r="BC781" s="824" t="s">
        <v>287</v>
      </c>
      <c r="BD781" s="824">
        <v>3</v>
      </c>
      <c r="BE781" s="1226">
        <v>413066524</v>
      </c>
      <c r="BF781" s="1227">
        <v>0.20100000000000001</v>
      </c>
      <c r="BH781" s="1310" t="s">
        <v>344</v>
      </c>
      <c r="BI781" s="824" t="s">
        <v>294</v>
      </c>
      <c r="BJ781" s="1312"/>
      <c r="BL781" s="1226">
        <v>1450427560.1800001</v>
      </c>
      <c r="BN781" s="824">
        <v>2013</v>
      </c>
    </row>
    <row r="782" spans="1:66" ht="15" customHeight="1" x14ac:dyDescent="0.35">
      <c r="A782" s="64">
        <f t="shared" si="27"/>
        <v>1900</v>
      </c>
      <c r="B782" s="168" t="str">
        <f t="shared" si="26"/>
        <v>1899-00</v>
      </c>
      <c r="C782" s="64"/>
      <c r="BA782" s="1310" t="s">
        <v>345</v>
      </c>
      <c r="BB782" s="1225">
        <v>2011</v>
      </c>
      <c r="BC782" s="824" t="s">
        <v>308</v>
      </c>
      <c r="BD782" s="824">
        <v>4</v>
      </c>
      <c r="BE782" s="1226">
        <v>290029875</v>
      </c>
      <c r="BF782" s="1227">
        <v>0.14099999999999999</v>
      </c>
      <c r="BH782" s="1310" t="s">
        <v>344</v>
      </c>
      <c r="BI782" s="824" t="s">
        <v>295</v>
      </c>
      <c r="BJ782" s="1312"/>
      <c r="BL782" s="1226">
        <v>1541281662.23</v>
      </c>
      <c r="BN782" s="824">
        <v>2012</v>
      </c>
    </row>
    <row r="783" spans="1:66" ht="15" customHeight="1" x14ac:dyDescent="0.35">
      <c r="A783" s="64">
        <f t="shared" si="27"/>
        <v>1900</v>
      </c>
      <c r="B783" s="168" t="str">
        <f t="shared" si="26"/>
        <v>1899-00</v>
      </c>
      <c r="C783" s="64"/>
      <c r="BA783" s="1310" t="s">
        <v>345</v>
      </c>
      <c r="BB783" s="1225">
        <v>2011</v>
      </c>
      <c r="BC783" s="824" t="s">
        <v>346</v>
      </c>
      <c r="BD783" s="824">
        <v>5</v>
      </c>
      <c r="BE783" s="1226">
        <v>177026486</v>
      </c>
      <c r="BF783" s="1227">
        <v>8.5999999999999993E-2</v>
      </c>
      <c r="BH783" s="1310" t="s">
        <v>344</v>
      </c>
      <c r="BI783" s="824" t="s">
        <v>297</v>
      </c>
      <c r="BJ783" s="1312"/>
      <c r="BL783" s="1226">
        <v>1547839336.1300001</v>
      </c>
      <c r="BN783" s="824">
        <v>2011</v>
      </c>
    </row>
    <row r="784" spans="1:66" ht="15" customHeight="1" x14ac:dyDescent="0.35">
      <c r="A784" s="64">
        <f t="shared" si="27"/>
        <v>1900</v>
      </c>
      <c r="B784" s="168" t="str">
        <f t="shared" si="26"/>
        <v>1899-00</v>
      </c>
      <c r="C784" s="64"/>
      <c r="BA784" s="1310" t="s">
        <v>345</v>
      </c>
      <c r="BB784" s="1225">
        <v>2011</v>
      </c>
      <c r="BC784" s="824" t="s">
        <v>335</v>
      </c>
      <c r="BD784" s="824">
        <v>6</v>
      </c>
      <c r="BE784" s="1226">
        <v>153540432</v>
      </c>
      <c r="BF784" s="1227">
        <v>7.4999999999999997E-2</v>
      </c>
      <c r="BH784" s="1310" t="s">
        <v>344</v>
      </c>
      <c r="BI784" s="824" t="s">
        <v>301</v>
      </c>
      <c r="BJ784" s="1312"/>
      <c r="BL784" s="1226">
        <v>1349644552.73</v>
      </c>
      <c r="BN784" s="824">
        <v>2010</v>
      </c>
    </row>
    <row r="785" spans="1:66" ht="15" customHeight="1" x14ac:dyDescent="0.35">
      <c r="A785" s="64">
        <f t="shared" si="27"/>
        <v>1900</v>
      </c>
      <c r="B785" s="168" t="str">
        <f t="shared" si="26"/>
        <v>1899-00</v>
      </c>
      <c r="C785" s="64"/>
      <c r="BA785" s="1310" t="s">
        <v>345</v>
      </c>
      <c r="BB785" s="1225">
        <v>2011</v>
      </c>
      <c r="BC785" s="824" t="s">
        <v>319</v>
      </c>
      <c r="BD785" s="824">
        <v>7</v>
      </c>
      <c r="BE785" s="1226">
        <v>22577985</v>
      </c>
      <c r="BF785" s="1227">
        <v>1.0999999999999999E-2</v>
      </c>
      <c r="BH785" s="1310" t="s">
        <v>344</v>
      </c>
      <c r="BI785" s="824" t="s">
        <v>302</v>
      </c>
      <c r="BJ785" s="1312"/>
      <c r="BL785" s="1226">
        <v>966602084.71000004</v>
      </c>
      <c r="BN785" s="824">
        <v>2009</v>
      </c>
    </row>
    <row r="786" spans="1:66" ht="15" customHeight="1" x14ac:dyDescent="0.35">
      <c r="A786" s="64">
        <f t="shared" si="27"/>
        <v>1900</v>
      </c>
      <c r="B786" s="168" t="str">
        <f t="shared" si="26"/>
        <v>1899-00</v>
      </c>
      <c r="C786" s="64"/>
      <c r="BA786" s="1310" t="s">
        <v>345</v>
      </c>
      <c r="BB786" s="1225">
        <v>2011</v>
      </c>
      <c r="BC786" s="824" t="s">
        <v>323</v>
      </c>
      <c r="BD786" s="824">
        <v>8</v>
      </c>
      <c r="BE786" s="1226">
        <v>14988448</v>
      </c>
      <c r="BF786" s="1227">
        <v>7.0000000000000001E-3</v>
      </c>
      <c r="BH786" s="1310" t="s">
        <v>344</v>
      </c>
      <c r="BI786" s="824" t="s">
        <v>303</v>
      </c>
      <c r="BJ786" s="1312"/>
      <c r="BL786" s="1226">
        <v>621565632.72000003</v>
      </c>
      <c r="BN786" s="824">
        <v>2008</v>
      </c>
    </row>
    <row r="787" spans="1:66" ht="15" customHeight="1" x14ac:dyDescent="0.35">
      <c r="A787" s="64">
        <f t="shared" si="27"/>
        <v>1900</v>
      </c>
      <c r="B787" s="168" t="str">
        <f t="shared" si="26"/>
        <v>1899-00</v>
      </c>
      <c r="C787" s="64"/>
      <c r="BA787" s="1310" t="s">
        <v>345</v>
      </c>
      <c r="BB787" s="1225">
        <v>2011</v>
      </c>
      <c r="BC787" s="824" t="s">
        <v>349</v>
      </c>
      <c r="BD787" s="824">
        <v>9</v>
      </c>
      <c r="BE787" s="1226">
        <v>2750648</v>
      </c>
      <c r="BF787" s="1227">
        <v>1E-3</v>
      </c>
      <c r="BH787" s="1310" t="s">
        <v>344</v>
      </c>
      <c r="BI787" s="824" t="s">
        <v>307</v>
      </c>
      <c r="BJ787" s="1312"/>
      <c r="BL787" s="1226">
        <v>456211782.08000004</v>
      </c>
      <c r="BN787" s="824">
        <v>2007</v>
      </c>
    </row>
    <row r="788" spans="1:66" ht="15" customHeight="1" x14ac:dyDescent="0.35">
      <c r="A788" s="64">
        <f t="shared" si="27"/>
        <v>1900</v>
      </c>
      <c r="B788" s="168" t="str">
        <f t="shared" si="26"/>
        <v>1899-00</v>
      </c>
      <c r="C788" s="64"/>
      <c r="BA788" s="1310" t="s">
        <v>345</v>
      </c>
      <c r="BB788" s="1225">
        <v>2011</v>
      </c>
      <c r="BC788" s="824" t="s">
        <v>322</v>
      </c>
      <c r="BD788" s="824">
        <v>10</v>
      </c>
      <c r="BE788" s="1226">
        <v>270041</v>
      </c>
      <c r="BF788" s="1227">
        <v>0</v>
      </c>
      <c r="BH788" s="1310" t="s">
        <v>345</v>
      </c>
      <c r="BI788" s="824" t="s">
        <v>280</v>
      </c>
      <c r="BJ788" s="824" t="s">
        <v>281</v>
      </c>
      <c r="BK788" s="824">
        <v>1</v>
      </c>
      <c r="BL788" s="1226">
        <v>847806669</v>
      </c>
      <c r="BM788" s="1227">
        <v>0.27600000000000002</v>
      </c>
      <c r="BN788" s="824">
        <v>2015</v>
      </c>
    </row>
    <row r="789" spans="1:66" ht="15" customHeight="1" x14ac:dyDescent="0.35">
      <c r="A789" s="64">
        <f t="shared" si="27"/>
        <v>1900</v>
      </c>
      <c r="B789" s="168" t="str">
        <f t="shared" si="26"/>
        <v>1899-00</v>
      </c>
      <c r="C789" s="64"/>
      <c r="BA789" s="1310" t="s">
        <v>345</v>
      </c>
      <c r="BB789" s="1225">
        <v>2011</v>
      </c>
      <c r="BC789" s="824" t="s">
        <v>291</v>
      </c>
      <c r="BE789" s="1226">
        <v>91632</v>
      </c>
      <c r="BF789" s="1227">
        <v>0</v>
      </c>
      <c r="BH789" s="1310" t="s">
        <v>345</v>
      </c>
      <c r="BI789" s="824" t="s">
        <v>280</v>
      </c>
      <c r="BJ789" s="824" t="s">
        <v>320</v>
      </c>
      <c r="BK789" s="824">
        <v>2</v>
      </c>
      <c r="BL789" s="1226">
        <v>816366257</v>
      </c>
      <c r="BM789" s="1227">
        <v>0.26600000000000001</v>
      </c>
      <c r="BN789" s="824">
        <v>2015</v>
      </c>
    </row>
    <row r="790" spans="1:66" ht="15" customHeight="1" x14ac:dyDescent="0.35">
      <c r="A790" s="64">
        <f t="shared" si="27"/>
        <v>1900</v>
      </c>
      <c r="B790" s="168" t="str">
        <f t="shared" si="26"/>
        <v>1899-00</v>
      </c>
      <c r="C790" s="64"/>
      <c r="BA790" s="1310" t="s">
        <v>345</v>
      </c>
      <c r="BB790" s="1225">
        <v>2011</v>
      </c>
      <c r="BC790" s="824" t="s">
        <v>292</v>
      </c>
      <c r="BE790" s="1226">
        <v>2050159274</v>
      </c>
      <c r="BH790" s="1310" t="s">
        <v>345</v>
      </c>
      <c r="BI790" s="824" t="s">
        <v>280</v>
      </c>
      <c r="BJ790" s="824" t="s">
        <v>346</v>
      </c>
      <c r="BK790" s="824">
        <v>3</v>
      </c>
      <c r="BL790" s="1226">
        <v>520528130</v>
      </c>
      <c r="BM790" s="1227">
        <v>0.16900000000000001</v>
      </c>
      <c r="BN790" s="824">
        <v>2015</v>
      </c>
    </row>
    <row r="791" spans="1:66" ht="15" customHeight="1" x14ac:dyDescent="0.35">
      <c r="A791" s="64">
        <f t="shared" si="27"/>
        <v>1900</v>
      </c>
      <c r="B791" s="168" t="str">
        <f t="shared" si="26"/>
        <v>1899-00</v>
      </c>
      <c r="C791" s="64"/>
      <c r="BA791" s="1310" t="s">
        <v>345</v>
      </c>
      <c r="BB791" s="1225">
        <v>2010</v>
      </c>
      <c r="BC791" s="824" t="s">
        <v>281</v>
      </c>
      <c r="BD791" s="824">
        <v>1</v>
      </c>
      <c r="BE791" s="1226">
        <v>839808558</v>
      </c>
      <c r="BF791" s="1227">
        <v>0.28000000000000003</v>
      </c>
      <c r="BH791" s="1310" t="s">
        <v>345</v>
      </c>
      <c r="BI791" s="824" t="s">
        <v>280</v>
      </c>
      <c r="BJ791" s="824" t="s">
        <v>308</v>
      </c>
      <c r="BK791" s="824">
        <v>4</v>
      </c>
      <c r="BL791" s="1226">
        <v>371624283</v>
      </c>
      <c r="BM791" s="1227">
        <v>0.121</v>
      </c>
      <c r="BN791" s="824">
        <v>2015</v>
      </c>
    </row>
    <row r="792" spans="1:66" ht="15" customHeight="1" x14ac:dyDescent="0.35">
      <c r="A792" s="64">
        <f t="shared" si="27"/>
        <v>1900</v>
      </c>
      <c r="B792" s="168" t="str">
        <f t="shared" si="26"/>
        <v>1899-00</v>
      </c>
      <c r="C792" s="64"/>
      <c r="BA792" s="1310" t="s">
        <v>345</v>
      </c>
      <c r="BB792" s="1225">
        <v>2010</v>
      </c>
      <c r="BC792" s="824" t="s">
        <v>320</v>
      </c>
      <c r="BD792" s="824">
        <v>2</v>
      </c>
      <c r="BE792" s="1226">
        <v>754039946</v>
      </c>
      <c r="BF792" s="1227">
        <v>0.251</v>
      </c>
      <c r="BH792" s="1310" t="s">
        <v>345</v>
      </c>
      <c r="BI792" s="824" t="s">
        <v>280</v>
      </c>
      <c r="BJ792" s="824" t="s">
        <v>287</v>
      </c>
      <c r="BK792" s="824">
        <v>5</v>
      </c>
      <c r="BL792" s="1226">
        <v>200594224</v>
      </c>
      <c r="BM792" s="1227">
        <v>6.5000000000000002E-2</v>
      </c>
      <c r="BN792" s="824">
        <v>2015</v>
      </c>
    </row>
    <row r="793" spans="1:66" ht="15" customHeight="1" x14ac:dyDescent="0.35">
      <c r="A793" s="64">
        <f t="shared" si="27"/>
        <v>1900</v>
      </c>
      <c r="B793" s="168" t="str">
        <f t="shared" si="26"/>
        <v>1899-00</v>
      </c>
      <c r="C793" s="64"/>
      <c r="BA793" s="1310" t="s">
        <v>345</v>
      </c>
      <c r="BB793" s="1225">
        <v>2010</v>
      </c>
      <c r="BC793" s="824" t="s">
        <v>308</v>
      </c>
      <c r="BD793" s="824">
        <v>3</v>
      </c>
      <c r="BE793" s="1226">
        <v>521627226</v>
      </c>
      <c r="BF793" s="1227">
        <v>0.17399999999999999</v>
      </c>
      <c r="BH793" s="1310" t="s">
        <v>345</v>
      </c>
      <c r="BI793" s="824" t="s">
        <v>280</v>
      </c>
      <c r="BJ793" s="824" t="s">
        <v>335</v>
      </c>
      <c r="BK793" s="824">
        <v>6</v>
      </c>
      <c r="BL793" s="1226">
        <v>197377870</v>
      </c>
      <c r="BM793" s="1227">
        <v>6.4000000000000001E-2</v>
      </c>
      <c r="BN793" s="824">
        <v>2015</v>
      </c>
    </row>
    <row r="794" spans="1:66" ht="15" customHeight="1" x14ac:dyDescent="0.35">
      <c r="A794" s="64">
        <f t="shared" si="27"/>
        <v>1900</v>
      </c>
      <c r="B794" s="168" t="str">
        <f t="shared" si="26"/>
        <v>1899-00</v>
      </c>
      <c r="C794" s="64"/>
      <c r="BA794" s="1310" t="s">
        <v>345</v>
      </c>
      <c r="BB794" s="1225">
        <v>2010</v>
      </c>
      <c r="BC794" s="824" t="s">
        <v>287</v>
      </c>
      <c r="BD794" s="824">
        <v>4</v>
      </c>
      <c r="BE794" s="1226">
        <v>473161178</v>
      </c>
      <c r="BF794" s="1227">
        <v>0.157</v>
      </c>
      <c r="BH794" s="1310" t="s">
        <v>345</v>
      </c>
      <c r="BI794" s="824" t="s">
        <v>280</v>
      </c>
      <c r="BJ794" s="824" t="s">
        <v>315</v>
      </c>
      <c r="BK794" s="824">
        <v>7</v>
      </c>
      <c r="BL794" s="1226">
        <v>57402316</v>
      </c>
      <c r="BM794" s="1227">
        <v>1.9E-2</v>
      </c>
      <c r="BN794" s="824">
        <v>2015</v>
      </c>
    </row>
    <row r="795" spans="1:66" ht="15" customHeight="1" x14ac:dyDescent="0.35">
      <c r="A795" s="64">
        <f t="shared" si="27"/>
        <v>1900</v>
      </c>
      <c r="B795" s="168" t="str">
        <f t="shared" si="26"/>
        <v>1899-00</v>
      </c>
      <c r="C795" s="64"/>
      <c r="BA795" s="1310" t="s">
        <v>345</v>
      </c>
      <c r="BB795" s="1225">
        <v>2010</v>
      </c>
      <c r="BC795" s="824" t="s">
        <v>335</v>
      </c>
      <c r="BD795" s="824">
        <v>5</v>
      </c>
      <c r="BE795" s="1226">
        <v>185377130</v>
      </c>
      <c r="BF795" s="1227">
        <v>6.2E-2</v>
      </c>
      <c r="BH795" s="1310" t="s">
        <v>345</v>
      </c>
      <c r="BI795" s="824" t="s">
        <v>280</v>
      </c>
      <c r="BJ795" s="824" t="s">
        <v>319</v>
      </c>
      <c r="BK795" s="824">
        <v>8</v>
      </c>
      <c r="BL795" s="1226">
        <v>52861207</v>
      </c>
      <c r="BM795" s="1227">
        <v>1.7000000000000001E-2</v>
      </c>
      <c r="BN795" s="824">
        <v>2015</v>
      </c>
    </row>
    <row r="796" spans="1:66" ht="15" customHeight="1" x14ac:dyDescent="0.35">
      <c r="A796" s="64">
        <f t="shared" si="27"/>
        <v>1900</v>
      </c>
      <c r="B796" s="168" t="str">
        <f t="shared" si="26"/>
        <v>1899-00</v>
      </c>
      <c r="C796" s="64"/>
      <c r="BA796" s="1310" t="s">
        <v>345</v>
      </c>
      <c r="BB796" s="1225">
        <v>2010</v>
      </c>
      <c r="BC796" s="824" t="s">
        <v>346</v>
      </c>
      <c r="BD796" s="824">
        <v>6</v>
      </c>
      <c r="BE796" s="1226">
        <v>159454759</v>
      </c>
      <c r="BF796" s="1227">
        <v>5.2999999999999999E-2</v>
      </c>
      <c r="BH796" s="1310" t="s">
        <v>345</v>
      </c>
      <c r="BI796" s="824" t="s">
        <v>280</v>
      </c>
      <c r="BJ796" s="824" t="s">
        <v>323</v>
      </c>
      <c r="BK796" s="824">
        <v>9</v>
      </c>
      <c r="BL796" s="1226">
        <v>7460387</v>
      </c>
      <c r="BM796" s="1227">
        <v>2E-3</v>
      </c>
      <c r="BN796" s="824">
        <v>2015</v>
      </c>
    </row>
    <row r="797" spans="1:66" ht="15" customHeight="1" x14ac:dyDescent="0.35">
      <c r="A797" s="64">
        <f t="shared" si="27"/>
        <v>1900</v>
      </c>
      <c r="B797" s="168" t="str">
        <f t="shared" si="26"/>
        <v>1899-00</v>
      </c>
      <c r="C797" s="64"/>
      <c r="BA797" s="1310" t="s">
        <v>345</v>
      </c>
      <c r="BB797" s="1225">
        <v>2010</v>
      </c>
      <c r="BC797" s="824" t="s">
        <v>319</v>
      </c>
      <c r="BD797" s="824">
        <v>7</v>
      </c>
      <c r="BE797" s="1226">
        <v>36370523</v>
      </c>
      <c r="BF797" s="1227">
        <v>1.2E-2</v>
      </c>
      <c r="BH797" s="1310" t="s">
        <v>345</v>
      </c>
      <c r="BI797" s="824" t="s">
        <v>280</v>
      </c>
      <c r="BJ797" s="824" t="s">
        <v>348</v>
      </c>
      <c r="BK797" s="824">
        <v>10</v>
      </c>
      <c r="BL797" s="1226">
        <v>2043</v>
      </c>
      <c r="BM797" s="1227">
        <v>0</v>
      </c>
      <c r="BN797" s="824">
        <v>2015</v>
      </c>
    </row>
    <row r="798" spans="1:66" ht="15" customHeight="1" x14ac:dyDescent="0.35">
      <c r="A798" s="64">
        <f t="shared" si="27"/>
        <v>1900</v>
      </c>
      <c r="B798" s="168" t="str">
        <f t="shared" si="26"/>
        <v>1899-00</v>
      </c>
      <c r="C798" s="64"/>
      <c r="BA798" s="1310" t="s">
        <v>345</v>
      </c>
      <c r="BB798" s="1225">
        <v>2010</v>
      </c>
      <c r="BC798" s="824" t="s">
        <v>323</v>
      </c>
      <c r="BD798" s="824">
        <v>8</v>
      </c>
      <c r="BE798" s="1226">
        <v>26759529</v>
      </c>
      <c r="BF798" s="1227">
        <v>8.9999999999999993E-3</v>
      </c>
      <c r="BH798" s="1310" t="s">
        <v>345</v>
      </c>
      <c r="BI798" s="824" t="s">
        <v>280</v>
      </c>
      <c r="BJ798" s="824" t="s">
        <v>291</v>
      </c>
      <c r="BM798" s="1227">
        <v>0</v>
      </c>
      <c r="BN798" s="824">
        <v>2015</v>
      </c>
    </row>
    <row r="799" spans="1:66" ht="15" customHeight="1" x14ac:dyDescent="0.35">
      <c r="A799" s="64">
        <f t="shared" si="27"/>
        <v>1900</v>
      </c>
      <c r="B799" s="168" t="str">
        <f t="shared" si="26"/>
        <v>1899-00</v>
      </c>
      <c r="C799" s="64"/>
      <c r="BA799" s="1310" t="s">
        <v>345</v>
      </c>
      <c r="BB799" s="1225">
        <v>2010</v>
      </c>
      <c r="BC799" s="824" t="s">
        <v>350</v>
      </c>
      <c r="BD799" s="824">
        <v>9</v>
      </c>
      <c r="BE799" s="1226">
        <v>4939426</v>
      </c>
      <c r="BF799" s="1227">
        <v>2E-3</v>
      </c>
      <c r="BH799" s="1310" t="s">
        <v>345</v>
      </c>
      <c r="BI799" s="824" t="s">
        <v>280</v>
      </c>
      <c r="BJ799" s="824" t="s">
        <v>292</v>
      </c>
      <c r="BL799" s="1226">
        <v>3072023386</v>
      </c>
      <c r="BN799" s="824">
        <v>2015</v>
      </c>
    </row>
    <row r="800" spans="1:66" ht="15" customHeight="1" x14ac:dyDescent="0.35">
      <c r="A800" s="64">
        <f t="shared" si="27"/>
        <v>1900</v>
      </c>
      <c r="B800" s="168" t="str">
        <f t="shared" si="26"/>
        <v>1899-00</v>
      </c>
      <c r="C800" s="64"/>
      <c r="BA800" s="1310" t="s">
        <v>345</v>
      </c>
      <c r="BB800" s="1225">
        <v>2010</v>
      </c>
      <c r="BC800" s="824" t="s">
        <v>349</v>
      </c>
      <c r="BD800" s="824">
        <v>10</v>
      </c>
      <c r="BE800" s="1226">
        <v>2197618</v>
      </c>
      <c r="BF800" s="1227">
        <v>1E-3</v>
      </c>
      <c r="BH800" s="1310" t="s">
        <v>345</v>
      </c>
      <c r="BI800" s="824" t="s">
        <v>293</v>
      </c>
      <c r="BJ800" s="824" t="s">
        <v>281</v>
      </c>
      <c r="BK800" s="824">
        <v>1</v>
      </c>
      <c r="BL800" s="1226">
        <v>884908791</v>
      </c>
      <c r="BM800" s="1227">
        <v>0.314</v>
      </c>
      <c r="BN800" s="824">
        <v>2014</v>
      </c>
    </row>
    <row r="801" spans="1:66" ht="15" customHeight="1" x14ac:dyDescent="0.35">
      <c r="A801" s="64">
        <f t="shared" si="27"/>
        <v>1900</v>
      </c>
      <c r="B801" s="168" t="str">
        <f t="shared" si="26"/>
        <v>1899-00</v>
      </c>
      <c r="C801" s="64"/>
      <c r="BA801" s="1310" t="s">
        <v>345</v>
      </c>
      <c r="BB801" s="1225">
        <v>2010</v>
      </c>
      <c r="BC801" s="824" t="s">
        <v>291</v>
      </c>
      <c r="BE801" s="1226">
        <v>517109</v>
      </c>
      <c r="BF801" s="1227">
        <v>0</v>
      </c>
      <c r="BH801" s="1310" t="s">
        <v>345</v>
      </c>
      <c r="BI801" s="824" t="s">
        <v>293</v>
      </c>
      <c r="BJ801" s="824" t="s">
        <v>320</v>
      </c>
      <c r="BK801" s="824">
        <v>2</v>
      </c>
      <c r="BL801" s="1226">
        <v>629178546</v>
      </c>
      <c r="BM801" s="1227">
        <v>0.224</v>
      </c>
      <c r="BN801" s="824">
        <v>2014</v>
      </c>
    </row>
    <row r="802" spans="1:66" ht="15" customHeight="1" x14ac:dyDescent="0.35">
      <c r="A802" s="64">
        <f t="shared" si="27"/>
        <v>1900</v>
      </c>
      <c r="B802" s="168" t="str">
        <f t="shared" si="26"/>
        <v>1899-00</v>
      </c>
      <c r="C802" s="64"/>
      <c r="BA802" s="1310" t="s">
        <v>345</v>
      </c>
      <c r="BB802" s="1225">
        <v>2010</v>
      </c>
      <c r="BC802" s="824" t="s">
        <v>292</v>
      </c>
      <c r="BE802" s="1226">
        <v>3004253002</v>
      </c>
      <c r="BH802" s="1310" t="s">
        <v>345</v>
      </c>
      <c r="BI802" s="824" t="s">
        <v>293</v>
      </c>
      <c r="BJ802" s="824" t="s">
        <v>308</v>
      </c>
      <c r="BK802" s="824">
        <v>3</v>
      </c>
      <c r="BL802" s="1226">
        <v>453952993</v>
      </c>
      <c r="BM802" s="1227">
        <v>0.161</v>
      </c>
      <c r="BN802" s="824">
        <v>2014</v>
      </c>
    </row>
    <row r="803" spans="1:66" ht="15" customHeight="1" x14ac:dyDescent="0.35">
      <c r="A803" s="64">
        <f t="shared" si="27"/>
        <v>1900</v>
      </c>
      <c r="B803" s="168" t="str">
        <f t="shared" si="26"/>
        <v>1899-00</v>
      </c>
      <c r="C803" s="64"/>
      <c r="BA803" s="1310" t="s">
        <v>345</v>
      </c>
      <c r="BB803" s="1225">
        <v>2009</v>
      </c>
      <c r="BC803" s="824" t="s">
        <v>281</v>
      </c>
      <c r="BD803" s="824">
        <v>1</v>
      </c>
      <c r="BE803" s="1226">
        <v>541226418</v>
      </c>
      <c r="BF803" s="1227">
        <v>0.36199999999999999</v>
      </c>
      <c r="BH803" s="1310" t="s">
        <v>345</v>
      </c>
      <c r="BI803" s="824" t="s">
        <v>293</v>
      </c>
      <c r="BJ803" s="824" t="s">
        <v>346</v>
      </c>
      <c r="BK803" s="824">
        <v>4</v>
      </c>
      <c r="BL803" s="1226">
        <v>334968968</v>
      </c>
      <c r="BM803" s="1227">
        <v>0.11899999999999999</v>
      </c>
      <c r="BN803" s="824">
        <v>2014</v>
      </c>
    </row>
    <row r="804" spans="1:66" ht="15" customHeight="1" x14ac:dyDescent="0.35">
      <c r="A804" s="64">
        <f t="shared" si="27"/>
        <v>1900</v>
      </c>
      <c r="B804" s="168" t="str">
        <f t="shared" si="26"/>
        <v>1899-00</v>
      </c>
      <c r="C804" s="64"/>
      <c r="BA804" s="1310" t="s">
        <v>345</v>
      </c>
      <c r="BB804" s="1225">
        <v>2009</v>
      </c>
      <c r="BC804" s="824" t="s">
        <v>287</v>
      </c>
      <c r="BD804" s="824">
        <v>2</v>
      </c>
      <c r="BE804" s="1226">
        <v>322634456</v>
      </c>
      <c r="BF804" s="1227">
        <v>0.216</v>
      </c>
      <c r="BH804" s="1310" t="s">
        <v>345</v>
      </c>
      <c r="BI804" s="824" t="s">
        <v>293</v>
      </c>
      <c r="BJ804" s="824" t="s">
        <v>335</v>
      </c>
      <c r="BK804" s="824">
        <v>5</v>
      </c>
      <c r="BL804" s="1226">
        <v>244355877</v>
      </c>
      <c r="BM804" s="1227">
        <v>8.6999999999999994E-2</v>
      </c>
      <c r="BN804" s="824">
        <v>2014</v>
      </c>
    </row>
    <row r="805" spans="1:66" ht="15" customHeight="1" x14ac:dyDescent="0.35">
      <c r="A805" s="64">
        <f t="shared" si="27"/>
        <v>1900</v>
      </c>
      <c r="B805" s="168" t="str">
        <f t="shared" si="26"/>
        <v>1899-00</v>
      </c>
      <c r="C805" s="64"/>
      <c r="BA805" s="1310" t="s">
        <v>345</v>
      </c>
      <c r="BB805" s="1225">
        <v>2009</v>
      </c>
      <c r="BC805" s="824" t="s">
        <v>320</v>
      </c>
      <c r="BD805" s="824">
        <v>3</v>
      </c>
      <c r="BE805" s="1226">
        <v>298376415</v>
      </c>
      <c r="BF805" s="1227">
        <v>0.2</v>
      </c>
      <c r="BH805" s="1310" t="s">
        <v>345</v>
      </c>
      <c r="BI805" s="824" t="s">
        <v>293</v>
      </c>
      <c r="BJ805" s="824" t="s">
        <v>287</v>
      </c>
      <c r="BK805" s="824">
        <v>6</v>
      </c>
      <c r="BL805" s="1226">
        <v>114428051</v>
      </c>
      <c r="BM805" s="1227">
        <v>4.1000000000000002E-2</v>
      </c>
      <c r="BN805" s="824">
        <v>2014</v>
      </c>
    </row>
    <row r="806" spans="1:66" ht="15" customHeight="1" x14ac:dyDescent="0.35">
      <c r="A806" s="64">
        <f t="shared" si="27"/>
        <v>1900</v>
      </c>
      <c r="B806" s="168" t="str">
        <f t="shared" si="26"/>
        <v>1899-00</v>
      </c>
      <c r="C806" s="64"/>
      <c r="BA806" s="1310" t="s">
        <v>345</v>
      </c>
      <c r="BB806" s="1225">
        <v>2009</v>
      </c>
      <c r="BC806" s="824" t="s">
        <v>308</v>
      </c>
      <c r="BD806" s="824">
        <v>4</v>
      </c>
      <c r="BE806" s="1226">
        <v>238807947</v>
      </c>
      <c r="BF806" s="1227">
        <v>0.16</v>
      </c>
      <c r="BH806" s="1310" t="s">
        <v>345</v>
      </c>
      <c r="BI806" s="824" t="s">
        <v>293</v>
      </c>
      <c r="BJ806" s="824" t="s">
        <v>347</v>
      </c>
      <c r="BK806" s="824">
        <v>7</v>
      </c>
      <c r="BL806" s="1226">
        <v>50575557</v>
      </c>
      <c r="BM806" s="1227">
        <v>1.7999999999999999E-2</v>
      </c>
      <c r="BN806" s="824">
        <v>2014</v>
      </c>
    </row>
    <row r="807" spans="1:66" ht="15" customHeight="1" x14ac:dyDescent="0.35">
      <c r="A807" s="64">
        <f t="shared" si="27"/>
        <v>1900</v>
      </c>
      <c r="B807" s="168" t="str">
        <f t="shared" si="26"/>
        <v>1899-00</v>
      </c>
      <c r="C807" s="64"/>
      <c r="BA807" s="1310" t="s">
        <v>345</v>
      </c>
      <c r="BB807" s="1225">
        <v>2009</v>
      </c>
      <c r="BC807" s="824" t="s">
        <v>319</v>
      </c>
      <c r="BD807" s="824">
        <v>5</v>
      </c>
      <c r="BE807" s="1226">
        <v>39789405</v>
      </c>
      <c r="BF807" s="1227">
        <v>2.7E-2</v>
      </c>
      <c r="BH807" s="1310" t="s">
        <v>345</v>
      </c>
      <c r="BI807" s="824" t="s">
        <v>293</v>
      </c>
      <c r="BJ807" s="824" t="s">
        <v>319</v>
      </c>
      <c r="BK807" s="824">
        <v>8</v>
      </c>
      <c r="BL807" s="1226">
        <v>30474982</v>
      </c>
      <c r="BM807" s="1227">
        <v>1.0999999999999999E-2</v>
      </c>
      <c r="BN807" s="824">
        <v>2014</v>
      </c>
    </row>
    <row r="808" spans="1:66" ht="15" customHeight="1" x14ac:dyDescent="0.35">
      <c r="A808" s="64">
        <f t="shared" si="27"/>
        <v>1900</v>
      </c>
      <c r="B808" s="168" t="str">
        <f t="shared" si="26"/>
        <v>1899-00</v>
      </c>
      <c r="C808" s="64"/>
      <c r="BA808" s="1310" t="s">
        <v>345</v>
      </c>
      <c r="BB808" s="1225">
        <v>2009</v>
      </c>
      <c r="BC808" s="824" t="s">
        <v>335</v>
      </c>
      <c r="BD808" s="824">
        <v>6</v>
      </c>
      <c r="BE808" s="1226">
        <v>22843790</v>
      </c>
      <c r="BF808" s="1227">
        <v>1.4999999999999999E-2</v>
      </c>
      <c r="BH808" s="1310" t="s">
        <v>345</v>
      </c>
      <c r="BI808" s="824" t="s">
        <v>293</v>
      </c>
      <c r="BJ808" s="824" t="s">
        <v>315</v>
      </c>
      <c r="BK808" s="824">
        <v>9</v>
      </c>
      <c r="BL808" s="1226">
        <v>26382998</v>
      </c>
      <c r="BM808" s="1227">
        <v>8.9999999999999993E-3</v>
      </c>
      <c r="BN808" s="824">
        <v>2014</v>
      </c>
    </row>
    <row r="809" spans="1:66" ht="15" customHeight="1" x14ac:dyDescent="0.35">
      <c r="A809" s="64">
        <f t="shared" si="27"/>
        <v>1900</v>
      </c>
      <c r="B809" s="168" t="str">
        <f t="shared" si="26"/>
        <v>1899-00</v>
      </c>
      <c r="C809" s="64"/>
      <c r="BA809" s="1310" t="s">
        <v>345</v>
      </c>
      <c r="BB809" s="1225">
        <v>2009</v>
      </c>
      <c r="BC809" s="824" t="s">
        <v>323</v>
      </c>
      <c r="BD809" s="824">
        <v>7</v>
      </c>
      <c r="BE809" s="1226">
        <v>19315224</v>
      </c>
      <c r="BF809" s="1227">
        <v>1.2999999999999999E-2</v>
      </c>
      <c r="BH809" s="1310" t="s">
        <v>345</v>
      </c>
      <c r="BI809" s="824" t="s">
        <v>293</v>
      </c>
      <c r="BJ809" s="824" t="s">
        <v>323</v>
      </c>
      <c r="BK809" s="824">
        <v>10</v>
      </c>
      <c r="BL809" s="1226">
        <v>18821277</v>
      </c>
      <c r="BM809" s="1227">
        <v>7.0000000000000001E-3</v>
      </c>
      <c r="BN809" s="824">
        <v>2014</v>
      </c>
    </row>
    <row r="810" spans="1:66" ht="15" customHeight="1" x14ac:dyDescent="0.35">
      <c r="A810" s="64">
        <f t="shared" si="27"/>
        <v>1900</v>
      </c>
      <c r="B810" s="168" t="str">
        <f t="shared" si="26"/>
        <v>1899-00</v>
      </c>
      <c r="C810" s="64"/>
      <c r="BA810" s="1310" t="s">
        <v>345</v>
      </c>
      <c r="BB810" s="1225">
        <v>2009</v>
      </c>
      <c r="BC810" s="824" t="s">
        <v>346</v>
      </c>
      <c r="BD810" s="824">
        <v>8</v>
      </c>
      <c r="BE810" s="1226">
        <v>7754809</v>
      </c>
      <c r="BF810" s="1227">
        <v>5.0000000000000001E-3</v>
      </c>
      <c r="BH810" s="1310" t="s">
        <v>345</v>
      </c>
      <c r="BI810" s="824" t="s">
        <v>293</v>
      </c>
      <c r="BJ810" s="824" t="s">
        <v>291</v>
      </c>
      <c r="BL810" s="1226">
        <v>26592680</v>
      </c>
      <c r="BM810" s="1227">
        <v>8.9999999999999993E-3</v>
      </c>
      <c r="BN810" s="824">
        <v>2014</v>
      </c>
    </row>
    <row r="811" spans="1:66" ht="15" customHeight="1" x14ac:dyDescent="0.35">
      <c r="A811" s="64">
        <f t="shared" si="27"/>
        <v>1900</v>
      </c>
      <c r="B811" s="168" t="str">
        <f t="shared" si="26"/>
        <v>1899-00</v>
      </c>
      <c r="C811" s="64"/>
      <c r="BA811" s="1310" t="s">
        <v>345</v>
      </c>
      <c r="BB811" s="1225">
        <v>2009</v>
      </c>
      <c r="BC811" s="824" t="s">
        <v>350</v>
      </c>
      <c r="BD811" s="824">
        <v>9</v>
      </c>
      <c r="BE811" s="1226">
        <v>3259498</v>
      </c>
      <c r="BF811" s="1227">
        <v>2E-3</v>
      </c>
      <c r="BH811" s="1310" t="s">
        <v>345</v>
      </c>
      <c r="BI811" s="824" t="s">
        <v>293</v>
      </c>
      <c r="BJ811" s="824" t="s">
        <v>292</v>
      </c>
      <c r="BL811" s="1226">
        <v>2814640719</v>
      </c>
      <c r="BN811" s="824">
        <v>2014</v>
      </c>
    </row>
    <row r="812" spans="1:66" ht="15" customHeight="1" x14ac:dyDescent="0.35">
      <c r="A812" s="64">
        <f t="shared" si="27"/>
        <v>1900</v>
      </c>
      <c r="B812" s="168" t="str">
        <f t="shared" si="26"/>
        <v>1899-00</v>
      </c>
      <c r="C812" s="64"/>
      <c r="BA812" s="1310" t="s">
        <v>345</v>
      </c>
      <c r="BB812" s="1225">
        <v>2009</v>
      </c>
      <c r="BC812" s="824" t="s">
        <v>172</v>
      </c>
      <c r="BD812" s="824">
        <v>10</v>
      </c>
      <c r="BE812" s="1235" t="s">
        <v>172</v>
      </c>
      <c r="BF812" s="1227">
        <v>0</v>
      </c>
      <c r="BH812" s="1310" t="s">
        <v>345</v>
      </c>
      <c r="BI812" s="824" t="s">
        <v>294</v>
      </c>
      <c r="BJ812" s="824" t="s">
        <v>281</v>
      </c>
      <c r="BK812" s="824">
        <v>1</v>
      </c>
      <c r="BL812" s="1226">
        <v>956010000</v>
      </c>
      <c r="BM812" s="1227">
        <v>0.373</v>
      </c>
      <c r="BN812" s="824">
        <v>2013</v>
      </c>
    </row>
    <row r="813" spans="1:66" ht="15" customHeight="1" x14ac:dyDescent="0.35">
      <c r="A813" s="64">
        <f t="shared" si="27"/>
        <v>1900</v>
      </c>
      <c r="B813" s="168" t="str">
        <f t="shared" si="26"/>
        <v>1899-00</v>
      </c>
      <c r="C813" s="64"/>
      <c r="BA813" s="1310" t="s">
        <v>345</v>
      </c>
      <c r="BB813" s="1225">
        <v>2009</v>
      </c>
      <c r="BC813" s="824" t="s">
        <v>291</v>
      </c>
      <c r="BE813" s="1226">
        <v>0</v>
      </c>
      <c r="BF813" s="1227">
        <v>0</v>
      </c>
      <c r="BH813" s="1310" t="s">
        <v>345</v>
      </c>
      <c r="BI813" s="824" t="s">
        <v>294</v>
      </c>
      <c r="BJ813" s="824" t="s">
        <v>320</v>
      </c>
      <c r="BK813" s="824">
        <v>2</v>
      </c>
      <c r="BL813" s="1226">
        <v>502737544</v>
      </c>
      <c r="BM813" s="1227">
        <v>0.19600000000000001</v>
      </c>
      <c r="BN813" s="824">
        <v>2013</v>
      </c>
    </row>
    <row r="814" spans="1:66" ht="15" customHeight="1" x14ac:dyDescent="0.35">
      <c r="A814" s="64">
        <f t="shared" si="27"/>
        <v>1900</v>
      </c>
      <c r="B814" s="168" t="str">
        <f t="shared" si="26"/>
        <v>1899-00</v>
      </c>
      <c r="C814" s="64"/>
      <c r="BA814" s="1310" t="s">
        <v>345</v>
      </c>
      <c r="BB814" s="1225">
        <v>2009</v>
      </c>
      <c r="BC814" s="824" t="s">
        <v>292</v>
      </c>
      <c r="BE814" s="1226">
        <v>1494007960</v>
      </c>
      <c r="BH814" s="1310" t="s">
        <v>345</v>
      </c>
      <c r="BI814" s="824" t="s">
        <v>294</v>
      </c>
      <c r="BJ814" s="824" t="s">
        <v>346</v>
      </c>
      <c r="BK814" s="824">
        <v>3</v>
      </c>
      <c r="BL814" s="1226">
        <v>357401377</v>
      </c>
      <c r="BM814" s="1227">
        <v>0.14000000000000001</v>
      </c>
      <c r="BN814" s="824">
        <v>2013</v>
      </c>
    </row>
    <row r="815" spans="1:66" ht="15" customHeight="1" x14ac:dyDescent="0.35">
      <c r="A815" s="64">
        <f t="shared" si="27"/>
        <v>1900</v>
      </c>
      <c r="B815" s="168" t="str">
        <f t="shared" si="26"/>
        <v>1899-00</v>
      </c>
      <c r="C815" s="64"/>
      <c r="BA815" s="1310" t="s">
        <v>345</v>
      </c>
      <c r="BB815" s="1225">
        <v>2008</v>
      </c>
      <c r="BC815" s="824" t="s">
        <v>287</v>
      </c>
      <c r="BD815" s="824">
        <v>1</v>
      </c>
      <c r="BE815" s="1226">
        <v>464587044</v>
      </c>
      <c r="BF815" s="1227">
        <v>0.308</v>
      </c>
      <c r="BH815" s="1310" t="s">
        <v>345</v>
      </c>
      <c r="BI815" s="824" t="s">
        <v>294</v>
      </c>
      <c r="BJ815" s="824" t="s">
        <v>287</v>
      </c>
      <c r="BK815" s="824">
        <v>4</v>
      </c>
      <c r="BL815" s="1226">
        <v>295726921</v>
      </c>
      <c r="BM815" s="1227">
        <v>0.11600000000000001</v>
      </c>
      <c r="BN815" s="824">
        <v>2013</v>
      </c>
    </row>
    <row r="816" spans="1:66" ht="15" customHeight="1" x14ac:dyDescent="0.35">
      <c r="A816" s="64">
        <f t="shared" si="27"/>
        <v>1900</v>
      </c>
      <c r="B816" s="168" t="str">
        <f t="shared" si="26"/>
        <v>1899-00</v>
      </c>
      <c r="C816" s="64"/>
      <c r="BA816" s="1310" t="s">
        <v>345</v>
      </c>
      <c r="BB816" s="1225">
        <v>2008</v>
      </c>
      <c r="BC816" s="824" t="s">
        <v>281</v>
      </c>
      <c r="BD816" s="824">
        <v>2</v>
      </c>
      <c r="BE816" s="1226">
        <v>379573095</v>
      </c>
      <c r="BF816" s="1227">
        <v>0.251</v>
      </c>
      <c r="BH816" s="1310" t="s">
        <v>345</v>
      </c>
      <c r="BI816" s="824" t="s">
        <v>294</v>
      </c>
      <c r="BJ816" s="824" t="s">
        <v>308</v>
      </c>
      <c r="BK816" s="824">
        <v>5</v>
      </c>
      <c r="BL816" s="1226">
        <v>229895487</v>
      </c>
      <c r="BM816" s="1227">
        <v>0.09</v>
      </c>
      <c r="BN816" s="824">
        <v>2013</v>
      </c>
    </row>
    <row r="817" spans="1:66" ht="15" customHeight="1" x14ac:dyDescent="0.35">
      <c r="A817" s="64">
        <f t="shared" si="27"/>
        <v>1900</v>
      </c>
      <c r="B817" s="168" t="str">
        <f t="shared" si="26"/>
        <v>1899-00</v>
      </c>
      <c r="C817" s="64"/>
      <c r="BA817" s="1310" t="s">
        <v>345</v>
      </c>
      <c r="BB817" s="1225">
        <v>2008</v>
      </c>
      <c r="BC817" s="824" t="s">
        <v>320</v>
      </c>
      <c r="BD817" s="824">
        <v>3</v>
      </c>
      <c r="BE817" s="1226">
        <v>264550168</v>
      </c>
      <c r="BF817" s="1227">
        <v>0.17499999999999999</v>
      </c>
      <c r="BH817" s="1310" t="s">
        <v>345</v>
      </c>
      <c r="BI817" s="824" t="s">
        <v>294</v>
      </c>
      <c r="BJ817" s="824" t="s">
        <v>335</v>
      </c>
      <c r="BK817" s="824">
        <v>6</v>
      </c>
      <c r="BL817" s="1226">
        <v>150596969</v>
      </c>
      <c r="BM817" s="1227">
        <v>5.8999999999999997E-2</v>
      </c>
      <c r="BN817" s="824">
        <v>2013</v>
      </c>
    </row>
    <row r="818" spans="1:66" ht="15" customHeight="1" x14ac:dyDescent="0.35">
      <c r="A818" s="64">
        <f t="shared" si="27"/>
        <v>1900</v>
      </c>
      <c r="B818" s="168" t="str">
        <f t="shared" si="26"/>
        <v>1899-00</v>
      </c>
      <c r="C818" s="64"/>
      <c r="BA818" s="1310" t="s">
        <v>345</v>
      </c>
      <c r="BB818" s="1225">
        <v>2008</v>
      </c>
      <c r="BC818" s="824" t="s">
        <v>308</v>
      </c>
      <c r="BD818" s="824">
        <v>4</v>
      </c>
      <c r="BE818" s="1226">
        <v>237000783</v>
      </c>
      <c r="BF818" s="1227">
        <v>0.157</v>
      </c>
      <c r="BH818" s="1310" t="s">
        <v>345</v>
      </c>
      <c r="BI818" s="824" t="s">
        <v>294</v>
      </c>
      <c r="BJ818" s="824" t="s">
        <v>319</v>
      </c>
      <c r="BK818" s="824">
        <v>7</v>
      </c>
      <c r="BL818" s="1226">
        <v>20214113</v>
      </c>
      <c r="BM818" s="1227">
        <v>8.0000000000000002E-3</v>
      </c>
      <c r="BN818" s="824">
        <v>2013</v>
      </c>
    </row>
    <row r="819" spans="1:66" ht="15" customHeight="1" x14ac:dyDescent="0.35">
      <c r="A819" s="64">
        <f t="shared" si="27"/>
        <v>1900</v>
      </c>
      <c r="B819" s="168" t="str">
        <f t="shared" si="26"/>
        <v>1899-00</v>
      </c>
      <c r="C819" s="64"/>
      <c r="BA819" s="1310" t="s">
        <v>345</v>
      </c>
      <c r="BB819" s="1225">
        <v>2008</v>
      </c>
      <c r="BC819" s="824" t="s">
        <v>346</v>
      </c>
      <c r="BD819" s="824">
        <v>5</v>
      </c>
      <c r="BE819" s="1226">
        <v>62414814</v>
      </c>
      <c r="BF819" s="1227">
        <v>4.1000000000000002E-2</v>
      </c>
      <c r="BH819" s="1310" t="s">
        <v>345</v>
      </c>
      <c r="BI819" s="824" t="s">
        <v>294</v>
      </c>
      <c r="BJ819" s="824" t="s">
        <v>289</v>
      </c>
      <c r="BK819" s="824">
        <v>8</v>
      </c>
      <c r="BL819" s="1226">
        <v>16007580</v>
      </c>
      <c r="BM819" s="1227">
        <v>6.0000000000000001E-3</v>
      </c>
      <c r="BN819" s="824">
        <v>2013</v>
      </c>
    </row>
    <row r="820" spans="1:66" ht="15" customHeight="1" x14ac:dyDescent="0.35">
      <c r="A820" s="64">
        <f t="shared" si="27"/>
        <v>1900</v>
      </c>
      <c r="B820" s="168" t="str">
        <f t="shared" si="26"/>
        <v>1899-00</v>
      </c>
      <c r="C820" s="64"/>
      <c r="BA820" s="1310" t="s">
        <v>345</v>
      </c>
      <c r="BB820" s="1225">
        <v>2008</v>
      </c>
      <c r="BC820" s="824" t="s">
        <v>323</v>
      </c>
      <c r="BD820" s="824">
        <v>6</v>
      </c>
      <c r="BE820" s="1226">
        <v>60258530</v>
      </c>
      <c r="BF820" s="1227">
        <v>0.04</v>
      </c>
      <c r="BH820" s="1310" t="s">
        <v>345</v>
      </c>
      <c r="BI820" s="824" t="s">
        <v>294</v>
      </c>
      <c r="BJ820" s="824" t="s">
        <v>305</v>
      </c>
      <c r="BK820" s="824">
        <v>9</v>
      </c>
      <c r="BL820" s="1226">
        <v>12434191</v>
      </c>
      <c r="BM820" s="1227">
        <v>5.0000000000000001E-3</v>
      </c>
      <c r="BN820" s="824">
        <v>2013</v>
      </c>
    </row>
    <row r="821" spans="1:66" ht="15" customHeight="1" x14ac:dyDescent="0.35">
      <c r="A821" s="64">
        <f t="shared" si="27"/>
        <v>1900</v>
      </c>
      <c r="B821" s="168" t="str">
        <f t="shared" si="26"/>
        <v>1899-00</v>
      </c>
      <c r="C821" s="64"/>
      <c r="BA821" s="1310" t="s">
        <v>345</v>
      </c>
      <c r="BB821" s="1225">
        <v>2008</v>
      </c>
      <c r="BC821" s="824" t="s">
        <v>283</v>
      </c>
      <c r="BD821" s="824">
        <v>7</v>
      </c>
      <c r="BE821" s="1226">
        <v>14639640</v>
      </c>
      <c r="BF821" s="1227">
        <v>0.01</v>
      </c>
      <c r="BH821" s="1310" t="s">
        <v>345</v>
      </c>
      <c r="BI821" s="824" t="s">
        <v>294</v>
      </c>
      <c r="BJ821" s="824" t="s">
        <v>323</v>
      </c>
      <c r="BK821" s="824">
        <v>10</v>
      </c>
      <c r="BL821" s="1226">
        <v>7190591</v>
      </c>
      <c r="BM821" s="1227">
        <v>3.0000000000000001E-3</v>
      </c>
      <c r="BN821" s="824">
        <v>2013</v>
      </c>
    </row>
    <row r="822" spans="1:66" ht="15" customHeight="1" x14ac:dyDescent="0.35">
      <c r="A822" s="64">
        <f t="shared" si="27"/>
        <v>1900</v>
      </c>
      <c r="B822" s="168" t="str">
        <f t="shared" ref="B822" si="28">IF(MONTH(C822) &gt;= 7, A822 &amp; "-" &amp; RIGHT(A822+1, 2), A822-1 &amp; "-" &amp; RIGHT(A822, 2))</f>
        <v>1899-00</v>
      </c>
      <c r="C822" s="64"/>
      <c r="BA822" s="1310" t="s">
        <v>345</v>
      </c>
      <c r="BB822" s="1225">
        <v>2008</v>
      </c>
      <c r="BC822" s="824" t="s">
        <v>312</v>
      </c>
      <c r="BD822" s="824">
        <v>8</v>
      </c>
      <c r="BE822" s="1226">
        <v>13505402</v>
      </c>
      <c r="BF822" s="1227">
        <v>8.9999999999999993E-3</v>
      </c>
      <c r="BH822" s="1310" t="s">
        <v>345</v>
      </c>
      <c r="BI822" s="824" t="s">
        <v>294</v>
      </c>
      <c r="BJ822" s="824" t="s">
        <v>291</v>
      </c>
      <c r="BL822" s="1226">
        <v>12076932</v>
      </c>
      <c r="BM822" s="1227">
        <v>5.0000000000000001E-3</v>
      </c>
      <c r="BN822" s="824">
        <v>2013</v>
      </c>
    </row>
    <row r="823" spans="1:66" ht="15" customHeight="1" x14ac:dyDescent="0.35">
      <c r="A823" s="64">
        <f t="shared" si="27"/>
        <v>1900</v>
      </c>
      <c r="B823" s="168" t="str">
        <f>IF(MONTH(C823) &gt;= 7, A823 &amp; "-" &amp; RIGHT(A823+1, 2), A823-1 &amp; "-" &amp; RIGHT(A823, 2))</f>
        <v>1899-00</v>
      </c>
      <c r="C823" s="64"/>
      <c r="BA823" s="1310" t="s">
        <v>345</v>
      </c>
      <c r="BB823" s="1225">
        <v>2008</v>
      </c>
      <c r="BC823" s="824" t="s">
        <v>319</v>
      </c>
      <c r="BD823" s="824">
        <v>9</v>
      </c>
      <c r="BE823" s="1226">
        <v>12863196</v>
      </c>
      <c r="BF823" s="1227">
        <v>8.9999999999999993E-3</v>
      </c>
      <c r="BH823" s="1310" t="s">
        <v>345</v>
      </c>
      <c r="BI823" s="824" t="s">
        <v>294</v>
      </c>
      <c r="BJ823" s="824" t="s">
        <v>292</v>
      </c>
      <c r="BL823" s="1226">
        <v>2560291703</v>
      </c>
      <c r="BN823" s="824">
        <v>2013</v>
      </c>
    </row>
    <row r="824" spans="1:66" ht="15" customHeight="1" x14ac:dyDescent="0.35">
      <c r="A824" s="64">
        <f t="shared" si="27"/>
        <v>1900</v>
      </c>
      <c r="B824" s="168" t="str">
        <f t="shared" ref="B824:B887" si="29">IF(MONTH(C824) &gt;= 7, A824 &amp; "-" &amp; RIGHT(A824+1, 2), A824-1 &amp; "-" &amp; RIGHT(A824, 2))</f>
        <v>1899-00</v>
      </c>
      <c r="C824" s="64"/>
      <c r="BA824" s="1310" t="s">
        <v>345</v>
      </c>
      <c r="BB824" s="1225">
        <v>2008</v>
      </c>
      <c r="BC824" s="824" t="s">
        <v>348</v>
      </c>
      <c r="BD824" s="824">
        <v>10</v>
      </c>
      <c r="BE824" s="1226">
        <v>2394</v>
      </c>
      <c r="BF824" s="1227">
        <v>0</v>
      </c>
      <c r="BH824" s="1310" t="s">
        <v>345</v>
      </c>
      <c r="BI824" s="824" t="s">
        <v>295</v>
      </c>
      <c r="BJ824" s="824" t="s">
        <v>281</v>
      </c>
      <c r="BK824" s="824">
        <v>1</v>
      </c>
      <c r="BL824" s="1226">
        <v>822469101</v>
      </c>
      <c r="BM824" s="1227">
        <v>0.29899999999999999</v>
      </c>
      <c r="BN824" s="824">
        <v>2012</v>
      </c>
    </row>
    <row r="825" spans="1:66" ht="15" customHeight="1" x14ac:dyDescent="0.35">
      <c r="A825" s="64">
        <f t="shared" si="27"/>
        <v>1900</v>
      </c>
      <c r="B825" s="168" t="str">
        <f t="shared" si="29"/>
        <v>1899-00</v>
      </c>
      <c r="C825" s="64"/>
      <c r="BA825" s="1310" t="s">
        <v>345</v>
      </c>
      <c r="BB825" s="1225">
        <v>2008</v>
      </c>
      <c r="BC825" s="824" t="s">
        <v>291</v>
      </c>
      <c r="BE825" s="1226">
        <v>0</v>
      </c>
      <c r="BF825" s="1227">
        <v>0</v>
      </c>
      <c r="BH825" s="1310" t="s">
        <v>345</v>
      </c>
      <c r="BI825" s="824" t="s">
        <v>295</v>
      </c>
      <c r="BJ825" s="824" t="s">
        <v>320</v>
      </c>
      <c r="BK825" s="824">
        <v>2</v>
      </c>
      <c r="BL825" s="1226">
        <v>537000994</v>
      </c>
      <c r="BM825" s="1227">
        <v>0.19500000000000001</v>
      </c>
      <c r="BN825" s="824">
        <v>2012</v>
      </c>
    </row>
    <row r="826" spans="1:66" ht="15" customHeight="1" x14ac:dyDescent="0.35">
      <c r="A826" s="64">
        <f t="shared" si="27"/>
        <v>1900</v>
      </c>
      <c r="B826" s="168" t="str">
        <f t="shared" si="29"/>
        <v>1899-00</v>
      </c>
      <c r="C826" s="64"/>
      <c r="BA826" s="1310" t="s">
        <v>345</v>
      </c>
      <c r="BB826" s="1225">
        <v>2008</v>
      </c>
      <c r="BC826" s="824" t="s">
        <v>292</v>
      </c>
      <c r="BE826" s="1226">
        <v>1509395066</v>
      </c>
      <c r="BH826" s="1310" t="s">
        <v>345</v>
      </c>
      <c r="BI826" s="824" t="s">
        <v>295</v>
      </c>
      <c r="BJ826" s="824" t="s">
        <v>308</v>
      </c>
      <c r="BK826" s="824">
        <v>3</v>
      </c>
      <c r="BL826" s="1226">
        <v>456278097</v>
      </c>
      <c r="BM826" s="1227">
        <v>0.16600000000000001</v>
      </c>
      <c r="BN826" s="824">
        <v>2012</v>
      </c>
    </row>
    <row r="827" spans="1:66" ht="15" customHeight="1" x14ac:dyDescent="0.35">
      <c r="A827" s="64">
        <f t="shared" si="27"/>
        <v>1900</v>
      </c>
      <c r="B827" s="168" t="str">
        <f t="shared" si="29"/>
        <v>1899-00</v>
      </c>
      <c r="C827" s="64"/>
      <c r="BA827" s="1310" t="s">
        <v>345</v>
      </c>
      <c r="BB827" s="1225">
        <v>2007</v>
      </c>
      <c r="BC827" s="824" t="s">
        <v>287</v>
      </c>
      <c r="BD827" s="824">
        <v>1</v>
      </c>
      <c r="BE827" s="1226">
        <v>379747670</v>
      </c>
      <c r="BF827" s="1227">
        <v>0.27500000000000002</v>
      </c>
      <c r="BH827" s="1310" t="s">
        <v>345</v>
      </c>
      <c r="BI827" s="824" t="s">
        <v>295</v>
      </c>
      <c r="BJ827" s="824" t="s">
        <v>287</v>
      </c>
      <c r="BK827" s="824">
        <v>4</v>
      </c>
      <c r="BL827" s="1226">
        <v>292121906</v>
      </c>
      <c r="BM827" s="1227">
        <v>0.106</v>
      </c>
      <c r="BN827" s="824">
        <v>2012</v>
      </c>
    </row>
    <row r="828" spans="1:66" ht="15" customHeight="1" x14ac:dyDescent="0.35">
      <c r="A828" s="64">
        <f t="shared" si="27"/>
        <v>1900</v>
      </c>
      <c r="B828" s="168" t="str">
        <f t="shared" si="29"/>
        <v>1899-00</v>
      </c>
      <c r="C828" s="64"/>
      <c r="BA828" s="1310" t="s">
        <v>345</v>
      </c>
      <c r="BB828" s="1225">
        <v>2007</v>
      </c>
      <c r="BC828" s="824" t="s">
        <v>281</v>
      </c>
      <c r="BD828" s="824">
        <v>2</v>
      </c>
      <c r="BE828" s="1226">
        <v>297492519</v>
      </c>
      <c r="BF828" s="1227">
        <v>0.216</v>
      </c>
      <c r="BH828" s="1310" t="s">
        <v>345</v>
      </c>
      <c r="BI828" s="824" t="s">
        <v>295</v>
      </c>
      <c r="BJ828" s="824" t="s">
        <v>346</v>
      </c>
      <c r="BK828" s="824">
        <v>5</v>
      </c>
      <c r="BL828" s="1226">
        <v>265578998</v>
      </c>
      <c r="BM828" s="1227">
        <v>9.7000000000000003E-2</v>
      </c>
      <c r="BN828" s="824">
        <v>2012</v>
      </c>
    </row>
    <row r="829" spans="1:66" ht="15" customHeight="1" x14ac:dyDescent="0.35">
      <c r="A829" s="64">
        <f t="shared" si="27"/>
        <v>1900</v>
      </c>
      <c r="B829" s="168" t="str">
        <f t="shared" si="29"/>
        <v>1899-00</v>
      </c>
      <c r="C829" s="64"/>
      <c r="BA829" s="1310" t="s">
        <v>345</v>
      </c>
      <c r="BB829" s="1225">
        <v>2007</v>
      </c>
      <c r="BC829" s="824" t="s">
        <v>308</v>
      </c>
      <c r="BD829" s="824">
        <v>3</v>
      </c>
      <c r="BE829" s="1226">
        <v>288281068</v>
      </c>
      <c r="BF829" s="1227">
        <v>0.20899999999999999</v>
      </c>
      <c r="BH829" s="1310" t="s">
        <v>345</v>
      </c>
      <c r="BI829" s="824" t="s">
        <v>295</v>
      </c>
      <c r="BJ829" s="824" t="s">
        <v>335</v>
      </c>
      <c r="BK829" s="824">
        <v>6</v>
      </c>
      <c r="BL829" s="1226">
        <v>233320808</v>
      </c>
      <c r="BM829" s="1227">
        <v>8.5000000000000006E-2</v>
      </c>
      <c r="BN829" s="824">
        <v>2012</v>
      </c>
    </row>
    <row r="830" spans="1:66" ht="15" customHeight="1" x14ac:dyDescent="0.35">
      <c r="A830" s="64">
        <f t="shared" si="27"/>
        <v>1900</v>
      </c>
      <c r="B830" s="168" t="str">
        <f t="shared" si="29"/>
        <v>1899-00</v>
      </c>
      <c r="C830" s="64"/>
      <c r="BA830" s="1310" t="s">
        <v>345</v>
      </c>
      <c r="BB830" s="1225">
        <v>2007</v>
      </c>
      <c r="BC830" s="824" t="s">
        <v>320</v>
      </c>
      <c r="BD830" s="824">
        <v>4</v>
      </c>
      <c r="BE830" s="1226">
        <v>239939224</v>
      </c>
      <c r="BF830" s="1227">
        <v>0.17399999999999999</v>
      </c>
      <c r="BH830" s="1310" t="s">
        <v>345</v>
      </c>
      <c r="BI830" s="824" t="s">
        <v>295</v>
      </c>
      <c r="BJ830" s="824" t="s">
        <v>319</v>
      </c>
      <c r="BK830" s="824">
        <v>7</v>
      </c>
      <c r="BL830" s="1226">
        <v>51302871</v>
      </c>
      <c r="BM830" s="1227">
        <v>1.9E-2</v>
      </c>
      <c r="BN830" s="824">
        <v>2012</v>
      </c>
    </row>
    <row r="831" spans="1:66" ht="15" customHeight="1" x14ac:dyDescent="0.35">
      <c r="A831" s="64">
        <f t="shared" si="27"/>
        <v>1900</v>
      </c>
      <c r="B831" s="168" t="str">
        <f t="shared" si="29"/>
        <v>1899-00</v>
      </c>
      <c r="C831" s="64"/>
      <c r="BA831" s="1310" t="s">
        <v>345</v>
      </c>
      <c r="BB831" s="1225">
        <v>2007</v>
      </c>
      <c r="BC831" s="824" t="s">
        <v>323</v>
      </c>
      <c r="BD831" s="824">
        <v>5</v>
      </c>
      <c r="BE831" s="1226">
        <v>91506671</v>
      </c>
      <c r="BF831" s="1227">
        <v>6.6000000000000003E-2</v>
      </c>
      <c r="BH831" s="1310" t="s">
        <v>345</v>
      </c>
      <c r="BI831" s="824" t="s">
        <v>295</v>
      </c>
      <c r="BJ831" s="824" t="s">
        <v>315</v>
      </c>
      <c r="BK831" s="824">
        <v>8</v>
      </c>
      <c r="BL831" s="1226">
        <v>40312589</v>
      </c>
      <c r="BM831" s="1227">
        <v>1.4999999999999999E-2</v>
      </c>
      <c r="BN831" s="824">
        <v>2012</v>
      </c>
    </row>
    <row r="832" spans="1:66" ht="15" customHeight="1" x14ac:dyDescent="0.35">
      <c r="A832" s="64">
        <f t="shared" si="27"/>
        <v>1900</v>
      </c>
      <c r="B832" s="168" t="str">
        <f t="shared" si="29"/>
        <v>1899-00</v>
      </c>
      <c r="C832" s="64"/>
      <c r="BA832" s="1310" t="s">
        <v>345</v>
      </c>
      <c r="BB832" s="1225">
        <v>2007</v>
      </c>
      <c r="BC832" s="824" t="s">
        <v>319</v>
      </c>
      <c r="BD832" s="824">
        <v>6</v>
      </c>
      <c r="BE832" s="1226">
        <v>49197222</v>
      </c>
      <c r="BF832" s="1227">
        <v>3.5999999999999997E-2</v>
      </c>
      <c r="BH832" s="1310" t="s">
        <v>345</v>
      </c>
      <c r="BI832" s="824" t="s">
        <v>295</v>
      </c>
      <c r="BJ832" s="824" t="s">
        <v>286</v>
      </c>
      <c r="BK832" s="824">
        <v>9</v>
      </c>
      <c r="BL832" s="1226">
        <v>38193450</v>
      </c>
      <c r="BM832" s="1227">
        <v>1.4E-2</v>
      </c>
      <c r="BN832" s="824">
        <v>2012</v>
      </c>
    </row>
    <row r="833" spans="1:66" ht="15" customHeight="1" x14ac:dyDescent="0.35">
      <c r="A833" s="64">
        <f t="shared" si="27"/>
        <v>1900</v>
      </c>
      <c r="B833" s="168" t="str">
        <f t="shared" si="29"/>
        <v>1899-00</v>
      </c>
      <c r="C833" s="64"/>
      <c r="BA833" s="1310" t="s">
        <v>345</v>
      </c>
      <c r="BB833" s="1225">
        <v>2007</v>
      </c>
      <c r="BC833" s="824" t="s">
        <v>346</v>
      </c>
      <c r="BD833" s="824">
        <v>7</v>
      </c>
      <c r="BE833" s="1226">
        <v>18168605</v>
      </c>
      <c r="BF833" s="1227">
        <v>1.2999999999999999E-2</v>
      </c>
      <c r="BH833" s="1310" t="s">
        <v>345</v>
      </c>
      <c r="BI833" s="824" t="s">
        <v>295</v>
      </c>
      <c r="BJ833" s="824" t="s">
        <v>323</v>
      </c>
      <c r="BK833" s="824">
        <v>10</v>
      </c>
      <c r="BL833" s="1226">
        <v>11535492</v>
      </c>
      <c r="BM833" s="1227">
        <v>4.0000000000000001E-3</v>
      </c>
      <c r="BN833" s="824">
        <v>2012</v>
      </c>
    </row>
    <row r="834" spans="1:66" ht="15" customHeight="1" x14ac:dyDescent="0.35">
      <c r="A834" s="64">
        <f t="shared" si="27"/>
        <v>1900</v>
      </c>
      <c r="B834" s="168" t="str">
        <f t="shared" si="29"/>
        <v>1899-00</v>
      </c>
      <c r="C834" s="64"/>
      <c r="BA834" s="1310" t="s">
        <v>345</v>
      </c>
      <c r="BB834" s="1225">
        <v>2007</v>
      </c>
      <c r="BC834" s="824" t="s">
        <v>305</v>
      </c>
      <c r="BD834" s="824">
        <v>8</v>
      </c>
      <c r="BE834" s="1226">
        <v>14456853</v>
      </c>
      <c r="BF834" s="1227">
        <v>0.01</v>
      </c>
      <c r="BH834" s="1310" t="s">
        <v>345</v>
      </c>
      <c r="BI834" s="824" t="s">
        <v>295</v>
      </c>
      <c r="BJ834" s="824" t="s">
        <v>291</v>
      </c>
      <c r="BL834" s="1226">
        <v>2417961</v>
      </c>
      <c r="BM834" s="1227">
        <v>1E-3</v>
      </c>
      <c r="BN834" s="824">
        <v>2012</v>
      </c>
    </row>
    <row r="835" spans="1:66" ht="15" customHeight="1" x14ac:dyDescent="0.35">
      <c r="A835" s="64">
        <f t="shared" si="27"/>
        <v>1900</v>
      </c>
      <c r="B835" s="168" t="str">
        <f t="shared" si="29"/>
        <v>1899-00</v>
      </c>
      <c r="C835" s="64"/>
      <c r="BA835" s="1310" t="s">
        <v>345</v>
      </c>
      <c r="BB835" s="1225">
        <v>2007</v>
      </c>
      <c r="BC835" s="824" t="s">
        <v>286</v>
      </c>
      <c r="BD835" s="824">
        <v>9</v>
      </c>
      <c r="BE835" s="1226">
        <v>1700</v>
      </c>
      <c r="BF835" s="1227">
        <v>0</v>
      </c>
      <c r="BH835" s="1310" t="s">
        <v>345</v>
      </c>
      <c r="BI835" s="824" t="s">
        <v>295</v>
      </c>
      <c r="BJ835" s="824" t="s">
        <v>292</v>
      </c>
      <c r="BL835" s="1226">
        <v>2750532266</v>
      </c>
      <c r="BN835" s="824">
        <v>2012</v>
      </c>
    </row>
    <row r="836" spans="1:66" ht="15" customHeight="1" x14ac:dyDescent="0.35">
      <c r="A836" s="64">
        <f t="shared" si="27"/>
        <v>1900</v>
      </c>
      <c r="B836" s="168" t="str">
        <f t="shared" si="29"/>
        <v>1899-00</v>
      </c>
      <c r="C836" s="64"/>
      <c r="BA836" s="1310" t="s">
        <v>345</v>
      </c>
      <c r="BB836" s="1225">
        <v>2007</v>
      </c>
      <c r="BC836" s="824" t="s">
        <v>172</v>
      </c>
      <c r="BD836" s="824">
        <v>10</v>
      </c>
      <c r="BE836" s="1226">
        <v>0</v>
      </c>
      <c r="BF836" s="1227">
        <v>0</v>
      </c>
      <c r="BH836" s="1310" t="s">
        <v>345</v>
      </c>
      <c r="BI836" s="824" t="s">
        <v>297</v>
      </c>
      <c r="BJ836" s="824" t="s">
        <v>320</v>
      </c>
      <c r="BK836" s="824">
        <v>1</v>
      </c>
      <c r="BL836" s="1226">
        <v>376008888</v>
      </c>
      <c r="BM836" s="1227">
        <v>0.31</v>
      </c>
      <c r="BN836" s="824">
        <v>2011</v>
      </c>
    </row>
    <row r="837" spans="1:66" ht="15" customHeight="1" x14ac:dyDescent="0.35">
      <c r="A837" s="64">
        <f t="shared" si="27"/>
        <v>1900</v>
      </c>
      <c r="B837" s="168" t="str">
        <f t="shared" si="29"/>
        <v>1899-00</v>
      </c>
      <c r="C837" s="64"/>
      <c r="BA837" s="1310" t="s">
        <v>345</v>
      </c>
      <c r="BB837" s="1225">
        <v>2007</v>
      </c>
      <c r="BC837" s="824" t="s">
        <v>291</v>
      </c>
      <c r="BE837" s="1226">
        <v>0</v>
      </c>
      <c r="BF837" s="1227">
        <v>0</v>
      </c>
      <c r="BH837" s="1310" t="s">
        <v>345</v>
      </c>
      <c r="BI837" s="824" t="s">
        <v>297</v>
      </c>
      <c r="BJ837" s="824" t="s">
        <v>308</v>
      </c>
      <c r="BK837" s="824">
        <v>2</v>
      </c>
      <c r="BL837" s="1226">
        <v>290957394</v>
      </c>
      <c r="BM837" s="1227">
        <v>0.24</v>
      </c>
      <c r="BN837" s="824">
        <v>2011</v>
      </c>
    </row>
    <row r="838" spans="1:66" ht="15" customHeight="1" x14ac:dyDescent="0.35">
      <c r="A838" s="64">
        <f t="shared" si="27"/>
        <v>1900</v>
      </c>
      <c r="B838" s="168" t="str">
        <f t="shared" si="29"/>
        <v>1899-00</v>
      </c>
      <c r="C838" s="64"/>
      <c r="BA838" s="1310" t="s">
        <v>345</v>
      </c>
      <c r="BB838" s="1225">
        <v>2007</v>
      </c>
      <c r="BC838" s="824" t="s">
        <v>292</v>
      </c>
      <c r="BE838" s="1226">
        <v>1378791531</v>
      </c>
      <c r="BH838" s="1310" t="s">
        <v>345</v>
      </c>
      <c r="BI838" s="824" t="s">
        <v>297</v>
      </c>
      <c r="BJ838" s="824" t="s">
        <v>281</v>
      </c>
      <c r="BK838" s="824">
        <v>3</v>
      </c>
      <c r="BL838" s="1226">
        <v>181537424</v>
      </c>
      <c r="BM838" s="1227">
        <v>0.15</v>
      </c>
      <c r="BN838" s="824">
        <v>2011</v>
      </c>
    </row>
    <row r="839" spans="1:66" ht="15" customHeight="1" x14ac:dyDescent="0.35">
      <c r="A839" s="64">
        <f t="shared" si="27"/>
        <v>1900</v>
      </c>
      <c r="B839" s="168" t="str">
        <f t="shared" si="29"/>
        <v>1899-00</v>
      </c>
      <c r="C839" s="64"/>
      <c r="BA839" s="1310" t="s">
        <v>165</v>
      </c>
      <c r="BB839" s="1225">
        <v>2007</v>
      </c>
      <c r="BC839" s="824" t="s">
        <v>281</v>
      </c>
      <c r="BD839" s="824">
        <v>1</v>
      </c>
      <c r="BE839" s="1226">
        <v>837070605.00999999</v>
      </c>
      <c r="BF839" s="1227">
        <v>0.20177416774446275</v>
      </c>
      <c r="BH839" s="1310" t="s">
        <v>345</v>
      </c>
      <c r="BI839" s="824" t="s">
        <v>297</v>
      </c>
      <c r="BJ839" s="824" t="s">
        <v>287</v>
      </c>
      <c r="BK839" s="824">
        <v>4</v>
      </c>
      <c r="BL839" s="1226">
        <v>165530679</v>
      </c>
      <c r="BM839" s="1227">
        <v>0.13700000000000001</v>
      </c>
      <c r="BN839" s="824">
        <v>2011</v>
      </c>
    </row>
    <row r="840" spans="1:66" ht="15" customHeight="1" x14ac:dyDescent="0.35">
      <c r="A840" s="64">
        <f t="shared" si="27"/>
        <v>1900</v>
      </c>
      <c r="B840" s="168" t="str">
        <f t="shared" si="29"/>
        <v>1899-00</v>
      </c>
      <c r="C840" s="64"/>
      <c r="BA840" s="1310" t="s">
        <v>165</v>
      </c>
      <c r="BB840" s="1225">
        <v>2007</v>
      </c>
      <c r="BC840" s="824" t="s">
        <v>282</v>
      </c>
      <c r="BD840" s="824">
        <v>2</v>
      </c>
      <c r="BE840" s="1226">
        <v>716092011.2299999</v>
      </c>
      <c r="BF840" s="1227">
        <v>0.17261252363851146</v>
      </c>
      <c r="BH840" s="1310" t="s">
        <v>345</v>
      </c>
      <c r="BI840" s="824" t="s">
        <v>297</v>
      </c>
      <c r="BJ840" s="824" t="s">
        <v>335</v>
      </c>
      <c r="BK840" s="824">
        <v>5</v>
      </c>
      <c r="BL840" s="1226">
        <v>104646144</v>
      </c>
      <c r="BM840" s="1227">
        <v>8.5999999999999993E-2</v>
      </c>
      <c r="BN840" s="824">
        <v>2011</v>
      </c>
    </row>
    <row r="841" spans="1:66" ht="15" customHeight="1" x14ac:dyDescent="0.35">
      <c r="A841" s="64">
        <f t="shared" si="27"/>
        <v>1900</v>
      </c>
      <c r="B841" s="168" t="str">
        <f t="shared" si="29"/>
        <v>1899-00</v>
      </c>
      <c r="C841" s="64"/>
      <c r="BA841" s="1310" t="s">
        <v>165</v>
      </c>
      <c r="BB841" s="1225">
        <v>2007</v>
      </c>
      <c r="BC841" s="824" t="s">
        <v>283</v>
      </c>
      <c r="BD841" s="824">
        <v>3</v>
      </c>
      <c r="BE841" s="1226">
        <v>690266140.17999995</v>
      </c>
      <c r="BF841" s="1227">
        <v>0.16638724992061843</v>
      </c>
      <c r="BH841" s="1310" t="s">
        <v>345</v>
      </c>
      <c r="BI841" s="824" t="s">
        <v>297</v>
      </c>
      <c r="BJ841" s="824" t="s">
        <v>346</v>
      </c>
      <c r="BK841" s="824">
        <v>6</v>
      </c>
      <c r="BL841" s="1226">
        <v>55207261</v>
      </c>
      <c r="BM841" s="1227">
        <v>4.5999999999999999E-2</v>
      </c>
      <c r="BN841" s="824">
        <v>2011</v>
      </c>
    </row>
    <row r="842" spans="1:66" ht="15" customHeight="1" x14ac:dyDescent="0.35">
      <c r="A842" s="64">
        <f t="shared" si="27"/>
        <v>1900</v>
      </c>
      <c r="B842" s="168" t="str">
        <f t="shared" si="29"/>
        <v>1899-00</v>
      </c>
      <c r="C842" s="64"/>
      <c r="BA842" s="1310" t="s">
        <v>165</v>
      </c>
      <c r="BB842" s="1225">
        <v>2007</v>
      </c>
      <c r="BC842" s="824" t="s">
        <v>279</v>
      </c>
      <c r="BD842" s="824">
        <v>4</v>
      </c>
      <c r="BE842" s="1226">
        <v>590935072.19999993</v>
      </c>
      <c r="BF842" s="1227">
        <v>0.14244369790376829</v>
      </c>
      <c r="BH842" s="1310" t="s">
        <v>345</v>
      </c>
      <c r="BI842" s="824" t="s">
        <v>297</v>
      </c>
      <c r="BJ842" s="824" t="s">
        <v>319</v>
      </c>
      <c r="BK842" s="824">
        <v>7</v>
      </c>
      <c r="BL842" s="1226">
        <v>20512816</v>
      </c>
      <c r="BM842" s="1227">
        <v>1.7000000000000001E-2</v>
      </c>
      <c r="BN842" s="824">
        <v>2011</v>
      </c>
    </row>
    <row r="843" spans="1:66" ht="15" customHeight="1" x14ac:dyDescent="0.35">
      <c r="A843" s="64">
        <f t="shared" si="27"/>
        <v>1900</v>
      </c>
      <c r="B843" s="168" t="str">
        <f t="shared" si="29"/>
        <v>1899-00</v>
      </c>
      <c r="C843" s="64"/>
      <c r="BA843" s="1310" t="s">
        <v>165</v>
      </c>
      <c r="BB843" s="1225">
        <v>2007</v>
      </c>
      <c r="BC843" s="824" t="s">
        <v>284</v>
      </c>
      <c r="BD843" s="824">
        <v>5</v>
      </c>
      <c r="BE843" s="1226">
        <v>334448851.42999995</v>
      </c>
      <c r="BF843" s="1227">
        <v>8.0618215771145765E-2</v>
      </c>
      <c r="BH843" s="1310" t="s">
        <v>345</v>
      </c>
      <c r="BI843" s="824" t="s">
        <v>297</v>
      </c>
      <c r="BJ843" s="824" t="s">
        <v>289</v>
      </c>
      <c r="BK843" s="824">
        <v>8</v>
      </c>
      <c r="BL843" s="1226">
        <v>11002578</v>
      </c>
      <c r="BM843" s="1227">
        <v>8.9999999999999993E-3</v>
      </c>
      <c r="BN843" s="824">
        <v>2011</v>
      </c>
    </row>
    <row r="844" spans="1:66" ht="15" customHeight="1" x14ac:dyDescent="0.35">
      <c r="A844" s="64">
        <f t="shared" ref="A844:A907" si="30">YEAR(C844)</f>
        <v>1900</v>
      </c>
      <c r="B844" s="168" t="str">
        <f t="shared" si="29"/>
        <v>1899-00</v>
      </c>
      <c r="C844" s="64"/>
      <c r="BA844" s="1310" t="s">
        <v>165</v>
      </c>
      <c r="BB844" s="1225">
        <v>2007</v>
      </c>
      <c r="BC844" s="824" t="s">
        <v>286</v>
      </c>
      <c r="BD844" s="824">
        <v>6</v>
      </c>
      <c r="BE844" s="1226">
        <v>239638706.48999998</v>
      </c>
      <c r="BF844" s="1227">
        <v>5.7764423062976494E-2</v>
      </c>
      <c r="BH844" s="1310" t="s">
        <v>345</v>
      </c>
      <c r="BI844" s="824" t="s">
        <v>297</v>
      </c>
      <c r="BJ844" s="824" t="s">
        <v>323</v>
      </c>
      <c r="BK844" s="824">
        <v>9</v>
      </c>
      <c r="BL844" s="1226">
        <v>6491219</v>
      </c>
      <c r="BM844" s="1227">
        <v>5.0000000000000001E-3</v>
      </c>
      <c r="BN844" s="824">
        <v>2011</v>
      </c>
    </row>
    <row r="845" spans="1:66" ht="15" customHeight="1" x14ac:dyDescent="0.35">
      <c r="A845" s="64">
        <f t="shared" si="30"/>
        <v>1900</v>
      </c>
      <c r="B845" s="168" t="str">
        <f t="shared" si="29"/>
        <v>1899-00</v>
      </c>
      <c r="C845" s="64"/>
      <c r="BA845" s="1310" t="s">
        <v>165</v>
      </c>
      <c r="BB845" s="1225">
        <v>2007</v>
      </c>
      <c r="BC845" s="824" t="s">
        <v>305</v>
      </c>
      <c r="BD845" s="824">
        <v>7</v>
      </c>
      <c r="BE845" s="1226">
        <v>231221894.25999996</v>
      </c>
      <c r="BF845" s="1227">
        <v>5.5735567584591396E-2</v>
      </c>
      <c r="BH845" s="1310" t="s">
        <v>345</v>
      </c>
      <c r="BI845" s="824" t="s">
        <v>297</v>
      </c>
      <c r="BJ845" s="824" t="s">
        <v>348</v>
      </c>
      <c r="BK845" s="824">
        <v>10</v>
      </c>
      <c r="BL845" s="1226">
        <v>1899</v>
      </c>
      <c r="BM845" s="1227">
        <v>0</v>
      </c>
      <c r="BN845" s="824">
        <v>2011</v>
      </c>
    </row>
    <row r="846" spans="1:66" ht="15" customHeight="1" x14ac:dyDescent="0.35">
      <c r="A846" s="64">
        <f t="shared" si="30"/>
        <v>1900</v>
      </c>
      <c r="B846" s="168" t="str">
        <f t="shared" si="29"/>
        <v>1899-00</v>
      </c>
      <c r="C846" s="64"/>
      <c r="BA846" s="1310" t="s">
        <v>165</v>
      </c>
      <c r="BB846" s="1225">
        <v>2007</v>
      </c>
      <c r="BC846" s="824" t="s">
        <v>300</v>
      </c>
      <c r="BD846" s="824">
        <v>8</v>
      </c>
      <c r="BE846" s="1226">
        <v>115635007.34999999</v>
      </c>
      <c r="BF846" s="1227">
        <v>2.7873583459417199E-2</v>
      </c>
      <c r="BH846" s="1310" t="s">
        <v>345</v>
      </c>
      <c r="BI846" s="824" t="s">
        <v>297</v>
      </c>
      <c r="BJ846" s="824" t="s">
        <v>291</v>
      </c>
      <c r="BL846" s="1226">
        <v>0</v>
      </c>
      <c r="BM846" s="1227">
        <v>0</v>
      </c>
      <c r="BN846" s="824">
        <v>2011</v>
      </c>
    </row>
    <row r="847" spans="1:66" ht="15" customHeight="1" x14ac:dyDescent="0.35">
      <c r="A847" s="64">
        <f t="shared" si="30"/>
        <v>1900</v>
      </c>
      <c r="B847" s="168" t="str">
        <f t="shared" si="29"/>
        <v>1899-00</v>
      </c>
      <c r="C847" s="64"/>
      <c r="BA847" s="1310" t="s">
        <v>165</v>
      </c>
      <c r="BB847" s="1225">
        <v>2007</v>
      </c>
      <c r="BC847" s="824" t="s">
        <v>299</v>
      </c>
      <c r="BD847" s="824">
        <v>9</v>
      </c>
      <c r="BE847" s="1226">
        <v>95825117.779999986</v>
      </c>
      <c r="BF847" s="1227">
        <v>2.3098449848019252E-2</v>
      </c>
      <c r="BH847" s="1310" t="s">
        <v>345</v>
      </c>
      <c r="BI847" s="824" t="s">
        <v>297</v>
      </c>
      <c r="BJ847" s="824" t="s">
        <v>292</v>
      </c>
      <c r="BL847" s="1226">
        <v>1211896302</v>
      </c>
      <c r="BN847" s="824">
        <v>2011</v>
      </c>
    </row>
    <row r="848" spans="1:66" ht="15" customHeight="1" x14ac:dyDescent="0.35">
      <c r="A848" s="64">
        <f t="shared" si="30"/>
        <v>1900</v>
      </c>
      <c r="B848" s="168" t="str">
        <f t="shared" si="29"/>
        <v>1899-00</v>
      </c>
      <c r="C848" s="64"/>
      <c r="BA848" s="1310" t="s">
        <v>165</v>
      </c>
      <c r="BB848" s="1225">
        <v>2007</v>
      </c>
      <c r="BC848" s="824" t="s">
        <v>289</v>
      </c>
      <c r="BD848" s="824">
        <v>10</v>
      </c>
      <c r="BE848" s="1226">
        <v>72265104.310000002</v>
      </c>
      <c r="BF848" s="1227">
        <v>1.7419356493760578E-2</v>
      </c>
      <c r="BH848" s="1310" t="s">
        <v>345</v>
      </c>
      <c r="BI848" s="824" t="s">
        <v>301</v>
      </c>
      <c r="BJ848" s="824" t="s">
        <v>320</v>
      </c>
      <c r="BK848" s="824">
        <v>1</v>
      </c>
      <c r="BL848" s="1226">
        <v>549299334</v>
      </c>
      <c r="BM848" s="1227">
        <v>0.245</v>
      </c>
      <c r="BN848" s="824">
        <v>2010</v>
      </c>
    </row>
    <row r="849" spans="1:66" ht="15" customHeight="1" x14ac:dyDescent="0.35">
      <c r="A849" s="64">
        <f t="shared" si="30"/>
        <v>1900</v>
      </c>
      <c r="B849" s="168" t="str">
        <f t="shared" si="29"/>
        <v>1899-00</v>
      </c>
      <c r="C849" s="64"/>
      <c r="BA849" s="1310" t="s">
        <v>165</v>
      </c>
      <c r="BB849" s="1225">
        <v>2007</v>
      </c>
      <c r="BC849" s="824" t="s">
        <v>291</v>
      </c>
      <c r="BE849" s="1226">
        <v>225153380.05999994</v>
      </c>
      <c r="BF849" s="1227">
        <v>5.4272764572728574E-2</v>
      </c>
      <c r="BH849" s="1310" t="s">
        <v>345</v>
      </c>
      <c r="BI849" s="824" t="s">
        <v>301</v>
      </c>
      <c r="BJ849" s="824" t="s">
        <v>281</v>
      </c>
      <c r="BK849" s="824">
        <v>2</v>
      </c>
      <c r="BL849" s="1226">
        <v>543770287</v>
      </c>
      <c r="BM849" s="1227">
        <v>0.24199999999999999</v>
      </c>
      <c r="BN849" s="824">
        <v>2010</v>
      </c>
    </row>
    <row r="850" spans="1:66" ht="15" customHeight="1" x14ac:dyDescent="0.35">
      <c r="A850" s="64">
        <f t="shared" si="30"/>
        <v>1900</v>
      </c>
      <c r="B850" s="168" t="str">
        <f t="shared" si="29"/>
        <v>1899-00</v>
      </c>
      <c r="C850" s="64"/>
      <c r="BA850" s="1310" t="s">
        <v>165</v>
      </c>
      <c r="BB850" s="1225">
        <v>2007</v>
      </c>
      <c r="BC850" s="824" t="s">
        <v>292</v>
      </c>
      <c r="BE850" s="1226">
        <v>4148551890.2999988</v>
      </c>
      <c r="BH850" s="1310" t="s">
        <v>345</v>
      </c>
      <c r="BI850" s="824" t="s">
        <v>301</v>
      </c>
      <c r="BJ850" s="824" t="s">
        <v>287</v>
      </c>
      <c r="BK850" s="824">
        <v>3</v>
      </c>
      <c r="BL850" s="1226">
        <v>445391954</v>
      </c>
      <c r="BM850" s="1227">
        <v>0.19900000000000001</v>
      </c>
      <c r="BN850" s="824">
        <v>2010</v>
      </c>
    </row>
    <row r="851" spans="1:66" ht="15" customHeight="1" x14ac:dyDescent="0.35">
      <c r="A851" s="64">
        <f t="shared" si="30"/>
        <v>1900</v>
      </c>
      <c r="B851" s="168" t="str">
        <f t="shared" si="29"/>
        <v>1899-00</v>
      </c>
      <c r="C851" s="64"/>
      <c r="BA851" s="1310" t="s">
        <v>61</v>
      </c>
      <c r="BB851" s="1225">
        <v>2007</v>
      </c>
      <c r="BC851" s="824" t="s">
        <v>281</v>
      </c>
      <c r="BD851" s="824">
        <v>1</v>
      </c>
      <c r="BE851" s="1226">
        <v>1898006642.6199999</v>
      </c>
      <c r="BF851" s="1227">
        <v>0.35966858708361105</v>
      </c>
      <c r="BH851" s="1310" t="s">
        <v>345</v>
      </c>
      <c r="BI851" s="824" t="s">
        <v>301</v>
      </c>
      <c r="BJ851" s="824" t="s">
        <v>308</v>
      </c>
      <c r="BK851" s="824">
        <v>4</v>
      </c>
      <c r="BL851" s="1226">
        <v>379078335</v>
      </c>
      <c r="BM851" s="1227">
        <v>0.16900000000000001</v>
      </c>
      <c r="BN851" s="824">
        <v>2010</v>
      </c>
    </row>
    <row r="852" spans="1:66" ht="15" customHeight="1" x14ac:dyDescent="0.35">
      <c r="A852" s="64">
        <f t="shared" si="30"/>
        <v>1900</v>
      </c>
      <c r="B852" s="168" t="str">
        <f t="shared" si="29"/>
        <v>1899-00</v>
      </c>
      <c r="C852" s="64"/>
      <c r="BA852" s="1310" t="s">
        <v>61</v>
      </c>
      <c r="BB852" s="1225">
        <v>2007</v>
      </c>
      <c r="BC852" s="824" t="s">
        <v>309</v>
      </c>
      <c r="BD852" s="824">
        <v>2</v>
      </c>
      <c r="BE852" s="1226">
        <v>1038109679.0400001</v>
      </c>
      <c r="BF852" s="1227">
        <v>0.1967197759554371</v>
      </c>
      <c r="BH852" s="1310" t="s">
        <v>345</v>
      </c>
      <c r="BI852" s="824" t="s">
        <v>301</v>
      </c>
      <c r="BJ852" s="824" t="s">
        <v>346</v>
      </c>
      <c r="BK852" s="824">
        <v>5</v>
      </c>
      <c r="BL852" s="1226">
        <v>176882617</v>
      </c>
      <c r="BM852" s="1227">
        <v>7.9000000000000001E-2</v>
      </c>
      <c r="BN852" s="824">
        <v>2010</v>
      </c>
    </row>
    <row r="853" spans="1:66" ht="15" customHeight="1" x14ac:dyDescent="0.35">
      <c r="A853" s="64">
        <f t="shared" si="30"/>
        <v>1900</v>
      </c>
      <c r="B853" s="168" t="str">
        <f t="shared" si="29"/>
        <v>1899-00</v>
      </c>
      <c r="C853" s="64"/>
      <c r="BA853" s="1310" t="s">
        <v>61</v>
      </c>
      <c r="BB853" s="1225">
        <v>2007</v>
      </c>
      <c r="BC853" s="824" t="s">
        <v>308</v>
      </c>
      <c r="BD853" s="824">
        <v>3</v>
      </c>
      <c r="BE853" s="1226">
        <v>632438784.75</v>
      </c>
      <c r="BF853" s="1227">
        <v>0.11984592625761953</v>
      </c>
      <c r="BH853" s="1310" t="s">
        <v>345</v>
      </c>
      <c r="BI853" s="824" t="s">
        <v>301</v>
      </c>
      <c r="BJ853" s="824" t="s">
        <v>335</v>
      </c>
      <c r="BK853" s="824">
        <v>6</v>
      </c>
      <c r="BL853" s="1226">
        <v>108183042</v>
      </c>
      <c r="BM853" s="1227">
        <v>4.8000000000000001E-2</v>
      </c>
      <c r="BN853" s="824">
        <v>2010</v>
      </c>
    </row>
    <row r="854" spans="1:66" ht="15" customHeight="1" x14ac:dyDescent="0.35">
      <c r="A854" s="64">
        <f t="shared" si="30"/>
        <v>1900</v>
      </c>
      <c r="B854" s="168" t="str">
        <f t="shared" si="29"/>
        <v>1899-00</v>
      </c>
      <c r="C854" s="64"/>
      <c r="BA854" s="1310" t="s">
        <v>61</v>
      </c>
      <c r="BB854" s="1225">
        <v>2007</v>
      </c>
      <c r="BC854" s="824" t="s">
        <v>312</v>
      </c>
      <c r="BD854" s="824">
        <v>4</v>
      </c>
      <c r="BE854" s="1226">
        <v>468796418.55999988</v>
      </c>
      <c r="BF854" s="1227">
        <v>8.8836014430688157E-2</v>
      </c>
      <c r="BH854" s="1310" t="s">
        <v>345</v>
      </c>
      <c r="BI854" s="824" t="s">
        <v>301</v>
      </c>
      <c r="BJ854" s="824" t="s">
        <v>319</v>
      </c>
      <c r="BK854" s="824">
        <v>7</v>
      </c>
      <c r="BL854" s="1226">
        <v>19493912</v>
      </c>
      <c r="BM854" s="1227">
        <v>8.9999999999999993E-3</v>
      </c>
      <c r="BN854" s="824">
        <v>2010</v>
      </c>
    </row>
    <row r="855" spans="1:66" ht="15" customHeight="1" x14ac:dyDescent="0.35">
      <c r="A855" s="64">
        <f t="shared" si="30"/>
        <v>1900</v>
      </c>
      <c r="B855" s="168" t="str">
        <f t="shared" si="29"/>
        <v>1899-00</v>
      </c>
      <c r="C855" s="64"/>
      <c r="BA855" s="1310" t="s">
        <v>61</v>
      </c>
      <c r="BB855" s="1225">
        <v>2007</v>
      </c>
      <c r="BC855" s="824" t="s">
        <v>286</v>
      </c>
      <c r="BD855" s="824">
        <v>5</v>
      </c>
      <c r="BE855" s="1226">
        <v>345042014.34000003</v>
      </c>
      <c r="BF855" s="1227">
        <v>6.5384794233829827E-2</v>
      </c>
      <c r="BH855" s="1310" t="s">
        <v>345</v>
      </c>
      <c r="BI855" s="824" t="s">
        <v>301</v>
      </c>
      <c r="BJ855" s="824" t="s">
        <v>323</v>
      </c>
      <c r="BK855" s="824">
        <v>8</v>
      </c>
      <c r="BL855" s="1226">
        <v>13723943</v>
      </c>
      <c r="BM855" s="1227">
        <v>6.0000000000000001E-3</v>
      </c>
      <c r="BN855" s="824">
        <v>2010</v>
      </c>
    </row>
    <row r="856" spans="1:66" ht="15" customHeight="1" x14ac:dyDescent="0.35">
      <c r="A856" s="64">
        <f t="shared" si="30"/>
        <v>1900</v>
      </c>
      <c r="B856" s="168" t="str">
        <f t="shared" si="29"/>
        <v>1899-00</v>
      </c>
      <c r="C856" s="64"/>
      <c r="BA856" s="1310" t="s">
        <v>61</v>
      </c>
      <c r="BB856" s="1225">
        <v>2007</v>
      </c>
      <c r="BC856" s="824" t="s">
        <v>319</v>
      </c>
      <c r="BD856" s="824">
        <v>6</v>
      </c>
      <c r="BE856" s="1226">
        <v>200676667.62</v>
      </c>
      <c r="BF856" s="1227">
        <v>3.8027840305079177E-2</v>
      </c>
      <c r="BH856" s="1310" t="s">
        <v>345</v>
      </c>
      <c r="BI856" s="824" t="s">
        <v>301</v>
      </c>
      <c r="BJ856" s="824" t="s">
        <v>349</v>
      </c>
      <c r="BK856" s="824">
        <v>9</v>
      </c>
      <c r="BL856" s="1226">
        <v>4948266</v>
      </c>
      <c r="BM856" s="1227">
        <v>2E-3</v>
      </c>
      <c r="BN856" s="824">
        <v>2010</v>
      </c>
    </row>
    <row r="857" spans="1:66" ht="15" customHeight="1" x14ac:dyDescent="0.35">
      <c r="A857" s="64">
        <f t="shared" si="30"/>
        <v>1900</v>
      </c>
      <c r="B857" s="168" t="str">
        <f t="shared" si="29"/>
        <v>1899-00</v>
      </c>
      <c r="C857" s="64"/>
      <c r="BA857" s="1310" t="s">
        <v>61</v>
      </c>
      <c r="BB857" s="1225">
        <v>2007</v>
      </c>
      <c r="BC857" s="824" t="s">
        <v>314</v>
      </c>
      <c r="BD857" s="824">
        <v>7</v>
      </c>
      <c r="BE857" s="1226">
        <v>146610136.13999999</v>
      </c>
      <c r="BF857" s="1227">
        <v>2.7782337181296655E-2</v>
      </c>
      <c r="BH857" s="1310" t="s">
        <v>345</v>
      </c>
      <c r="BI857" s="824" t="s">
        <v>301</v>
      </c>
      <c r="BJ857" s="824" t="s">
        <v>350</v>
      </c>
      <c r="BK857" s="824">
        <v>10</v>
      </c>
      <c r="BL857" s="1226">
        <v>1414878</v>
      </c>
      <c r="BM857" s="1227">
        <v>1E-3</v>
      </c>
      <c r="BN857" s="824">
        <v>2010</v>
      </c>
    </row>
    <row r="858" spans="1:66" ht="15" customHeight="1" x14ac:dyDescent="0.35">
      <c r="A858" s="64">
        <f t="shared" si="30"/>
        <v>1900</v>
      </c>
      <c r="B858" s="168" t="str">
        <f t="shared" si="29"/>
        <v>1899-00</v>
      </c>
      <c r="C858" s="64"/>
      <c r="BA858" s="1310" t="s">
        <v>61</v>
      </c>
      <c r="BB858" s="1225">
        <v>2007</v>
      </c>
      <c r="BC858" s="824" t="s">
        <v>321</v>
      </c>
      <c r="BD858" s="824">
        <v>8</v>
      </c>
      <c r="BE858" s="1226">
        <v>136281734.66000006</v>
      </c>
      <c r="BF858" s="1227">
        <v>2.5825125081124046E-2</v>
      </c>
      <c r="BH858" s="1310" t="s">
        <v>345</v>
      </c>
      <c r="BI858" s="824" t="s">
        <v>301</v>
      </c>
      <c r="BJ858" s="824" t="s">
        <v>291</v>
      </c>
      <c r="BL858" s="1226">
        <v>408286</v>
      </c>
      <c r="BM858" s="1227">
        <v>0</v>
      </c>
      <c r="BN858" s="824">
        <v>2010</v>
      </c>
    </row>
    <row r="859" spans="1:66" ht="15" customHeight="1" x14ac:dyDescent="0.35">
      <c r="A859" s="64">
        <f t="shared" si="30"/>
        <v>1900</v>
      </c>
      <c r="B859" s="168" t="str">
        <f t="shared" si="29"/>
        <v>1899-00</v>
      </c>
      <c r="C859" s="64"/>
      <c r="BA859" s="1310" t="s">
        <v>61</v>
      </c>
      <c r="BB859" s="1225">
        <v>2007</v>
      </c>
      <c r="BC859" s="824" t="s">
        <v>305</v>
      </c>
      <c r="BD859" s="824">
        <v>9</v>
      </c>
      <c r="BE859" s="1226">
        <v>118973233.83</v>
      </c>
      <c r="BF859" s="1227">
        <v>2.2545197657125034E-2</v>
      </c>
      <c r="BH859" s="1310" t="s">
        <v>345</v>
      </c>
      <c r="BI859" s="824" t="s">
        <v>301</v>
      </c>
      <c r="BJ859" s="824" t="s">
        <v>292</v>
      </c>
      <c r="BL859" s="1226">
        <v>2242594855</v>
      </c>
      <c r="BN859" s="824">
        <v>2010</v>
      </c>
    </row>
    <row r="860" spans="1:66" ht="15" customHeight="1" x14ac:dyDescent="0.35">
      <c r="A860" s="64">
        <f t="shared" si="30"/>
        <v>1900</v>
      </c>
      <c r="B860" s="168" t="str">
        <f t="shared" si="29"/>
        <v>1899-00</v>
      </c>
      <c r="C860" s="64"/>
      <c r="BA860" s="1310" t="s">
        <v>61</v>
      </c>
      <c r="BB860" s="1225">
        <v>2007</v>
      </c>
      <c r="BC860" s="824" t="s">
        <v>320</v>
      </c>
      <c r="BD860" s="824">
        <v>10</v>
      </c>
      <c r="BE860" s="1226">
        <v>107449740.98000002</v>
      </c>
      <c r="BF860" s="1227">
        <v>2.0361518054241062E-2</v>
      </c>
      <c r="BH860" s="1310" t="s">
        <v>345</v>
      </c>
      <c r="BI860" s="824" t="s">
        <v>302</v>
      </c>
      <c r="BJ860" s="824" t="s">
        <v>281</v>
      </c>
      <c r="BK860" s="824">
        <v>1</v>
      </c>
      <c r="BL860" s="1226">
        <v>757048804</v>
      </c>
      <c r="BM860" s="1227">
        <v>0.32900000000000001</v>
      </c>
      <c r="BN860" s="824">
        <v>2009</v>
      </c>
    </row>
    <row r="861" spans="1:66" ht="15" customHeight="1" x14ac:dyDescent="0.35">
      <c r="A861" s="64">
        <f t="shared" si="30"/>
        <v>1900</v>
      </c>
      <c r="B861" s="168" t="str">
        <f t="shared" si="29"/>
        <v>1899-00</v>
      </c>
      <c r="C861" s="64"/>
      <c r="BA861" s="1310" t="s">
        <v>61</v>
      </c>
      <c r="BB861" s="1225">
        <v>2007</v>
      </c>
      <c r="BC861" s="824" t="s">
        <v>291</v>
      </c>
      <c r="BE861" s="1226">
        <v>184713673.28999996</v>
      </c>
      <c r="BF861" s="1227">
        <v>3.5002883759948533E-2</v>
      </c>
      <c r="BH861" s="1310" t="s">
        <v>345</v>
      </c>
      <c r="BI861" s="824" t="s">
        <v>302</v>
      </c>
      <c r="BJ861" s="824" t="s">
        <v>320</v>
      </c>
      <c r="BK861" s="824">
        <v>2</v>
      </c>
      <c r="BL861" s="1226">
        <v>473072647</v>
      </c>
      <c r="BM861" s="1227">
        <v>0.20599999999999999</v>
      </c>
      <c r="BN861" s="824">
        <v>2009</v>
      </c>
    </row>
    <row r="862" spans="1:66" ht="15" customHeight="1" x14ac:dyDescent="0.35">
      <c r="A862" s="64">
        <f t="shared" si="30"/>
        <v>1900</v>
      </c>
      <c r="B862" s="168" t="str">
        <f t="shared" si="29"/>
        <v>1899-00</v>
      </c>
      <c r="C862" s="64"/>
      <c r="BA862" s="1310" t="s">
        <v>61</v>
      </c>
      <c r="BB862" s="1225">
        <v>2007</v>
      </c>
      <c r="BC862" s="824" t="s">
        <v>292</v>
      </c>
      <c r="BE862" s="1226">
        <v>5277098725.829999</v>
      </c>
      <c r="BH862" s="1310" t="s">
        <v>345</v>
      </c>
      <c r="BI862" s="824" t="s">
        <v>302</v>
      </c>
      <c r="BJ862" s="824" t="s">
        <v>287</v>
      </c>
      <c r="BK862" s="824">
        <v>3</v>
      </c>
      <c r="BL862" s="1226">
        <v>427718340</v>
      </c>
      <c r="BM862" s="1227">
        <v>0.186</v>
      </c>
      <c r="BN862" s="824">
        <v>2009</v>
      </c>
    </row>
    <row r="863" spans="1:66" ht="15" customHeight="1" x14ac:dyDescent="0.35">
      <c r="A863" s="64">
        <f t="shared" si="30"/>
        <v>1900</v>
      </c>
      <c r="B863" s="168" t="str">
        <f t="shared" si="29"/>
        <v>1899-00</v>
      </c>
      <c r="C863" s="64"/>
      <c r="BA863" s="1310" t="s">
        <v>165</v>
      </c>
      <c r="BB863" s="1225">
        <v>2017</v>
      </c>
      <c r="BC863" s="824" t="s">
        <v>279</v>
      </c>
      <c r="BD863" s="824">
        <v>1</v>
      </c>
      <c r="BE863" s="1226">
        <v>1624053758.9600003</v>
      </c>
      <c r="BF863" s="1227">
        <v>0.26889193656596555</v>
      </c>
      <c r="BH863" s="1310" t="s">
        <v>345</v>
      </c>
      <c r="BI863" s="824" t="s">
        <v>302</v>
      </c>
      <c r="BJ863" s="824" t="s">
        <v>308</v>
      </c>
      <c r="BK863" s="824">
        <v>4</v>
      </c>
      <c r="BL863" s="1226">
        <v>394060290</v>
      </c>
      <c r="BM863" s="1227">
        <v>0.17100000000000001</v>
      </c>
      <c r="BN863" s="824">
        <v>2009</v>
      </c>
    </row>
    <row r="864" spans="1:66" ht="15" customHeight="1" x14ac:dyDescent="0.35">
      <c r="A864" s="64">
        <f t="shared" si="30"/>
        <v>1900</v>
      </c>
      <c r="B864" s="168" t="str">
        <f t="shared" si="29"/>
        <v>1899-00</v>
      </c>
      <c r="C864" s="64"/>
      <c r="BA864" s="1310" t="s">
        <v>165</v>
      </c>
      <c r="BB864" s="1225">
        <v>2017</v>
      </c>
      <c r="BC864" s="824" t="s">
        <v>282</v>
      </c>
      <c r="BD864" s="824">
        <v>2</v>
      </c>
      <c r="BE864" s="1226">
        <v>703176648.66999996</v>
      </c>
      <c r="BF864" s="1227">
        <v>0.11642381279910501</v>
      </c>
      <c r="BH864" s="1310" t="s">
        <v>345</v>
      </c>
      <c r="BI864" s="824" t="s">
        <v>302</v>
      </c>
      <c r="BJ864" s="824" t="s">
        <v>335</v>
      </c>
      <c r="BK864" s="824">
        <v>5</v>
      </c>
      <c r="BL864" s="1226">
        <v>138660093</v>
      </c>
      <c r="BM864" s="1227">
        <v>0.06</v>
      </c>
      <c r="BN864" s="824">
        <v>2009</v>
      </c>
    </row>
    <row r="865" spans="1:66" ht="15" customHeight="1" x14ac:dyDescent="0.35">
      <c r="A865" s="64">
        <f t="shared" si="30"/>
        <v>1900</v>
      </c>
      <c r="B865" s="168" t="str">
        <f t="shared" si="29"/>
        <v>1899-00</v>
      </c>
      <c r="C865" s="64"/>
      <c r="BA865" s="1310" t="s">
        <v>165</v>
      </c>
      <c r="BB865" s="1225">
        <v>2017</v>
      </c>
      <c r="BC865" s="824" t="s">
        <v>287</v>
      </c>
      <c r="BD865" s="824">
        <v>3</v>
      </c>
      <c r="BE865" s="1226">
        <v>631154374.48000002</v>
      </c>
      <c r="BF865" s="1227">
        <v>0.10449920212905205</v>
      </c>
      <c r="BH865" s="1310" t="s">
        <v>345</v>
      </c>
      <c r="BI865" s="824" t="s">
        <v>302</v>
      </c>
      <c r="BJ865" s="824" t="s">
        <v>346</v>
      </c>
      <c r="BK865" s="824">
        <v>6</v>
      </c>
      <c r="BL865" s="1226">
        <v>49638125</v>
      </c>
      <c r="BM865" s="1227">
        <v>2.1999999999999999E-2</v>
      </c>
      <c r="BN865" s="824">
        <v>2009</v>
      </c>
    </row>
    <row r="866" spans="1:66" ht="15" customHeight="1" x14ac:dyDescent="0.35">
      <c r="A866" s="64">
        <f t="shared" si="30"/>
        <v>1900</v>
      </c>
      <c r="B866" s="168" t="str">
        <f t="shared" si="29"/>
        <v>1899-00</v>
      </c>
      <c r="C866" s="64"/>
      <c r="BA866" s="1310" t="s">
        <v>165</v>
      </c>
      <c r="BB866" s="1225">
        <v>2017</v>
      </c>
      <c r="BC866" s="824" t="s">
        <v>283</v>
      </c>
      <c r="BD866" s="824">
        <v>4</v>
      </c>
      <c r="BE866" s="1226">
        <v>578768509.75999987</v>
      </c>
      <c r="BF866" s="1227">
        <v>9.5825759802694629E-2</v>
      </c>
      <c r="BH866" s="1310" t="s">
        <v>345</v>
      </c>
      <c r="BI866" s="824" t="s">
        <v>302</v>
      </c>
      <c r="BJ866" s="824" t="s">
        <v>323</v>
      </c>
      <c r="BK866" s="824">
        <v>7</v>
      </c>
      <c r="BL866" s="1226">
        <v>29209847</v>
      </c>
      <c r="BM866" s="1227">
        <v>1.2999999999999999E-2</v>
      </c>
      <c r="BN866" s="824">
        <v>2009</v>
      </c>
    </row>
    <row r="867" spans="1:66" ht="15" customHeight="1" x14ac:dyDescent="0.35">
      <c r="A867" s="64">
        <f t="shared" si="30"/>
        <v>1900</v>
      </c>
      <c r="B867" s="168" t="str">
        <f t="shared" si="29"/>
        <v>1899-00</v>
      </c>
      <c r="C867" s="64"/>
      <c r="BA867" s="1310" t="s">
        <v>165</v>
      </c>
      <c r="BB867" s="1225">
        <v>2017</v>
      </c>
      <c r="BC867" s="824" t="s">
        <v>284</v>
      </c>
      <c r="BD867" s="824">
        <v>5</v>
      </c>
      <c r="BE867" s="1226">
        <v>508372371.02000004</v>
      </c>
      <c r="BF867" s="1227">
        <v>8.4170385731403702E-2</v>
      </c>
      <c r="BH867" s="1310" t="s">
        <v>345</v>
      </c>
      <c r="BI867" s="824" t="s">
        <v>302</v>
      </c>
      <c r="BJ867" s="824" t="s">
        <v>319</v>
      </c>
      <c r="BK867" s="824">
        <v>8</v>
      </c>
      <c r="BL867" s="1226">
        <v>22568061</v>
      </c>
      <c r="BM867" s="1227">
        <v>0.01</v>
      </c>
      <c r="BN867" s="824">
        <v>2009</v>
      </c>
    </row>
    <row r="868" spans="1:66" ht="15" customHeight="1" x14ac:dyDescent="0.35">
      <c r="A868" s="64">
        <f t="shared" si="30"/>
        <v>1900</v>
      </c>
      <c r="B868" s="168" t="str">
        <f t="shared" si="29"/>
        <v>1899-00</v>
      </c>
      <c r="C868" s="64"/>
      <c r="BA868" s="1310" t="s">
        <v>165</v>
      </c>
      <c r="BB868" s="1225">
        <v>2017</v>
      </c>
      <c r="BC868" s="824" t="s">
        <v>285</v>
      </c>
      <c r="BD868" s="824">
        <v>6</v>
      </c>
      <c r="BE868" s="1226">
        <v>408860835.13999999</v>
      </c>
      <c r="BF868" s="1227">
        <v>6.7694422761703871E-2</v>
      </c>
      <c r="BH868" s="1310" t="s">
        <v>345</v>
      </c>
      <c r="BI868" s="824" t="s">
        <v>302</v>
      </c>
      <c r="BJ868" s="824" t="s">
        <v>350</v>
      </c>
      <c r="BK868" s="824">
        <v>9</v>
      </c>
      <c r="BL868" s="1226">
        <v>6784046</v>
      </c>
      <c r="BM868" s="1227">
        <v>3.0000000000000001E-3</v>
      </c>
      <c r="BN868" s="824">
        <v>2009</v>
      </c>
    </row>
    <row r="869" spans="1:66" ht="15" customHeight="1" x14ac:dyDescent="0.35">
      <c r="A869" s="64">
        <f t="shared" si="30"/>
        <v>1900</v>
      </c>
      <c r="B869" s="168" t="str">
        <f t="shared" si="29"/>
        <v>1899-00</v>
      </c>
      <c r="C869" s="64"/>
      <c r="BA869" s="1310" t="s">
        <v>165</v>
      </c>
      <c r="BB869" s="1225">
        <v>2017</v>
      </c>
      <c r="BC869" s="824" t="s">
        <v>304</v>
      </c>
      <c r="BD869" s="824">
        <v>7</v>
      </c>
      <c r="BE869" s="1226">
        <v>269526785.87</v>
      </c>
      <c r="BF869" s="1227">
        <v>4.4625111089545907E-2</v>
      </c>
      <c r="BH869" s="1310" t="s">
        <v>345</v>
      </c>
      <c r="BI869" s="824" t="s">
        <v>302</v>
      </c>
      <c r="BJ869" s="824" t="s">
        <v>322</v>
      </c>
      <c r="BK869" s="824">
        <v>10</v>
      </c>
      <c r="BL869" s="1226">
        <v>418389</v>
      </c>
      <c r="BM869" s="1227">
        <v>0</v>
      </c>
      <c r="BN869" s="824">
        <v>2009</v>
      </c>
    </row>
    <row r="870" spans="1:66" ht="15" customHeight="1" x14ac:dyDescent="0.35">
      <c r="A870" s="64">
        <f t="shared" si="30"/>
        <v>1900</v>
      </c>
      <c r="B870" s="168" t="str">
        <f t="shared" si="29"/>
        <v>1899-00</v>
      </c>
      <c r="C870" s="64"/>
      <c r="BA870" s="1310" t="s">
        <v>165</v>
      </c>
      <c r="BB870" s="1225">
        <v>2017</v>
      </c>
      <c r="BC870" s="824" t="s">
        <v>281</v>
      </c>
      <c r="BD870" s="824">
        <v>8</v>
      </c>
      <c r="BE870" s="1226">
        <v>261292134.10000002</v>
      </c>
      <c r="BF870" s="1227">
        <v>4.3261713203752036E-2</v>
      </c>
      <c r="BH870" s="1310" t="s">
        <v>345</v>
      </c>
      <c r="BI870" s="824" t="s">
        <v>302</v>
      </c>
      <c r="BJ870" s="824" t="s">
        <v>291</v>
      </c>
      <c r="BL870" s="1226">
        <v>52107</v>
      </c>
      <c r="BM870" s="1227">
        <v>0</v>
      </c>
      <c r="BN870" s="824">
        <v>2009</v>
      </c>
    </row>
    <row r="871" spans="1:66" ht="15" customHeight="1" x14ac:dyDescent="0.35">
      <c r="A871" s="64">
        <f t="shared" si="30"/>
        <v>1900</v>
      </c>
      <c r="B871" s="168" t="str">
        <f t="shared" si="29"/>
        <v>1899-00</v>
      </c>
      <c r="C871" s="64"/>
      <c r="BA871" s="1310" t="s">
        <v>165</v>
      </c>
      <c r="BB871" s="1225">
        <v>2017</v>
      </c>
      <c r="BC871" s="824" t="s">
        <v>296</v>
      </c>
      <c r="BD871" s="824">
        <v>9</v>
      </c>
      <c r="BE871" s="1226">
        <v>207337004.41999999</v>
      </c>
      <c r="BF871" s="1227">
        <v>3.4328450233064661E-2</v>
      </c>
      <c r="BH871" s="1310" t="s">
        <v>345</v>
      </c>
      <c r="BI871" s="824" t="s">
        <v>302</v>
      </c>
      <c r="BJ871" s="824" t="s">
        <v>292</v>
      </c>
      <c r="BL871" s="1226">
        <v>2299230749</v>
      </c>
      <c r="BN871" s="824">
        <v>2009</v>
      </c>
    </row>
    <row r="872" spans="1:66" ht="15" customHeight="1" x14ac:dyDescent="0.35">
      <c r="A872" s="64">
        <f t="shared" si="30"/>
        <v>1900</v>
      </c>
      <c r="B872" s="168" t="str">
        <f t="shared" si="29"/>
        <v>1899-00</v>
      </c>
      <c r="C872" s="64"/>
      <c r="BA872" s="1310" t="s">
        <v>165</v>
      </c>
      <c r="BB872" s="1225">
        <v>2017</v>
      </c>
      <c r="BC872" s="824" t="s">
        <v>289</v>
      </c>
      <c r="BD872" s="824">
        <v>10</v>
      </c>
      <c r="BE872" s="1226">
        <v>164780567.56000003</v>
      </c>
      <c r="BF872" s="1227">
        <v>2.7282450273087677E-2</v>
      </c>
      <c r="BH872" s="1310" t="s">
        <v>345</v>
      </c>
      <c r="BI872" s="824" t="s">
        <v>303</v>
      </c>
      <c r="BJ872" s="824" t="s">
        <v>281</v>
      </c>
      <c r="BK872" s="824">
        <v>1</v>
      </c>
      <c r="BL872" s="1226">
        <v>421798865</v>
      </c>
      <c r="BM872" s="1227">
        <v>0.28399999999999997</v>
      </c>
      <c r="BN872" s="824">
        <v>2008</v>
      </c>
    </row>
    <row r="873" spans="1:66" ht="15" customHeight="1" x14ac:dyDescent="0.35">
      <c r="A873" s="64">
        <f t="shared" si="30"/>
        <v>1900</v>
      </c>
      <c r="B873" s="168" t="str">
        <f t="shared" si="29"/>
        <v>1899-00</v>
      </c>
      <c r="C873" s="64"/>
      <c r="BA873" s="1310" t="s">
        <v>165</v>
      </c>
      <c r="BB873" s="1225">
        <v>2017</v>
      </c>
      <c r="BC873" s="824" t="s">
        <v>291</v>
      </c>
      <c r="BE873" s="1226">
        <v>682477904.39000034</v>
      </c>
      <c r="BF873" s="1227">
        <v>0.11299675541062487</v>
      </c>
      <c r="BH873" s="1310" t="s">
        <v>345</v>
      </c>
      <c r="BI873" s="824" t="s">
        <v>303</v>
      </c>
      <c r="BJ873" s="824" t="s">
        <v>287</v>
      </c>
      <c r="BK873" s="824">
        <v>2</v>
      </c>
      <c r="BL873" s="1226">
        <v>330805323</v>
      </c>
      <c r="BM873" s="1227">
        <v>0.223</v>
      </c>
      <c r="BN873" s="824">
        <v>2008</v>
      </c>
    </row>
    <row r="874" spans="1:66" ht="15" customHeight="1" x14ac:dyDescent="0.35">
      <c r="A874" s="64">
        <f t="shared" si="30"/>
        <v>1900</v>
      </c>
      <c r="B874" s="168" t="str">
        <f t="shared" si="29"/>
        <v>1899-00</v>
      </c>
      <c r="C874" s="64"/>
      <c r="BA874" s="1310" t="s">
        <v>165</v>
      </c>
      <c r="BB874" s="1225">
        <v>2017</v>
      </c>
      <c r="BC874" s="824" t="s">
        <v>292</v>
      </c>
      <c r="BE874" s="1226">
        <v>6039800894.3700008</v>
      </c>
      <c r="BH874" s="1310" t="s">
        <v>345</v>
      </c>
      <c r="BI874" s="824" t="s">
        <v>303</v>
      </c>
      <c r="BJ874" s="824" t="s">
        <v>320</v>
      </c>
      <c r="BK874" s="824">
        <v>3</v>
      </c>
      <c r="BL874" s="1226">
        <v>308467547</v>
      </c>
      <c r="BM874" s="1227">
        <v>0.20799999999999999</v>
      </c>
      <c r="BN874" s="824">
        <v>2008</v>
      </c>
    </row>
    <row r="875" spans="1:66" ht="15" customHeight="1" x14ac:dyDescent="0.35">
      <c r="A875" s="64">
        <f t="shared" si="30"/>
        <v>1900</v>
      </c>
      <c r="B875" s="168" t="str">
        <f t="shared" si="29"/>
        <v>1899-00</v>
      </c>
      <c r="C875" s="64"/>
      <c r="BA875" s="824" t="s">
        <v>54</v>
      </c>
      <c r="BB875" s="1225">
        <v>2017</v>
      </c>
      <c r="BC875" s="824" t="s">
        <v>281</v>
      </c>
      <c r="BD875" s="824">
        <v>1</v>
      </c>
      <c r="BE875" s="1226">
        <v>248407213.91</v>
      </c>
      <c r="BF875" s="1227">
        <v>0.27070210670960199</v>
      </c>
      <c r="BH875" s="1310" t="s">
        <v>345</v>
      </c>
      <c r="BI875" s="824" t="s">
        <v>303</v>
      </c>
      <c r="BJ875" s="824" t="s">
        <v>308</v>
      </c>
      <c r="BK875" s="824">
        <v>4</v>
      </c>
      <c r="BL875" s="1226">
        <v>254840208</v>
      </c>
      <c r="BM875" s="1227">
        <v>0.17199999999999999</v>
      </c>
      <c r="BN875" s="824">
        <v>2008</v>
      </c>
    </row>
    <row r="876" spans="1:66" ht="15" customHeight="1" x14ac:dyDescent="0.35">
      <c r="A876" s="64">
        <f t="shared" si="30"/>
        <v>1900</v>
      </c>
      <c r="B876" s="168" t="str">
        <f t="shared" si="29"/>
        <v>1899-00</v>
      </c>
      <c r="C876" s="64"/>
      <c r="BA876" s="824" t="s">
        <v>54</v>
      </c>
      <c r="BB876" s="1225">
        <v>2017</v>
      </c>
      <c r="BC876" s="824" t="s">
        <v>290</v>
      </c>
      <c r="BD876" s="824">
        <v>2</v>
      </c>
      <c r="BE876" s="1226">
        <v>115191379.36999999</v>
      </c>
      <c r="BF876" s="1227">
        <v>0.12552996581468717</v>
      </c>
      <c r="BH876" s="1310" t="s">
        <v>345</v>
      </c>
      <c r="BI876" s="824" t="s">
        <v>303</v>
      </c>
      <c r="BJ876" s="824" t="s">
        <v>323</v>
      </c>
      <c r="BK876" s="824">
        <v>5</v>
      </c>
      <c r="BL876" s="1226">
        <v>62727851</v>
      </c>
      <c r="BM876" s="1227">
        <v>4.2000000000000003E-2</v>
      </c>
      <c r="BN876" s="824">
        <v>2008</v>
      </c>
    </row>
    <row r="877" spans="1:66" ht="15" customHeight="1" x14ac:dyDescent="0.35">
      <c r="A877" s="64">
        <f t="shared" si="30"/>
        <v>1900</v>
      </c>
      <c r="B877" s="168" t="str">
        <f t="shared" si="29"/>
        <v>1899-00</v>
      </c>
      <c r="C877" s="64"/>
      <c r="BA877" s="824" t="s">
        <v>54</v>
      </c>
      <c r="BB877" s="1225">
        <v>2017</v>
      </c>
      <c r="BC877" s="824" t="s">
        <v>285</v>
      </c>
      <c r="BD877" s="824">
        <v>3</v>
      </c>
      <c r="BE877" s="1226">
        <v>90739758.179999992</v>
      </c>
      <c r="BF877" s="1227">
        <v>9.8883777628718056E-2</v>
      </c>
      <c r="BH877" s="1310" t="s">
        <v>345</v>
      </c>
      <c r="BI877" s="824" t="s">
        <v>303</v>
      </c>
      <c r="BJ877" s="824" t="s">
        <v>319</v>
      </c>
      <c r="BK877" s="824">
        <v>6</v>
      </c>
      <c r="BL877" s="1226">
        <v>46961150</v>
      </c>
      <c r="BM877" s="1227">
        <v>3.2000000000000001E-2</v>
      </c>
      <c r="BN877" s="824">
        <v>2008</v>
      </c>
    </row>
    <row r="878" spans="1:66" ht="15" customHeight="1" x14ac:dyDescent="0.35">
      <c r="A878" s="64">
        <f t="shared" si="30"/>
        <v>1900</v>
      </c>
      <c r="B878" s="168" t="str">
        <f t="shared" si="29"/>
        <v>1899-00</v>
      </c>
      <c r="C878" s="64"/>
      <c r="BA878" s="824" t="s">
        <v>54</v>
      </c>
      <c r="BB878" s="1225">
        <v>2017</v>
      </c>
      <c r="BC878" s="824" t="s">
        <v>312</v>
      </c>
      <c r="BD878" s="824">
        <v>4</v>
      </c>
      <c r="BE878" s="1226">
        <v>82714576.290000007</v>
      </c>
      <c r="BF878" s="1227">
        <v>9.0138324506982906E-2</v>
      </c>
      <c r="BH878" s="1310" t="s">
        <v>345</v>
      </c>
      <c r="BI878" s="824" t="s">
        <v>303</v>
      </c>
      <c r="BJ878" s="824" t="s">
        <v>346</v>
      </c>
      <c r="BK878" s="824">
        <v>7</v>
      </c>
      <c r="BL878" s="1226">
        <v>33030544</v>
      </c>
      <c r="BM878" s="1227">
        <v>2.1999999999999999E-2</v>
      </c>
      <c r="BN878" s="824">
        <v>2008</v>
      </c>
    </row>
    <row r="879" spans="1:66" ht="15" customHeight="1" x14ac:dyDescent="0.35">
      <c r="A879" s="64">
        <f t="shared" si="30"/>
        <v>1900</v>
      </c>
      <c r="B879" s="168" t="str">
        <f t="shared" si="29"/>
        <v>1899-00</v>
      </c>
      <c r="C879" s="64"/>
      <c r="BA879" s="824" t="s">
        <v>54</v>
      </c>
      <c r="BB879" s="1225">
        <v>2017</v>
      </c>
      <c r="BC879" s="824" t="s">
        <v>286</v>
      </c>
      <c r="BD879" s="824">
        <v>5</v>
      </c>
      <c r="BE879" s="1226">
        <v>82456370.829999998</v>
      </c>
      <c r="BF879" s="1227">
        <v>8.9856944747974579E-2</v>
      </c>
      <c r="BH879" s="1310" t="s">
        <v>345</v>
      </c>
      <c r="BI879" s="824" t="s">
        <v>303</v>
      </c>
      <c r="BJ879" s="824" t="s">
        <v>312</v>
      </c>
      <c r="BK879" s="824">
        <v>8</v>
      </c>
      <c r="BL879" s="1226">
        <v>13505402</v>
      </c>
      <c r="BM879" s="1227">
        <v>8.9999999999999993E-3</v>
      </c>
      <c r="BN879" s="824">
        <v>2008</v>
      </c>
    </row>
    <row r="880" spans="1:66" ht="15" customHeight="1" x14ac:dyDescent="0.35">
      <c r="A880" s="64">
        <f t="shared" si="30"/>
        <v>1900</v>
      </c>
      <c r="B880" s="168" t="str">
        <f t="shared" si="29"/>
        <v>1899-00</v>
      </c>
      <c r="C880" s="64"/>
      <c r="BA880" s="824" t="s">
        <v>54</v>
      </c>
      <c r="BB880" s="1225">
        <v>2017</v>
      </c>
      <c r="BC880" s="824" t="s">
        <v>314</v>
      </c>
      <c r="BD880" s="824">
        <v>6</v>
      </c>
      <c r="BE880" s="1226">
        <v>65236124.170000002</v>
      </c>
      <c r="BF880" s="1227">
        <v>7.10911570095802E-2</v>
      </c>
      <c r="BH880" s="1310" t="s">
        <v>345</v>
      </c>
      <c r="BI880" s="824" t="s">
        <v>303</v>
      </c>
      <c r="BJ880" s="824" t="s">
        <v>335</v>
      </c>
      <c r="BK880" s="824">
        <v>9</v>
      </c>
      <c r="BL880" s="1226">
        <v>11787985</v>
      </c>
      <c r="BM880" s="1227">
        <v>8.0000000000000002E-3</v>
      </c>
      <c r="BN880" s="824">
        <v>2008</v>
      </c>
    </row>
    <row r="881" spans="1:66" ht="15" customHeight="1" x14ac:dyDescent="0.35">
      <c r="A881" s="64">
        <f t="shared" si="30"/>
        <v>1900</v>
      </c>
      <c r="B881" s="168" t="str">
        <f t="shared" si="29"/>
        <v>1899-00</v>
      </c>
      <c r="C881" s="64"/>
      <c r="BA881" s="824" t="s">
        <v>54</v>
      </c>
      <c r="BB881" s="1225">
        <v>2017</v>
      </c>
      <c r="BC881" s="824" t="s">
        <v>315</v>
      </c>
      <c r="BD881" s="824">
        <v>7</v>
      </c>
      <c r="BE881" s="1226">
        <v>58514030.589999996</v>
      </c>
      <c r="BF881" s="1227">
        <v>6.376574618530205E-2</v>
      </c>
      <c r="BH881" s="1310" t="s">
        <v>345</v>
      </c>
      <c r="BI881" s="824" t="s">
        <v>303</v>
      </c>
      <c r="BJ881" s="824" t="s">
        <v>348</v>
      </c>
      <c r="BK881" s="824">
        <v>10</v>
      </c>
      <c r="BL881" s="1226">
        <v>2394</v>
      </c>
      <c r="BM881" s="1227">
        <v>0</v>
      </c>
      <c r="BN881" s="824">
        <v>2008</v>
      </c>
    </row>
    <row r="882" spans="1:66" ht="15" customHeight="1" x14ac:dyDescent="0.35">
      <c r="A882" s="64">
        <f t="shared" si="30"/>
        <v>1900</v>
      </c>
      <c r="B882" s="168" t="str">
        <f t="shared" si="29"/>
        <v>1899-00</v>
      </c>
      <c r="C882" s="64"/>
      <c r="BA882" s="824" t="s">
        <v>54</v>
      </c>
      <c r="BB882" s="1225">
        <v>2017</v>
      </c>
      <c r="BC882" s="824" t="s">
        <v>322</v>
      </c>
      <c r="BD882" s="824">
        <v>8</v>
      </c>
      <c r="BE882" s="1226">
        <v>54664160.530000009</v>
      </c>
      <c r="BF882" s="1227">
        <v>5.9570344935087942E-2</v>
      </c>
      <c r="BH882" s="1310" t="s">
        <v>345</v>
      </c>
      <c r="BI882" s="824" t="s">
        <v>303</v>
      </c>
      <c r="BJ882" s="824" t="s">
        <v>291</v>
      </c>
      <c r="BL882" s="1226">
        <v>0</v>
      </c>
      <c r="BM882" s="1227">
        <v>0</v>
      </c>
      <c r="BN882" s="824">
        <v>2008</v>
      </c>
    </row>
    <row r="883" spans="1:66" ht="15" customHeight="1" x14ac:dyDescent="0.35">
      <c r="A883" s="64">
        <f t="shared" si="30"/>
        <v>1900</v>
      </c>
      <c r="B883" s="168" t="str">
        <f t="shared" si="29"/>
        <v>1899-00</v>
      </c>
      <c r="C883" s="64"/>
      <c r="BA883" s="824" t="s">
        <v>54</v>
      </c>
      <c r="BB883" s="1225">
        <v>2017</v>
      </c>
      <c r="BC883" s="824" t="s">
        <v>308</v>
      </c>
      <c r="BD883" s="824">
        <v>9</v>
      </c>
      <c r="BE883" s="1226">
        <v>32256598.260000002</v>
      </c>
      <c r="BF883" s="1227">
        <v>3.5151672798966832E-2</v>
      </c>
      <c r="BH883" s="1310" t="s">
        <v>345</v>
      </c>
      <c r="BI883" s="824" t="s">
        <v>303</v>
      </c>
      <c r="BJ883" s="824" t="s">
        <v>292</v>
      </c>
      <c r="BL883" s="1226">
        <v>1483927269</v>
      </c>
      <c r="BN883" s="824">
        <v>2008</v>
      </c>
    </row>
    <row r="884" spans="1:66" ht="15" customHeight="1" x14ac:dyDescent="0.35">
      <c r="A884" s="64">
        <f t="shared" si="30"/>
        <v>1900</v>
      </c>
      <c r="B884" s="168" t="str">
        <f t="shared" si="29"/>
        <v>1899-00</v>
      </c>
      <c r="C884" s="64"/>
      <c r="BA884" s="824" t="s">
        <v>54</v>
      </c>
      <c r="BB884" s="1225">
        <v>2017</v>
      </c>
      <c r="BC884" s="824" t="s">
        <v>279</v>
      </c>
      <c r="BD884" s="824">
        <v>10</v>
      </c>
      <c r="BE884" s="1226">
        <v>14779667.939999999</v>
      </c>
      <c r="BF884" s="1227">
        <v>1.6106163685229841E-2</v>
      </c>
      <c r="BH884" s="1310" t="s">
        <v>345</v>
      </c>
      <c r="BI884" s="824" t="s">
        <v>307</v>
      </c>
      <c r="BJ884" s="824" t="s">
        <v>287</v>
      </c>
      <c r="BK884" s="824">
        <v>1</v>
      </c>
      <c r="BL884" s="1226">
        <v>493447011</v>
      </c>
      <c r="BM884" s="1227">
        <v>0.315</v>
      </c>
      <c r="BN884" s="824">
        <v>2007</v>
      </c>
    </row>
    <row r="885" spans="1:66" ht="15" customHeight="1" x14ac:dyDescent="0.35">
      <c r="A885" s="64">
        <f t="shared" si="30"/>
        <v>1900</v>
      </c>
      <c r="B885" s="168" t="str">
        <f t="shared" si="29"/>
        <v>1899-00</v>
      </c>
      <c r="C885" s="64"/>
      <c r="BA885" s="824" t="s">
        <v>54</v>
      </c>
      <c r="BB885" s="1225">
        <v>2017</v>
      </c>
      <c r="BC885" s="824" t="s">
        <v>291</v>
      </c>
      <c r="BE885" s="1226">
        <v>72680610.170000076</v>
      </c>
      <c r="BF885" s="1227">
        <v>7.9203795977868363E-2</v>
      </c>
      <c r="BH885" s="1310" t="s">
        <v>345</v>
      </c>
      <c r="BI885" s="824" t="s">
        <v>307</v>
      </c>
      <c r="BJ885" s="824" t="s">
        <v>281</v>
      </c>
      <c r="BK885" s="824">
        <v>2</v>
      </c>
      <c r="BL885" s="1226">
        <v>379152167</v>
      </c>
      <c r="BM885" s="1227">
        <v>0.24199999999999999</v>
      </c>
      <c r="BN885" s="824">
        <v>2007</v>
      </c>
    </row>
    <row r="886" spans="1:66" ht="15" customHeight="1" x14ac:dyDescent="0.35">
      <c r="A886" s="64">
        <f t="shared" si="30"/>
        <v>1900</v>
      </c>
      <c r="B886" s="168" t="str">
        <f t="shared" si="29"/>
        <v>1899-00</v>
      </c>
      <c r="C886" s="64"/>
      <c r="BA886" s="824" t="s">
        <v>54</v>
      </c>
      <c r="BB886" s="1225">
        <v>2017</v>
      </c>
      <c r="BC886" s="824" t="s">
        <v>292</v>
      </c>
      <c r="BE886" s="1226">
        <v>917640490.24000013</v>
      </c>
      <c r="BH886" s="1310" t="s">
        <v>345</v>
      </c>
      <c r="BI886" s="824" t="s">
        <v>307</v>
      </c>
      <c r="BJ886" s="824" t="s">
        <v>320</v>
      </c>
      <c r="BK886" s="824">
        <v>3</v>
      </c>
      <c r="BL886" s="1226">
        <v>268983201</v>
      </c>
      <c r="BM886" s="1227">
        <v>0.17199999999999999</v>
      </c>
      <c r="BN886" s="824">
        <v>2007</v>
      </c>
    </row>
    <row r="887" spans="1:66" ht="15" customHeight="1" x14ac:dyDescent="0.35">
      <c r="A887" s="64">
        <f t="shared" si="30"/>
        <v>1900</v>
      </c>
      <c r="B887" s="168" t="str">
        <f t="shared" si="29"/>
        <v>1899-00</v>
      </c>
      <c r="C887" s="64"/>
      <c r="BA887" s="824" t="s">
        <v>345</v>
      </c>
      <c r="BB887" s="1225">
        <v>2017</v>
      </c>
      <c r="BC887" s="824" t="s">
        <v>281</v>
      </c>
      <c r="BD887" s="824">
        <v>1</v>
      </c>
      <c r="BE887" s="1226">
        <v>911567422.16099977</v>
      </c>
      <c r="BF887" s="1227">
        <v>0.25984922915411907</v>
      </c>
      <c r="BH887" s="1310" t="s">
        <v>345</v>
      </c>
      <c r="BI887" s="824" t="s">
        <v>307</v>
      </c>
      <c r="BJ887" s="824" t="s">
        <v>308</v>
      </c>
      <c r="BK887" s="824">
        <v>4</v>
      </c>
      <c r="BL887" s="1226">
        <v>254992821</v>
      </c>
      <c r="BM887" s="1227">
        <v>0.16300000000000001</v>
      </c>
      <c r="BN887" s="824">
        <v>2007</v>
      </c>
    </row>
    <row r="888" spans="1:66" ht="15" customHeight="1" x14ac:dyDescent="0.35">
      <c r="A888" s="64">
        <f t="shared" si="30"/>
        <v>1900</v>
      </c>
      <c r="B888" s="168" t="str">
        <f t="shared" ref="B888:B951" si="31">IF(MONTH(C888) &gt;= 7, A888 &amp; "-" &amp; RIGHT(A888+1, 2), A888-1 &amp; "-" &amp; RIGHT(A888, 2))</f>
        <v>1899-00</v>
      </c>
      <c r="C888" s="64"/>
      <c r="BA888" s="824" t="s">
        <v>345</v>
      </c>
      <c r="BB888" s="1225">
        <v>2017</v>
      </c>
      <c r="BC888" s="824" t="s">
        <v>346</v>
      </c>
      <c r="BD888" s="824">
        <v>2</v>
      </c>
      <c r="BE888" s="1226">
        <v>900882864.80999994</v>
      </c>
      <c r="BF888" s="1227">
        <v>0.25680351479003122</v>
      </c>
      <c r="BH888" s="1310" t="s">
        <v>345</v>
      </c>
      <c r="BI888" s="824" t="s">
        <v>307</v>
      </c>
      <c r="BJ888" s="824" t="s">
        <v>346</v>
      </c>
      <c r="BK888" s="824">
        <v>5</v>
      </c>
      <c r="BL888" s="1226">
        <v>55307683</v>
      </c>
      <c r="BM888" s="1227">
        <v>3.5000000000000003E-2</v>
      </c>
      <c r="BN888" s="824">
        <v>2007</v>
      </c>
    </row>
    <row r="889" spans="1:66" ht="15" customHeight="1" x14ac:dyDescent="0.35">
      <c r="A889" s="64">
        <f t="shared" si="30"/>
        <v>1900</v>
      </c>
      <c r="B889" s="168" t="str">
        <f t="shared" si="31"/>
        <v>1899-00</v>
      </c>
      <c r="C889" s="64"/>
      <c r="BA889" s="824" t="s">
        <v>345</v>
      </c>
      <c r="BB889" s="1225">
        <v>2017</v>
      </c>
      <c r="BC889" s="824" t="s">
        <v>320</v>
      </c>
      <c r="BD889" s="824">
        <v>3</v>
      </c>
      <c r="BE889" s="1226">
        <v>745675037.17999983</v>
      </c>
      <c r="BF889" s="1227">
        <v>0.21256034265830734</v>
      </c>
      <c r="BH889" s="1310" t="s">
        <v>345</v>
      </c>
      <c r="BI889" s="824" t="s">
        <v>307</v>
      </c>
      <c r="BJ889" s="824" t="s">
        <v>323</v>
      </c>
      <c r="BK889" s="824">
        <v>6</v>
      </c>
      <c r="BL889" s="1226">
        <v>48328777</v>
      </c>
      <c r="BM889" s="1227">
        <v>3.1E-2</v>
      </c>
      <c r="BN889" s="824">
        <v>2007</v>
      </c>
    </row>
    <row r="890" spans="1:66" ht="15" customHeight="1" x14ac:dyDescent="0.35">
      <c r="A890" s="64">
        <f t="shared" si="30"/>
        <v>1900</v>
      </c>
      <c r="B890" s="168" t="str">
        <f t="shared" si="31"/>
        <v>1899-00</v>
      </c>
      <c r="C890" s="64"/>
      <c r="BA890" s="824" t="s">
        <v>345</v>
      </c>
      <c r="BB890" s="1225">
        <v>2017</v>
      </c>
      <c r="BC890" s="824" t="s">
        <v>335</v>
      </c>
      <c r="BD890" s="824">
        <v>4</v>
      </c>
      <c r="BE890" s="1226">
        <v>337072844.76999998</v>
      </c>
      <c r="BF890" s="1227">
        <v>9.608517894883789E-2</v>
      </c>
      <c r="BH890" s="1310" t="s">
        <v>345</v>
      </c>
      <c r="BI890" s="824" t="s">
        <v>307</v>
      </c>
      <c r="BJ890" s="824" t="s">
        <v>319</v>
      </c>
      <c r="BK890" s="824">
        <v>7</v>
      </c>
      <c r="BL890" s="1226">
        <v>35640758</v>
      </c>
      <c r="BM890" s="1227">
        <v>2.3E-2</v>
      </c>
      <c r="BN890" s="824">
        <v>2007</v>
      </c>
    </row>
    <row r="891" spans="1:66" ht="15" customHeight="1" x14ac:dyDescent="0.35">
      <c r="A891" s="64">
        <f t="shared" si="30"/>
        <v>1900</v>
      </c>
      <c r="B891" s="168" t="str">
        <f t="shared" si="31"/>
        <v>1899-00</v>
      </c>
      <c r="C891" s="64"/>
      <c r="BA891" s="824" t="s">
        <v>345</v>
      </c>
      <c r="BB891" s="1225">
        <v>2017</v>
      </c>
      <c r="BC891" s="824" t="s">
        <v>308</v>
      </c>
      <c r="BD891" s="824">
        <v>5</v>
      </c>
      <c r="BE891" s="1226">
        <v>331428242.59000003</v>
      </c>
      <c r="BF891" s="1227">
        <v>9.4476142151672063E-2</v>
      </c>
      <c r="BH891" s="1310" t="s">
        <v>345</v>
      </c>
      <c r="BI891" s="824" t="s">
        <v>307</v>
      </c>
      <c r="BJ891" s="824" t="s">
        <v>283</v>
      </c>
      <c r="BK891" s="824">
        <v>8</v>
      </c>
      <c r="BL891" s="1226">
        <v>14639640</v>
      </c>
      <c r="BM891" s="1227">
        <v>8.9999999999999993E-3</v>
      </c>
      <c r="BN891" s="824">
        <v>2007</v>
      </c>
    </row>
    <row r="892" spans="1:66" ht="15" customHeight="1" x14ac:dyDescent="0.35">
      <c r="A892" s="64">
        <f t="shared" si="30"/>
        <v>1900</v>
      </c>
      <c r="B892" s="168" t="str">
        <f t="shared" si="31"/>
        <v>1899-00</v>
      </c>
      <c r="C892" s="64"/>
      <c r="BA892" s="824" t="s">
        <v>345</v>
      </c>
      <c r="BB892" s="1225">
        <v>2017</v>
      </c>
      <c r="BC892" s="824" t="s">
        <v>287</v>
      </c>
      <c r="BD892" s="824">
        <v>6</v>
      </c>
      <c r="BE892" s="1226">
        <v>245558032.97999999</v>
      </c>
      <c r="BF892" s="1227">
        <v>6.9998185577089492E-2</v>
      </c>
      <c r="BH892" s="1310" t="s">
        <v>345</v>
      </c>
      <c r="BI892" s="824" t="s">
        <v>307</v>
      </c>
      <c r="BJ892" s="824" t="s">
        <v>305</v>
      </c>
      <c r="BK892" s="824">
        <v>9</v>
      </c>
      <c r="BL892" s="1226">
        <v>14456853</v>
      </c>
      <c r="BM892" s="1227">
        <v>8.9999999999999993E-3</v>
      </c>
      <c r="BN892" s="824">
        <v>2007</v>
      </c>
    </row>
    <row r="893" spans="1:66" ht="15" customHeight="1" x14ac:dyDescent="0.35">
      <c r="A893" s="64">
        <f t="shared" si="30"/>
        <v>1900</v>
      </c>
      <c r="B893" s="168" t="str">
        <f t="shared" si="31"/>
        <v>1899-00</v>
      </c>
      <c r="C893" s="64"/>
      <c r="BA893" s="824" t="s">
        <v>345</v>
      </c>
      <c r="BB893" s="1225">
        <v>2017</v>
      </c>
      <c r="BC893" s="824" t="s">
        <v>319</v>
      </c>
      <c r="BD893" s="824">
        <v>7</v>
      </c>
      <c r="BE893" s="1226">
        <v>35878385.359999999</v>
      </c>
      <c r="BF893" s="1227">
        <v>1.0227406719942893E-2</v>
      </c>
      <c r="BH893" s="1310" t="s">
        <v>345</v>
      </c>
      <c r="BI893" s="824" t="s">
        <v>307</v>
      </c>
      <c r="BJ893" s="824" t="s">
        <v>286</v>
      </c>
      <c r="BK893" s="824">
        <v>10</v>
      </c>
      <c r="BL893" s="1226">
        <v>1700</v>
      </c>
      <c r="BM893" s="1227">
        <v>0</v>
      </c>
      <c r="BN893" s="824">
        <v>2007</v>
      </c>
    </row>
    <row r="894" spans="1:66" ht="15" customHeight="1" x14ac:dyDescent="0.35">
      <c r="A894" s="64">
        <f t="shared" si="30"/>
        <v>1900</v>
      </c>
      <c r="B894" s="168" t="str">
        <f t="shared" si="31"/>
        <v>1899-00</v>
      </c>
      <c r="C894" s="64"/>
      <c r="BA894" s="824" t="s">
        <v>345</v>
      </c>
      <c r="BB894" s="1225">
        <v>2017</v>
      </c>
      <c r="BC894" s="824" t="s">
        <v>172</v>
      </c>
      <c r="BD894" s="824">
        <v>8</v>
      </c>
      <c r="BE894" s="1235" t="s">
        <v>172</v>
      </c>
      <c r="BH894" s="1310" t="s">
        <v>345</v>
      </c>
      <c r="BI894" s="824" t="s">
        <v>307</v>
      </c>
      <c r="BJ894" s="824" t="s">
        <v>291</v>
      </c>
      <c r="BL894" s="1226">
        <v>0</v>
      </c>
      <c r="BM894" s="1227">
        <v>0</v>
      </c>
      <c r="BN894" s="824">
        <v>2007</v>
      </c>
    </row>
    <row r="895" spans="1:66" ht="15" customHeight="1" x14ac:dyDescent="0.35">
      <c r="A895" s="64">
        <f t="shared" si="30"/>
        <v>1900</v>
      </c>
      <c r="B895" s="168" t="str">
        <f t="shared" si="31"/>
        <v>1899-00</v>
      </c>
      <c r="C895" s="64"/>
      <c r="BA895" s="824" t="s">
        <v>345</v>
      </c>
      <c r="BB895" s="1225">
        <v>2017</v>
      </c>
      <c r="BC895" s="824" t="s">
        <v>172</v>
      </c>
      <c r="BD895" s="824">
        <v>9</v>
      </c>
      <c r="BE895" s="1235" t="s">
        <v>172</v>
      </c>
      <c r="BH895" s="1310" t="s">
        <v>345</v>
      </c>
      <c r="BI895" s="824" t="s">
        <v>307</v>
      </c>
      <c r="BJ895" s="824" t="s">
        <v>292</v>
      </c>
      <c r="BL895" s="1226">
        <v>1564950612</v>
      </c>
      <c r="BN895" s="824">
        <v>2007</v>
      </c>
    </row>
    <row r="896" spans="1:66" ht="15" customHeight="1" x14ac:dyDescent="0.35">
      <c r="A896" s="64">
        <f t="shared" si="30"/>
        <v>1900</v>
      </c>
      <c r="B896" s="168" t="str">
        <f t="shared" si="31"/>
        <v>1899-00</v>
      </c>
      <c r="C896" s="64"/>
      <c r="BA896" s="824" t="s">
        <v>345</v>
      </c>
      <c r="BB896" s="1225">
        <v>2017</v>
      </c>
      <c r="BC896" s="824" t="s">
        <v>172</v>
      </c>
      <c r="BD896" s="824">
        <v>10</v>
      </c>
      <c r="BE896" s="1235" t="s">
        <v>172</v>
      </c>
      <c r="BH896" s="1310" t="s">
        <v>165</v>
      </c>
      <c r="BI896" s="824" t="s">
        <v>351</v>
      </c>
      <c r="BJ896" s="824" t="s">
        <v>279</v>
      </c>
      <c r="BK896" s="824">
        <v>1</v>
      </c>
      <c r="BL896" s="1226">
        <v>1206670597.75</v>
      </c>
      <c r="BM896" s="1227">
        <v>0.22664407779028015</v>
      </c>
      <c r="BN896" s="824">
        <v>2016</v>
      </c>
    </row>
    <row r="897" spans="1:66" ht="15" customHeight="1" x14ac:dyDescent="0.35">
      <c r="A897" s="64">
        <f t="shared" si="30"/>
        <v>1900</v>
      </c>
      <c r="B897" s="168" t="str">
        <f t="shared" si="31"/>
        <v>1899-00</v>
      </c>
      <c r="C897" s="64"/>
      <c r="BA897" s="824" t="s">
        <v>345</v>
      </c>
      <c r="BB897" s="1225">
        <v>2017</v>
      </c>
      <c r="BC897" s="824" t="s">
        <v>291</v>
      </c>
      <c r="BE897" s="1226">
        <v>0</v>
      </c>
      <c r="BH897" s="824" t="s">
        <v>165</v>
      </c>
      <c r="BI897" s="824" t="s">
        <v>351</v>
      </c>
      <c r="BJ897" s="824" t="s">
        <v>282</v>
      </c>
      <c r="BK897" s="824">
        <v>2</v>
      </c>
      <c r="BL897" s="1226">
        <v>764304801.37</v>
      </c>
      <c r="BM897" s="1227">
        <v>0.14355629214815424</v>
      </c>
      <c r="BN897" s="824">
        <v>2016</v>
      </c>
    </row>
    <row r="898" spans="1:66" ht="15" customHeight="1" x14ac:dyDescent="0.35">
      <c r="A898" s="64">
        <f t="shared" si="30"/>
        <v>1900</v>
      </c>
      <c r="B898" s="168" t="str">
        <f t="shared" si="31"/>
        <v>1899-00</v>
      </c>
      <c r="C898" s="64"/>
      <c r="BA898" s="824" t="s">
        <v>345</v>
      </c>
      <c r="BB898" s="1225">
        <v>2017</v>
      </c>
      <c r="BC898" s="824" t="s">
        <v>292</v>
      </c>
      <c r="BE898" s="1226">
        <v>3508062829.8509998</v>
      </c>
      <c r="BH898" s="824" t="s">
        <v>165</v>
      </c>
      <c r="BI898" s="824" t="s">
        <v>351</v>
      </c>
      <c r="BJ898" s="824" t="s">
        <v>287</v>
      </c>
      <c r="BK898" s="824">
        <v>3</v>
      </c>
      <c r="BL898" s="1226">
        <v>459909051.93999994</v>
      </c>
      <c r="BM898" s="1227">
        <v>8.6382864668041792E-2</v>
      </c>
      <c r="BN898" s="824">
        <v>2016</v>
      </c>
    </row>
    <row r="899" spans="1:66" ht="15" customHeight="1" x14ac:dyDescent="0.35">
      <c r="A899" s="64">
        <f t="shared" si="30"/>
        <v>1900</v>
      </c>
      <c r="B899" s="168" t="str">
        <f t="shared" si="31"/>
        <v>1899-00</v>
      </c>
      <c r="C899" s="64"/>
      <c r="AR899" s="130"/>
      <c r="BA899" s="824" t="s">
        <v>40</v>
      </c>
      <c r="BB899" s="1225">
        <v>2017</v>
      </c>
      <c r="BC899" s="824" t="s">
        <v>281</v>
      </c>
      <c r="BD899" s="824">
        <v>1</v>
      </c>
      <c r="BE899" s="1226">
        <v>51318527000</v>
      </c>
      <c r="BF899" s="1227">
        <v>0.81901062814891057</v>
      </c>
      <c r="BH899" s="824" t="s">
        <v>165</v>
      </c>
      <c r="BI899" s="824" t="s">
        <v>351</v>
      </c>
      <c r="BJ899" s="824" t="s">
        <v>284</v>
      </c>
      <c r="BK899" s="824">
        <v>4</v>
      </c>
      <c r="BL899" s="1226">
        <v>435985698.21000004</v>
      </c>
      <c r="BM899" s="1227">
        <v>8.1889437502503243E-2</v>
      </c>
      <c r="BN899" s="824">
        <v>2016</v>
      </c>
    </row>
    <row r="900" spans="1:66" ht="15" customHeight="1" x14ac:dyDescent="0.35">
      <c r="A900" s="64">
        <f t="shared" si="30"/>
        <v>1900</v>
      </c>
      <c r="B900" s="168" t="str">
        <f t="shared" si="31"/>
        <v>1899-00</v>
      </c>
      <c r="C900" s="64"/>
      <c r="AR900" s="130"/>
      <c r="BA900" s="824" t="s">
        <v>40</v>
      </c>
      <c r="BB900" s="1225">
        <v>2017</v>
      </c>
      <c r="BC900" s="824" t="s">
        <v>308</v>
      </c>
      <c r="BD900" s="824">
        <v>2</v>
      </c>
      <c r="BE900" s="1226">
        <v>5538714000</v>
      </c>
      <c r="BF900" s="1227">
        <v>8.8394307036076175E-2</v>
      </c>
      <c r="BH900" s="824" t="s">
        <v>165</v>
      </c>
      <c r="BI900" s="824" t="s">
        <v>351</v>
      </c>
      <c r="BJ900" s="824" t="s">
        <v>283</v>
      </c>
      <c r="BK900" s="824">
        <v>5</v>
      </c>
      <c r="BL900" s="1226">
        <v>420447297.48000008</v>
      </c>
      <c r="BM900" s="1227">
        <v>7.8970922283558398E-2</v>
      </c>
      <c r="BN900" s="824">
        <v>2016</v>
      </c>
    </row>
    <row r="901" spans="1:66" ht="15" customHeight="1" x14ac:dyDescent="0.35">
      <c r="A901" s="64">
        <f t="shared" si="30"/>
        <v>1900</v>
      </c>
      <c r="B901" s="168" t="str">
        <f t="shared" si="31"/>
        <v>1899-00</v>
      </c>
      <c r="C901" s="64"/>
      <c r="BA901" s="824" t="s">
        <v>40</v>
      </c>
      <c r="BB901" s="1225">
        <v>2017</v>
      </c>
      <c r="BC901" s="824" t="s">
        <v>320</v>
      </c>
      <c r="BD901" s="824">
        <v>3</v>
      </c>
      <c r="BE901" s="1226">
        <v>3846110000</v>
      </c>
      <c r="BF901" s="1227">
        <v>6.1381437682921147E-2</v>
      </c>
      <c r="BH901" s="824" t="s">
        <v>165</v>
      </c>
      <c r="BI901" s="824" t="s">
        <v>351</v>
      </c>
      <c r="BJ901" s="824" t="s">
        <v>285</v>
      </c>
      <c r="BK901" s="824">
        <v>6</v>
      </c>
      <c r="BL901" s="1226">
        <v>418001102.38</v>
      </c>
      <c r="BM901" s="1227">
        <v>7.8511463311434271E-2</v>
      </c>
      <c r="BN901" s="824">
        <v>2016</v>
      </c>
    </row>
    <row r="902" spans="1:66" ht="15" customHeight="1" x14ac:dyDescent="0.35">
      <c r="A902" s="64">
        <f t="shared" si="30"/>
        <v>1900</v>
      </c>
      <c r="B902" s="168" t="str">
        <f t="shared" si="31"/>
        <v>1899-00</v>
      </c>
      <c r="C902" s="64"/>
      <c r="BA902" s="824" t="s">
        <v>40</v>
      </c>
      <c r="BB902" s="1225">
        <v>2017</v>
      </c>
      <c r="BC902" s="824" t="s">
        <v>315</v>
      </c>
      <c r="BD902" s="824">
        <v>4</v>
      </c>
      <c r="BE902" s="1226">
        <v>1392116000</v>
      </c>
      <c r="BF902" s="1227">
        <v>2.2217274467292266E-2</v>
      </c>
      <c r="BH902" s="824" t="s">
        <v>165</v>
      </c>
      <c r="BI902" s="824" t="s">
        <v>351</v>
      </c>
      <c r="BJ902" s="824" t="s">
        <v>281</v>
      </c>
      <c r="BK902" s="824">
        <v>7</v>
      </c>
      <c r="BL902" s="1226">
        <v>299086580.08999997</v>
      </c>
      <c r="BM902" s="1227">
        <v>5.6176227588824429E-2</v>
      </c>
      <c r="BN902" s="824">
        <v>2016</v>
      </c>
    </row>
    <row r="903" spans="1:66" ht="15" customHeight="1" x14ac:dyDescent="0.35">
      <c r="A903" s="64">
        <f t="shared" si="30"/>
        <v>1900</v>
      </c>
      <c r="B903" s="168" t="str">
        <f t="shared" si="31"/>
        <v>1899-00</v>
      </c>
      <c r="C903" s="64"/>
      <c r="BA903" s="824" t="s">
        <v>40</v>
      </c>
      <c r="BB903" s="1225">
        <v>2017</v>
      </c>
      <c r="BC903" s="824" t="s">
        <v>289</v>
      </c>
      <c r="BD903" s="824">
        <v>5</v>
      </c>
      <c r="BE903" s="1226">
        <v>280831000</v>
      </c>
      <c r="BF903" s="1227">
        <v>4.4818818301952954E-3</v>
      </c>
      <c r="BH903" s="824" t="s">
        <v>165</v>
      </c>
      <c r="BI903" s="824" t="s">
        <v>351</v>
      </c>
      <c r="BJ903" s="824" t="s">
        <v>304</v>
      </c>
      <c r="BK903" s="824">
        <v>8</v>
      </c>
      <c r="BL903" s="1226">
        <v>240535269.83999997</v>
      </c>
      <c r="BM903" s="1227">
        <v>4.5178770834870111E-2</v>
      </c>
      <c r="BN903" s="824">
        <v>2016</v>
      </c>
    </row>
    <row r="904" spans="1:66" ht="15" customHeight="1" x14ac:dyDescent="0.35">
      <c r="A904" s="64">
        <f t="shared" si="30"/>
        <v>1900</v>
      </c>
      <c r="B904" s="168" t="str">
        <f t="shared" si="31"/>
        <v>1899-00</v>
      </c>
      <c r="C904" s="64"/>
      <c r="AR904" s="193"/>
      <c r="BA904" s="824" t="s">
        <v>40</v>
      </c>
      <c r="BB904" s="1225">
        <v>2017</v>
      </c>
      <c r="BC904" s="824" t="s">
        <v>291</v>
      </c>
      <c r="BE904" s="1226">
        <v>282873000</v>
      </c>
      <c r="BF904" s="1227">
        <v>4.5144708346045621E-3</v>
      </c>
      <c r="BH904" s="824" t="s">
        <v>165</v>
      </c>
      <c r="BI904" s="824" t="s">
        <v>351</v>
      </c>
      <c r="BJ904" s="824" t="s">
        <v>289</v>
      </c>
      <c r="BK904" s="824">
        <v>9</v>
      </c>
      <c r="BL904" s="1226">
        <v>204660764.86999997</v>
      </c>
      <c r="BM904" s="1227">
        <v>3.8440607072307786E-2</v>
      </c>
      <c r="BN904" s="824">
        <v>2016</v>
      </c>
    </row>
    <row r="905" spans="1:66" ht="15" customHeight="1" x14ac:dyDescent="0.35">
      <c r="A905" s="64">
        <f t="shared" si="30"/>
        <v>1900</v>
      </c>
      <c r="B905" s="168" t="str">
        <f t="shared" si="31"/>
        <v>1899-00</v>
      </c>
      <c r="C905" s="64"/>
      <c r="P905" s="195"/>
      <c r="Q905" s="195"/>
      <c r="BA905" s="824" t="s">
        <v>40</v>
      </c>
      <c r="BB905" s="1225">
        <v>2017</v>
      </c>
      <c r="BC905" s="824" t="s">
        <v>331</v>
      </c>
      <c r="BE905" s="1226">
        <v>62659171000</v>
      </c>
      <c r="BH905" s="824" t="s">
        <v>165</v>
      </c>
      <c r="BI905" s="824" t="s">
        <v>351</v>
      </c>
      <c r="BJ905" s="824" t="s">
        <v>288</v>
      </c>
      <c r="BK905" s="824">
        <v>10</v>
      </c>
      <c r="BL905" s="1226">
        <v>170293338.83000001</v>
      </c>
      <c r="BM905" s="1227">
        <v>3.1985511874508633E-2</v>
      </c>
      <c r="BN905" s="824">
        <v>2016</v>
      </c>
    </row>
    <row r="906" spans="1:66" ht="15" customHeight="1" x14ac:dyDescent="0.35">
      <c r="A906" s="64">
        <f t="shared" si="30"/>
        <v>1900</v>
      </c>
      <c r="B906" s="168" t="str">
        <f t="shared" si="31"/>
        <v>1899-00</v>
      </c>
      <c r="C906" s="64"/>
      <c r="R906" s="195"/>
      <c r="S906" s="195"/>
      <c r="BA906" s="824" t="s">
        <v>32</v>
      </c>
      <c r="BB906" s="1225">
        <v>2017</v>
      </c>
      <c r="BC906" s="824" t="s">
        <v>281</v>
      </c>
      <c r="BD906" s="824">
        <v>1</v>
      </c>
      <c r="BE906" s="1226">
        <v>9571487000</v>
      </c>
      <c r="BF906" s="1227">
        <v>0.59511152970388692</v>
      </c>
      <c r="BH906" s="824" t="s">
        <v>165</v>
      </c>
      <c r="BI906" s="824" t="s">
        <v>351</v>
      </c>
      <c r="BJ906" s="824" t="s">
        <v>291</v>
      </c>
      <c r="BL906" s="1226">
        <v>704182832.56999969</v>
      </c>
      <c r="BM906" s="1227">
        <v>0.13226382492551692</v>
      </c>
      <c r="BN906" s="824">
        <v>2016</v>
      </c>
    </row>
    <row r="907" spans="1:66" ht="15" customHeight="1" x14ac:dyDescent="0.35">
      <c r="A907" s="64">
        <f t="shared" si="30"/>
        <v>1900</v>
      </c>
      <c r="B907" s="168" t="str">
        <f t="shared" si="31"/>
        <v>1899-00</v>
      </c>
      <c r="C907" s="64"/>
      <c r="BA907" s="824" t="s">
        <v>32</v>
      </c>
      <c r="BB907" s="1225">
        <v>2017</v>
      </c>
      <c r="BC907" s="824" t="s">
        <v>314</v>
      </c>
      <c r="BD907" s="824">
        <v>2</v>
      </c>
      <c r="BE907" s="1226">
        <v>2793864000</v>
      </c>
      <c r="BF907" s="1227">
        <v>0.17370975678331071</v>
      </c>
      <c r="BH907" s="824" t="s">
        <v>165</v>
      </c>
      <c r="BI907" s="824" t="s">
        <v>351</v>
      </c>
      <c r="BJ907" s="824" t="s">
        <v>292</v>
      </c>
      <c r="BL907" s="1226">
        <v>5324077335.3299999</v>
      </c>
      <c r="BN907" s="824">
        <v>2016</v>
      </c>
    </row>
    <row r="908" spans="1:66" ht="15" customHeight="1" x14ac:dyDescent="0.35">
      <c r="A908" s="64">
        <f t="shared" ref="A908:A971" si="32">YEAR(C908)</f>
        <v>1900</v>
      </c>
      <c r="B908" s="168" t="str">
        <f t="shared" si="31"/>
        <v>1899-00</v>
      </c>
      <c r="C908" s="64"/>
      <c r="BA908" s="824" t="s">
        <v>32</v>
      </c>
      <c r="BB908" s="1225">
        <v>2017</v>
      </c>
      <c r="BC908" s="824" t="s">
        <v>323</v>
      </c>
      <c r="BD908" s="824">
        <v>3</v>
      </c>
      <c r="BE908" s="1226">
        <v>941625000</v>
      </c>
      <c r="BF908" s="1227">
        <v>5.8545959907527693E-2</v>
      </c>
      <c r="BH908" s="824" t="s">
        <v>61</v>
      </c>
      <c r="BI908" s="824" t="s">
        <v>351</v>
      </c>
      <c r="BJ908" s="824" t="s">
        <v>315</v>
      </c>
      <c r="BK908" s="824">
        <v>1</v>
      </c>
      <c r="BL908" s="1226">
        <v>458833709.91362566</v>
      </c>
      <c r="BM908" s="1227">
        <v>0.2652486150278881</v>
      </c>
      <c r="BN908" s="824">
        <v>2016</v>
      </c>
    </row>
    <row r="909" spans="1:66" ht="15" customHeight="1" x14ac:dyDescent="0.35">
      <c r="A909" s="64">
        <f t="shared" si="32"/>
        <v>1900</v>
      </c>
      <c r="B909" s="168" t="str">
        <f t="shared" si="31"/>
        <v>1899-00</v>
      </c>
      <c r="C909" s="64"/>
      <c r="AQ909" s="130"/>
      <c r="BA909" s="824" t="s">
        <v>32</v>
      </c>
      <c r="BB909" s="1225">
        <v>2017</v>
      </c>
      <c r="BC909" s="824" t="s">
        <v>329</v>
      </c>
      <c r="BD909" s="824">
        <v>4</v>
      </c>
      <c r="BE909" s="1226">
        <v>896500000</v>
      </c>
      <c r="BF909" s="1227">
        <v>5.5740292639956009E-2</v>
      </c>
      <c r="BH909" s="824" t="s">
        <v>61</v>
      </c>
      <c r="BI909" s="824" t="s">
        <v>351</v>
      </c>
      <c r="BJ909" s="824" t="s">
        <v>281</v>
      </c>
      <c r="BK909" s="824">
        <v>2</v>
      </c>
      <c r="BL909" s="1226">
        <v>447484057.32489848</v>
      </c>
      <c r="BM909" s="1227">
        <v>0.25868745885046973</v>
      </c>
      <c r="BN909" s="824">
        <v>2016</v>
      </c>
    </row>
    <row r="910" spans="1:66" ht="15" customHeight="1" x14ac:dyDescent="0.35">
      <c r="A910" s="64">
        <f t="shared" si="32"/>
        <v>1900</v>
      </c>
      <c r="B910" s="168" t="str">
        <f t="shared" si="31"/>
        <v>1899-00</v>
      </c>
      <c r="C910" s="64"/>
      <c r="P910" s="195"/>
      <c r="Q910" s="195"/>
      <c r="AQ910" s="130"/>
      <c r="BA910" s="824" t="s">
        <v>32</v>
      </c>
      <c r="BB910" s="1225">
        <v>2017</v>
      </c>
      <c r="BC910" s="824" t="s">
        <v>306</v>
      </c>
      <c r="BD910" s="824">
        <v>5</v>
      </c>
      <c r="BE910" s="1226">
        <v>775645000</v>
      </c>
      <c r="BF910" s="1227">
        <v>4.8226078399016929E-2</v>
      </c>
      <c r="BH910" s="824" t="s">
        <v>61</v>
      </c>
      <c r="BI910" s="824" t="s">
        <v>351</v>
      </c>
      <c r="BJ910" s="824" t="s">
        <v>285</v>
      </c>
      <c r="BK910" s="824">
        <v>3</v>
      </c>
      <c r="BL910" s="1226">
        <v>252748675.40000007</v>
      </c>
      <c r="BM910" s="1227">
        <v>0.14611227259785167</v>
      </c>
      <c r="BN910" s="824">
        <v>2016</v>
      </c>
    </row>
    <row r="911" spans="1:66" ht="15" customHeight="1" x14ac:dyDescent="0.35">
      <c r="A911" s="64">
        <f t="shared" si="32"/>
        <v>1900</v>
      </c>
      <c r="B911" s="168" t="str">
        <f t="shared" si="31"/>
        <v>1899-00</v>
      </c>
      <c r="C911" s="64"/>
      <c r="BA911" s="824" t="s">
        <v>32</v>
      </c>
      <c r="BB911" s="1225">
        <v>2017</v>
      </c>
      <c r="BC911" s="824" t="s">
        <v>287</v>
      </c>
      <c r="BD911" s="824">
        <v>6</v>
      </c>
      <c r="BE911" s="1226">
        <v>688382000</v>
      </c>
      <c r="BF911" s="1227">
        <v>4.280046193873753E-2</v>
      </c>
      <c r="BH911" s="824" t="s">
        <v>61</v>
      </c>
      <c r="BI911" s="824" t="s">
        <v>351</v>
      </c>
      <c r="BJ911" s="824" t="s">
        <v>308</v>
      </c>
      <c r="BK911" s="824">
        <v>4</v>
      </c>
      <c r="BL911" s="1226">
        <v>204876484.44739115</v>
      </c>
      <c r="BM911" s="1227">
        <v>0.11843768794076427</v>
      </c>
      <c r="BN911" s="824">
        <v>2016</v>
      </c>
    </row>
    <row r="912" spans="1:66" ht="15" customHeight="1" x14ac:dyDescent="0.35">
      <c r="A912" s="64">
        <f t="shared" si="32"/>
        <v>1900</v>
      </c>
      <c r="B912" s="168" t="str">
        <f t="shared" si="31"/>
        <v>1899-00</v>
      </c>
      <c r="C912" s="64"/>
      <c r="BA912" s="824" t="s">
        <v>32</v>
      </c>
      <c r="BB912" s="1225">
        <v>2017</v>
      </c>
      <c r="BC912" s="824" t="s">
        <v>320</v>
      </c>
      <c r="BD912" s="824">
        <v>7</v>
      </c>
      <c r="BE912" s="1226">
        <v>184030000</v>
      </c>
      <c r="BF912" s="1227">
        <v>1.1442148415539435E-2</v>
      </c>
      <c r="BH912" s="824" t="s">
        <v>61</v>
      </c>
      <c r="BI912" s="824" t="s">
        <v>351</v>
      </c>
      <c r="BJ912" s="824" t="s">
        <v>320</v>
      </c>
      <c r="BK912" s="824">
        <v>5</v>
      </c>
      <c r="BL912" s="1226">
        <v>174954118.66999999</v>
      </c>
      <c r="BM912" s="1227">
        <v>0.1011397738831747</v>
      </c>
      <c r="BN912" s="824">
        <v>2016</v>
      </c>
    </row>
    <row r="913" spans="1:66" ht="15" customHeight="1" x14ac:dyDescent="0.35">
      <c r="A913" s="64">
        <f t="shared" si="32"/>
        <v>1900</v>
      </c>
      <c r="B913" s="168" t="str">
        <f t="shared" si="31"/>
        <v>1899-00</v>
      </c>
      <c r="C913" s="64"/>
      <c r="BA913" s="824" t="s">
        <v>32</v>
      </c>
      <c r="BB913" s="1225">
        <v>2017</v>
      </c>
      <c r="BC913" s="824" t="s">
        <v>328</v>
      </c>
      <c r="BD913" s="824">
        <v>8</v>
      </c>
      <c r="BE913" s="1226">
        <v>93296000</v>
      </c>
      <c r="BF913" s="1227">
        <v>5.8007209616702015E-3</v>
      </c>
      <c r="BH913" s="824" t="s">
        <v>61</v>
      </c>
      <c r="BI913" s="824" t="s">
        <v>351</v>
      </c>
      <c r="BJ913" s="824" t="s">
        <v>306</v>
      </c>
      <c r="BK913" s="824">
        <v>6</v>
      </c>
      <c r="BL913" s="1226">
        <v>66386132.079999998</v>
      </c>
      <c r="BM913" s="1227">
        <v>3.8377366812462996E-2</v>
      </c>
      <c r="BN913" s="824">
        <v>2016</v>
      </c>
    </row>
    <row r="914" spans="1:66" ht="15" customHeight="1" x14ac:dyDescent="0.35">
      <c r="A914" s="64">
        <f t="shared" si="32"/>
        <v>1900</v>
      </c>
      <c r="B914" s="168" t="str">
        <f t="shared" si="31"/>
        <v>1899-00</v>
      </c>
      <c r="C914" s="64"/>
      <c r="AR914" s="193"/>
      <c r="AS914" s="194"/>
      <c r="BA914" s="824" t="s">
        <v>32</v>
      </c>
      <c r="BB914" s="1225">
        <v>2017</v>
      </c>
      <c r="BC914" s="824" t="s">
        <v>286</v>
      </c>
      <c r="BD914" s="824">
        <v>9</v>
      </c>
      <c r="BE914" s="1226">
        <v>73897000</v>
      </c>
      <c r="BF914" s="1227">
        <v>4.5945793700109643E-3</v>
      </c>
      <c r="BH914" s="824" t="s">
        <v>61</v>
      </c>
      <c r="BI914" s="824" t="s">
        <v>351</v>
      </c>
      <c r="BJ914" s="824" t="s">
        <v>287</v>
      </c>
      <c r="BK914" s="824">
        <v>7</v>
      </c>
      <c r="BL914" s="1226">
        <v>42736860.600000001</v>
      </c>
      <c r="BM914" s="1227">
        <v>2.4705885465398505E-2</v>
      </c>
      <c r="BN914" s="824">
        <v>2016</v>
      </c>
    </row>
    <row r="915" spans="1:66" ht="15" customHeight="1" x14ac:dyDescent="0.35">
      <c r="A915" s="64">
        <f t="shared" si="32"/>
        <v>1900</v>
      </c>
      <c r="B915" s="168" t="str">
        <f t="shared" si="31"/>
        <v>1899-00</v>
      </c>
      <c r="C915" s="64"/>
      <c r="BA915" s="824" t="s">
        <v>32</v>
      </c>
      <c r="BB915" s="1225">
        <v>2017</v>
      </c>
      <c r="BC915" s="824" t="s">
        <v>335</v>
      </c>
      <c r="BD915" s="824">
        <v>10</v>
      </c>
      <c r="BE915" s="1226">
        <v>46846000</v>
      </c>
      <c r="BF915" s="1227">
        <v>2.9126712203138643E-3</v>
      </c>
      <c r="BH915" s="824" t="s">
        <v>61</v>
      </c>
      <c r="BI915" s="824" t="s">
        <v>351</v>
      </c>
      <c r="BJ915" s="824" t="s">
        <v>322</v>
      </c>
      <c r="BK915" s="824">
        <v>8</v>
      </c>
      <c r="BL915" s="1226">
        <v>21667394.889999997</v>
      </c>
      <c r="BM915" s="1227">
        <v>1.2525772107975118E-2</v>
      </c>
      <c r="BN915" s="824">
        <v>2016</v>
      </c>
    </row>
    <row r="916" spans="1:66" ht="15" customHeight="1" x14ac:dyDescent="0.35">
      <c r="A916" s="64">
        <f t="shared" si="32"/>
        <v>1900</v>
      </c>
      <c r="B916" s="168" t="str">
        <f t="shared" si="31"/>
        <v>1899-00</v>
      </c>
      <c r="C916" s="64"/>
      <c r="BA916" s="824" t="s">
        <v>32</v>
      </c>
      <c r="BB916" s="1225">
        <v>2017</v>
      </c>
      <c r="BC916" s="824" t="s">
        <v>291</v>
      </c>
      <c r="BE916" s="1226">
        <v>17946000</v>
      </c>
      <c r="BF916" s="1227">
        <v>1.1158006600297274E-3</v>
      </c>
      <c r="BH916" s="824" t="s">
        <v>61</v>
      </c>
      <c r="BI916" s="824" t="s">
        <v>351</v>
      </c>
      <c r="BJ916" s="824" t="s">
        <v>286</v>
      </c>
      <c r="BK916" s="824">
        <v>9</v>
      </c>
      <c r="BL916" s="1226">
        <v>17495681.730000004</v>
      </c>
      <c r="BM916" s="1227">
        <v>1.0114133394263529E-2</v>
      </c>
      <c r="BN916" s="824">
        <v>2016</v>
      </c>
    </row>
    <row r="917" spans="1:66" ht="15" customHeight="1" x14ac:dyDescent="0.35">
      <c r="A917" s="64">
        <f t="shared" si="32"/>
        <v>1900</v>
      </c>
      <c r="B917" s="168" t="str">
        <f t="shared" si="31"/>
        <v>1899-00</v>
      </c>
      <c r="C917" s="64"/>
      <c r="BA917" s="824" t="s">
        <v>32</v>
      </c>
      <c r="BB917" s="1225">
        <v>2017</v>
      </c>
      <c r="BC917" s="824" t="s">
        <v>331</v>
      </c>
      <c r="BE917" s="1226">
        <v>16083518000</v>
      </c>
      <c r="BH917" s="824" t="s">
        <v>61</v>
      </c>
      <c r="BI917" s="824" t="s">
        <v>351</v>
      </c>
      <c r="BJ917" s="824" t="s">
        <v>312</v>
      </c>
      <c r="BK917" s="824">
        <v>10</v>
      </c>
      <c r="BL917" s="1226">
        <v>17101124.370000001</v>
      </c>
      <c r="BM917" s="1227">
        <v>9.8860424954741576E-3</v>
      </c>
      <c r="BN917" s="824">
        <v>2016</v>
      </c>
    </row>
    <row r="918" spans="1:66" ht="15" customHeight="1" x14ac:dyDescent="0.35">
      <c r="A918" s="64">
        <f t="shared" si="32"/>
        <v>1900</v>
      </c>
      <c r="B918" s="168" t="str">
        <f t="shared" si="31"/>
        <v>1899-00</v>
      </c>
      <c r="C918" s="64"/>
      <c r="BA918" s="1310" t="s">
        <v>344</v>
      </c>
      <c r="BB918" s="1225">
        <v>2017</v>
      </c>
      <c r="BE918" s="1226">
        <v>1835050789.6100001</v>
      </c>
      <c r="BH918" s="824" t="s">
        <v>61</v>
      </c>
      <c r="BI918" s="824" t="s">
        <v>351</v>
      </c>
      <c r="BJ918" s="824" t="s">
        <v>291</v>
      </c>
      <c r="BL918" s="1226">
        <v>27796913.080000162</v>
      </c>
      <c r="BM918" s="1227">
        <v>1.6069204457337272E-2</v>
      </c>
      <c r="BN918" s="824">
        <v>2016</v>
      </c>
    </row>
    <row r="919" spans="1:66" ht="15" customHeight="1" x14ac:dyDescent="0.35">
      <c r="A919" s="64">
        <f t="shared" si="32"/>
        <v>1900</v>
      </c>
      <c r="B919" s="168" t="str">
        <f t="shared" si="31"/>
        <v>1899-00</v>
      </c>
      <c r="C919" s="64"/>
      <c r="BA919" s="824" t="s">
        <v>71</v>
      </c>
      <c r="BB919" s="1225">
        <v>2017</v>
      </c>
      <c r="BC919" s="824" t="s">
        <v>308</v>
      </c>
      <c r="BD919" s="824">
        <v>1</v>
      </c>
      <c r="BE919" s="1226">
        <v>9881228816.7434959</v>
      </c>
      <c r="BF919" s="1227">
        <v>0.50389426630022627</v>
      </c>
      <c r="BH919" s="824" t="s">
        <v>61</v>
      </c>
      <c r="BI919" s="824" t="s">
        <v>351</v>
      </c>
      <c r="BJ919" s="824" t="s">
        <v>292</v>
      </c>
      <c r="BL919" s="1226">
        <v>1729825092.0759158</v>
      </c>
      <c r="BN919" s="824">
        <v>2016</v>
      </c>
    </row>
    <row r="920" spans="1:66" ht="15" customHeight="1" x14ac:dyDescent="0.35">
      <c r="A920" s="64">
        <f t="shared" si="32"/>
        <v>1900</v>
      </c>
      <c r="B920" s="168" t="str">
        <f t="shared" si="31"/>
        <v>1899-00</v>
      </c>
      <c r="C920" s="64"/>
      <c r="BA920" s="824" t="s">
        <v>71</v>
      </c>
      <c r="BB920" s="1225">
        <v>2017</v>
      </c>
      <c r="BC920" s="824" t="s">
        <v>281</v>
      </c>
      <c r="BD920" s="824">
        <v>2</v>
      </c>
      <c r="BE920" s="1226">
        <v>2256078304.9658995</v>
      </c>
      <c r="BF920" s="1227">
        <v>0.11504894211844671</v>
      </c>
      <c r="BH920" s="824" t="s">
        <v>54</v>
      </c>
      <c r="BI920" s="824" t="s">
        <v>351</v>
      </c>
      <c r="BJ920" s="824" t="s">
        <v>281</v>
      </c>
      <c r="BK920" s="824">
        <v>1</v>
      </c>
      <c r="BL920" s="1226">
        <v>198802462.11000001</v>
      </c>
      <c r="BM920" s="1227">
        <v>0.24650814024847517</v>
      </c>
      <c r="BN920" s="824">
        <v>2016</v>
      </c>
    </row>
    <row r="921" spans="1:66" ht="15" customHeight="1" x14ac:dyDescent="0.35">
      <c r="A921" s="64">
        <f t="shared" si="32"/>
        <v>1900</v>
      </c>
      <c r="B921" s="168" t="str">
        <f t="shared" si="31"/>
        <v>1899-00</v>
      </c>
      <c r="C921" s="64"/>
      <c r="P921" s="195"/>
      <c r="Q921" s="195"/>
      <c r="R921" s="195"/>
      <c r="S921" s="195"/>
      <c r="AK921" s="196"/>
      <c r="AL921" s="197"/>
      <c r="AM921" s="196"/>
      <c r="AO921" s="196"/>
      <c r="AP921" s="196"/>
      <c r="BA921" s="824" t="s">
        <v>71</v>
      </c>
      <c r="BB921" s="1225">
        <v>2017</v>
      </c>
      <c r="BC921" s="824" t="s">
        <v>306</v>
      </c>
      <c r="BD921" s="824">
        <v>3</v>
      </c>
      <c r="BE921" s="1226">
        <v>2091137923.2131004</v>
      </c>
      <c r="BF921" s="1227">
        <v>0.10663779061209015</v>
      </c>
      <c r="BH921" s="824" t="s">
        <v>54</v>
      </c>
      <c r="BI921" s="824" t="s">
        <v>351</v>
      </c>
      <c r="BJ921" s="824" t="s">
        <v>314</v>
      </c>
      <c r="BK921" s="824">
        <v>2</v>
      </c>
      <c r="BL921" s="1226">
        <v>93030310.670000002</v>
      </c>
      <c r="BM921" s="1227">
        <v>0.11535435037676041</v>
      </c>
      <c r="BN921" s="824">
        <v>2016</v>
      </c>
    </row>
    <row r="922" spans="1:66" ht="15" customHeight="1" x14ac:dyDescent="0.35">
      <c r="A922" s="64">
        <f t="shared" si="32"/>
        <v>1900</v>
      </c>
      <c r="B922" s="168" t="str">
        <f t="shared" si="31"/>
        <v>1899-00</v>
      </c>
      <c r="C922" s="64"/>
      <c r="P922" s="195"/>
      <c r="Q922" s="195"/>
      <c r="R922" s="195"/>
      <c r="S922" s="195"/>
      <c r="AK922" s="196"/>
      <c r="AL922" s="197"/>
      <c r="AM922" s="196"/>
      <c r="AO922" s="196"/>
      <c r="AP922" s="196"/>
      <c r="BA922" s="824" t="s">
        <v>71</v>
      </c>
      <c r="BB922" s="1225">
        <v>2017</v>
      </c>
      <c r="BC922" s="824" t="s">
        <v>320</v>
      </c>
      <c r="BD922" s="824">
        <v>4</v>
      </c>
      <c r="BE922" s="1226">
        <v>1951170878.1304998</v>
      </c>
      <c r="BF922" s="1227">
        <v>9.9500156943633983E-2</v>
      </c>
      <c r="BH922" s="824" t="s">
        <v>54</v>
      </c>
      <c r="BI922" s="824" t="s">
        <v>351</v>
      </c>
      <c r="BJ922" s="824" t="s">
        <v>290</v>
      </c>
      <c r="BK922" s="824">
        <v>3</v>
      </c>
      <c r="BL922" s="1226">
        <v>89107560.410000011</v>
      </c>
      <c r="BM922" s="1227">
        <v>0.11049027645640437</v>
      </c>
      <c r="BN922" s="824">
        <v>2016</v>
      </c>
    </row>
    <row r="923" spans="1:66" ht="15" customHeight="1" x14ac:dyDescent="0.35">
      <c r="A923" s="64">
        <f t="shared" si="32"/>
        <v>1900</v>
      </c>
      <c r="B923" s="168" t="str">
        <f t="shared" si="31"/>
        <v>1899-00</v>
      </c>
      <c r="C923" s="64"/>
      <c r="P923" s="195"/>
      <c r="Q923" s="195"/>
      <c r="R923" s="195"/>
      <c r="S923" s="195"/>
      <c r="AK923" s="196"/>
      <c r="AL923" s="197"/>
      <c r="AM923" s="196"/>
      <c r="AO923" s="196"/>
      <c r="AP923" s="196"/>
      <c r="AT923" s="1173"/>
      <c r="BA923" s="824" t="s">
        <v>71</v>
      </c>
      <c r="BB923" s="1225">
        <v>2017</v>
      </c>
      <c r="BC923" s="824" t="s">
        <v>289</v>
      </c>
      <c r="BD923" s="824">
        <v>5</v>
      </c>
      <c r="BE923" s="1226">
        <v>1371868507.1600001</v>
      </c>
      <c r="BF923" s="1227">
        <v>6.9958573745850711E-2</v>
      </c>
      <c r="BH923" s="824" t="s">
        <v>54</v>
      </c>
      <c r="BI923" s="824" t="s">
        <v>351</v>
      </c>
      <c r="BJ923" s="824" t="s">
        <v>286</v>
      </c>
      <c r="BK923" s="824">
        <v>4</v>
      </c>
      <c r="BL923" s="1226">
        <v>88731810.769999996</v>
      </c>
      <c r="BM923" s="1227">
        <v>0.1100243599683873</v>
      </c>
      <c r="BN923" s="824">
        <v>2016</v>
      </c>
    </row>
    <row r="924" spans="1:66" ht="15" customHeight="1" x14ac:dyDescent="0.35">
      <c r="A924" s="64">
        <f t="shared" si="32"/>
        <v>1900</v>
      </c>
      <c r="B924" s="168" t="str">
        <f t="shared" si="31"/>
        <v>1899-00</v>
      </c>
      <c r="C924" s="64"/>
      <c r="P924" s="195"/>
      <c r="Q924" s="195"/>
      <c r="R924" s="195"/>
      <c r="S924" s="195"/>
      <c r="AK924" s="196"/>
      <c r="AL924" s="197"/>
      <c r="AM924" s="196"/>
      <c r="AO924" s="196"/>
      <c r="AP924" s="196"/>
      <c r="AT924" s="1173"/>
      <c r="BA924" s="824" t="s">
        <v>71</v>
      </c>
      <c r="BB924" s="1225">
        <v>2017</v>
      </c>
      <c r="BC924" s="824" t="s">
        <v>285</v>
      </c>
      <c r="BD924" s="824">
        <v>6</v>
      </c>
      <c r="BE924" s="1226">
        <v>595242529.62559986</v>
      </c>
      <c r="BF924" s="1227">
        <v>3.0354453206077235E-2</v>
      </c>
      <c r="BH924" s="824" t="s">
        <v>54</v>
      </c>
      <c r="BI924" s="824" t="s">
        <v>351</v>
      </c>
      <c r="BJ924" s="824" t="s">
        <v>312</v>
      </c>
      <c r="BK924" s="824">
        <v>5</v>
      </c>
      <c r="BL924" s="1226">
        <v>69106573</v>
      </c>
      <c r="BM924" s="1227">
        <v>8.5689747543215108E-2</v>
      </c>
      <c r="BN924" s="824">
        <v>2016</v>
      </c>
    </row>
    <row r="925" spans="1:66" ht="15" customHeight="1" x14ac:dyDescent="0.35">
      <c r="A925" s="64">
        <f t="shared" si="32"/>
        <v>1900</v>
      </c>
      <c r="B925" s="168" t="str">
        <f t="shared" si="31"/>
        <v>1899-00</v>
      </c>
      <c r="C925" s="64"/>
      <c r="P925" s="195"/>
      <c r="Q925" s="195"/>
      <c r="R925" s="195"/>
      <c r="S925" s="195"/>
      <c r="AK925" s="196"/>
      <c r="AL925" s="197"/>
      <c r="AM925" s="196"/>
      <c r="AO925" s="196"/>
      <c r="AP925" s="196"/>
      <c r="BA925" s="824" t="s">
        <v>71</v>
      </c>
      <c r="BB925" s="1225">
        <v>2017</v>
      </c>
      <c r="BC925" s="824" t="s">
        <v>287</v>
      </c>
      <c r="BD925" s="824">
        <v>7</v>
      </c>
      <c r="BE925" s="1226">
        <v>448804289.375</v>
      </c>
      <c r="BF925" s="1227">
        <v>2.2886820283303702E-2</v>
      </c>
      <c r="BH925" s="824" t="s">
        <v>54</v>
      </c>
      <c r="BI925" s="824" t="s">
        <v>351</v>
      </c>
      <c r="BJ925" s="824" t="s">
        <v>322</v>
      </c>
      <c r="BK925" s="824">
        <v>6</v>
      </c>
      <c r="BL925" s="1226">
        <v>47210202.740000002</v>
      </c>
      <c r="BM925" s="1227">
        <v>5.8539009802361382E-2</v>
      </c>
      <c r="BN925" s="824">
        <v>2016</v>
      </c>
    </row>
    <row r="926" spans="1:66" ht="15" customHeight="1" x14ac:dyDescent="0.35">
      <c r="A926" s="64">
        <f t="shared" si="32"/>
        <v>1900</v>
      </c>
      <c r="B926" s="168" t="str">
        <f t="shared" si="31"/>
        <v>1899-00</v>
      </c>
      <c r="C926" s="64"/>
      <c r="D926" s="195"/>
      <c r="P926" s="195"/>
      <c r="Q926" s="195"/>
      <c r="R926" s="195"/>
      <c r="S926" s="195"/>
      <c r="U926" s="195"/>
      <c r="V926" s="195"/>
      <c r="W926" s="195"/>
      <c r="X926" s="195"/>
      <c r="Y926" s="195"/>
      <c r="Z926" s="195"/>
      <c r="AA926" s="195"/>
      <c r="AB926" s="195"/>
      <c r="AC926" s="195"/>
      <c r="AD926" s="195"/>
      <c r="AE926" s="195"/>
      <c r="AF926" s="195"/>
      <c r="AG926" s="195"/>
      <c r="AH926" s="195"/>
      <c r="AI926" s="195"/>
      <c r="AJ926" s="195"/>
      <c r="AK926" s="196"/>
      <c r="AL926" s="197"/>
      <c r="AM926" s="196"/>
      <c r="AO926" s="196"/>
      <c r="AP926" s="196"/>
      <c r="BA926" s="824" t="s">
        <v>71</v>
      </c>
      <c r="BB926" s="1225">
        <v>2017</v>
      </c>
      <c r="BC926" s="824" t="s">
        <v>323</v>
      </c>
      <c r="BD926" s="824">
        <v>8</v>
      </c>
      <c r="BE926" s="1226">
        <v>324870231.67449999</v>
      </c>
      <c r="BF926" s="1227">
        <v>1.656679043349555E-2</v>
      </c>
      <c r="BH926" s="824" t="s">
        <v>54</v>
      </c>
      <c r="BI926" s="824" t="s">
        <v>351</v>
      </c>
      <c r="BJ926" s="824" t="s">
        <v>285</v>
      </c>
      <c r="BK926" s="824">
        <v>7</v>
      </c>
      <c r="BL926" s="1226">
        <v>42049046.180000007</v>
      </c>
      <c r="BM926" s="1227">
        <v>5.213935513192347E-2</v>
      </c>
      <c r="BN926" s="824">
        <v>2016</v>
      </c>
    </row>
    <row r="927" spans="1:66" ht="15" customHeight="1" x14ac:dyDescent="0.35">
      <c r="A927" s="64">
        <f t="shared" si="32"/>
        <v>1900</v>
      </c>
      <c r="B927" s="168" t="str">
        <f t="shared" si="31"/>
        <v>1899-00</v>
      </c>
      <c r="C927" s="64"/>
      <c r="D927" s="195"/>
      <c r="U927" s="195"/>
      <c r="V927" s="195"/>
      <c r="W927" s="195"/>
      <c r="X927" s="195"/>
      <c r="Y927" s="195"/>
      <c r="Z927" s="195"/>
      <c r="AA927" s="195"/>
      <c r="AB927" s="195"/>
      <c r="AC927" s="195"/>
      <c r="AD927" s="195"/>
      <c r="AE927" s="195"/>
      <c r="AF927" s="195"/>
      <c r="AG927" s="195"/>
      <c r="AH927" s="195"/>
      <c r="AI927" s="195"/>
      <c r="AJ927" s="195"/>
      <c r="AK927" s="196"/>
      <c r="AL927" s="197"/>
      <c r="AM927" s="196"/>
      <c r="AO927" s="196"/>
      <c r="AP927" s="196"/>
      <c r="BA927" s="824" t="s">
        <v>71</v>
      </c>
      <c r="BB927" s="1225">
        <v>2017</v>
      </c>
      <c r="BC927" s="824" t="s">
        <v>315</v>
      </c>
      <c r="BD927" s="824">
        <v>9</v>
      </c>
      <c r="BE927" s="1226">
        <v>309772309.69260007</v>
      </c>
      <c r="BF927" s="1227">
        <v>1.5796870369825296E-2</v>
      </c>
      <c r="BH927" s="824" t="s">
        <v>54</v>
      </c>
      <c r="BI927" s="824" t="s">
        <v>351</v>
      </c>
      <c r="BJ927" s="824" t="s">
        <v>315</v>
      </c>
      <c r="BK927" s="824">
        <v>8</v>
      </c>
      <c r="BL927" s="1226">
        <v>40801116.100000001</v>
      </c>
      <c r="BM927" s="1227">
        <v>5.05919652258029E-2</v>
      </c>
      <c r="BN927" s="824">
        <v>2016</v>
      </c>
    </row>
    <row r="928" spans="1:66" ht="15" customHeight="1" x14ac:dyDescent="0.35">
      <c r="A928" s="64">
        <f t="shared" si="32"/>
        <v>1900</v>
      </c>
      <c r="B928" s="168" t="str">
        <f t="shared" si="31"/>
        <v>1899-00</v>
      </c>
      <c r="C928" s="64"/>
      <c r="AK928" s="196"/>
      <c r="AL928" s="197"/>
      <c r="AM928" s="196"/>
      <c r="AO928" s="196"/>
      <c r="AP928" s="196"/>
      <c r="BA928" s="824" t="s">
        <v>71</v>
      </c>
      <c r="BB928" s="1225">
        <v>2017</v>
      </c>
      <c r="BC928" s="824" t="s">
        <v>330</v>
      </c>
      <c r="BD928" s="824">
        <v>10</v>
      </c>
      <c r="BE928" s="1226">
        <v>123809336.19400001</v>
      </c>
      <c r="BF928" s="1227">
        <v>6.3136696639268979E-3</v>
      </c>
      <c r="BH928" s="824" t="s">
        <v>54</v>
      </c>
      <c r="BI928" s="824" t="s">
        <v>351</v>
      </c>
      <c r="BJ928" s="824" t="s">
        <v>319</v>
      </c>
      <c r="BK928" s="824">
        <v>9</v>
      </c>
      <c r="BL928" s="1226">
        <v>32970150.459999997</v>
      </c>
      <c r="BM928" s="1227">
        <v>4.0881840130883314E-2</v>
      </c>
      <c r="BN928" s="824">
        <v>2016</v>
      </c>
    </row>
    <row r="929" spans="1:66" ht="15" customHeight="1" x14ac:dyDescent="0.35">
      <c r="A929" s="64">
        <f t="shared" si="32"/>
        <v>1900</v>
      </c>
      <c r="B929" s="168" t="str">
        <f t="shared" si="31"/>
        <v>1899-00</v>
      </c>
      <c r="C929" s="64"/>
      <c r="AK929" s="196"/>
      <c r="AL929" s="197"/>
      <c r="AM929" s="196"/>
      <c r="AO929" s="196"/>
      <c r="AP929" s="196"/>
      <c r="AU929" s="1174"/>
      <c r="BA929" s="824" t="s">
        <v>71</v>
      </c>
      <c r="BB929" s="1225">
        <v>2017</v>
      </c>
      <c r="BC929" s="824" t="s">
        <v>291</v>
      </c>
      <c r="BE929" s="1226">
        <v>255743511.50409698</v>
      </c>
      <c r="BF929" s="1227">
        <v>1.3041666323123431E-2</v>
      </c>
      <c r="BH929" s="824" t="s">
        <v>54</v>
      </c>
      <c r="BI929" s="824" t="s">
        <v>351</v>
      </c>
      <c r="BJ929" s="824" t="s">
        <v>308</v>
      </c>
      <c r="BK929" s="824">
        <v>10</v>
      </c>
      <c r="BL929" s="1226">
        <v>19268603.990000002</v>
      </c>
      <c r="BM929" s="1227">
        <v>2.3892398938857633E-2</v>
      </c>
      <c r="BN929" s="824">
        <v>2016</v>
      </c>
    </row>
    <row r="930" spans="1:66" ht="15" customHeight="1" x14ac:dyDescent="0.35">
      <c r="A930" s="64">
        <f t="shared" si="32"/>
        <v>1900</v>
      </c>
      <c r="B930" s="168" t="str">
        <f t="shared" si="31"/>
        <v>1899-00</v>
      </c>
      <c r="C930" s="64"/>
      <c r="U930" s="198"/>
      <c r="AK930" s="196"/>
      <c r="AL930" s="197"/>
      <c r="AM930" s="196"/>
      <c r="AO930" s="196"/>
      <c r="AP930" s="196"/>
      <c r="AU930" s="1174"/>
      <c r="BA930" s="824" t="s">
        <v>71</v>
      </c>
      <c r="BB930" s="1225">
        <v>2017</v>
      </c>
      <c r="BC930" s="824" t="s">
        <v>292</v>
      </c>
      <c r="BE930" s="1226">
        <v>19609726638.278793</v>
      </c>
      <c r="BH930" s="824" t="s">
        <v>54</v>
      </c>
      <c r="BI930" s="824" t="s">
        <v>351</v>
      </c>
      <c r="BJ930" s="824" t="s">
        <v>291</v>
      </c>
      <c r="BL930" s="1226">
        <v>85396391.599999905</v>
      </c>
      <c r="BM930" s="1227">
        <v>0.10588855617692874</v>
      </c>
      <c r="BN930" s="824">
        <v>2016</v>
      </c>
    </row>
    <row r="931" spans="1:66" ht="15" customHeight="1" x14ac:dyDescent="0.35">
      <c r="A931" s="64">
        <f t="shared" si="32"/>
        <v>1900</v>
      </c>
      <c r="B931" s="168" t="str">
        <f t="shared" si="31"/>
        <v>1899-00</v>
      </c>
      <c r="C931" s="64"/>
      <c r="AK931" s="196"/>
      <c r="AL931" s="197"/>
      <c r="AM931" s="196"/>
      <c r="AO931" s="196"/>
      <c r="AP931" s="196"/>
      <c r="AT931" s="1175"/>
      <c r="BA931" s="824" t="s">
        <v>61</v>
      </c>
      <c r="BB931" s="1225">
        <v>2017</v>
      </c>
      <c r="BC931" s="824" t="s">
        <v>281</v>
      </c>
      <c r="BD931" s="824">
        <v>1</v>
      </c>
      <c r="BE931" s="1313">
        <v>647128003.12756264</v>
      </c>
      <c r="BF931" s="1227">
        <v>0.32380470261317279</v>
      </c>
      <c r="BH931" s="824" t="s">
        <v>54</v>
      </c>
      <c r="BI931" s="824" t="s">
        <v>351</v>
      </c>
      <c r="BJ931" s="824" t="s">
        <v>292</v>
      </c>
      <c r="BL931" s="1226">
        <v>806474228.03000009</v>
      </c>
      <c r="BM931" s="1227">
        <v>1</v>
      </c>
      <c r="BN931" s="824">
        <v>2016</v>
      </c>
    </row>
    <row r="932" spans="1:66" ht="15" customHeight="1" x14ac:dyDescent="0.35">
      <c r="A932" s="64">
        <f t="shared" si="32"/>
        <v>1900</v>
      </c>
      <c r="B932" s="168" t="str">
        <f t="shared" si="31"/>
        <v>1899-00</v>
      </c>
      <c r="C932" s="64"/>
      <c r="AK932" s="196"/>
      <c r="AL932" s="197"/>
      <c r="AM932" s="196"/>
      <c r="AO932" s="196"/>
      <c r="AP932" s="196"/>
      <c r="AT932" s="1175"/>
      <c r="AU932" s="1176"/>
      <c r="BA932" s="824" t="s">
        <v>61</v>
      </c>
      <c r="BB932" s="1225">
        <v>2017</v>
      </c>
      <c r="BC932" s="824" t="s">
        <v>315</v>
      </c>
      <c r="BD932" s="824">
        <v>2</v>
      </c>
      <c r="BE932" s="1313">
        <v>461334745.78768671</v>
      </c>
      <c r="BF932" s="1227">
        <v>0.23083896762764436</v>
      </c>
      <c r="BH932" s="824" t="s">
        <v>32</v>
      </c>
      <c r="BI932" s="824" t="s">
        <v>351</v>
      </c>
      <c r="BJ932" s="824" t="s">
        <v>327</v>
      </c>
      <c r="BK932" s="824">
        <v>1</v>
      </c>
      <c r="BL932" s="1226">
        <v>9377899000</v>
      </c>
      <c r="BM932" s="1227">
        <v>0.52859672573132632</v>
      </c>
      <c r="BN932" s="824">
        <v>2016</v>
      </c>
    </row>
    <row r="933" spans="1:66" ht="15" customHeight="1" x14ac:dyDescent="0.35">
      <c r="A933" s="64">
        <f t="shared" si="32"/>
        <v>1900</v>
      </c>
      <c r="B933" s="168" t="str">
        <f t="shared" si="31"/>
        <v>1899-00</v>
      </c>
      <c r="C933" s="64"/>
      <c r="AT933" s="1175"/>
      <c r="BA933" s="824" t="s">
        <v>61</v>
      </c>
      <c r="BB933" s="1225">
        <v>2017</v>
      </c>
      <c r="BC933" s="824" t="s">
        <v>308</v>
      </c>
      <c r="BD933" s="824">
        <v>4</v>
      </c>
      <c r="BE933" s="1313">
        <v>212010429.77000001</v>
      </c>
      <c r="BF933" s="1227">
        <v>0.10608407275033876</v>
      </c>
      <c r="BH933" s="824" t="s">
        <v>32</v>
      </c>
      <c r="BI933" s="824" t="s">
        <v>351</v>
      </c>
      <c r="BJ933" s="824" t="s">
        <v>314</v>
      </c>
      <c r="BK933" s="824">
        <v>2</v>
      </c>
      <c r="BL933" s="1226">
        <v>3912536000</v>
      </c>
      <c r="BM933" s="1227">
        <v>0.22053486808782444</v>
      </c>
      <c r="BN933" s="824">
        <v>2016</v>
      </c>
    </row>
    <row r="934" spans="1:66" ht="15" customHeight="1" x14ac:dyDescent="0.35">
      <c r="A934" s="64">
        <f t="shared" si="32"/>
        <v>1900</v>
      </c>
      <c r="B934" s="168" t="str">
        <f t="shared" si="31"/>
        <v>1899-00</v>
      </c>
      <c r="C934" s="64"/>
      <c r="AK934" s="196"/>
      <c r="AL934" s="197"/>
      <c r="AM934" s="196"/>
      <c r="AO934" s="196"/>
      <c r="AP934" s="196"/>
      <c r="AT934" s="1175"/>
      <c r="BA934" s="824" t="s">
        <v>61</v>
      </c>
      <c r="BB934" s="1225">
        <v>2017</v>
      </c>
      <c r="BC934" s="824" t="s">
        <v>285</v>
      </c>
      <c r="BD934" s="824">
        <v>3</v>
      </c>
      <c r="BE934" s="1313">
        <v>221747674.39709127</v>
      </c>
      <c r="BF934" s="1227">
        <v>0.11095631685893668</v>
      </c>
      <c r="BH934" s="824" t="s">
        <v>32</v>
      </c>
      <c r="BI934" s="824" t="s">
        <v>351</v>
      </c>
      <c r="BJ934" s="824" t="s">
        <v>281</v>
      </c>
      <c r="BK934" s="824">
        <v>3</v>
      </c>
      <c r="BL934" s="1226">
        <v>2318885000</v>
      </c>
      <c r="BM934" s="1227">
        <v>0.13070678393395863</v>
      </c>
      <c r="BN934" s="824">
        <v>2016</v>
      </c>
    </row>
    <row r="935" spans="1:66" ht="15" customHeight="1" x14ac:dyDescent="0.35">
      <c r="A935" s="64">
        <f t="shared" si="32"/>
        <v>1900</v>
      </c>
      <c r="B935" s="168" t="str">
        <f t="shared" si="31"/>
        <v>1899-00</v>
      </c>
      <c r="C935" s="64"/>
      <c r="BA935" s="824" t="s">
        <v>61</v>
      </c>
      <c r="BB935" s="1225">
        <v>2017</v>
      </c>
      <c r="BC935" s="824" t="s">
        <v>320</v>
      </c>
      <c r="BD935" s="824">
        <v>5</v>
      </c>
      <c r="BE935" s="1313">
        <v>181173187.66999999</v>
      </c>
      <c r="BF935" s="1227">
        <v>9.065398170290713E-2</v>
      </c>
      <c r="BH935" s="824" t="s">
        <v>32</v>
      </c>
      <c r="BI935" s="824" t="s">
        <v>351</v>
      </c>
      <c r="BJ935" s="824" t="s">
        <v>323</v>
      </c>
      <c r="BK935" s="824">
        <v>4</v>
      </c>
      <c r="BL935" s="1226">
        <v>518399000</v>
      </c>
      <c r="BM935" s="1227">
        <v>2.9220192499662647E-2</v>
      </c>
      <c r="BN935" s="824">
        <v>2016</v>
      </c>
    </row>
    <row r="936" spans="1:66" ht="15" customHeight="1" x14ac:dyDescent="0.35">
      <c r="A936" s="64">
        <f t="shared" si="32"/>
        <v>1900</v>
      </c>
      <c r="B936" s="168" t="str">
        <f t="shared" si="31"/>
        <v>1899-00</v>
      </c>
      <c r="C936" s="64"/>
      <c r="BA936" s="824" t="s">
        <v>61</v>
      </c>
      <c r="BB936" s="1225">
        <v>2017</v>
      </c>
      <c r="BC936" s="824" t="s">
        <v>306</v>
      </c>
      <c r="BD936" s="824">
        <v>6</v>
      </c>
      <c r="BE936" s="1313">
        <v>77786746.549999997</v>
      </c>
      <c r="BF936" s="1227">
        <v>3.89223062703778E-2</v>
      </c>
      <c r="BH936" s="824" t="s">
        <v>32</v>
      </c>
      <c r="BI936" s="824" t="s">
        <v>351</v>
      </c>
      <c r="BJ936" s="824" t="s">
        <v>287</v>
      </c>
      <c r="BK936" s="824">
        <v>5</v>
      </c>
      <c r="BL936" s="1226">
        <v>409430000</v>
      </c>
      <c r="BM936" s="1227">
        <v>2.3078021784642484E-2</v>
      </c>
      <c r="BN936" s="824">
        <v>2016</v>
      </c>
    </row>
    <row r="937" spans="1:66" ht="15" customHeight="1" x14ac:dyDescent="0.35">
      <c r="A937" s="64">
        <f t="shared" si="32"/>
        <v>1900</v>
      </c>
      <c r="B937" s="168" t="str">
        <f t="shared" si="31"/>
        <v>1899-00</v>
      </c>
      <c r="C937" s="64"/>
      <c r="AU937" s="1174"/>
      <c r="BA937" s="824" t="s">
        <v>61</v>
      </c>
      <c r="BB937" s="1225">
        <v>2017</v>
      </c>
      <c r="BC937" s="824" t="s">
        <v>287</v>
      </c>
      <c r="BD937" s="824">
        <v>7</v>
      </c>
      <c r="BE937" s="1313">
        <v>59613196.99000001</v>
      </c>
      <c r="BF937" s="1227">
        <v>2.9828771788388216E-2</v>
      </c>
      <c r="BH937" s="824" t="s">
        <v>32</v>
      </c>
      <c r="BI937" s="824" t="s">
        <v>351</v>
      </c>
      <c r="BJ937" s="824" t="s">
        <v>329</v>
      </c>
      <c r="BK937" s="824">
        <v>6</v>
      </c>
      <c r="BL937" s="1226">
        <v>402094000</v>
      </c>
      <c r="BM937" s="1227">
        <v>2.2664519188808914E-2</v>
      </c>
      <c r="BN937" s="824">
        <v>2016</v>
      </c>
    </row>
    <row r="938" spans="1:66" ht="15" customHeight="1" x14ac:dyDescent="0.35">
      <c r="A938" s="64">
        <f t="shared" si="32"/>
        <v>1900</v>
      </c>
      <c r="B938" s="168" t="str">
        <f t="shared" si="31"/>
        <v>1899-00</v>
      </c>
      <c r="C938" s="64"/>
      <c r="BA938" s="824" t="s">
        <v>61</v>
      </c>
      <c r="BB938" s="1225">
        <v>2017</v>
      </c>
      <c r="BC938" s="824" t="s">
        <v>309</v>
      </c>
      <c r="BD938" s="824">
        <v>8</v>
      </c>
      <c r="BE938" s="1313">
        <v>33378104.359999999</v>
      </c>
      <c r="BF938" s="1227">
        <v>1.6701467258172047E-2</v>
      </c>
      <c r="BH938" s="824" t="s">
        <v>32</v>
      </c>
      <c r="BI938" s="824" t="s">
        <v>351</v>
      </c>
      <c r="BJ938" s="824" t="s">
        <v>306</v>
      </c>
      <c r="BK938" s="824">
        <v>7</v>
      </c>
      <c r="BL938" s="1226">
        <v>271351000</v>
      </c>
      <c r="BM938" s="1227">
        <v>1.5295030381956677E-2</v>
      </c>
      <c r="BN938" s="824">
        <v>2016</v>
      </c>
    </row>
    <row r="939" spans="1:66" ht="15" customHeight="1" x14ac:dyDescent="0.35">
      <c r="A939" s="64">
        <f t="shared" si="32"/>
        <v>1900</v>
      </c>
      <c r="B939" s="168" t="str">
        <f t="shared" si="31"/>
        <v>1899-00</v>
      </c>
      <c r="C939" s="64"/>
      <c r="BA939" s="824" t="s">
        <v>61</v>
      </c>
      <c r="BB939" s="1225">
        <v>2017</v>
      </c>
      <c r="BC939" s="824" t="s">
        <v>322</v>
      </c>
      <c r="BD939" s="824">
        <v>9</v>
      </c>
      <c r="BE939" s="1313">
        <v>31378041.370000005</v>
      </c>
      <c r="BF939" s="1227">
        <v>1.5700691834214849E-2</v>
      </c>
      <c r="BH939" s="824" t="s">
        <v>32</v>
      </c>
      <c r="BI939" s="824" t="s">
        <v>351</v>
      </c>
      <c r="BJ939" s="824" t="s">
        <v>320</v>
      </c>
      <c r="BK939" s="824">
        <v>8</v>
      </c>
      <c r="BL939" s="1226">
        <v>210629000</v>
      </c>
      <c r="BM939" s="1227">
        <v>1.187236072216853E-2</v>
      </c>
      <c r="BN939" s="824">
        <v>2016</v>
      </c>
    </row>
    <row r="940" spans="1:66" ht="15" customHeight="1" x14ac:dyDescent="0.35">
      <c r="A940" s="64">
        <f t="shared" si="32"/>
        <v>1900</v>
      </c>
      <c r="B940" s="168" t="str">
        <f t="shared" si="31"/>
        <v>1899-00</v>
      </c>
      <c r="C940" s="64"/>
      <c r="BA940" s="824" t="s">
        <v>61</v>
      </c>
      <c r="BB940" s="1225">
        <v>2017</v>
      </c>
      <c r="BC940" s="824" t="s">
        <v>312</v>
      </c>
      <c r="BD940" s="824">
        <v>10</v>
      </c>
      <c r="BE940" s="1313">
        <v>30326061.709999997</v>
      </c>
      <c r="BF940" s="1227">
        <v>1.5174310717472692E-2</v>
      </c>
      <c r="BH940" s="824" t="s">
        <v>32</v>
      </c>
      <c r="BI940" s="824" t="s">
        <v>351</v>
      </c>
      <c r="BJ940" s="824" t="s">
        <v>286</v>
      </c>
      <c r="BK940" s="824">
        <v>9</v>
      </c>
      <c r="BL940" s="1226">
        <v>141435000</v>
      </c>
      <c r="BM940" s="1227">
        <v>7.9721564397110846E-3</v>
      </c>
      <c r="BN940" s="824">
        <v>2016</v>
      </c>
    </row>
    <row r="941" spans="1:66" ht="15" customHeight="1" x14ac:dyDescent="0.35">
      <c r="A941" s="64">
        <f t="shared" si="32"/>
        <v>1900</v>
      </c>
      <c r="B941" s="168" t="str">
        <f t="shared" si="31"/>
        <v>1899-00</v>
      </c>
      <c r="C941" s="64"/>
      <c r="BA941" s="824" t="s">
        <v>61</v>
      </c>
      <c r="BB941" s="1225">
        <v>2017</v>
      </c>
      <c r="BC941" s="824" t="s">
        <v>291</v>
      </c>
      <c r="BE941" s="1313">
        <v>42637103.180000067</v>
      </c>
      <c r="BF941" s="1227">
        <v>2.1334410578374572E-2</v>
      </c>
      <c r="BH941" s="824" t="s">
        <v>32</v>
      </c>
      <c r="BI941" s="824" t="s">
        <v>351</v>
      </c>
      <c r="BJ941" s="824" t="s">
        <v>328</v>
      </c>
      <c r="BK941" s="824">
        <v>10</v>
      </c>
      <c r="BL941" s="1226">
        <v>70268000</v>
      </c>
      <c r="BM941" s="1227">
        <v>3.9607416036031998E-3</v>
      </c>
      <c r="BN941" s="824">
        <v>2016</v>
      </c>
    </row>
    <row r="942" spans="1:66" ht="15" customHeight="1" x14ac:dyDescent="0.35">
      <c r="A942" s="64">
        <f t="shared" si="32"/>
        <v>1900</v>
      </c>
      <c r="B942" s="168" t="str">
        <f t="shared" si="31"/>
        <v>1899-00</v>
      </c>
      <c r="C942" s="64"/>
      <c r="BA942" s="824" t="s">
        <v>61</v>
      </c>
      <c r="BB942" s="1225">
        <v>2017</v>
      </c>
      <c r="BC942" s="824" t="s">
        <v>331</v>
      </c>
      <c r="BE942" s="1313">
        <v>1998513294.9123409</v>
      </c>
      <c r="BH942" s="824" t="s">
        <v>32</v>
      </c>
      <c r="BI942" s="824" t="s">
        <v>351</v>
      </c>
      <c r="BJ942" s="824" t="s">
        <v>291</v>
      </c>
      <c r="BL942" s="1226">
        <v>108196000</v>
      </c>
      <c r="BM942" s="1227">
        <v>6.0985996263370488E-3</v>
      </c>
      <c r="BN942" s="824">
        <v>2016</v>
      </c>
    </row>
    <row r="943" spans="1:66" ht="15" customHeight="1" x14ac:dyDescent="0.35">
      <c r="A943" s="64">
        <f t="shared" si="32"/>
        <v>1900</v>
      </c>
      <c r="B943" s="168" t="str">
        <f t="shared" si="31"/>
        <v>1899-00</v>
      </c>
      <c r="C943" s="64"/>
      <c r="BA943" s="824" t="s">
        <v>165</v>
      </c>
      <c r="BB943" s="1225">
        <v>2018</v>
      </c>
      <c r="BC943" s="824" t="s">
        <v>279</v>
      </c>
      <c r="BD943" s="824">
        <v>1</v>
      </c>
      <c r="BE943" s="1226">
        <v>2175721657.9100003</v>
      </c>
      <c r="BF943" s="1227">
        <v>0.24937642131078225</v>
      </c>
      <c r="BH943" s="824" t="s">
        <v>32</v>
      </c>
      <c r="BI943" s="824" t="s">
        <v>351</v>
      </c>
      <c r="BJ943" s="824" t="s">
        <v>331</v>
      </c>
      <c r="BL943" s="1226">
        <v>17741122000</v>
      </c>
      <c r="BN943" s="824">
        <v>2016</v>
      </c>
    </row>
    <row r="944" spans="1:66" ht="15" customHeight="1" x14ac:dyDescent="0.35">
      <c r="A944" s="64">
        <f t="shared" si="32"/>
        <v>1900</v>
      </c>
      <c r="B944" s="168" t="str">
        <f t="shared" si="31"/>
        <v>1899-00</v>
      </c>
      <c r="C944" s="64"/>
      <c r="BA944" s="824" t="s">
        <v>165</v>
      </c>
      <c r="BB944" s="1225">
        <v>2018</v>
      </c>
      <c r="BC944" s="824" t="s">
        <v>282</v>
      </c>
      <c r="BD944" s="824">
        <v>2</v>
      </c>
      <c r="BE944" s="1226">
        <v>1290432081.1700003</v>
      </c>
      <c r="BF944" s="1227">
        <v>0.14790648113321814</v>
      </c>
      <c r="BH944" s="824" t="s">
        <v>40</v>
      </c>
      <c r="BI944" s="824" t="s">
        <v>351</v>
      </c>
      <c r="BJ944" s="824" t="s">
        <v>281</v>
      </c>
      <c r="BK944" s="824">
        <v>1</v>
      </c>
      <c r="BL944" s="1226">
        <v>50862455000</v>
      </c>
      <c r="BM944" s="1227">
        <v>0.82154759108869024</v>
      </c>
      <c r="BN944" s="824">
        <v>2016</v>
      </c>
    </row>
    <row r="945" spans="1:66" ht="15" customHeight="1" x14ac:dyDescent="0.35">
      <c r="A945" s="64">
        <f t="shared" si="32"/>
        <v>1900</v>
      </c>
      <c r="B945" s="168" t="str">
        <f t="shared" si="31"/>
        <v>1899-00</v>
      </c>
      <c r="C945" s="64"/>
      <c r="BA945" s="824" t="s">
        <v>165</v>
      </c>
      <c r="BB945" s="1225">
        <v>2018</v>
      </c>
      <c r="BC945" s="824" t="s">
        <v>283</v>
      </c>
      <c r="BD945" s="824">
        <v>3</v>
      </c>
      <c r="BE945" s="1226">
        <v>987248765.07000017</v>
      </c>
      <c r="BF945" s="1227">
        <v>0.11315627763394258</v>
      </c>
      <c r="BH945" s="824" t="s">
        <v>40</v>
      </c>
      <c r="BI945" s="824" t="s">
        <v>351</v>
      </c>
      <c r="BJ945" s="824" t="s">
        <v>308</v>
      </c>
      <c r="BK945" s="824">
        <v>2</v>
      </c>
      <c r="BL945" s="1226">
        <v>5362634000</v>
      </c>
      <c r="BM945" s="1227">
        <v>8.6619079723743331E-2</v>
      </c>
      <c r="BN945" s="824">
        <v>2016</v>
      </c>
    </row>
    <row r="946" spans="1:66" ht="15" customHeight="1" x14ac:dyDescent="0.35">
      <c r="A946" s="64">
        <f t="shared" si="32"/>
        <v>1900</v>
      </c>
      <c r="B946" s="168" t="str">
        <f t="shared" si="31"/>
        <v>1899-00</v>
      </c>
      <c r="C946" s="64"/>
      <c r="BA946" s="824" t="s">
        <v>165</v>
      </c>
      <c r="BB946" s="1225">
        <v>2018</v>
      </c>
      <c r="BC946" s="824" t="s">
        <v>284</v>
      </c>
      <c r="BD946" s="824">
        <v>4</v>
      </c>
      <c r="BE946" s="1313">
        <v>831018578.97000015</v>
      </c>
      <c r="BF946" s="1227">
        <v>9.5249518022163637E-2</v>
      </c>
      <c r="BH946" s="824" t="s">
        <v>40</v>
      </c>
      <c r="BI946" s="824" t="s">
        <v>351</v>
      </c>
      <c r="BJ946" s="824" t="s">
        <v>320</v>
      </c>
      <c r="BK946" s="824">
        <v>3</v>
      </c>
      <c r="BL946" s="1226">
        <v>3899533000</v>
      </c>
      <c r="BM946" s="1227">
        <v>6.2986577083643594E-2</v>
      </c>
      <c r="BN946" s="824">
        <v>2016</v>
      </c>
    </row>
    <row r="947" spans="1:66" ht="15" customHeight="1" x14ac:dyDescent="0.35">
      <c r="A947" s="64">
        <f t="shared" si="32"/>
        <v>1900</v>
      </c>
      <c r="B947" s="168" t="str">
        <f t="shared" si="31"/>
        <v>1899-00</v>
      </c>
      <c r="C947" s="64"/>
      <c r="BA947" s="824" t="s">
        <v>165</v>
      </c>
      <c r="BB947" s="1225">
        <v>2018</v>
      </c>
      <c r="BC947" s="824" t="s">
        <v>287</v>
      </c>
      <c r="BD947" s="824">
        <v>5</v>
      </c>
      <c r="BE947" s="1313">
        <v>646412689.55000007</v>
      </c>
      <c r="BF947" s="1227">
        <v>7.4090397833657465E-2</v>
      </c>
      <c r="BH947" s="824" t="s">
        <v>40</v>
      </c>
      <c r="BI947" s="824" t="s">
        <v>351</v>
      </c>
      <c r="BJ947" s="824" t="s">
        <v>315</v>
      </c>
      <c r="BK947" s="824">
        <v>4</v>
      </c>
      <c r="BL947" s="1226">
        <v>1431845000</v>
      </c>
      <c r="BM947" s="1227">
        <v>2.3127645147336787E-2</v>
      </c>
      <c r="BN947" s="824">
        <v>2016</v>
      </c>
    </row>
    <row r="948" spans="1:66" ht="15" customHeight="1" x14ac:dyDescent="0.35">
      <c r="A948" s="64">
        <f t="shared" si="32"/>
        <v>1900</v>
      </c>
      <c r="B948" s="168" t="str">
        <f t="shared" si="31"/>
        <v>1899-00</v>
      </c>
      <c r="C948" s="64"/>
      <c r="BA948" s="824" t="s">
        <v>165</v>
      </c>
      <c r="BB948" s="1225">
        <v>2018</v>
      </c>
      <c r="BC948" s="824" t="s">
        <v>304</v>
      </c>
      <c r="BD948" s="824">
        <v>6</v>
      </c>
      <c r="BE948" s="1226">
        <v>425784431.76999998</v>
      </c>
      <c r="BF948" s="1227">
        <v>4.8802473174185658E-2</v>
      </c>
      <c r="BH948" s="824" t="s">
        <v>40</v>
      </c>
      <c r="BI948" s="824" t="s">
        <v>351</v>
      </c>
      <c r="BJ948" s="824" t="s">
        <v>289</v>
      </c>
      <c r="BK948" s="824">
        <v>5</v>
      </c>
      <c r="BL948" s="1226">
        <v>288925000</v>
      </c>
      <c r="BM948" s="1227">
        <v>4.6668144067229913E-3</v>
      </c>
      <c r="BN948" s="824">
        <v>2016</v>
      </c>
    </row>
    <row r="949" spans="1:66" ht="15" customHeight="1" x14ac:dyDescent="0.35">
      <c r="A949" s="64">
        <f t="shared" si="32"/>
        <v>1900</v>
      </c>
      <c r="B949" s="168" t="str">
        <f t="shared" si="31"/>
        <v>1899-00</v>
      </c>
      <c r="C949" s="64"/>
      <c r="BA949" s="824" t="s">
        <v>165</v>
      </c>
      <c r="BB949" s="1225">
        <v>2018</v>
      </c>
      <c r="BC949" s="824" t="s">
        <v>296</v>
      </c>
      <c r="BD949" s="824">
        <v>7</v>
      </c>
      <c r="BE949" s="1226">
        <v>353281454.40999997</v>
      </c>
      <c r="BF949" s="1227">
        <v>4.0492341700023818E-2</v>
      </c>
      <c r="BH949" s="824" t="s">
        <v>40</v>
      </c>
      <c r="BI949" s="824" t="s">
        <v>351</v>
      </c>
      <c r="BJ949" s="824" t="s">
        <v>291</v>
      </c>
      <c r="BL949" s="1226">
        <v>142137000</v>
      </c>
      <c r="BM949" s="1227">
        <v>2.2958449401345878E-3</v>
      </c>
      <c r="BN949" s="824">
        <v>2016</v>
      </c>
    </row>
    <row r="950" spans="1:66" ht="15" customHeight="1" x14ac:dyDescent="0.35">
      <c r="A950" s="64">
        <f t="shared" si="32"/>
        <v>1900</v>
      </c>
      <c r="B950" s="168" t="str">
        <f t="shared" si="31"/>
        <v>1899-00</v>
      </c>
      <c r="C950" s="64"/>
      <c r="BA950" s="824" t="s">
        <v>165</v>
      </c>
      <c r="BB950" s="1225">
        <v>2018</v>
      </c>
      <c r="BC950" s="824" t="s">
        <v>288</v>
      </c>
      <c r="BD950" s="824">
        <v>8</v>
      </c>
      <c r="BE950" s="1226">
        <v>279632886.12</v>
      </c>
      <c r="BF950" s="1227">
        <v>3.2050905118257401E-2</v>
      </c>
      <c r="BH950" s="824" t="s">
        <v>40</v>
      </c>
      <c r="BI950" s="824" t="s">
        <v>351</v>
      </c>
      <c r="BJ950" s="824" t="s">
        <v>331</v>
      </c>
      <c r="BL950" s="1226">
        <v>61910540000</v>
      </c>
      <c r="BN950" s="824">
        <v>2016</v>
      </c>
    </row>
    <row r="951" spans="1:66" ht="15" customHeight="1" x14ac:dyDescent="0.35">
      <c r="A951" s="64">
        <f t="shared" si="32"/>
        <v>1900</v>
      </c>
      <c r="B951" s="168" t="str">
        <f t="shared" si="31"/>
        <v>1899-00</v>
      </c>
      <c r="C951" s="64"/>
      <c r="BA951" s="824" t="s">
        <v>165</v>
      </c>
      <c r="BB951" s="1225">
        <v>2018</v>
      </c>
      <c r="BC951" s="824" t="s">
        <v>286</v>
      </c>
      <c r="BD951" s="824">
        <v>9</v>
      </c>
      <c r="BE951" s="1226">
        <v>274192558.38999999</v>
      </c>
      <c r="BF951" s="1227">
        <v>3.1427346743897855E-2</v>
      </c>
      <c r="BH951" s="824" t="s">
        <v>71</v>
      </c>
      <c r="BI951" s="824" t="s">
        <v>351</v>
      </c>
      <c r="BJ951" s="824" t="s">
        <v>308</v>
      </c>
      <c r="BK951" s="824">
        <v>1</v>
      </c>
      <c r="BL951" s="1226">
        <v>8636425613.9699898</v>
      </c>
      <c r="BM951" s="1227">
        <v>0.51251929691735121</v>
      </c>
      <c r="BN951" s="824">
        <v>2016</v>
      </c>
    </row>
    <row r="952" spans="1:66" ht="15" customHeight="1" x14ac:dyDescent="0.35">
      <c r="A952" s="64">
        <f t="shared" si="32"/>
        <v>1900</v>
      </c>
      <c r="B952" s="168" t="str">
        <f t="shared" ref="B952:B1015" si="33">IF(MONTH(C952) &gt;= 7, A952 &amp; "-" &amp; RIGHT(A952+1, 2), A952-1 &amp; "-" &amp; RIGHT(A952, 2))</f>
        <v>1899-00</v>
      </c>
      <c r="C952" s="64"/>
      <c r="AU952" s="1177"/>
      <c r="BA952" s="824" t="s">
        <v>165</v>
      </c>
      <c r="BB952" s="1225">
        <v>2018</v>
      </c>
      <c r="BC952" s="824" t="s">
        <v>318</v>
      </c>
      <c r="BD952" s="824">
        <v>10</v>
      </c>
      <c r="BE952" s="1226">
        <v>250540372.52000001</v>
      </c>
      <c r="BF952" s="1227">
        <v>2.8716385327029879E-2</v>
      </c>
      <c r="BH952" s="824" t="s">
        <v>71</v>
      </c>
      <c r="BI952" s="824" t="s">
        <v>351</v>
      </c>
      <c r="BJ952" s="824" t="s">
        <v>281</v>
      </c>
      <c r="BK952" s="824">
        <v>2</v>
      </c>
      <c r="BL952" s="1226">
        <v>1976863947.2599993</v>
      </c>
      <c r="BM952" s="1227">
        <v>0.1173148436214245</v>
      </c>
      <c r="BN952" s="824">
        <v>2016</v>
      </c>
    </row>
    <row r="953" spans="1:66" ht="15" customHeight="1" x14ac:dyDescent="0.35">
      <c r="A953" s="64">
        <f t="shared" si="32"/>
        <v>1900</v>
      </c>
      <c r="B953" s="168" t="str">
        <f t="shared" si="33"/>
        <v>1899-00</v>
      </c>
      <c r="C953" s="64"/>
      <c r="AU953" s="1177"/>
      <c r="BA953" s="824" t="s">
        <v>165</v>
      </c>
      <c r="BB953" s="1225">
        <v>2018</v>
      </c>
      <c r="BC953" s="824" t="s">
        <v>291</v>
      </c>
      <c r="BE953" s="1226">
        <v>1210383175.6399994</v>
      </c>
      <c r="BF953" s="1227">
        <v>0.13873145200284109</v>
      </c>
      <c r="BH953" s="824" t="s">
        <v>71</v>
      </c>
      <c r="BI953" s="824" t="s">
        <v>351</v>
      </c>
      <c r="BJ953" s="824" t="s">
        <v>306</v>
      </c>
      <c r="BK953" s="824">
        <v>3</v>
      </c>
      <c r="BL953" s="1226">
        <v>1648954757.3499992</v>
      </c>
      <c r="BM953" s="1227">
        <v>9.7855428930980856E-2</v>
      </c>
      <c r="BN953" s="824">
        <v>2016</v>
      </c>
    </row>
    <row r="954" spans="1:66" ht="15" customHeight="1" x14ac:dyDescent="0.35">
      <c r="A954" s="64">
        <f t="shared" si="32"/>
        <v>1900</v>
      </c>
      <c r="B954" s="168" t="str">
        <f t="shared" si="33"/>
        <v>1899-00</v>
      </c>
      <c r="C954" s="64"/>
      <c r="AU954" s="1177"/>
      <c r="BA954" s="824" t="s">
        <v>165</v>
      </c>
      <c r="BB954" s="1225">
        <v>2018</v>
      </c>
      <c r="BC954" s="824" t="s">
        <v>292</v>
      </c>
      <c r="BE954" s="1226">
        <v>8724648651.5200024</v>
      </c>
      <c r="BF954" s="1227">
        <v>1</v>
      </c>
      <c r="BH954" s="824" t="s">
        <v>71</v>
      </c>
      <c r="BI954" s="824" t="s">
        <v>351</v>
      </c>
      <c r="BJ954" s="824" t="s">
        <v>320</v>
      </c>
      <c r="BK954" s="824">
        <v>4</v>
      </c>
      <c r="BL954" s="1226">
        <v>1276555069.71</v>
      </c>
      <c r="BM954" s="1227">
        <v>7.575577397965913E-2</v>
      </c>
      <c r="BN954" s="824">
        <v>2016</v>
      </c>
    </row>
    <row r="955" spans="1:66" ht="15" customHeight="1" x14ac:dyDescent="0.35">
      <c r="A955" s="64">
        <f t="shared" si="32"/>
        <v>1900</v>
      </c>
      <c r="B955" s="168" t="str">
        <f t="shared" si="33"/>
        <v>1899-00</v>
      </c>
      <c r="C955" s="64"/>
      <c r="AU955" s="1177"/>
      <c r="BA955" s="824" t="s">
        <v>345</v>
      </c>
      <c r="BB955" s="1225">
        <v>2018</v>
      </c>
      <c r="BC955" s="824" t="s">
        <v>281</v>
      </c>
      <c r="BD955" s="824">
        <v>1</v>
      </c>
      <c r="BE955" s="1226">
        <v>1726941785.7999997</v>
      </c>
      <c r="BF955" s="1227">
        <v>0.37071499580019079</v>
      </c>
      <c r="BH955" s="824" t="s">
        <v>71</v>
      </c>
      <c r="BI955" s="824" t="s">
        <v>351</v>
      </c>
      <c r="BJ955" s="824" t="s">
        <v>289</v>
      </c>
      <c r="BK955" s="824">
        <v>5</v>
      </c>
      <c r="BL955" s="1226">
        <v>994545355.19000006</v>
      </c>
      <c r="BM955" s="1227">
        <v>5.902021379885266E-2</v>
      </c>
      <c r="BN955" s="824">
        <v>2016</v>
      </c>
    </row>
    <row r="956" spans="1:66" ht="15" customHeight="1" x14ac:dyDescent="0.35">
      <c r="A956" s="64">
        <f t="shared" si="32"/>
        <v>1900</v>
      </c>
      <c r="B956" s="168" t="str">
        <f t="shared" si="33"/>
        <v>1899-00</v>
      </c>
      <c r="C956" s="64"/>
      <c r="AU956" s="1177"/>
      <c r="BA956" s="824" t="s">
        <v>345</v>
      </c>
      <c r="BB956" s="1225">
        <v>2018</v>
      </c>
      <c r="BC956" s="824" t="s">
        <v>308</v>
      </c>
      <c r="BD956" s="824">
        <v>2</v>
      </c>
      <c r="BE956" s="1226">
        <v>739850287.18000019</v>
      </c>
      <c r="BF956" s="1227">
        <v>0.15882040631592423</v>
      </c>
      <c r="BH956" s="824" t="s">
        <v>71</v>
      </c>
      <c r="BI956" s="824" t="s">
        <v>351</v>
      </c>
      <c r="BJ956" s="824" t="s">
        <v>323</v>
      </c>
      <c r="BK956" s="824">
        <v>6</v>
      </c>
      <c r="BL956" s="1226">
        <v>749475485.49999988</v>
      </c>
      <c r="BM956" s="1227">
        <v>4.4476808584318704E-2</v>
      </c>
      <c r="BN956" s="824">
        <v>2016</v>
      </c>
    </row>
    <row r="957" spans="1:66" ht="15" customHeight="1" x14ac:dyDescent="0.35">
      <c r="A957" s="64">
        <f t="shared" si="32"/>
        <v>1900</v>
      </c>
      <c r="B957" s="168" t="str">
        <f t="shared" si="33"/>
        <v>1899-00</v>
      </c>
      <c r="C957" s="64"/>
      <c r="AU957" s="1177"/>
      <c r="BA957" s="824" t="s">
        <v>345</v>
      </c>
      <c r="BB957" s="1225">
        <v>2018</v>
      </c>
      <c r="BC957" s="824" t="s">
        <v>320</v>
      </c>
      <c r="BD957" s="824">
        <v>3</v>
      </c>
      <c r="BE957" s="1226">
        <v>724667296.74000001</v>
      </c>
      <c r="BF957" s="1227">
        <v>0.15556114055289702</v>
      </c>
      <c r="BH957" s="824" t="s">
        <v>71</v>
      </c>
      <c r="BI957" s="824" t="s">
        <v>351</v>
      </c>
      <c r="BJ957" s="824" t="s">
        <v>285</v>
      </c>
      <c r="BK957" s="824">
        <v>7</v>
      </c>
      <c r="BL957" s="1226">
        <v>652047262.18000007</v>
      </c>
      <c r="BM957" s="1227">
        <v>3.869503650084221E-2</v>
      </c>
      <c r="BN957" s="824">
        <v>2016</v>
      </c>
    </row>
    <row r="958" spans="1:66" ht="15" customHeight="1" x14ac:dyDescent="0.35">
      <c r="A958" s="64">
        <f t="shared" si="32"/>
        <v>1900</v>
      </c>
      <c r="B958" s="168" t="str">
        <f t="shared" si="33"/>
        <v>1899-00</v>
      </c>
      <c r="C958" s="64"/>
      <c r="AU958" s="1177"/>
      <c r="BA958" s="824" t="s">
        <v>345</v>
      </c>
      <c r="BB958" s="1225">
        <v>2018</v>
      </c>
      <c r="BC958" s="824" t="s">
        <v>346</v>
      </c>
      <c r="BD958" s="824">
        <v>4</v>
      </c>
      <c r="BE958" s="1226">
        <v>511442050.61999995</v>
      </c>
      <c r="BF958" s="1227">
        <v>0.10978901501291953</v>
      </c>
      <c r="BH958" s="824" t="s">
        <v>71</v>
      </c>
      <c r="BI958" s="824" t="s">
        <v>351</v>
      </c>
      <c r="BJ958" s="824" t="s">
        <v>287</v>
      </c>
      <c r="BK958" s="824">
        <v>8</v>
      </c>
      <c r="BL958" s="1226">
        <v>479810892.17999995</v>
      </c>
      <c r="BM958" s="1227">
        <v>2.8473856211486508E-2</v>
      </c>
      <c r="BN958" s="824">
        <v>2016</v>
      </c>
    </row>
    <row r="959" spans="1:66" ht="15" customHeight="1" x14ac:dyDescent="0.35">
      <c r="A959" s="64">
        <f t="shared" si="32"/>
        <v>1900</v>
      </c>
      <c r="B959" s="168" t="str">
        <f t="shared" si="33"/>
        <v>1899-00</v>
      </c>
      <c r="C959" s="64"/>
      <c r="AU959" s="1177"/>
      <c r="BA959" s="824" t="s">
        <v>345</v>
      </c>
      <c r="BB959" s="1225">
        <v>2018</v>
      </c>
      <c r="BC959" s="824" t="s">
        <v>335</v>
      </c>
      <c r="BD959" s="824">
        <v>5</v>
      </c>
      <c r="BE959" s="1226">
        <v>423507584.44</v>
      </c>
      <c r="BF959" s="1227">
        <v>9.0912510009301534E-2</v>
      </c>
      <c r="BH959" s="824" t="s">
        <v>71</v>
      </c>
      <c r="BI959" s="824" t="s">
        <v>351</v>
      </c>
      <c r="BJ959" s="824" t="s">
        <v>315</v>
      </c>
      <c r="BK959" s="824">
        <v>9</v>
      </c>
      <c r="BL959" s="1226">
        <v>183246831.55000004</v>
      </c>
      <c r="BM959" s="1227">
        <v>1.0874584170147946E-2</v>
      </c>
      <c r="BN959" s="824">
        <v>2016</v>
      </c>
    </row>
    <row r="960" spans="1:66" ht="15" customHeight="1" x14ac:dyDescent="0.35">
      <c r="A960" s="64">
        <f t="shared" si="32"/>
        <v>1900</v>
      </c>
      <c r="B960" s="168" t="str">
        <f t="shared" si="33"/>
        <v>1899-00</v>
      </c>
      <c r="C960" s="64"/>
      <c r="AU960" s="1177"/>
      <c r="BA960" s="824" t="s">
        <v>345</v>
      </c>
      <c r="BB960" s="1225">
        <v>2018</v>
      </c>
      <c r="BC960" s="824" t="s">
        <v>287</v>
      </c>
      <c r="BD960" s="824">
        <v>6</v>
      </c>
      <c r="BE960" s="1226">
        <v>236685915.11000001</v>
      </c>
      <c r="BF960" s="1227">
        <v>5.0808324141234054E-2</v>
      </c>
      <c r="BH960" s="824" t="s">
        <v>71</v>
      </c>
      <c r="BI960" s="824" t="s">
        <v>351</v>
      </c>
      <c r="BJ960" s="824" t="s">
        <v>286</v>
      </c>
      <c r="BK960" s="824">
        <v>10</v>
      </c>
      <c r="BL960" s="1226">
        <v>86031559.040000007</v>
      </c>
      <c r="BM960" s="1227">
        <v>5.1054494211773575E-3</v>
      </c>
      <c r="BN960" s="824">
        <v>2016</v>
      </c>
    </row>
    <row r="961" spans="1:66" ht="15" customHeight="1" x14ac:dyDescent="0.35">
      <c r="A961" s="64">
        <f t="shared" si="32"/>
        <v>1900</v>
      </c>
      <c r="B961" s="168" t="str">
        <f t="shared" si="33"/>
        <v>1899-00</v>
      </c>
      <c r="C961" s="64"/>
      <c r="AU961" s="1177"/>
      <c r="BA961" s="824" t="s">
        <v>345</v>
      </c>
      <c r="BB961" s="1225">
        <v>2018</v>
      </c>
      <c r="BC961" s="824" t="s">
        <v>285</v>
      </c>
      <c r="BD961" s="824">
        <v>7</v>
      </c>
      <c r="BE961" s="1226">
        <v>179627951.43000001</v>
      </c>
      <c r="BF961" s="1227">
        <v>3.855994209389136E-2</v>
      </c>
      <c r="BH961" s="824" t="s">
        <v>71</v>
      </c>
      <c r="BI961" s="824" t="s">
        <v>351</v>
      </c>
      <c r="BJ961" s="824" t="s">
        <v>291</v>
      </c>
      <c r="BL961" s="1226">
        <v>166970919.75</v>
      </c>
      <c r="BM961" s="1227">
        <v>9.9087078637589282E-3</v>
      </c>
      <c r="BN961" s="824">
        <v>2016</v>
      </c>
    </row>
    <row r="962" spans="1:66" ht="15" customHeight="1" x14ac:dyDescent="0.35">
      <c r="A962" s="64">
        <f t="shared" si="32"/>
        <v>1900</v>
      </c>
      <c r="B962" s="168" t="str">
        <f t="shared" si="33"/>
        <v>1899-00</v>
      </c>
      <c r="C962" s="64"/>
      <c r="AU962" s="1177"/>
      <c r="BA962" s="824" t="s">
        <v>345</v>
      </c>
      <c r="BB962" s="1225">
        <v>2018</v>
      </c>
      <c r="BC962" s="824" t="s">
        <v>315</v>
      </c>
      <c r="BD962" s="824">
        <v>8</v>
      </c>
      <c r="BE962" s="1226">
        <v>46128421.840000004</v>
      </c>
      <c r="BF962" s="1227">
        <v>9.9021853830256849E-3</v>
      </c>
      <c r="BH962" s="824" t="s">
        <v>71</v>
      </c>
      <c r="BI962" s="824" t="s">
        <v>351</v>
      </c>
      <c r="BJ962" s="824" t="s">
        <v>292</v>
      </c>
      <c r="BL962" s="1226">
        <v>16850927693.679989</v>
      </c>
      <c r="BN962" s="824">
        <v>2016</v>
      </c>
    </row>
    <row r="963" spans="1:66" ht="15" customHeight="1" x14ac:dyDescent="0.35">
      <c r="A963" s="64">
        <f t="shared" si="32"/>
        <v>1900</v>
      </c>
      <c r="B963" s="168" t="str">
        <f t="shared" si="33"/>
        <v>1899-00</v>
      </c>
      <c r="C963" s="64"/>
      <c r="BA963" s="824" t="s">
        <v>345</v>
      </c>
      <c r="BB963" s="1225">
        <v>2018</v>
      </c>
      <c r="BC963" s="824" t="s">
        <v>347</v>
      </c>
      <c r="BD963" s="824">
        <v>9</v>
      </c>
      <c r="BE963" s="1226">
        <v>42235675.07</v>
      </c>
      <c r="BF963" s="1227">
        <v>9.06654655932136E-3</v>
      </c>
      <c r="BH963" s="824" t="s">
        <v>345</v>
      </c>
      <c r="BI963" s="824" t="s">
        <v>351</v>
      </c>
      <c r="BJ963" s="824" t="s">
        <v>346</v>
      </c>
      <c r="BK963" s="824">
        <v>1</v>
      </c>
      <c r="BL963" s="1226">
        <v>784209544.47104001</v>
      </c>
      <c r="BM963" s="1227">
        <v>0.25600000000000001</v>
      </c>
      <c r="BN963" s="824">
        <v>2016</v>
      </c>
    </row>
    <row r="964" spans="1:66" ht="15" customHeight="1" x14ac:dyDescent="0.35">
      <c r="A964" s="64">
        <f t="shared" si="32"/>
        <v>1900</v>
      </c>
      <c r="B964" s="168" t="str">
        <f t="shared" si="33"/>
        <v>1899-00</v>
      </c>
      <c r="C964" s="64"/>
      <c r="BA964" s="824" t="s">
        <v>345</v>
      </c>
      <c r="BB964" s="1225">
        <v>2018</v>
      </c>
      <c r="BC964" s="824" t="s">
        <v>319</v>
      </c>
      <c r="BD964" s="824">
        <v>10</v>
      </c>
      <c r="BE964" s="1226">
        <v>27321257.399999999</v>
      </c>
      <c r="BF964" s="1227">
        <v>5.8649341312944055E-3</v>
      </c>
      <c r="BH964" s="824" t="s">
        <v>345</v>
      </c>
      <c r="BI964" s="824" t="s">
        <v>351</v>
      </c>
      <c r="BJ964" s="824" t="s">
        <v>320</v>
      </c>
      <c r="BK964" s="824">
        <v>2</v>
      </c>
      <c r="BL964" s="1226">
        <v>698436625.54452002</v>
      </c>
      <c r="BM964" s="1227">
        <v>0.22800000000000001</v>
      </c>
      <c r="BN964" s="824">
        <v>2016</v>
      </c>
    </row>
    <row r="965" spans="1:66" ht="15" customHeight="1" x14ac:dyDescent="0.35">
      <c r="A965" s="64">
        <f t="shared" si="32"/>
        <v>1900</v>
      </c>
      <c r="B965" s="168" t="str">
        <f t="shared" si="33"/>
        <v>1899-00</v>
      </c>
      <c r="C965" s="64"/>
      <c r="BA965" s="824" t="s">
        <v>345</v>
      </c>
      <c r="BB965" s="1225">
        <v>2018</v>
      </c>
      <c r="BC965" s="824" t="s">
        <v>291</v>
      </c>
      <c r="BE965" s="1226">
        <v>0</v>
      </c>
      <c r="BF965" s="1227">
        <v>0</v>
      </c>
      <c r="BH965" s="824" t="s">
        <v>345</v>
      </c>
      <c r="BI965" s="824" t="s">
        <v>351</v>
      </c>
      <c r="BJ965" s="824" t="s">
        <v>281</v>
      </c>
      <c r="BK965" s="824">
        <v>3</v>
      </c>
      <c r="BL965" s="1226">
        <v>615727025.15109003</v>
      </c>
      <c r="BM965" s="1227">
        <v>0.20100000000000001</v>
      </c>
      <c r="BN965" s="824">
        <v>2016</v>
      </c>
    </row>
    <row r="966" spans="1:66" ht="15" customHeight="1" x14ac:dyDescent="0.35">
      <c r="A966" s="64">
        <f t="shared" si="32"/>
        <v>1900</v>
      </c>
      <c r="B966" s="168" t="str">
        <f t="shared" si="33"/>
        <v>1899-00</v>
      </c>
      <c r="C966" s="64"/>
      <c r="BA966" s="824" t="s">
        <v>345</v>
      </c>
      <c r="BB966" s="1225">
        <v>2018</v>
      </c>
      <c r="BC966" s="824" t="s">
        <v>292</v>
      </c>
      <c r="BE966" s="1226">
        <v>4658408225.6300001</v>
      </c>
      <c r="BH966" s="824" t="s">
        <v>345</v>
      </c>
      <c r="BI966" s="824" t="s">
        <v>351</v>
      </c>
      <c r="BJ966" s="824" t="s">
        <v>308</v>
      </c>
      <c r="BK966" s="824">
        <v>4</v>
      </c>
      <c r="BL966" s="1226">
        <v>416611320.50024003</v>
      </c>
      <c r="BM966" s="1227">
        <v>0.13600000000000001</v>
      </c>
      <c r="BN966" s="824">
        <v>2016</v>
      </c>
    </row>
    <row r="967" spans="1:66" ht="15" customHeight="1" x14ac:dyDescent="0.35">
      <c r="A967" s="64">
        <f t="shared" si="32"/>
        <v>1900</v>
      </c>
      <c r="B967" s="168" t="str">
        <f t="shared" si="33"/>
        <v>1899-00</v>
      </c>
      <c r="C967" s="64"/>
      <c r="BA967" s="824" t="s">
        <v>344</v>
      </c>
      <c r="BB967" s="1225">
        <v>2018</v>
      </c>
      <c r="BE967" s="1226">
        <v>3279671896.6100001</v>
      </c>
      <c r="BH967" s="824" t="s">
        <v>345</v>
      </c>
      <c r="BI967" s="824" t="s">
        <v>351</v>
      </c>
      <c r="BJ967" s="824" t="s">
        <v>335</v>
      </c>
      <c r="BK967" s="824">
        <v>5</v>
      </c>
      <c r="BL967" s="1226">
        <v>300205216.24282002</v>
      </c>
      <c r="BM967" s="1227">
        <v>9.8000000000000004E-2</v>
      </c>
      <c r="BN967" s="824">
        <v>2016</v>
      </c>
    </row>
    <row r="968" spans="1:66" ht="15" customHeight="1" x14ac:dyDescent="0.35">
      <c r="A968" s="64">
        <f t="shared" si="32"/>
        <v>1900</v>
      </c>
      <c r="B968" s="168" t="str">
        <f t="shared" si="33"/>
        <v>1899-00</v>
      </c>
      <c r="C968" s="64"/>
      <c r="BA968" s="824" t="s">
        <v>61</v>
      </c>
      <c r="BB968" s="1225">
        <v>2018</v>
      </c>
      <c r="BC968" s="824" t="s">
        <v>281</v>
      </c>
      <c r="BD968" s="824">
        <v>1</v>
      </c>
      <c r="BE968" s="1226">
        <v>1311401863.4700005</v>
      </c>
      <c r="BF968" s="1227">
        <v>0.50140855911586424</v>
      </c>
      <c r="BH968" s="824" t="s">
        <v>345</v>
      </c>
      <c r="BI968" s="824" t="s">
        <v>351</v>
      </c>
      <c r="BJ968" s="824" t="s">
        <v>287</v>
      </c>
      <c r="BK968" s="824">
        <v>6</v>
      </c>
      <c r="BL968" s="1226">
        <v>153165926.65450001</v>
      </c>
      <c r="BM968" s="1227">
        <v>0.05</v>
      </c>
      <c r="BN968" s="824">
        <v>2016</v>
      </c>
    </row>
    <row r="969" spans="1:66" ht="15" customHeight="1" x14ac:dyDescent="0.35">
      <c r="A969" s="64">
        <f t="shared" si="32"/>
        <v>1900</v>
      </c>
      <c r="B969" s="168" t="str">
        <f t="shared" si="33"/>
        <v>1899-00</v>
      </c>
      <c r="C969" s="64"/>
      <c r="BA969" s="824" t="s">
        <v>61</v>
      </c>
      <c r="BB969" s="1225">
        <v>2018</v>
      </c>
      <c r="BC969" s="824" t="s">
        <v>308</v>
      </c>
      <c r="BD969" s="824">
        <v>2</v>
      </c>
      <c r="BE969" s="1226">
        <v>473716584.11474049</v>
      </c>
      <c r="BF969" s="1227">
        <v>0.181123389013466</v>
      </c>
      <c r="BH969" s="824" t="s">
        <v>345</v>
      </c>
      <c r="BI969" s="824" t="s">
        <v>351</v>
      </c>
      <c r="BJ969" s="824" t="s">
        <v>315</v>
      </c>
      <c r="BK969" s="824">
        <v>7</v>
      </c>
      <c r="BL969" s="1226">
        <v>45949777.996349998</v>
      </c>
      <c r="BM969" s="1227">
        <v>1.4999999999999999E-2</v>
      </c>
      <c r="BN969" s="824">
        <v>2016</v>
      </c>
    </row>
    <row r="970" spans="1:66" ht="15" customHeight="1" x14ac:dyDescent="0.35">
      <c r="A970" s="64">
        <f t="shared" si="32"/>
        <v>1900</v>
      </c>
      <c r="B970" s="168" t="str">
        <f t="shared" si="33"/>
        <v>1899-00</v>
      </c>
      <c r="C970" s="64"/>
      <c r="BA970" s="824" t="s">
        <v>61</v>
      </c>
      <c r="BB970" s="1225">
        <v>2018</v>
      </c>
      <c r="BC970" s="824" t="s">
        <v>315</v>
      </c>
      <c r="BD970" s="824">
        <v>3</v>
      </c>
      <c r="BE970" s="1226">
        <v>337494394.45923591</v>
      </c>
      <c r="BF970" s="1227">
        <v>0.12903945216893289</v>
      </c>
      <c r="BH970" s="824" t="s">
        <v>345</v>
      </c>
      <c r="BI970" s="824" t="s">
        <v>351</v>
      </c>
      <c r="BJ970" s="824" t="s">
        <v>319</v>
      </c>
      <c r="BK970" s="824">
        <v>8</v>
      </c>
      <c r="BL970" s="1226">
        <v>24506548.26472</v>
      </c>
      <c r="BM970" s="1227">
        <v>8.0000000000000002E-3</v>
      </c>
      <c r="BN970" s="824">
        <v>2016</v>
      </c>
    </row>
    <row r="971" spans="1:66" ht="15" customHeight="1" x14ac:dyDescent="0.35">
      <c r="A971" s="64">
        <f t="shared" si="32"/>
        <v>1900</v>
      </c>
      <c r="B971" s="168" t="str">
        <f t="shared" si="33"/>
        <v>1899-00</v>
      </c>
      <c r="C971" s="64"/>
      <c r="BA971" s="824" t="s">
        <v>61</v>
      </c>
      <c r="BB971" s="1225">
        <v>2018</v>
      </c>
      <c r="BC971" s="824" t="s">
        <v>312</v>
      </c>
      <c r="BD971" s="824">
        <v>4</v>
      </c>
      <c r="BE971" s="1226">
        <v>148509267.09000003</v>
      </c>
      <c r="BF971" s="1227">
        <v>5.6781845215559568E-2</v>
      </c>
      <c r="BH971" s="824" t="s">
        <v>345</v>
      </c>
      <c r="BI971" s="824" t="s">
        <v>351</v>
      </c>
      <c r="BJ971" s="824" t="s">
        <v>309</v>
      </c>
      <c r="BK971" s="824">
        <v>9</v>
      </c>
      <c r="BL971" s="1226">
        <v>21443229.731630001</v>
      </c>
      <c r="BM971" s="1227">
        <v>7.0000000000000001E-3</v>
      </c>
      <c r="BN971" s="824">
        <v>2016</v>
      </c>
    </row>
    <row r="972" spans="1:66" ht="15" customHeight="1" x14ac:dyDescent="0.35">
      <c r="A972" s="64">
        <f t="shared" ref="A972:A1035" si="34">YEAR(C972)</f>
        <v>1900</v>
      </c>
      <c r="B972" s="168" t="str">
        <f t="shared" si="33"/>
        <v>1899-00</v>
      </c>
      <c r="C972" s="64"/>
      <c r="BA972" s="824" t="s">
        <v>61</v>
      </c>
      <c r="BB972" s="1225">
        <v>2018</v>
      </c>
      <c r="BC972" s="824" t="s">
        <v>320</v>
      </c>
      <c r="BD972" s="824">
        <v>5</v>
      </c>
      <c r="BE972" s="1226">
        <v>99628564.416659206</v>
      </c>
      <c r="BF972" s="1227">
        <v>3.8092530079801817E-2</v>
      </c>
      <c r="BH972" s="824" t="s">
        <v>345</v>
      </c>
      <c r="BI972" s="824" t="s">
        <v>351</v>
      </c>
      <c r="BJ972" s="824" t="s">
        <v>285</v>
      </c>
      <c r="BK972" s="824">
        <v>10</v>
      </c>
      <c r="BL972" s="1226">
        <v>3063318.53309</v>
      </c>
      <c r="BM972" s="1227">
        <v>1E-3</v>
      </c>
      <c r="BN972" s="824">
        <v>2016</v>
      </c>
    </row>
    <row r="973" spans="1:66" ht="15" customHeight="1" x14ac:dyDescent="0.35">
      <c r="A973" s="64">
        <f t="shared" si="34"/>
        <v>1900</v>
      </c>
      <c r="B973" s="168" t="str">
        <f t="shared" si="33"/>
        <v>1899-00</v>
      </c>
      <c r="C973" s="64"/>
      <c r="BA973" s="824" t="s">
        <v>61</v>
      </c>
      <c r="BB973" s="1225">
        <v>2018</v>
      </c>
      <c r="BC973" s="824" t="s">
        <v>322</v>
      </c>
      <c r="BD973" s="824">
        <v>6</v>
      </c>
      <c r="BE973" s="1226">
        <v>46454610.100000001</v>
      </c>
      <c r="BF973" s="1227">
        <v>1.7761709635593419E-2</v>
      </c>
      <c r="BH973" s="824" t="s">
        <v>345</v>
      </c>
      <c r="BI973" s="824" t="s">
        <v>351</v>
      </c>
      <c r="BJ973" s="824" t="s">
        <v>291</v>
      </c>
      <c r="BL973" s="1226">
        <v>0</v>
      </c>
      <c r="BM973" s="1227">
        <v>0</v>
      </c>
      <c r="BN973" s="824">
        <v>2016</v>
      </c>
    </row>
    <row r="974" spans="1:66" ht="15" customHeight="1" x14ac:dyDescent="0.35">
      <c r="A974" s="64">
        <f t="shared" si="34"/>
        <v>1900</v>
      </c>
      <c r="B974" s="168" t="str">
        <f t="shared" si="33"/>
        <v>1899-00</v>
      </c>
      <c r="C974" s="64"/>
      <c r="BA974" s="824" t="s">
        <v>61</v>
      </c>
      <c r="BB974" s="1225">
        <v>2018</v>
      </c>
      <c r="BC974" s="1314" t="s">
        <v>286</v>
      </c>
      <c r="BD974" s="824">
        <v>7</v>
      </c>
      <c r="BE974" s="1226">
        <v>44350895.299999997</v>
      </c>
      <c r="BF974" s="1227">
        <v>1.6957363816023176E-2</v>
      </c>
      <c r="BH974" s="824" t="s">
        <v>345</v>
      </c>
      <c r="BI974" s="824" t="s">
        <v>351</v>
      </c>
      <c r="BJ974" s="824" t="s">
        <v>292</v>
      </c>
      <c r="BL974" s="1226">
        <v>3063318533.0900002</v>
      </c>
      <c r="BN974" s="824">
        <v>2016</v>
      </c>
    </row>
    <row r="975" spans="1:66" ht="15" customHeight="1" x14ac:dyDescent="0.35">
      <c r="A975" s="64">
        <f t="shared" si="34"/>
        <v>1900</v>
      </c>
      <c r="B975" s="168" t="str">
        <f t="shared" si="33"/>
        <v>1899-00</v>
      </c>
      <c r="C975" s="64"/>
      <c r="BA975" s="824" t="s">
        <v>61</v>
      </c>
      <c r="BB975" s="1225">
        <v>2018</v>
      </c>
      <c r="BC975" s="824" t="s">
        <v>314</v>
      </c>
      <c r="BD975" s="824">
        <v>8</v>
      </c>
      <c r="BE975" s="1226">
        <v>31461746.760000005</v>
      </c>
      <c r="BF975" s="1227">
        <v>1.2029256286443185E-2</v>
      </c>
      <c r="BH975" s="824" t="s">
        <v>344</v>
      </c>
      <c r="BI975" s="824" t="s">
        <v>351</v>
      </c>
      <c r="BL975" s="1226">
        <v>1679735037.0899999</v>
      </c>
      <c r="BN975" s="824">
        <v>2016</v>
      </c>
    </row>
    <row r="976" spans="1:66" ht="15" customHeight="1" x14ac:dyDescent="0.35">
      <c r="A976" s="64">
        <f t="shared" si="34"/>
        <v>1900</v>
      </c>
      <c r="B976" s="168" t="str">
        <f t="shared" si="33"/>
        <v>1899-00</v>
      </c>
      <c r="C976" s="64"/>
      <c r="BA976" s="824" t="s">
        <v>61</v>
      </c>
      <c r="BB976" s="1225">
        <v>2018</v>
      </c>
      <c r="BC976" s="824" t="s">
        <v>352</v>
      </c>
      <c r="BD976" s="824">
        <v>9</v>
      </c>
      <c r="BE976" s="1226">
        <v>30426874.020000003</v>
      </c>
      <c r="BF976" s="1227">
        <v>1.1633577384433179E-2</v>
      </c>
      <c r="BH976" s="824" t="s">
        <v>61</v>
      </c>
      <c r="BI976" s="824" t="s">
        <v>302</v>
      </c>
      <c r="BJ976" s="824" t="s">
        <v>281</v>
      </c>
      <c r="BK976" s="824">
        <v>1</v>
      </c>
      <c r="BL976" s="1226">
        <v>1399822013.5600002</v>
      </c>
      <c r="BM976" s="1227">
        <v>0.40431147064738998</v>
      </c>
      <c r="BN976" s="824">
        <v>2009</v>
      </c>
    </row>
    <row r="977" spans="1:66" ht="15" customHeight="1" x14ac:dyDescent="0.35">
      <c r="A977" s="64">
        <f t="shared" si="34"/>
        <v>1900</v>
      </c>
      <c r="B977" s="168" t="str">
        <f t="shared" si="33"/>
        <v>1899-00</v>
      </c>
      <c r="C977" s="64"/>
      <c r="BA977" s="824" t="s">
        <v>61</v>
      </c>
      <c r="BB977" s="1225">
        <v>2018</v>
      </c>
      <c r="BC977" s="824" t="s">
        <v>285</v>
      </c>
      <c r="BD977" s="824">
        <v>10</v>
      </c>
      <c r="BE977" s="1226">
        <v>26654791.665688124</v>
      </c>
      <c r="BF977" s="1227">
        <v>1.0191338791651766E-2</v>
      </c>
      <c r="BH977" s="824" t="s">
        <v>61</v>
      </c>
      <c r="BI977" s="824" t="s">
        <v>302</v>
      </c>
      <c r="BJ977" s="824" t="s">
        <v>286</v>
      </c>
      <c r="BK977" s="824">
        <v>2</v>
      </c>
      <c r="BL977" s="1226">
        <v>320515425.62</v>
      </c>
      <c r="BM977" s="1227">
        <v>9.2574671524153634E-2</v>
      </c>
      <c r="BN977" s="824">
        <v>2009</v>
      </c>
    </row>
    <row r="978" spans="1:66" ht="15" customHeight="1" x14ac:dyDescent="0.35">
      <c r="A978" s="64">
        <f t="shared" si="34"/>
        <v>1900</v>
      </c>
      <c r="B978" s="168" t="str">
        <f t="shared" si="33"/>
        <v>1899-00</v>
      </c>
      <c r="C978" s="64"/>
      <c r="BA978" s="824" t="s">
        <v>61</v>
      </c>
      <c r="BB978" s="1225">
        <v>2018</v>
      </c>
      <c r="BC978" s="824" t="s">
        <v>291</v>
      </c>
      <c r="BE978" s="1226">
        <v>65336143.850000001</v>
      </c>
      <c r="BH978" s="824" t="s">
        <v>61</v>
      </c>
      <c r="BI978" s="824" t="s">
        <v>302</v>
      </c>
      <c r="BJ978" s="824" t="s">
        <v>309</v>
      </c>
      <c r="BK978" s="824">
        <v>3</v>
      </c>
      <c r="BL978" s="1226">
        <v>268601489.02999997</v>
      </c>
      <c r="BM978" s="1227">
        <v>7.7580336639807568E-2</v>
      </c>
      <c r="BN978" s="824">
        <v>2009</v>
      </c>
    </row>
    <row r="979" spans="1:66" ht="15" customHeight="1" x14ac:dyDescent="0.35">
      <c r="A979" s="64">
        <f t="shared" si="34"/>
        <v>1900</v>
      </c>
      <c r="B979" s="168" t="str">
        <f t="shared" si="33"/>
        <v>1899-00</v>
      </c>
      <c r="C979" s="64"/>
      <c r="BA979" s="824" t="s">
        <v>61</v>
      </c>
      <c r="BB979" s="1225">
        <v>2018</v>
      </c>
      <c r="BC979" s="824" t="s">
        <v>292</v>
      </c>
      <c r="BE979" s="1226">
        <v>2615435735.2463245</v>
      </c>
      <c r="BH979" s="824" t="s">
        <v>61</v>
      </c>
      <c r="BI979" s="824" t="s">
        <v>302</v>
      </c>
      <c r="BJ979" s="824" t="s">
        <v>312</v>
      </c>
      <c r="BK979" s="824">
        <v>4</v>
      </c>
      <c r="BL979" s="1226">
        <v>267555154.00999999</v>
      </c>
      <c r="BM979" s="1227">
        <v>7.7278123039344046E-2</v>
      </c>
      <c r="BN979" s="824">
        <v>2009</v>
      </c>
    </row>
    <row r="980" spans="1:66" ht="15" customHeight="1" x14ac:dyDescent="0.35">
      <c r="A980" s="64">
        <f t="shared" si="34"/>
        <v>1900</v>
      </c>
      <c r="B980" s="168" t="str">
        <f t="shared" si="33"/>
        <v>1899-00</v>
      </c>
      <c r="C980" s="64"/>
      <c r="BA980" s="824" t="s">
        <v>32</v>
      </c>
      <c r="BB980" s="1225">
        <v>2018</v>
      </c>
      <c r="BC980" s="824" t="s">
        <v>327</v>
      </c>
      <c r="BD980" s="824">
        <v>1</v>
      </c>
      <c r="BE980" s="1226">
        <v>6701769000</v>
      </c>
      <c r="BF980" s="1227">
        <v>0.38370601678299338</v>
      </c>
      <c r="BH980" s="824" t="s">
        <v>61</v>
      </c>
      <c r="BI980" s="824" t="s">
        <v>302</v>
      </c>
      <c r="BJ980" s="824" t="s">
        <v>305</v>
      </c>
      <c r="BK980" s="824">
        <v>5</v>
      </c>
      <c r="BL980" s="1226">
        <v>252880396.18000001</v>
      </c>
      <c r="BM980" s="1227">
        <v>7.3039603526029298E-2</v>
      </c>
      <c r="BN980" s="824">
        <v>2009</v>
      </c>
    </row>
    <row r="981" spans="1:66" ht="15" customHeight="1" x14ac:dyDescent="0.35">
      <c r="A981" s="64">
        <f t="shared" si="34"/>
        <v>1900</v>
      </c>
      <c r="B981" s="168" t="str">
        <f t="shared" si="33"/>
        <v>1899-00</v>
      </c>
      <c r="C981" s="64"/>
      <c r="AY981" s="1178"/>
      <c r="BA981" s="824" t="s">
        <v>32</v>
      </c>
      <c r="BB981" s="1225">
        <v>2018</v>
      </c>
      <c r="BC981" s="824" t="s">
        <v>281</v>
      </c>
      <c r="BD981" s="824">
        <v>2</v>
      </c>
      <c r="BE981" s="1226">
        <v>5789108000</v>
      </c>
      <c r="BF981" s="1227">
        <v>0.33145212426846721</v>
      </c>
      <c r="BH981" s="824" t="s">
        <v>61</v>
      </c>
      <c r="BI981" s="824" t="s">
        <v>302</v>
      </c>
      <c r="BJ981" s="824" t="s">
        <v>308</v>
      </c>
      <c r="BK981" s="824">
        <v>6</v>
      </c>
      <c r="BL981" s="1226">
        <v>244881844.29000002</v>
      </c>
      <c r="BM981" s="1227">
        <v>7.0729376764077659E-2</v>
      </c>
      <c r="BN981" s="824">
        <v>2009</v>
      </c>
    </row>
    <row r="982" spans="1:66" ht="15" customHeight="1" x14ac:dyDescent="0.35">
      <c r="A982" s="64">
        <f t="shared" si="34"/>
        <v>1900</v>
      </c>
      <c r="B982" s="168" t="str">
        <f t="shared" si="33"/>
        <v>1899-00</v>
      </c>
      <c r="C982" s="64"/>
      <c r="BA982" s="824" t="s">
        <v>32</v>
      </c>
      <c r="BB982" s="1225">
        <v>2018</v>
      </c>
      <c r="BC982" s="824" t="s">
        <v>314</v>
      </c>
      <c r="BD982" s="824">
        <v>3</v>
      </c>
      <c r="BE982" s="1226">
        <v>1572102000</v>
      </c>
      <c r="BF982" s="1227">
        <v>9.0009816273371623E-2</v>
      </c>
      <c r="BH982" s="824" t="s">
        <v>61</v>
      </c>
      <c r="BI982" s="824" t="s">
        <v>302</v>
      </c>
      <c r="BJ982" s="824" t="s">
        <v>306</v>
      </c>
      <c r="BK982" s="824">
        <v>7</v>
      </c>
      <c r="BL982" s="1226">
        <v>162518266.65000001</v>
      </c>
      <c r="BM982" s="1227">
        <v>4.6940252946314848E-2</v>
      </c>
      <c r="BN982" s="824">
        <v>2009</v>
      </c>
    </row>
    <row r="983" spans="1:66" ht="15" customHeight="1" x14ac:dyDescent="0.35">
      <c r="A983" s="64">
        <f t="shared" si="34"/>
        <v>1900</v>
      </c>
      <c r="B983" s="168" t="str">
        <f t="shared" si="33"/>
        <v>1899-00</v>
      </c>
      <c r="C983" s="64"/>
      <c r="BA983" s="824" t="s">
        <v>32</v>
      </c>
      <c r="BB983" s="1225">
        <v>2018</v>
      </c>
      <c r="BC983" s="824" t="s">
        <v>323</v>
      </c>
      <c r="BD983" s="824">
        <v>4</v>
      </c>
      <c r="BE983" s="1226">
        <v>1427440000</v>
      </c>
      <c r="BF983" s="1227">
        <v>8.1727274783227541E-2</v>
      </c>
      <c r="BH983" s="824" t="s">
        <v>61</v>
      </c>
      <c r="BI983" s="824" t="s">
        <v>302</v>
      </c>
      <c r="BJ983" s="824" t="s">
        <v>320</v>
      </c>
      <c r="BK983" s="824">
        <v>8</v>
      </c>
      <c r="BL983" s="1226">
        <v>145823727.25</v>
      </c>
      <c r="BM983" s="1227">
        <v>4.2118358654604962E-2</v>
      </c>
      <c r="BN983" s="824">
        <v>2009</v>
      </c>
    </row>
    <row r="984" spans="1:66" ht="15" customHeight="1" x14ac:dyDescent="0.35">
      <c r="A984" s="64">
        <f t="shared" si="34"/>
        <v>1900</v>
      </c>
      <c r="B984" s="168" t="str">
        <f t="shared" si="33"/>
        <v>1899-00</v>
      </c>
      <c r="C984" s="64"/>
      <c r="BA984" s="824" t="s">
        <v>32</v>
      </c>
      <c r="BB984" s="1225">
        <v>2018</v>
      </c>
      <c r="BC984" s="824" t="s">
        <v>306</v>
      </c>
      <c r="BD984" s="824">
        <v>5</v>
      </c>
      <c r="BE984" s="1226">
        <v>773060000</v>
      </c>
      <c r="BF984" s="1227">
        <v>4.4261115734406969E-2</v>
      </c>
      <c r="BH984" s="824" t="s">
        <v>61</v>
      </c>
      <c r="BI984" s="824" t="s">
        <v>302</v>
      </c>
      <c r="BJ984" s="824" t="s">
        <v>319</v>
      </c>
      <c r="BK984" s="824">
        <v>9</v>
      </c>
      <c r="BL984" s="1226">
        <v>106442005.94</v>
      </c>
      <c r="BM984" s="1227">
        <v>3.0743711374285367E-2</v>
      </c>
      <c r="BN984" s="824">
        <v>2009</v>
      </c>
    </row>
    <row r="985" spans="1:66" ht="15" customHeight="1" x14ac:dyDescent="0.35">
      <c r="A985" s="64">
        <f t="shared" si="34"/>
        <v>1900</v>
      </c>
      <c r="B985" s="168" t="str">
        <f t="shared" si="33"/>
        <v>1899-00</v>
      </c>
      <c r="C985" s="64"/>
      <c r="BA985" s="824" t="s">
        <v>32</v>
      </c>
      <c r="BB985" s="1225">
        <v>2018</v>
      </c>
      <c r="BC985" s="824" t="s">
        <v>287</v>
      </c>
      <c r="BD985" s="824">
        <v>6</v>
      </c>
      <c r="BE985" s="1226">
        <v>709187000</v>
      </c>
      <c r="BF985" s="1227">
        <v>4.0604103024780583E-2</v>
      </c>
      <c r="BH985" s="824" t="s">
        <v>61</v>
      </c>
      <c r="BI985" s="824" t="s">
        <v>302</v>
      </c>
      <c r="BJ985" s="824" t="s">
        <v>287</v>
      </c>
      <c r="BK985" s="824">
        <v>10</v>
      </c>
      <c r="BL985" s="1226">
        <v>76825484.26000002</v>
      </c>
      <c r="BM985" s="1227">
        <v>2.2189552831337257E-2</v>
      </c>
      <c r="BN985" s="824">
        <v>2009</v>
      </c>
    </row>
    <row r="986" spans="1:66" ht="15" customHeight="1" x14ac:dyDescent="0.35">
      <c r="A986" s="64">
        <f t="shared" si="34"/>
        <v>1900</v>
      </c>
      <c r="B986" s="168" t="str">
        <f t="shared" si="33"/>
        <v>1899-00</v>
      </c>
      <c r="C986" s="64"/>
      <c r="BA986" s="824" t="s">
        <v>32</v>
      </c>
      <c r="BB986" s="1225">
        <v>2018</v>
      </c>
      <c r="BC986" s="824" t="s">
        <v>320</v>
      </c>
      <c r="BD986" s="824">
        <v>7</v>
      </c>
      <c r="BE986" s="1226">
        <v>157727000</v>
      </c>
      <c r="BF986" s="1227">
        <v>9.0305707208247852E-3</v>
      </c>
      <c r="BH986" s="824" t="s">
        <v>61</v>
      </c>
      <c r="BI986" s="824" t="s">
        <v>302</v>
      </c>
      <c r="BJ986" s="824" t="s">
        <v>291</v>
      </c>
      <c r="BL986" s="1226">
        <v>216370897.29999924</v>
      </c>
      <c r="BM986" s="1227">
        <v>6.2494542052655318E-2</v>
      </c>
      <c r="BN986" s="824">
        <v>2009</v>
      </c>
    </row>
    <row r="987" spans="1:66" ht="15" customHeight="1" x14ac:dyDescent="0.35">
      <c r="A987" s="64">
        <f t="shared" si="34"/>
        <v>1900</v>
      </c>
      <c r="B987" s="168" t="str">
        <f t="shared" si="33"/>
        <v>1899-00</v>
      </c>
      <c r="C987" s="64"/>
      <c r="BA987" s="824" t="s">
        <v>32</v>
      </c>
      <c r="BB987" s="1225">
        <v>2018</v>
      </c>
      <c r="BC987" s="824" t="s">
        <v>328</v>
      </c>
      <c r="BD987" s="824">
        <v>8</v>
      </c>
      <c r="BE987" s="1226">
        <v>116958000</v>
      </c>
      <c r="BF987" s="1227">
        <v>6.6963645435862288E-3</v>
      </c>
      <c r="BH987" s="824" t="s">
        <v>61</v>
      </c>
      <c r="BI987" s="824" t="s">
        <v>302</v>
      </c>
      <c r="BJ987" s="824" t="s">
        <v>292</v>
      </c>
      <c r="BL987" s="1226">
        <v>3462236704.0899997</v>
      </c>
      <c r="BN987" s="824">
        <v>2009</v>
      </c>
    </row>
    <row r="988" spans="1:66" ht="15" customHeight="1" x14ac:dyDescent="0.35">
      <c r="A988" s="64">
        <f t="shared" si="34"/>
        <v>1900</v>
      </c>
      <c r="B988" s="168" t="str">
        <f t="shared" si="33"/>
        <v>1899-00</v>
      </c>
      <c r="C988" s="64"/>
      <c r="BA988" s="824" t="s">
        <v>32</v>
      </c>
      <c r="BB988" s="1225">
        <v>2018</v>
      </c>
      <c r="BC988" s="824" t="s">
        <v>286</v>
      </c>
      <c r="BD988" s="824">
        <v>9</v>
      </c>
      <c r="BE988" s="1226">
        <v>98194000</v>
      </c>
      <c r="BF988" s="1227">
        <v>5.6220422715240184E-3</v>
      </c>
      <c r="BH988" s="824" t="s">
        <v>61</v>
      </c>
      <c r="BI988" s="824" t="s">
        <v>303</v>
      </c>
      <c r="BJ988" s="824" t="s">
        <v>172</v>
      </c>
      <c r="BK988" s="824">
        <v>10</v>
      </c>
      <c r="BL988" s="1226">
        <v>0</v>
      </c>
      <c r="BM988" s="1227">
        <v>0</v>
      </c>
      <c r="BN988" s="824">
        <v>2008</v>
      </c>
    </row>
    <row r="989" spans="1:66" ht="15" customHeight="1" x14ac:dyDescent="0.35">
      <c r="A989" s="64">
        <f t="shared" si="34"/>
        <v>1900</v>
      </c>
      <c r="B989" s="168" t="str">
        <f t="shared" si="33"/>
        <v>1899-00</v>
      </c>
      <c r="C989" s="64"/>
      <c r="BA989" s="824" t="s">
        <v>32</v>
      </c>
      <c r="BB989" s="1225">
        <v>2018</v>
      </c>
      <c r="BC989" s="824" t="s">
        <v>335</v>
      </c>
      <c r="BD989" s="824">
        <v>10</v>
      </c>
      <c r="BE989" s="1226">
        <v>51469000</v>
      </c>
      <c r="BF989" s="1227">
        <v>2.9468286623731562E-3</v>
      </c>
      <c r="BH989" s="824" t="s">
        <v>54</v>
      </c>
      <c r="BI989" s="824" t="s">
        <v>353</v>
      </c>
      <c r="BJ989" s="824" t="s">
        <v>281</v>
      </c>
      <c r="BK989" s="824">
        <v>1</v>
      </c>
      <c r="BL989" s="1226">
        <v>337323211.82999998</v>
      </c>
      <c r="BM989" s="1227">
        <v>0.33463862169216807</v>
      </c>
      <c r="BN989" s="824">
        <f>_xlfn.NUMBERVALUE(LEFT(BI989,4))</f>
        <v>2017</v>
      </c>
    </row>
    <row r="990" spans="1:66" ht="15" customHeight="1" x14ac:dyDescent="0.35">
      <c r="A990" s="64">
        <f t="shared" si="34"/>
        <v>1900</v>
      </c>
      <c r="B990" s="168" t="str">
        <f t="shared" si="33"/>
        <v>1899-00</v>
      </c>
      <c r="C990" s="64"/>
      <c r="BA990" s="824" t="s">
        <v>32</v>
      </c>
      <c r="BB990" s="1225">
        <v>2018</v>
      </c>
      <c r="BC990" s="824" t="s">
        <v>291</v>
      </c>
      <c r="BE990" s="1226">
        <v>68881000</v>
      </c>
      <c r="BF990" s="1227">
        <v>3.943742934444527E-3</v>
      </c>
      <c r="BH990" s="824" t="s">
        <v>54</v>
      </c>
      <c r="BI990" s="824" t="s">
        <v>353</v>
      </c>
      <c r="BJ990" s="824" t="s">
        <v>285</v>
      </c>
      <c r="BK990" s="824">
        <v>2</v>
      </c>
      <c r="BL990" s="1226">
        <v>104662015.46000001</v>
      </c>
      <c r="BM990" s="1227">
        <v>0.10382906176853826</v>
      </c>
      <c r="BN990" s="824">
        <f t="shared" ref="BN990:BN1053" si="35">_xlfn.NUMBERVALUE(LEFT(BI990,4))</f>
        <v>2017</v>
      </c>
    </row>
    <row r="991" spans="1:66" ht="15" customHeight="1" x14ac:dyDescent="0.35">
      <c r="A991" s="64">
        <f t="shared" si="34"/>
        <v>1900</v>
      </c>
      <c r="B991" s="168" t="str">
        <f t="shared" si="33"/>
        <v>1899-00</v>
      </c>
      <c r="C991" s="64"/>
      <c r="BA991" s="824" t="s">
        <v>32</v>
      </c>
      <c r="BB991" s="1225">
        <v>2018</v>
      </c>
      <c r="BC991" s="824" t="s">
        <v>331</v>
      </c>
      <c r="BE991" s="1226">
        <v>17465895000</v>
      </c>
      <c r="BH991" s="824" t="s">
        <v>54</v>
      </c>
      <c r="BI991" s="824" t="s">
        <v>353</v>
      </c>
      <c r="BJ991" s="824" t="s">
        <v>286</v>
      </c>
      <c r="BK991" s="824">
        <v>3</v>
      </c>
      <c r="BL991" s="1226">
        <v>100616447.56</v>
      </c>
      <c r="BM991" s="1227">
        <v>9.9815690560925208E-2</v>
      </c>
      <c r="BN991" s="824">
        <f t="shared" si="35"/>
        <v>2017</v>
      </c>
    </row>
    <row r="992" spans="1:66" ht="15" customHeight="1" x14ac:dyDescent="0.35">
      <c r="A992" s="64">
        <f t="shared" si="34"/>
        <v>1900</v>
      </c>
      <c r="B992" s="168" t="str">
        <f t="shared" si="33"/>
        <v>1899-00</v>
      </c>
      <c r="C992" s="64"/>
      <c r="BA992" s="824" t="s">
        <v>71</v>
      </c>
      <c r="BB992" s="1225">
        <v>2018</v>
      </c>
      <c r="BC992" s="824" t="s">
        <v>308</v>
      </c>
      <c r="BD992" s="824">
        <v>1</v>
      </c>
      <c r="BE992" s="1226">
        <v>17155691057.169285</v>
      </c>
      <c r="BF992" s="1227">
        <v>0.50778680240504515</v>
      </c>
      <c r="BH992" s="824" t="s">
        <v>54</v>
      </c>
      <c r="BI992" s="824" t="s">
        <v>353</v>
      </c>
      <c r="BJ992" s="824" t="s">
        <v>290</v>
      </c>
      <c r="BK992" s="824">
        <v>4</v>
      </c>
      <c r="BL992" s="1226">
        <v>96490586.5</v>
      </c>
      <c r="BM992" s="1227">
        <v>9.5722665207224972E-2</v>
      </c>
      <c r="BN992" s="824">
        <f t="shared" si="35"/>
        <v>2017</v>
      </c>
    </row>
    <row r="993" spans="1:66" ht="15" customHeight="1" x14ac:dyDescent="0.35">
      <c r="A993" s="64">
        <f t="shared" si="34"/>
        <v>1900</v>
      </c>
      <c r="B993" s="168" t="str">
        <f t="shared" si="33"/>
        <v>1899-00</v>
      </c>
      <c r="C993" s="64"/>
      <c r="BA993" s="824" t="s">
        <v>71</v>
      </c>
      <c r="BB993" s="1225">
        <v>2018</v>
      </c>
      <c r="BC993" s="824" t="s">
        <v>281</v>
      </c>
      <c r="BD993" s="824">
        <v>2</v>
      </c>
      <c r="BE993" s="1226">
        <v>4062799440.0511003</v>
      </c>
      <c r="BF993" s="1227">
        <v>0.12025373560305651</v>
      </c>
      <c r="BH993" s="824" t="s">
        <v>54</v>
      </c>
      <c r="BI993" s="824" t="s">
        <v>353</v>
      </c>
      <c r="BJ993" s="824" t="s">
        <v>312</v>
      </c>
      <c r="BK993" s="824">
        <v>5</v>
      </c>
      <c r="BL993" s="1226">
        <v>72449178.929999992</v>
      </c>
      <c r="BM993" s="1227">
        <v>7.1872591418591147E-2</v>
      </c>
      <c r="BN993" s="824">
        <f t="shared" si="35"/>
        <v>2017</v>
      </c>
    </row>
    <row r="994" spans="1:66" ht="15" customHeight="1" x14ac:dyDescent="0.35">
      <c r="A994" s="64">
        <f t="shared" si="34"/>
        <v>1900</v>
      </c>
      <c r="B994" s="168" t="str">
        <f t="shared" si="33"/>
        <v>1899-00</v>
      </c>
      <c r="C994" s="64"/>
      <c r="BA994" s="824" t="s">
        <v>71</v>
      </c>
      <c r="BB994" s="1225">
        <v>2018</v>
      </c>
      <c r="BC994" s="824" t="s">
        <v>306</v>
      </c>
      <c r="BD994" s="824">
        <v>3</v>
      </c>
      <c r="BE994" s="1226">
        <v>4047099474.4535003</v>
      </c>
      <c r="BF994" s="1227">
        <v>0.11978903643692511</v>
      </c>
      <c r="BH994" s="824" t="s">
        <v>54</v>
      </c>
      <c r="BI994" s="824" t="s">
        <v>353</v>
      </c>
      <c r="BJ994" s="824" t="s">
        <v>315</v>
      </c>
      <c r="BK994" s="824">
        <v>6</v>
      </c>
      <c r="BL994" s="1226">
        <v>62005005.68</v>
      </c>
      <c r="BM994" s="1227">
        <v>6.1511538225324423E-2</v>
      </c>
      <c r="BN994" s="824">
        <f t="shared" si="35"/>
        <v>2017</v>
      </c>
    </row>
    <row r="995" spans="1:66" ht="15" customHeight="1" x14ac:dyDescent="0.35">
      <c r="A995" s="64">
        <f t="shared" si="34"/>
        <v>1900</v>
      </c>
      <c r="B995" s="168" t="str">
        <f t="shared" si="33"/>
        <v>1899-00</v>
      </c>
      <c r="C995" s="64"/>
      <c r="BA995" s="824" t="s">
        <v>71</v>
      </c>
      <c r="BB995" s="1225">
        <v>2018</v>
      </c>
      <c r="BC995" s="824" t="s">
        <v>320</v>
      </c>
      <c r="BD995" s="824">
        <v>4</v>
      </c>
      <c r="BE995" s="1226">
        <v>3123236534.3716006</v>
      </c>
      <c r="BF995" s="1227">
        <v>9.244385945504735E-2</v>
      </c>
      <c r="BH995" s="824" t="s">
        <v>54</v>
      </c>
      <c r="BI995" s="824" t="s">
        <v>353</v>
      </c>
      <c r="BJ995" s="824" t="s">
        <v>314</v>
      </c>
      <c r="BK995" s="824">
        <v>7</v>
      </c>
      <c r="BL995" s="1226">
        <v>52313733.399999991</v>
      </c>
      <c r="BM995" s="1227">
        <v>5.1897394032196308E-2</v>
      </c>
      <c r="BN995" s="824">
        <f t="shared" si="35"/>
        <v>2017</v>
      </c>
    </row>
    <row r="996" spans="1:66" ht="15" customHeight="1" x14ac:dyDescent="0.35">
      <c r="A996" s="64">
        <f t="shared" si="34"/>
        <v>1900</v>
      </c>
      <c r="B996" s="168" t="str">
        <f t="shared" si="33"/>
        <v>1899-00</v>
      </c>
      <c r="C996" s="64"/>
      <c r="BA996" s="824" t="s">
        <v>71</v>
      </c>
      <c r="BB996" s="1225">
        <v>2018</v>
      </c>
      <c r="BC996" s="824" t="s">
        <v>315</v>
      </c>
      <c r="BD996" s="824">
        <v>5</v>
      </c>
      <c r="BE996" s="1226">
        <v>1128269839.5990002</v>
      </c>
      <c r="BF996" s="1227">
        <v>3.3395363217420995E-2</v>
      </c>
      <c r="BH996" s="824" t="s">
        <v>54</v>
      </c>
      <c r="BI996" s="824" t="s">
        <v>353</v>
      </c>
      <c r="BJ996" s="824" t="s">
        <v>322</v>
      </c>
      <c r="BK996" s="824">
        <v>8</v>
      </c>
      <c r="BL996" s="1226">
        <v>45668295.689999998</v>
      </c>
      <c r="BM996" s="1227">
        <v>4.5304844104335759E-2</v>
      </c>
      <c r="BN996" s="824">
        <f t="shared" si="35"/>
        <v>2017</v>
      </c>
    </row>
    <row r="997" spans="1:66" ht="15" customHeight="1" x14ac:dyDescent="0.35">
      <c r="A997" s="64">
        <f t="shared" si="34"/>
        <v>1900</v>
      </c>
      <c r="B997" s="168" t="str">
        <f t="shared" si="33"/>
        <v>1899-00</v>
      </c>
      <c r="C997" s="64"/>
      <c r="BA997" s="824" t="s">
        <v>71</v>
      </c>
      <c r="BB997" s="1225">
        <v>2018</v>
      </c>
      <c r="BC997" s="824" t="s">
        <v>323</v>
      </c>
      <c r="BD997" s="824">
        <v>6</v>
      </c>
      <c r="BE997" s="1226">
        <v>972422002.8132</v>
      </c>
      <c r="BF997" s="1227">
        <v>2.8782463950379599E-2</v>
      </c>
      <c r="BH997" s="824" t="s">
        <v>54</v>
      </c>
      <c r="BI997" s="824" t="s">
        <v>353</v>
      </c>
      <c r="BJ997" s="824" t="s">
        <v>308</v>
      </c>
      <c r="BK997" s="824">
        <v>9</v>
      </c>
      <c r="BL997" s="1226">
        <v>36690745.719999999</v>
      </c>
      <c r="BM997" s="1227">
        <v>3.639874205510174E-2</v>
      </c>
      <c r="BN997" s="824">
        <f t="shared" si="35"/>
        <v>2017</v>
      </c>
    </row>
    <row r="998" spans="1:66" ht="15" customHeight="1" x14ac:dyDescent="0.35">
      <c r="A998" s="64">
        <f t="shared" si="34"/>
        <v>1900</v>
      </c>
      <c r="B998" s="168" t="str">
        <f t="shared" si="33"/>
        <v>1899-00</v>
      </c>
      <c r="C998" s="64"/>
      <c r="BA998" s="824" t="s">
        <v>71</v>
      </c>
      <c r="BB998" s="1225">
        <v>2018</v>
      </c>
      <c r="BC998" s="824" t="s">
        <v>285</v>
      </c>
      <c r="BD998" s="824">
        <v>7</v>
      </c>
      <c r="BE998" s="1226">
        <v>874233343.37600029</v>
      </c>
      <c r="BF998" s="1227">
        <v>2.5876203558891739E-2</v>
      </c>
      <c r="BH998" s="824" t="s">
        <v>54</v>
      </c>
      <c r="BI998" s="824" t="s">
        <v>353</v>
      </c>
      <c r="BJ998" s="824" t="s">
        <v>324</v>
      </c>
      <c r="BK998" s="824">
        <v>10</v>
      </c>
      <c r="BL998" s="1226">
        <v>22922907.990000002</v>
      </c>
      <c r="BM998" s="1227">
        <v>2.2740475798670706E-2</v>
      </c>
      <c r="BN998" s="824">
        <f t="shared" si="35"/>
        <v>2017</v>
      </c>
    </row>
    <row r="999" spans="1:66" ht="15" customHeight="1" x14ac:dyDescent="0.35">
      <c r="A999" s="64">
        <f t="shared" si="34"/>
        <v>1900</v>
      </c>
      <c r="B999" s="168" t="str">
        <f t="shared" si="33"/>
        <v>1899-00</v>
      </c>
      <c r="C999" s="64"/>
      <c r="BA999" s="824" t="s">
        <v>71</v>
      </c>
      <c r="BB999" s="1225">
        <v>2018</v>
      </c>
      <c r="BC999" s="824" t="s">
        <v>287</v>
      </c>
      <c r="BD999" s="824">
        <v>8</v>
      </c>
      <c r="BE999" s="1226">
        <v>838450450.84820008</v>
      </c>
      <c r="BF999" s="1227">
        <v>2.4817075103095616E-2</v>
      </c>
      <c r="BH999" s="824" t="s">
        <v>54</v>
      </c>
      <c r="BI999" s="824" t="s">
        <v>353</v>
      </c>
      <c r="BJ999" s="824" t="s">
        <v>291</v>
      </c>
      <c r="BL999" s="1226">
        <v>76880227.190000176</v>
      </c>
      <c r="BM999" s="1227">
        <v>7.6268375136923652E-2</v>
      </c>
      <c r="BN999" s="824">
        <f t="shared" si="35"/>
        <v>2017</v>
      </c>
    </row>
    <row r="1000" spans="1:66" ht="15" customHeight="1" x14ac:dyDescent="0.35">
      <c r="A1000" s="64">
        <f t="shared" si="34"/>
        <v>1900</v>
      </c>
      <c r="B1000" s="168" t="str">
        <f t="shared" si="33"/>
        <v>1899-00</v>
      </c>
      <c r="C1000" s="64"/>
      <c r="BA1000" s="824" t="s">
        <v>71</v>
      </c>
      <c r="BB1000" s="1225">
        <v>2018</v>
      </c>
      <c r="BC1000" s="824" t="s">
        <v>289</v>
      </c>
      <c r="BD1000" s="824">
        <v>9</v>
      </c>
      <c r="BE1000" s="1226">
        <v>676750721.11200023</v>
      </c>
      <c r="BF1000" s="1227">
        <v>2.003096719063167E-2</v>
      </c>
      <c r="BH1000" s="824" t="s">
        <v>54</v>
      </c>
      <c r="BI1000" s="824" t="s">
        <v>353</v>
      </c>
      <c r="BJ1000" s="824" t="s">
        <v>292</v>
      </c>
      <c r="BL1000" s="1226">
        <v>1008022355.9499999</v>
      </c>
      <c r="BN1000" s="824">
        <f t="shared" si="35"/>
        <v>2017</v>
      </c>
    </row>
    <row r="1001" spans="1:66" ht="15" customHeight="1" x14ac:dyDescent="0.35">
      <c r="A1001" s="64">
        <f t="shared" si="34"/>
        <v>1900</v>
      </c>
      <c r="B1001" s="168" t="str">
        <f t="shared" si="33"/>
        <v>1899-00</v>
      </c>
      <c r="C1001" s="64"/>
      <c r="BA1001" s="824" t="s">
        <v>71</v>
      </c>
      <c r="BB1001" s="1225">
        <v>2018</v>
      </c>
      <c r="BC1001" s="824" t="s">
        <v>342</v>
      </c>
      <c r="BD1001" s="824">
        <v>10</v>
      </c>
      <c r="BE1001" s="1226">
        <v>359232314.81600004</v>
      </c>
      <c r="BF1001" s="1227">
        <v>1.0632823117011626E-2</v>
      </c>
      <c r="BH1001" s="824" t="s">
        <v>165</v>
      </c>
      <c r="BI1001" s="824" t="s">
        <v>353</v>
      </c>
      <c r="BJ1001" s="824" t="s">
        <v>279</v>
      </c>
      <c r="BK1001" s="824">
        <v>1</v>
      </c>
      <c r="BL1001" s="1226">
        <v>1811920569</v>
      </c>
      <c r="BM1001" s="1227">
        <v>0.27584234566108368</v>
      </c>
      <c r="BN1001" s="824">
        <f t="shared" si="35"/>
        <v>2017</v>
      </c>
    </row>
    <row r="1002" spans="1:66" ht="15" customHeight="1" x14ac:dyDescent="0.35">
      <c r="A1002" s="64">
        <f t="shared" si="34"/>
        <v>1900</v>
      </c>
      <c r="B1002" s="168" t="str">
        <f t="shared" si="33"/>
        <v>1899-00</v>
      </c>
      <c r="C1002" s="64"/>
      <c r="BA1002" s="824" t="s">
        <v>71</v>
      </c>
      <c r="BB1002" s="1225">
        <v>2018</v>
      </c>
      <c r="BC1002" s="824" t="s">
        <v>291</v>
      </c>
      <c r="BE1002" s="1226">
        <v>547039202.79249191</v>
      </c>
      <c r="BF1002" s="1227">
        <v>1.6191669962494562E-2</v>
      </c>
      <c r="BH1002" s="824" t="s">
        <v>165</v>
      </c>
      <c r="BI1002" s="824" t="s">
        <v>353</v>
      </c>
      <c r="BJ1002" s="824" t="s">
        <v>282</v>
      </c>
      <c r="BK1002" s="824">
        <v>2</v>
      </c>
      <c r="BL1002" s="1226">
        <v>801226013.67999995</v>
      </c>
      <c r="BM1002" s="1227">
        <v>0.12197668418773312</v>
      </c>
      <c r="BN1002" s="824">
        <f t="shared" si="35"/>
        <v>2017</v>
      </c>
    </row>
    <row r="1003" spans="1:66" ht="15" customHeight="1" x14ac:dyDescent="0.35">
      <c r="A1003" s="64">
        <f t="shared" si="34"/>
        <v>1900</v>
      </c>
      <c r="B1003" s="168" t="str">
        <f t="shared" si="33"/>
        <v>1899-00</v>
      </c>
      <c r="C1003" s="64"/>
      <c r="BA1003" s="824" t="s">
        <v>71</v>
      </c>
      <c r="BB1003" s="1225">
        <v>2018</v>
      </c>
      <c r="BC1003" s="824" t="s">
        <v>292</v>
      </c>
      <c r="BE1003" s="1226">
        <v>33785224381.402382</v>
      </c>
      <c r="BH1003" s="824" t="s">
        <v>165</v>
      </c>
      <c r="BI1003" s="824" t="s">
        <v>353</v>
      </c>
      <c r="BJ1003" s="824" t="s">
        <v>283</v>
      </c>
      <c r="BK1003" s="824">
        <v>3</v>
      </c>
      <c r="BL1003" s="1226">
        <v>746048839.8599999</v>
      </c>
      <c r="BM1003" s="1227">
        <v>0.11357664650735171</v>
      </c>
      <c r="BN1003" s="824">
        <f t="shared" si="35"/>
        <v>2017</v>
      </c>
    </row>
    <row r="1004" spans="1:66" ht="15" customHeight="1" x14ac:dyDescent="0.35">
      <c r="A1004" s="64">
        <f t="shared" si="34"/>
        <v>1900</v>
      </c>
      <c r="B1004" s="168" t="str">
        <f t="shared" si="33"/>
        <v>1899-00</v>
      </c>
      <c r="C1004" s="64"/>
      <c r="BA1004" s="824" t="s">
        <v>40</v>
      </c>
      <c r="BB1004" s="1225">
        <v>2018</v>
      </c>
      <c r="BC1004" s="824" t="s">
        <v>281</v>
      </c>
      <c r="BD1004" s="824">
        <v>1</v>
      </c>
      <c r="BE1004" s="1226">
        <v>50660973000</v>
      </c>
      <c r="BF1004" s="1227">
        <v>0.81270321200577977</v>
      </c>
      <c r="BH1004" s="824" t="s">
        <v>165</v>
      </c>
      <c r="BI1004" s="824" t="s">
        <v>353</v>
      </c>
      <c r="BJ1004" s="824" t="s">
        <v>287</v>
      </c>
      <c r="BK1004" s="824">
        <v>4</v>
      </c>
      <c r="BL1004" s="1226">
        <v>656964081.34000003</v>
      </c>
      <c r="BM1004" s="1227">
        <v>0.1000146012536958</v>
      </c>
      <c r="BN1004" s="824">
        <f t="shared" si="35"/>
        <v>2017</v>
      </c>
    </row>
    <row r="1005" spans="1:66" ht="15" customHeight="1" x14ac:dyDescent="0.35">
      <c r="A1005" s="64">
        <f t="shared" si="34"/>
        <v>1900</v>
      </c>
      <c r="B1005" s="168" t="str">
        <f t="shared" si="33"/>
        <v>1899-00</v>
      </c>
      <c r="C1005" s="64"/>
      <c r="BA1005" s="824" t="s">
        <v>40</v>
      </c>
      <c r="BB1005" s="1225">
        <v>2018</v>
      </c>
      <c r="BC1005" s="824" t="s">
        <v>354</v>
      </c>
      <c r="BD1005" s="824">
        <v>2</v>
      </c>
      <c r="BE1005" s="1226">
        <v>5102286000</v>
      </c>
      <c r="BF1005" s="1227">
        <v>8.18508602425011E-2</v>
      </c>
      <c r="BH1005" s="824" t="s">
        <v>165</v>
      </c>
      <c r="BI1005" s="824" t="s">
        <v>353</v>
      </c>
      <c r="BJ1005" s="824" t="s">
        <v>284</v>
      </c>
      <c r="BK1005" s="824">
        <v>5</v>
      </c>
      <c r="BL1005" s="1226">
        <v>552007697.13000011</v>
      </c>
      <c r="BM1005" s="1227">
        <v>8.4036298612884877E-2</v>
      </c>
      <c r="BN1005" s="824">
        <f t="shared" si="35"/>
        <v>2017</v>
      </c>
    </row>
    <row r="1006" spans="1:66" ht="15" customHeight="1" x14ac:dyDescent="0.35">
      <c r="A1006" s="64">
        <f t="shared" si="34"/>
        <v>1900</v>
      </c>
      <c r="B1006" s="168" t="str">
        <f t="shared" si="33"/>
        <v>1899-00</v>
      </c>
      <c r="C1006" s="64"/>
      <c r="BA1006" s="824" t="s">
        <v>40</v>
      </c>
      <c r="BB1006" s="1225">
        <v>2018</v>
      </c>
      <c r="BC1006" s="824" t="s">
        <v>320</v>
      </c>
      <c r="BD1006" s="824">
        <v>3</v>
      </c>
      <c r="BE1006" s="1226">
        <v>3736593000</v>
      </c>
      <c r="BF1006" s="1227">
        <v>5.9942416286760079E-2</v>
      </c>
      <c r="BH1006" s="824" t="s">
        <v>165</v>
      </c>
      <c r="BI1006" s="824" t="s">
        <v>353</v>
      </c>
      <c r="BJ1006" s="824" t="s">
        <v>304</v>
      </c>
      <c r="BK1006" s="824">
        <v>6</v>
      </c>
      <c r="BL1006" s="1226">
        <v>317856916.91999996</v>
      </c>
      <c r="BM1006" s="1227">
        <v>4.8389757833701696E-2</v>
      </c>
      <c r="BN1006" s="824">
        <f t="shared" si="35"/>
        <v>2017</v>
      </c>
    </row>
    <row r="1007" spans="1:66" ht="15" customHeight="1" x14ac:dyDescent="0.35">
      <c r="A1007" s="64">
        <f t="shared" si="34"/>
        <v>1900</v>
      </c>
      <c r="B1007" s="168" t="str">
        <f t="shared" si="33"/>
        <v>1899-00</v>
      </c>
      <c r="C1007" s="64"/>
      <c r="BA1007" s="824" t="s">
        <v>40</v>
      </c>
      <c r="BB1007" s="1225">
        <v>2018</v>
      </c>
      <c r="BC1007" s="824" t="s">
        <v>315</v>
      </c>
      <c r="BD1007" s="824">
        <v>4</v>
      </c>
      <c r="BE1007" s="1226">
        <v>1425982000</v>
      </c>
      <c r="BF1007" s="1227">
        <v>2.287559995467173E-2</v>
      </c>
      <c r="BH1007" s="824" t="s">
        <v>165</v>
      </c>
      <c r="BI1007" s="824" t="s">
        <v>353</v>
      </c>
      <c r="BJ1007" s="824" t="s">
        <v>285</v>
      </c>
      <c r="BK1007" s="824">
        <v>7</v>
      </c>
      <c r="BL1007" s="1226">
        <v>299269768.27000004</v>
      </c>
      <c r="BM1007" s="1227">
        <v>4.5560095887981371E-2</v>
      </c>
      <c r="BN1007" s="824">
        <f t="shared" si="35"/>
        <v>2017</v>
      </c>
    </row>
    <row r="1008" spans="1:66" ht="15" customHeight="1" x14ac:dyDescent="0.35">
      <c r="A1008" s="64">
        <f t="shared" si="34"/>
        <v>1900</v>
      </c>
      <c r="B1008" s="168" t="str">
        <f t="shared" si="33"/>
        <v>1899-00</v>
      </c>
      <c r="C1008" s="64"/>
      <c r="BA1008" s="824" t="s">
        <v>40</v>
      </c>
      <c r="BB1008" s="1225">
        <v>2018</v>
      </c>
      <c r="BC1008" s="824" t="s">
        <v>355</v>
      </c>
      <c r="BD1008" s="824">
        <v>5</v>
      </c>
      <c r="BE1008" s="1226">
        <v>439847000</v>
      </c>
      <c r="BF1008" s="1227">
        <v>7.0560245594001167E-3</v>
      </c>
      <c r="BH1008" s="824" t="s">
        <v>165</v>
      </c>
      <c r="BI1008" s="824" t="s">
        <v>353</v>
      </c>
      <c r="BJ1008" s="824" t="s">
        <v>296</v>
      </c>
      <c r="BK1008" s="824">
        <v>8</v>
      </c>
      <c r="BL1008" s="1226">
        <v>231378099.76999998</v>
      </c>
      <c r="BM1008" s="1227">
        <v>3.5224434705979121E-2</v>
      </c>
      <c r="BN1008" s="824">
        <f t="shared" si="35"/>
        <v>2017</v>
      </c>
    </row>
    <row r="1009" spans="1:66" ht="15" customHeight="1" x14ac:dyDescent="0.35">
      <c r="A1009" s="64">
        <f t="shared" si="34"/>
        <v>1900</v>
      </c>
      <c r="B1009" s="168" t="str">
        <f t="shared" si="33"/>
        <v>1899-00</v>
      </c>
      <c r="C1009" s="64"/>
      <c r="BA1009" s="824" t="s">
        <v>40</v>
      </c>
      <c r="BB1009" s="1225">
        <v>2018</v>
      </c>
      <c r="BC1009" s="824" t="s">
        <v>291</v>
      </c>
      <c r="BE1009" s="1226">
        <v>1001666000</v>
      </c>
      <c r="BH1009" s="824" t="s">
        <v>165</v>
      </c>
      <c r="BI1009" s="824" t="s">
        <v>353</v>
      </c>
      <c r="BJ1009" s="824" t="s">
        <v>286</v>
      </c>
      <c r="BK1009" s="824">
        <v>9</v>
      </c>
      <c r="BL1009" s="1226">
        <v>213832835.59999999</v>
      </c>
      <c r="BM1009" s="1227">
        <v>3.2553386699406071E-2</v>
      </c>
      <c r="BN1009" s="824">
        <f t="shared" si="35"/>
        <v>2017</v>
      </c>
    </row>
    <row r="1010" spans="1:66" ht="15" customHeight="1" x14ac:dyDescent="0.35">
      <c r="A1010" s="64">
        <f t="shared" si="34"/>
        <v>1900</v>
      </c>
      <c r="B1010" s="168" t="str">
        <f t="shared" si="33"/>
        <v>1899-00</v>
      </c>
      <c r="C1010" s="64"/>
      <c r="BA1010" s="824" t="s">
        <v>40</v>
      </c>
      <c r="BB1010" s="1225">
        <v>2018</v>
      </c>
      <c r="BC1010" s="824" t="s">
        <v>292</v>
      </c>
      <c r="BE1010" s="1226">
        <v>62336376000</v>
      </c>
      <c r="BH1010" s="824" t="s">
        <v>165</v>
      </c>
      <c r="BI1010" s="824" t="s">
        <v>353</v>
      </c>
      <c r="BJ1010" s="824" t="s">
        <v>281</v>
      </c>
      <c r="BK1010" s="824">
        <v>10</v>
      </c>
      <c r="BL1010" s="1226">
        <v>196364807.43999997</v>
      </c>
      <c r="BM1010" s="1227">
        <v>2.9894096913658144E-2</v>
      </c>
      <c r="BN1010" s="824">
        <f t="shared" si="35"/>
        <v>2017</v>
      </c>
    </row>
    <row r="1011" spans="1:66" ht="15" customHeight="1" x14ac:dyDescent="0.35">
      <c r="A1011" s="64">
        <f t="shared" si="34"/>
        <v>1900</v>
      </c>
      <c r="B1011" s="168" t="str">
        <f t="shared" si="33"/>
        <v>1899-00</v>
      </c>
      <c r="C1011" s="64"/>
      <c r="BA1011" s="824" t="s">
        <v>54</v>
      </c>
      <c r="BB1011" s="1225">
        <v>2018</v>
      </c>
      <c r="BC1011" s="824" t="s">
        <v>281</v>
      </c>
      <c r="BD1011" s="824">
        <v>1</v>
      </c>
      <c r="BE1011" s="1226">
        <v>497274488.33000004</v>
      </c>
      <c r="BF1011" s="1227">
        <v>0.34690250808418993</v>
      </c>
      <c r="BH1011" s="824" t="s">
        <v>165</v>
      </c>
      <c r="BI1011" s="824" t="s">
        <v>353</v>
      </c>
      <c r="BJ1011" s="824" t="s">
        <v>291</v>
      </c>
      <c r="BL1011" s="1226">
        <v>741812074.50999928</v>
      </c>
      <c r="BM1011" s="1227">
        <v>0.11293165173652421</v>
      </c>
      <c r="BN1011" s="824">
        <f t="shared" si="35"/>
        <v>2017</v>
      </c>
    </row>
    <row r="1012" spans="1:66" ht="15" customHeight="1" x14ac:dyDescent="0.35">
      <c r="A1012" s="64">
        <f t="shared" si="34"/>
        <v>1900</v>
      </c>
      <c r="B1012" s="168" t="str">
        <f t="shared" si="33"/>
        <v>1899-00</v>
      </c>
      <c r="C1012" s="64"/>
      <c r="BA1012" s="824" t="s">
        <v>54</v>
      </c>
      <c r="BB1012" s="1225">
        <v>2018</v>
      </c>
      <c r="BC1012" s="824" t="s">
        <v>286</v>
      </c>
      <c r="BD1012" s="824">
        <v>2</v>
      </c>
      <c r="BE1012" s="1226">
        <v>152671738.78999999</v>
      </c>
      <c r="BF1012" s="1227">
        <v>0.10650497932779263</v>
      </c>
      <c r="BH1012" s="824" t="s">
        <v>165</v>
      </c>
      <c r="BI1012" s="824" t="s">
        <v>353</v>
      </c>
      <c r="BJ1012" s="824" t="s">
        <v>292</v>
      </c>
      <c r="BL1012" s="1226">
        <v>6568681703.5200005</v>
      </c>
      <c r="BN1012" s="824">
        <f t="shared" si="35"/>
        <v>2017</v>
      </c>
    </row>
    <row r="1013" spans="1:66" ht="15" customHeight="1" x14ac:dyDescent="0.35">
      <c r="A1013" s="64">
        <f t="shared" si="34"/>
        <v>1900</v>
      </c>
      <c r="B1013" s="168" t="str">
        <f t="shared" si="33"/>
        <v>1899-00</v>
      </c>
      <c r="C1013" s="64"/>
      <c r="BA1013" s="824" t="s">
        <v>54</v>
      </c>
      <c r="BB1013" s="1225">
        <v>2018</v>
      </c>
      <c r="BC1013" s="824" t="s">
        <v>285</v>
      </c>
      <c r="BD1013" s="824">
        <v>3</v>
      </c>
      <c r="BE1013" s="1226">
        <v>133353205.06000002</v>
      </c>
      <c r="BF1013" s="1227">
        <v>9.3028221599978755E-2</v>
      </c>
      <c r="BH1013" s="824" t="s">
        <v>32</v>
      </c>
      <c r="BI1013" s="824" t="s">
        <v>353</v>
      </c>
      <c r="BJ1013" s="824" t="s">
        <v>327</v>
      </c>
      <c r="BK1013" s="824">
        <v>1</v>
      </c>
      <c r="BL1013" s="1226">
        <v>7831646000</v>
      </c>
      <c r="BM1013" s="1227">
        <v>0.44246215102483033</v>
      </c>
      <c r="BN1013" s="824">
        <f t="shared" si="35"/>
        <v>2017</v>
      </c>
    </row>
    <row r="1014" spans="1:66" ht="15" customHeight="1" x14ac:dyDescent="0.35">
      <c r="A1014" s="64">
        <f t="shared" si="34"/>
        <v>1900</v>
      </c>
      <c r="B1014" s="168" t="str">
        <f t="shared" si="33"/>
        <v>1899-00</v>
      </c>
      <c r="C1014" s="64"/>
      <c r="BA1014" s="824" t="s">
        <v>54</v>
      </c>
      <c r="BB1014" s="1225">
        <v>2018</v>
      </c>
      <c r="BC1014" s="824" t="s">
        <v>322</v>
      </c>
      <c r="BD1014" s="824">
        <v>4</v>
      </c>
      <c r="BE1014" s="1226">
        <v>104300570.58</v>
      </c>
      <c r="BF1014" s="1227">
        <v>7.2760880314461221E-2</v>
      </c>
      <c r="BH1014" s="824" t="s">
        <v>32</v>
      </c>
      <c r="BI1014" s="824" t="s">
        <v>353</v>
      </c>
      <c r="BJ1014" s="824" t="s">
        <v>314</v>
      </c>
      <c r="BK1014" s="824">
        <v>2</v>
      </c>
      <c r="BL1014" s="1226">
        <v>3262126000</v>
      </c>
      <c r="BM1014" s="1227">
        <v>0.1842993525082755</v>
      </c>
      <c r="BN1014" s="824">
        <f t="shared" si="35"/>
        <v>2017</v>
      </c>
    </row>
    <row r="1015" spans="1:66" ht="15" customHeight="1" x14ac:dyDescent="0.35">
      <c r="A1015" s="64">
        <f t="shared" si="34"/>
        <v>1900</v>
      </c>
      <c r="B1015" s="168" t="str">
        <f t="shared" si="33"/>
        <v>1899-00</v>
      </c>
      <c r="C1015" s="64"/>
      <c r="BA1015" s="824" t="s">
        <v>54</v>
      </c>
      <c r="BB1015" s="1225">
        <v>2018</v>
      </c>
      <c r="BC1015" s="824" t="s">
        <v>290</v>
      </c>
      <c r="BD1015" s="824">
        <v>5</v>
      </c>
      <c r="BE1015" s="1226">
        <v>104159490.41</v>
      </c>
      <c r="BF1015" s="1227">
        <v>7.2662461702683437E-2</v>
      </c>
      <c r="BH1015" s="824" t="s">
        <v>32</v>
      </c>
      <c r="BI1015" s="824" t="s">
        <v>353</v>
      </c>
      <c r="BJ1015" s="824" t="s">
        <v>281</v>
      </c>
      <c r="BK1015" s="824">
        <v>3</v>
      </c>
      <c r="BL1015" s="1226">
        <v>2941209000</v>
      </c>
      <c r="BM1015" s="1227">
        <v>0.166168601179572</v>
      </c>
      <c r="BN1015" s="824">
        <f t="shared" si="35"/>
        <v>2017</v>
      </c>
    </row>
    <row r="1016" spans="1:66" ht="15" customHeight="1" x14ac:dyDescent="0.35">
      <c r="A1016" s="64">
        <f t="shared" si="34"/>
        <v>1900</v>
      </c>
      <c r="B1016" s="168" t="str">
        <f t="shared" ref="B1016:B1079" si="36">IF(MONTH(C1016) &gt;= 7, A1016 &amp; "-" &amp; RIGHT(A1016+1, 2), A1016-1 &amp; "-" &amp; RIGHT(A1016, 2))</f>
        <v>1899-00</v>
      </c>
      <c r="C1016" s="64"/>
      <c r="BA1016" s="824" t="s">
        <v>54</v>
      </c>
      <c r="BB1016" s="1225">
        <v>2018</v>
      </c>
      <c r="BC1016" s="824" t="s">
        <v>312</v>
      </c>
      <c r="BD1016" s="824">
        <v>6</v>
      </c>
      <c r="BE1016" s="1226">
        <v>91812142.260000005</v>
      </c>
      <c r="BF1016" s="1227">
        <v>6.4048856657694303E-2</v>
      </c>
      <c r="BH1016" s="824" t="s">
        <v>32</v>
      </c>
      <c r="BI1016" s="824" t="s">
        <v>353</v>
      </c>
      <c r="BJ1016" s="824" t="s">
        <v>323</v>
      </c>
      <c r="BK1016" s="824">
        <v>4</v>
      </c>
      <c r="BL1016" s="1226">
        <v>1142513000</v>
      </c>
      <c r="BM1016" s="1227">
        <v>6.4548213690178546E-2</v>
      </c>
      <c r="BN1016" s="824">
        <f t="shared" si="35"/>
        <v>2017</v>
      </c>
    </row>
    <row r="1017" spans="1:66" ht="15" customHeight="1" x14ac:dyDescent="0.35">
      <c r="A1017" s="64">
        <f t="shared" si="34"/>
        <v>1900</v>
      </c>
      <c r="B1017" s="168" t="str">
        <f t="shared" si="36"/>
        <v>1899-00</v>
      </c>
      <c r="C1017" s="64"/>
      <c r="BA1017" s="824" t="s">
        <v>54</v>
      </c>
      <c r="BB1017" s="1225">
        <v>2018</v>
      </c>
      <c r="BC1017" s="824" t="s">
        <v>314</v>
      </c>
      <c r="BD1017" s="824">
        <v>7</v>
      </c>
      <c r="BE1017" s="1226">
        <v>70704398.099999994</v>
      </c>
      <c r="BF1017" s="1227">
        <v>4.9323931971342418E-2</v>
      </c>
      <c r="BH1017" s="824" t="s">
        <v>32</v>
      </c>
      <c r="BI1017" s="824" t="s">
        <v>353</v>
      </c>
      <c r="BJ1017" s="824" t="s">
        <v>306</v>
      </c>
      <c r="BK1017" s="824">
        <v>5</v>
      </c>
      <c r="BL1017" s="1226">
        <v>862700000</v>
      </c>
      <c r="BM1017" s="1227">
        <v>4.8739702699677839E-2</v>
      </c>
      <c r="BN1017" s="824">
        <f t="shared" si="35"/>
        <v>2017</v>
      </c>
    </row>
    <row r="1018" spans="1:66" ht="15" customHeight="1" x14ac:dyDescent="0.35">
      <c r="A1018" s="64">
        <f t="shared" si="34"/>
        <v>1900</v>
      </c>
      <c r="B1018" s="168" t="str">
        <f t="shared" si="36"/>
        <v>1899-00</v>
      </c>
      <c r="C1018" s="64"/>
      <c r="BA1018" s="824" t="s">
        <v>54</v>
      </c>
      <c r="BB1018" s="1225">
        <v>2018</v>
      </c>
      <c r="BC1018" s="824" t="s">
        <v>315</v>
      </c>
      <c r="BD1018" s="824">
        <v>8</v>
      </c>
      <c r="BE1018" s="1226">
        <v>63001491.090000004</v>
      </c>
      <c r="BF1018" s="1227">
        <v>4.3950324790563433E-2</v>
      </c>
      <c r="BH1018" s="824" t="s">
        <v>32</v>
      </c>
      <c r="BI1018" s="824" t="s">
        <v>353</v>
      </c>
      <c r="BJ1018" s="824" t="s">
        <v>287</v>
      </c>
      <c r="BK1018" s="824">
        <v>6</v>
      </c>
      <c r="BL1018" s="1226">
        <v>731920000</v>
      </c>
      <c r="BM1018" s="1227">
        <v>4.135106433284827E-2</v>
      </c>
      <c r="BN1018" s="824">
        <f t="shared" si="35"/>
        <v>2017</v>
      </c>
    </row>
    <row r="1019" spans="1:66" ht="15" customHeight="1" x14ac:dyDescent="0.35">
      <c r="A1019" s="64">
        <f t="shared" si="34"/>
        <v>1900</v>
      </c>
      <c r="B1019" s="168" t="str">
        <f t="shared" si="36"/>
        <v>1899-00</v>
      </c>
      <c r="C1019" s="64"/>
      <c r="BA1019" s="824" t="s">
        <v>54</v>
      </c>
      <c r="BB1019" s="1225">
        <v>2018</v>
      </c>
      <c r="BC1019" s="824" t="s">
        <v>319</v>
      </c>
      <c r="BD1019" s="824">
        <v>9</v>
      </c>
      <c r="BE1019" s="1226">
        <v>37609916.329999998</v>
      </c>
      <c r="BF1019" s="1227">
        <v>2.62369669265143E-2</v>
      </c>
      <c r="BH1019" s="824" t="s">
        <v>32</v>
      </c>
      <c r="BI1019" s="824" t="s">
        <v>353</v>
      </c>
      <c r="BJ1019" s="824" t="s">
        <v>329</v>
      </c>
      <c r="BK1019" s="824">
        <v>7</v>
      </c>
      <c r="BL1019" s="1226">
        <v>579967000</v>
      </c>
      <c r="BM1019" s="1227">
        <v>3.2766221346498273E-2</v>
      </c>
      <c r="BN1019" s="824">
        <f t="shared" si="35"/>
        <v>2017</v>
      </c>
    </row>
    <row r="1020" spans="1:66" ht="15" customHeight="1" x14ac:dyDescent="0.35">
      <c r="A1020" s="64">
        <f t="shared" si="34"/>
        <v>1900</v>
      </c>
      <c r="B1020" s="168" t="str">
        <f t="shared" si="36"/>
        <v>1899-00</v>
      </c>
      <c r="C1020" s="64"/>
      <c r="BA1020" s="824" t="s">
        <v>54</v>
      </c>
      <c r="BB1020" s="1225">
        <v>2018</v>
      </c>
      <c r="BC1020" s="824" t="s">
        <v>308</v>
      </c>
      <c r="BD1020" s="824">
        <v>10</v>
      </c>
      <c r="BE1020" s="1226">
        <v>35324554.43</v>
      </c>
      <c r="BF1020" s="1227">
        <v>2.464268088611736E-2</v>
      </c>
      <c r="BH1020" s="824" t="s">
        <v>32</v>
      </c>
      <c r="BI1020" s="824" t="s">
        <v>353</v>
      </c>
      <c r="BJ1020" s="824" t="s">
        <v>320</v>
      </c>
      <c r="BK1020" s="824">
        <v>8</v>
      </c>
      <c r="BL1020" s="1226">
        <v>142103000</v>
      </c>
      <c r="BM1020" s="1227">
        <v>8.0283504958065608E-3</v>
      </c>
      <c r="BN1020" s="824">
        <f t="shared" si="35"/>
        <v>2017</v>
      </c>
    </row>
    <row r="1021" spans="1:66" ht="15" customHeight="1" x14ac:dyDescent="0.35">
      <c r="A1021" s="64">
        <f t="shared" si="34"/>
        <v>1900</v>
      </c>
      <c r="B1021" s="168" t="str">
        <f t="shared" si="36"/>
        <v>1899-00</v>
      </c>
      <c r="C1021" s="64"/>
      <c r="BA1021" s="824" t="s">
        <v>54</v>
      </c>
      <c r="BB1021" s="1225">
        <v>2018</v>
      </c>
      <c r="BC1021" s="824" t="s">
        <v>291</v>
      </c>
      <c r="BE1021" s="1226">
        <v>143258437.21000099</v>
      </c>
      <c r="BF1021" s="1227">
        <v>9.9938187738662324E-2</v>
      </c>
      <c r="BH1021" s="824" t="s">
        <v>32</v>
      </c>
      <c r="BI1021" s="824" t="s">
        <v>353</v>
      </c>
      <c r="BJ1021" s="824" t="s">
        <v>328</v>
      </c>
      <c r="BK1021" s="824">
        <v>9</v>
      </c>
      <c r="BL1021" s="1226">
        <v>99514000</v>
      </c>
      <c r="BM1021" s="1227">
        <v>5.6222125587756348E-3</v>
      </c>
      <c r="BN1021" s="824">
        <f t="shared" si="35"/>
        <v>2017</v>
      </c>
    </row>
    <row r="1022" spans="1:66" ht="15" customHeight="1" x14ac:dyDescent="0.35">
      <c r="A1022" s="64">
        <f t="shared" si="34"/>
        <v>1900</v>
      </c>
      <c r="B1022" s="168" t="str">
        <f t="shared" si="36"/>
        <v>1899-00</v>
      </c>
      <c r="C1022" s="64"/>
      <c r="BA1022" s="824" t="s">
        <v>54</v>
      </c>
      <c r="BB1022" s="1225">
        <v>2018</v>
      </c>
      <c r="BC1022" s="824" t="s">
        <v>292</v>
      </c>
      <c r="BE1022" s="1226">
        <v>1433470432.5900009</v>
      </c>
      <c r="BF1022" s="1227">
        <v>1</v>
      </c>
      <c r="BH1022" s="824" t="s">
        <v>32</v>
      </c>
      <c r="BI1022" s="824" t="s">
        <v>353</v>
      </c>
      <c r="BJ1022" s="824" t="s">
        <v>286</v>
      </c>
      <c r="BK1022" s="824">
        <v>10</v>
      </c>
      <c r="BL1022" s="1226">
        <v>61383000</v>
      </c>
      <c r="BM1022" s="1227">
        <v>3.4679369083277208E-3</v>
      </c>
      <c r="BN1022" s="824">
        <f t="shared" si="35"/>
        <v>2017</v>
      </c>
    </row>
    <row r="1023" spans="1:66" ht="15" customHeight="1" x14ac:dyDescent="0.35">
      <c r="A1023" s="64">
        <f t="shared" si="34"/>
        <v>1900</v>
      </c>
      <c r="B1023" s="168" t="str">
        <f t="shared" si="36"/>
        <v>1899-00</v>
      </c>
      <c r="C1023" s="64"/>
      <c r="BA1023" s="824" t="s">
        <v>345</v>
      </c>
      <c r="BB1023" s="1225">
        <v>2019</v>
      </c>
      <c r="BC1023" s="824" t="s">
        <v>281</v>
      </c>
      <c r="BD1023" s="824">
        <v>1</v>
      </c>
      <c r="BE1023" s="1315">
        <v>1368600228.1699998</v>
      </c>
      <c r="BF1023" s="1227">
        <v>0.31570715793888132</v>
      </c>
      <c r="BH1023" s="824" t="s">
        <v>32</v>
      </c>
      <c r="BI1023" s="824" t="s">
        <v>353</v>
      </c>
      <c r="BJ1023" s="824" t="s">
        <v>291</v>
      </c>
      <c r="BL1023" s="1226">
        <v>45068000</v>
      </c>
      <c r="BM1023" s="1227">
        <v>2.5461932552093207E-3</v>
      </c>
      <c r="BN1023" s="824">
        <f t="shared" si="35"/>
        <v>2017</v>
      </c>
    </row>
    <row r="1024" spans="1:66" ht="15" customHeight="1" x14ac:dyDescent="0.35">
      <c r="A1024" s="64">
        <f t="shared" si="34"/>
        <v>1900</v>
      </c>
      <c r="B1024" s="168" t="str">
        <f t="shared" si="36"/>
        <v>1899-00</v>
      </c>
      <c r="C1024" s="64"/>
      <c r="BA1024" s="824" t="s">
        <v>345</v>
      </c>
      <c r="BB1024" s="1225">
        <v>2019</v>
      </c>
      <c r="BC1024" s="824" t="s">
        <v>346</v>
      </c>
      <c r="BD1024" s="824">
        <v>2</v>
      </c>
      <c r="BE1024" s="1226">
        <v>924469747.8499999</v>
      </c>
      <c r="BF1024" s="1227">
        <v>0.21325563936552572</v>
      </c>
      <c r="BH1024" s="824" t="s">
        <v>32</v>
      </c>
      <c r="BI1024" s="824" t="s">
        <v>353</v>
      </c>
      <c r="BJ1024" s="824" t="s">
        <v>331</v>
      </c>
      <c r="BL1024" s="1226">
        <v>17700149000</v>
      </c>
      <c r="BN1024" s="824">
        <f t="shared" si="35"/>
        <v>2017</v>
      </c>
    </row>
    <row r="1025" spans="1:66" ht="15" customHeight="1" x14ac:dyDescent="0.35">
      <c r="A1025" s="64">
        <f t="shared" si="34"/>
        <v>1900</v>
      </c>
      <c r="B1025" s="168" t="str">
        <f t="shared" si="36"/>
        <v>1899-00</v>
      </c>
      <c r="C1025" s="64"/>
      <c r="BA1025" s="824" t="s">
        <v>345</v>
      </c>
      <c r="BB1025" s="1225">
        <v>2019</v>
      </c>
      <c r="BC1025" s="824" t="s">
        <v>320</v>
      </c>
      <c r="BD1025" s="824">
        <v>3</v>
      </c>
      <c r="BE1025" s="1226">
        <v>792521389.20000005</v>
      </c>
      <c r="BF1025" s="1227">
        <v>0.18281794072522034</v>
      </c>
      <c r="BH1025" s="824" t="s">
        <v>40</v>
      </c>
      <c r="BI1025" s="824" t="s">
        <v>353</v>
      </c>
      <c r="BJ1025" s="824" t="s">
        <v>281</v>
      </c>
      <c r="BK1025" s="824">
        <v>1</v>
      </c>
      <c r="BL1025" s="1226">
        <v>49594679000</v>
      </c>
      <c r="BM1025" s="1227">
        <v>0.83017743113299725</v>
      </c>
      <c r="BN1025" s="824">
        <f t="shared" si="35"/>
        <v>2017</v>
      </c>
    </row>
    <row r="1026" spans="1:66" ht="15" customHeight="1" x14ac:dyDescent="0.35">
      <c r="A1026" s="64">
        <f t="shared" si="34"/>
        <v>1900</v>
      </c>
      <c r="B1026" s="168" t="str">
        <f t="shared" si="36"/>
        <v>1899-00</v>
      </c>
      <c r="C1026" s="64"/>
      <c r="BA1026" s="824" t="s">
        <v>345</v>
      </c>
      <c r="BB1026" s="1225">
        <v>2019</v>
      </c>
      <c r="BC1026" s="824" t="s">
        <v>308</v>
      </c>
      <c r="BD1026" s="824">
        <v>4</v>
      </c>
      <c r="BE1026" s="1226">
        <v>454873935.83999997</v>
      </c>
      <c r="BF1026" s="1227">
        <v>0.10492980678261395</v>
      </c>
      <c r="BH1026" s="824" t="s">
        <v>40</v>
      </c>
      <c r="BI1026" s="824" t="s">
        <v>353</v>
      </c>
      <c r="BJ1026" s="824" t="s">
        <v>308</v>
      </c>
      <c r="BK1026" s="824">
        <v>2</v>
      </c>
      <c r="BL1026" s="1226">
        <v>5283052000</v>
      </c>
      <c r="BM1026" s="1227">
        <v>7.8169816061696457E-2</v>
      </c>
      <c r="BN1026" s="824">
        <f t="shared" si="35"/>
        <v>2017</v>
      </c>
    </row>
    <row r="1027" spans="1:66" ht="15" customHeight="1" x14ac:dyDescent="0.35">
      <c r="A1027" s="64">
        <f t="shared" si="34"/>
        <v>1900</v>
      </c>
      <c r="B1027" s="168" t="str">
        <f t="shared" si="36"/>
        <v>1899-00</v>
      </c>
      <c r="C1027" s="64"/>
      <c r="BA1027" s="824" t="s">
        <v>345</v>
      </c>
      <c r="BB1027" s="1225">
        <v>2019</v>
      </c>
      <c r="BC1027" s="824" t="s">
        <v>335</v>
      </c>
      <c r="BD1027" s="824">
        <v>5</v>
      </c>
      <c r="BE1027" s="1226">
        <v>377132891.69000006</v>
      </c>
      <c r="BF1027" s="1227">
        <v>8.6996590348319358E-2</v>
      </c>
      <c r="BH1027" s="824" t="s">
        <v>40</v>
      </c>
      <c r="BI1027" s="824" t="s">
        <v>353</v>
      </c>
      <c r="BJ1027" s="824" t="s">
        <v>320</v>
      </c>
      <c r="BK1027" s="824">
        <v>3</v>
      </c>
      <c r="BL1027" s="1226">
        <v>3543117000</v>
      </c>
      <c r="BM1027" s="1227">
        <v>5.6560991748880102E-2</v>
      </c>
      <c r="BN1027" s="824">
        <f t="shared" si="35"/>
        <v>2017</v>
      </c>
    </row>
    <row r="1028" spans="1:66" ht="15" customHeight="1" x14ac:dyDescent="0.35">
      <c r="A1028" s="64">
        <f t="shared" si="34"/>
        <v>1900</v>
      </c>
      <c r="B1028" s="168" t="str">
        <f t="shared" si="36"/>
        <v>1899-00</v>
      </c>
      <c r="C1028" s="64"/>
      <c r="BA1028" s="824" t="s">
        <v>345</v>
      </c>
      <c r="BB1028" s="1225">
        <v>2019</v>
      </c>
      <c r="BC1028" s="824" t="s">
        <v>287</v>
      </c>
      <c r="BD1028" s="824">
        <v>6</v>
      </c>
      <c r="BE1028" s="1226">
        <v>154806579.99000001</v>
      </c>
      <c r="BF1028" s="1227">
        <v>3.571060737307593E-2</v>
      </c>
      <c r="BH1028" s="824" t="s">
        <v>40</v>
      </c>
      <c r="BI1028" s="824" t="s">
        <v>353</v>
      </c>
      <c r="BJ1028" s="824" t="s">
        <v>315</v>
      </c>
      <c r="BK1028" s="824">
        <v>4</v>
      </c>
      <c r="BL1028" s="1226">
        <v>1234003000</v>
      </c>
      <c r="BM1028" s="1227">
        <v>1.9968479378269399E-2</v>
      </c>
      <c r="BN1028" s="824">
        <f t="shared" si="35"/>
        <v>2017</v>
      </c>
    </row>
    <row r="1029" spans="1:66" ht="15" customHeight="1" x14ac:dyDescent="0.35">
      <c r="A1029" s="64">
        <f t="shared" si="34"/>
        <v>1900</v>
      </c>
      <c r="B1029" s="168" t="str">
        <f t="shared" si="36"/>
        <v>1899-00</v>
      </c>
      <c r="C1029" s="64"/>
      <c r="BA1029" s="824" t="s">
        <v>345</v>
      </c>
      <c r="BB1029" s="1225">
        <v>2019</v>
      </c>
      <c r="BC1029" s="824" t="s">
        <v>315</v>
      </c>
      <c r="BD1029" s="824">
        <v>7</v>
      </c>
      <c r="BE1029" s="1226">
        <v>150962776.15000001</v>
      </c>
      <c r="BF1029" s="1227">
        <v>3.4823923036026251E-2</v>
      </c>
      <c r="BH1029" s="824" t="s">
        <v>40</v>
      </c>
      <c r="BI1029" s="824" t="s">
        <v>353</v>
      </c>
      <c r="BJ1029" s="824" t="s">
        <v>330</v>
      </c>
      <c r="BK1029" s="824">
        <v>5</v>
      </c>
      <c r="BL1029" s="1226">
        <v>318585000</v>
      </c>
      <c r="BM1029" s="1227">
        <v>4.7889014350693425E-3</v>
      </c>
      <c r="BN1029" s="824">
        <f t="shared" si="35"/>
        <v>2017</v>
      </c>
    </row>
    <row r="1030" spans="1:66" ht="15" customHeight="1" x14ac:dyDescent="0.35">
      <c r="A1030" s="64">
        <f t="shared" si="34"/>
        <v>1900</v>
      </c>
      <c r="B1030" s="168" t="str">
        <f t="shared" si="36"/>
        <v>1899-00</v>
      </c>
      <c r="C1030" s="64"/>
      <c r="BA1030" s="824" t="s">
        <v>345</v>
      </c>
      <c r="BB1030" s="1225">
        <v>2019</v>
      </c>
      <c r="BC1030" s="824" t="s">
        <v>285</v>
      </c>
      <c r="BD1030" s="824">
        <v>8</v>
      </c>
      <c r="BE1030" s="1226">
        <v>61935693.209999993</v>
      </c>
      <c r="BF1030" s="1227">
        <v>1.4287255895353202E-2</v>
      </c>
      <c r="BH1030" s="824" t="s">
        <v>40</v>
      </c>
      <c r="BI1030" s="824" t="s">
        <v>353</v>
      </c>
      <c r="BJ1030" s="824" t="s">
        <v>291</v>
      </c>
      <c r="BL1030" s="1226">
        <v>729319000</v>
      </c>
      <c r="BM1030" s="1227">
        <v>1.0334380243087261E-2</v>
      </c>
      <c r="BN1030" s="824">
        <f t="shared" si="35"/>
        <v>2017</v>
      </c>
    </row>
    <row r="1031" spans="1:66" ht="15" customHeight="1" x14ac:dyDescent="0.35">
      <c r="A1031" s="64">
        <f t="shared" si="34"/>
        <v>1900</v>
      </c>
      <c r="B1031" s="168" t="str">
        <f t="shared" si="36"/>
        <v>1899-00</v>
      </c>
      <c r="C1031" s="64"/>
      <c r="BA1031" s="824" t="s">
        <v>345</v>
      </c>
      <c r="BB1031" s="1225">
        <v>2019</v>
      </c>
      <c r="BC1031" s="824" t="s">
        <v>352</v>
      </c>
      <c r="BD1031" s="824">
        <v>9</v>
      </c>
      <c r="BE1031" s="1226">
        <v>33412653.98</v>
      </c>
      <c r="BF1031" s="1227">
        <v>7.7075933571382994E-3</v>
      </c>
      <c r="BH1031" s="824" t="s">
        <v>40</v>
      </c>
      <c r="BI1031" s="824" t="s">
        <v>353</v>
      </c>
      <c r="BJ1031" s="824" t="s">
        <v>292</v>
      </c>
      <c r="BL1031" s="1226">
        <v>60702755000</v>
      </c>
      <c r="BN1031" s="824">
        <f t="shared" si="35"/>
        <v>2017</v>
      </c>
    </row>
    <row r="1032" spans="1:66" ht="15" customHeight="1" x14ac:dyDescent="0.35">
      <c r="A1032" s="64">
        <f t="shared" si="34"/>
        <v>1900</v>
      </c>
      <c r="B1032" s="168" t="str">
        <f t="shared" si="36"/>
        <v>1899-00</v>
      </c>
      <c r="C1032" s="64"/>
      <c r="BA1032" s="824" t="s">
        <v>345</v>
      </c>
      <c r="BB1032" s="1225">
        <v>2019</v>
      </c>
      <c r="BC1032" s="824" t="s">
        <v>319</v>
      </c>
      <c r="BD1032" s="824">
        <v>10</v>
      </c>
      <c r="BE1032" s="1226">
        <v>16314823.859999999</v>
      </c>
      <c r="BF1032" s="1227">
        <v>3.7634851778457087E-3</v>
      </c>
      <c r="BH1032" s="824" t="s">
        <v>71</v>
      </c>
      <c r="BI1032" s="824" t="s">
        <v>353</v>
      </c>
      <c r="BJ1032" s="824" t="s">
        <v>308</v>
      </c>
      <c r="BK1032" s="824">
        <v>1</v>
      </c>
      <c r="BL1032" s="1226">
        <v>12822999713.367197</v>
      </c>
      <c r="BM1032" s="1227">
        <v>0.51848528729157473</v>
      </c>
      <c r="BN1032" s="824">
        <f t="shared" si="35"/>
        <v>2017</v>
      </c>
    </row>
    <row r="1033" spans="1:66" ht="15" customHeight="1" x14ac:dyDescent="0.35">
      <c r="A1033" s="64">
        <f t="shared" si="34"/>
        <v>1900</v>
      </c>
      <c r="B1033" s="168" t="str">
        <f t="shared" si="36"/>
        <v>1899-00</v>
      </c>
      <c r="C1033" s="64"/>
      <c r="BA1033" s="824" t="s">
        <v>345</v>
      </c>
      <c r="BB1033" s="1225">
        <v>2019</v>
      </c>
      <c r="BC1033" s="824" t="s">
        <v>291</v>
      </c>
      <c r="BE1033" s="1226">
        <v>0</v>
      </c>
      <c r="BF1033" s="1227">
        <v>0</v>
      </c>
      <c r="BH1033" s="824" t="s">
        <v>71</v>
      </c>
      <c r="BI1033" s="824" t="s">
        <v>353</v>
      </c>
      <c r="BJ1033" s="824" t="s">
        <v>306</v>
      </c>
      <c r="BK1033" s="824">
        <v>2</v>
      </c>
      <c r="BL1033" s="1226">
        <v>2870569202.0437999</v>
      </c>
      <c r="BM1033" s="1227">
        <v>0.11606862128059739</v>
      </c>
      <c r="BN1033" s="824">
        <f t="shared" si="35"/>
        <v>2017</v>
      </c>
    </row>
    <row r="1034" spans="1:66" ht="15" customHeight="1" x14ac:dyDescent="0.35">
      <c r="A1034" s="64">
        <f t="shared" si="34"/>
        <v>1900</v>
      </c>
      <c r="B1034" s="168" t="str">
        <f t="shared" si="36"/>
        <v>1899-00</v>
      </c>
      <c r="C1034" s="64"/>
      <c r="BA1034" s="824" t="s">
        <v>345</v>
      </c>
      <c r="BB1034" s="1225">
        <v>2019</v>
      </c>
      <c r="BC1034" s="824" t="s">
        <v>292</v>
      </c>
      <c r="BE1034" s="1226">
        <v>4335030719.9399996</v>
      </c>
      <c r="BH1034" s="824" t="s">
        <v>71</v>
      </c>
      <c r="BI1034" s="824" t="s">
        <v>353</v>
      </c>
      <c r="BJ1034" s="824" t="s">
        <v>320</v>
      </c>
      <c r="BK1034" s="824">
        <v>3</v>
      </c>
      <c r="BL1034" s="1226">
        <v>2451617608.7446003</v>
      </c>
      <c r="BM1034" s="1227">
        <v>9.9128728738405433E-2</v>
      </c>
      <c r="BN1034" s="824">
        <f t="shared" si="35"/>
        <v>2017</v>
      </c>
    </row>
    <row r="1035" spans="1:66" ht="15" customHeight="1" x14ac:dyDescent="0.35">
      <c r="A1035" s="64">
        <f t="shared" si="34"/>
        <v>1900</v>
      </c>
      <c r="B1035" s="168" t="str">
        <f t="shared" si="36"/>
        <v>1899-00</v>
      </c>
      <c r="C1035" s="64"/>
      <c r="BA1035" s="824" t="s">
        <v>344</v>
      </c>
      <c r="BB1035" s="1225">
        <v>2019</v>
      </c>
      <c r="BE1035" s="1226">
        <v>2052623200.4800005</v>
      </c>
      <c r="BH1035" s="824" t="s">
        <v>71</v>
      </c>
      <c r="BI1035" s="824" t="s">
        <v>353</v>
      </c>
      <c r="BJ1035" s="824" t="s">
        <v>281</v>
      </c>
      <c r="BK1035" s="824">
        <v>4</v>
      </c>
      <c r="BL1035" s="1226">
        <v>2271314449.5001998</v>
      </c>
      <c r="BM1035" s="1227">
        <v>9.1838349154059071E-2</v>
      </c>
      <c r="BN1035" s="824">
        <f t="shared" si="35"/>
        <v>2017</v>
      </c>
    </row>
    <row r="1036" spans="1:66" ht="15" customHeight="1" x14ac:dyDescent="0.35">
      <c r="A1036" s="64">
        <f t="shared" ref="A1036:A1099" si="37">YEAR(C1036)</f>
        <v>1900</v>
      </c>
      <c r="B1036" s="168" t="str">
        <f t="shared" si="36"/>
        <v>1899-00</v>
      </c>
      <c r="C1036" s="64"/>
      <c r="BA1036" s="824" t="s">
        <v>165</v>
      </c>
      <c r="BB1036" s="1225">
        <v>2019</v>
      </c>
      <c r="BC1036" s="824" t="s">
        <v>279</v>
      </c>
      <c r="BD1036" s="824">
        <v>1</v>
      </c>
      <c r="BE1036" s="1226">
        <v>1837757847.8699996</v>
      </c>
      <c r="BF1036" s="1227">
        <v>0.26447483185983806</v>
      </c>
      <c r="BH1036" s="824" t="s">
        <v>71</v>
      </c>
      <c r="BI1036" s="824" t="s">
        <v>353</v>
      </c>
      <c r="BJ1036" s="824" t="s">
        <v>289</v>
      </c>
      <c r="BK1036" s="824">
        <v>5</v>
      </c>
      <c r="BL1036" s="1226">
        <v>1206201197.2130003</v>
      </c>
      <c r="BM1036" s="1227">
        <v>4.8771550202600794E-2</v>
      </c>
      <c r="BN1036" s="824">
        <f t="shared" si="35"/>
        <v>2017</v>
      </c>
    </row>
    <row r="1037" spans="1:66" ht="15" customHeight="1" x14ac:dyDescent="0.35">
      <c r="A1037" s="64">
        <f t="shared" si="37"/>
        <v>1900</v>
      </c>
      <c r="B1037" s="168" t="str">
        <f t="shared" si="36"/>
        <v>1899-00</v>
      </c>
      <c r="C1037" s="64"/>
      <c r="BA1037" s="824" t="s">
        <v>165</v>
      </c>
      <c r="BB1037" s="1225">
        <v>2019</v>
      </c>
      <c r="BC1037" s="824" t="s">
        <v>282</v>
      </c>
      <c r="BD1037" s="824">
        <v>2</v>
      </c>
      <c r="BE1037" s="1226">
        <v>922879918.53999984</v>
      </c>
      <c r="BF1037" s="1227">
        <v>0.13281320581249575</v>
      </c>
      <c r="BH1037" s="824" t="s">
        <v>71</v>
      </c>
      <c r="BI1037" s="824" t="s">
        <v>353</v>
      </c>
      <c r="BJ1037" s="824" t="s">
        <v>287</v>
      </c>
      <c r="BK1037" s="824">
        <v>6</v>
      </c>
      <c r="BL1037" s="1226">
        <v>713960169.44699991</v>
      </c>
      <c r="BM1037" s="1227">
        <v>2.8868271999147068E-2</v>
      </c>
      <c r="BN1037" s="824">
        <f t="shared" si="35"/>
        <v>2017</v>
      </c>
    </row>
    <row r="1038" spans="1:66" ht="15" customHeight="1" x14ac:dyDescent="0.35">
      <c r="A1038" s="64">
        <f t="shared" si="37"/>
        <v>1900</v>
      </c>
      <c r="B1038" s="168" t="str">
        <f t="shared" si="36"/>
        <v>1899-00</v>
      </c>
      <c r="C1038" s="64"/>
      <c r="BA1038" s="824" t="s">
        <v>165</v>
      </c>
      <c r="BB1038" s="1225">
        <v>2019</v>
      </c>
      <c r="BC1038" s="824" t="s">
        <v>283</v>
      </c>
      <c r="BD1038" s="824">
        <v>3</v>
      </c>
      <c r="BE1038" s="1226">
        <v>644281242.38</v>
      </c>
      <c r="BF1038" s="1227">
        <v>9.2719600379555372E-2</v>
      </c>
      <c r="BH1038" s="824" t="s">
        <v>71</v>
      </c>
      <c r="BI1038" s="824" t="s">
        <v>353</v>
      </c>
      <c r="BJ1038" s="824" t="s">
        <v>285</v>
      </c>
      <c r="BK1038" s="824">
        <v>7</v>
      </c>
      <c r="BL1038" s="1226">
        <v>703176870.44700015</v>
      </c>
      <c r="BM1038" s="1227">
        <v>2.8432259989091605E-2</v>
      </c>
      <c r="BN1038" s="824">
        <f t="shared" si="35"/>
        <v>2017</v>
      </c>
    </row>
    <row r="1039" spans="1:66" ht="15" customHeight="1" x14ac:dyDescent="0.35">
      <c r="A1039" s="64">
        <f t="shared" si="37"/>
        <v>1900</v>
      </c>
      <c r="B1039" s="168" t="str">
        <f t="shared" si="36"/>
        <v>1899-00</v>
      </c>
      <c r="C1039" s="64"/>
      <c r="BA1039" s="824" t="s">
        <v>165</v>
      </c>
      <c r="BB1039" s="1225">
        <v>2019</v>
      </c>
      <c r="BC1039" s="824" t="s">
        <v>284</v>
      </c>
      <c r="BD1039" s="824">
        <v>4</v>
      </c>
      <c r="BE1039" s="1226">
        <v>556741623.00999987</v>
      </c>
      <c r="BF1039" s="1227">
        <v>8.0121626092143836E-2</v>
      </c>
      <c r="BH1039" s="824" t="s">
        <v>71</v>
      </c>
      <c r="BI1039" s="824" t="s">
        <v>353</v>
      </c>
      <c r="BJ1039" s="824" t="s">
        <v>323</v>
      </c>
      <c r="BK1039" s="824">
        <v>8</v>
      </c>
      <c r="BL1039" s="1226">
        <v>692696308.48200011</v>
      </c>
      <c r="BM1039" s="1227">
        <v>2.8008488851068766E-2</v>
      </c>
      <c r="BN1039" s="824">
        <f t="shared" si="35"/>
        <v>2017</v>
      </c>
    </row>
    <row r="1040" spans="1:66" ht="15" customHeight="1" x14ac:dyDescent="0.35">
      <c r="A1040" s="64">
        <f t="shared" si="37"/>
        <v>1900</v>
      </c>
      <c r="B1040" s="168" t="str">
        <f t="shared" si="36"/>
        <v>1899-00</v>
      </c>
      <c r="C1040" s="64"/>
      <c r="BA1040" s="824" t="s">
        <v>165</v>
      </c>
      <c r="BB1040" s="1225">
        <v>2019</v>
      </c>
      <c r="BC1040" s="824" t="s">
        <v>281</v>
      </c>
      <c r="BD1040" s="824">
        <v>5</v>
      </c>
      <c r="BE1040" s="1226">
        <v>370893636.01999998</v>
      </c>
      <c r="BF1040" s="1227">
        <v>5.3375928791687233E-2</v>
      </c>
      <c r="BH1040" s="824" t="s">
        <v>71</v>
      </c>
      <c r="BI1040" s="824" t="s">
        <v>353</v>
      </c>
      <c r="BJ1040" s="824" t="s">
        <v>315</v>
      </c>
      <c r="BK1040" s="824">
        <v>9</v>
      </c>
      <c r="BL1040" s="1226">
        <v>691410066.87120008</v>
      </c>
      <c r="BM1040" s="1227">
        <v>2.795648094605362E-2</v>
      </c>
      <c r="BN1040" s="824">
        <f t="shared" si="35"/>
        <v>2017</v>
      </c>
    </row>
    <row r="1041" spans="1:66" ht="15" customHeight="1" x14ac:dyDescent="0.35">
      <c r="A1041" s="64">
        <f t="shared" si="37"/>
        <v>1900</v>
      </c>
      <c r="B1041" s="168" t="str">
        <f t="shared" si="36"/>
        <v>1899-00</v>
      </c>
      <c r="C1041" s="64"/>
      <c r="BA1041" s="824" t="s">
        <v>165</v>
      </c>
      <c r="BB1041" s="1225">
        <v>2019</v>
      </c>
      <c r="BC1041" s="824" t="s">
        <v>287</v>
      </c>
      <c r="BD1041" s="824">
        <v>6</v>
      </c>
      <c r="BE1041" s="1226">
        <v>312617871.83999997</v>
      </c>
      <c r="BF1041" s="1227">
        <v>4.4989365267623135E-2</v>
      </c>
      <c r="BH1041" s="824" t="s">
        <v>71</v>
      </c>
      <c r="BI1041" s="824" t="s">
        <v>353</v>
      </c>
      <c r="BJ1041" s="824" t="s">
        <v>299</v>
      </c>
      <c r="BK1041" s="824">
        <v>10</v>
      </c>
      <c r="BL1041" s="1226">
        <v>76903548.173999995</v>
      </c>
      <c r="BM1041" s="1227">
        <v>3.1095187678412167E-3</v>
      </c>
      <c r="BN1041" s="824">
        <f t="shared" si="35"/>
        <v>2017</v>
      </c>
    </row>
    <row r="1042" spans="1:66" ht="15" customHeight="1" x14ac:dyDescent="0.35">
      <c r="A1042" s="64">
        <f t="shared" si="37"/>
        <v>1900</v>
      </c>
      <c r="B1042" s="168" t="str">
        <f t="shared" si="36"/>
        <v>1899-00</v>
      </c>
      <c r="C1042" s="64"/>
      <c r="BA1042" s="824" t="s">
        <v>165</v>
      </c>
      <c r="BB1042" s="1225">
        <v>2019</v>
      </c>
      <c r="BC1042" s="824" t="s">
        <v>304</v>
      </c>
      <c r="BD1042" s="824">
        <v>7</v>
      </c>
      <c r="BE1042" s="1226">
        <v>302864629.45999998</v>
      </c>
      <c r="BF1042" s="1227">
        <v>4.3585759704720263E-2</v>
      </c>
      <c r="BH1042" s="824" t="s">
        <v>71</v>
      </c>
      <c r="BI1042" s="824" t="s">
        <v>353</v>
      </c>
      <c r="BJ1042" s="824" t="s">
        <v>291</v>
      </c>
      <c r="BL1042" s="1226">
        <v>230806763.50999832</v>
      </c>
      <c r="BM1042" s="1227">
        <v>9.3324427795604976E-3</v>
      </c>
      <c r="BN1042" s="824">
        <f t="shared" si="35"/>
        <v>2017</v>
      </c>
    </row>
    <row r="1043" spans="1:66" ht="15" customHeight="1" x14ac:dyDescent="0.35">
      <c r="A1043" s="64">
        <f t="shared" si="37"/>
        <v>1900</v>
      </c>
      <c r="B1043" s="168" t="str">
        <f t="shared" si="36"/>
        <v>1899-00</v>
      </c>
      <c r="C1043" s="64"/>
      <c r="BA1043" s="824" t="s">
        <v>165</v>
      </c>
      <c r="BB1043" s="1225">
        <v>2019</v>
      </c>
      <c r="BC1043" s="824" t="s">
        <v>286</v>
      </c>
      <c r="BD1043" s="824">
        <v>8</v>
      </c>
      <c r="BE1043" s="1226">
        <v>282442992.11000001</v>
      </c>
      <c r="BF1043" s="1227">
        <v>4.064684742598685E-2</v>
      </c>
      <c r="BH1043" s="824" t="s">
        <v>71</v>
      </c>
      <c r="BI1043" s="824" t="s">
        <v>353</v>
      </c>
      <c r="BJ1043" s="824" t="s">
        <v>292</v>
      </c>
      <c r="BL1043" s="1226">
        <v>24731655897.799992</v>
      </c>
      <c r="BN1043" s="824">
        <f t="shared" si="35"/>
        <v>2017</v>
      </c>
    </row>
    <row r="1044" spans="1:66" ht="15" customHeight="1" x14ac:dyDescent="0.35">
      <c r="A1044" s="64">
        <f t="shared" si="37"/>
        <v>1900</v>
      </c>
      <c r="B1044" s="168" t="str">
        <f t="shared" si="36"/>
        <v>1899-00</v>
      </c>
      <c r="C1044" s="64"/>
      <c r="BA1044" s="824" t="s">
        <v>165</v>
      </c>
      <c r="BB1044" s="1225">
        <v>2019</v>
      </c>
      <c r="BC1044" s="824" t="s">
        <v>288</v>
      </c>
      <c r="BD1044" s="824">
        <v>9</v>
      </c>
      <c r="BE1044" s="1226">
        <v>250637686.71000004</v>
      </c>
      <c r="BF1044" s="1227">
        <v>3.6069692275940757E-2</v>
      </c>
      <c r="BH1044" s="824" t="s">
        <v>345</v>
      </c>
      <c r="BI1044" s="824" t="s">
        <v>353</v>
      </c>
      <c r="BJ1044" s="824" t="s">
        <v>281</v>
      </c>
      <c r="BK1044" s="824">
        <v>1</v>
      </c>
      <c r="BL1044" s="1226">
        <v>1513370673.61077</v>
      </c>
      <c r="BM1044" s="1227">
        <v>0.35031833466489881</v>
      </c>
      <c r="BN1044" s="824">
        <f t="shared" si="35"/>
        <v>2017</v>
      </c>
    </row>
    <row r="1045" spans="1:66" ht="15" customHeight="1" x14ac:dyDescent="0.35">
      <c r="A1045" s="64">
        <f t="shared" si="37"/>
        <v>1900</v>
      </c>
      <c r="B1045" s="168" t="str">
        <f t="shared" si="36"/>
        <v>1899-00</v>
      </c>
      <c r="C1045" s="64"/>
      <c r="BA1045" s="824" t="s">
        <v>165</v>
      </c>
      <c r="BB1045" s="1225">
        <v>2019</v>
      </c>
      <c r="BC1045" s="824" t="s">
        <v>296</v>
      </c>
      <c r="BD1045" s="824">
        <v>10</v>
      </c>
      <c r="BE1045" s="1226">
        <v>248750030.32000005</v>
      </c>
      <c r="BF1045" s="1227">
        <v>3.5798036460712966E-2</v>
      </c>
      <c r="BH1045" s="824" t="s">
        <v>345</v>
      </c>
      <c r="BI1045" s="824" t="s">
        <v>353</v>
      </c>
      <c r="BJ1045" s="824" t="s">
        <v>320</v>
      </c>
      <c r="BK1045" s="824">
        <v>2</v>
      </c>
      <c r="BL1045" s="1226">
        <v>828044736.21000004</v>
      </c>
      <c r="BM1045" s="1227">
        <v>0.19167759629240003</v>
      </c>
      <c r="BN1045" s="824">
        <f t="shared" si="35"/>
        <v>2017</v>
      </c>
    </row>
    <row r="1046" spans="1:66" ht="15" customHeight="1" x14ac:dyDescent="0.35">
      <c r="A1046" s="64">
        <f t="shared" si="37"/>
        <v>1900</v>
      </c>
      <c r="B1046" s="168" t="str">
        <f t="shared" si="36"/>
        <v>1899-00</v>
      </c>
      <c r="C1046" s="64"/>
      <c r="BA1046" s="824" t="s">
        <v>165</v>
      </c>
      <c r="BB1046" s="1225">
        <v>2019</v>
      </c>
      <c r="BC1046" s="824" t="s">
        <v>291</v>
      </c>
      <c r="BE1046" s="1226">
        <v>1218838509.9299984</v>
      </c>
      <c r="BF1046" s="1227">
        <v>0.17540510592929578</v>
      </c>
      <c r="BH1046" s="824" t="s">
        <v>345</v>
      </c>
      <c r="BI1046" s="824" t="s">
        <v>353</v>
      </c>
      <c r="BJ1046" s="824" t="s">
        <v>346</v>
      </c>
      <c r="BK1046" s="824">
        <v>3</v>
      </c>
      <c r="BL1046" s="1226">
        <v>597463198.82000005</v>
      </c>
      <c r="BM1046" s="1227">
        <v>0.13830208057012811</v>
      </c>
      <c r="BN1046" s="824">
        <f t="shared" si="35"/>
        <v>2017</v>
      </c>
    </row>
    <row r="1047" spans="1:66" ht="15" customHeight="1" x14ac:dyDescent="0.35">
      <c r="A1047" s="64">
        <f t="shared" si="37"/>
        <v>1900</v>
      </c>
      <c r="B1047" s="168" t="str">
        <f t="shared" si="36"/>
        <v>1899-00</v>
      </c>
      <c r="C1047" s="64"/>
      <c r="BA1047" s="824" t="s">
        <v>165</v>
      </c>
      <c r="BB1047" s="1225">
        <v>2019</v>
      </c>
      <c r="BC1047" s="824" t="s">
        <v>292</v>
      </c>
      <c r="BE1047" s="1226">
        <v>6948705988.1899977</v>
      </c>
      <c r="BH1047" s="824" t="s">
        <v>345</v>
      </c>
      <c r="BI1047" s="824" t="s">
        <v>353</v>
      </c>
      <c r="BJ1047" s="824" t="s">
        <v>308</v>
      </c>
      <c r="BK1047" s="824">
        <v>4</v>
      </c>
      <c r="BL1047" s="1226">
        <v>568100515.20999992</v>
      </c>
      <c r="BM1047" s="1227">
        <v>0.13150514271285788</v>
      </c>
      <c r="BN1047" s="824">
        <f t="shared" si="35"/>
        <v>2017</v>
      </c>
    </row>
    <row r="1048" spans="1:66" ht="15" customHeight="1" x14ac:dyDescent="0.35">
      <c r="A1048" s="64">
        <f t="shared" si="37"/>
        <v>1900</v>
      </c>
      <c r="B1048" s="168" t="str">
        <f t="shared" si="36"/>
        <v>1899-00</v>
      </c>
      <c r="C1048" s="64"/>
      <c r="BA1048" s="824" t="s">
        <v>61</v>
      </c>
      <c r="BB1048" s="1225">
        <v>2019</v>
      </c>
      <c r="BC1048" s="824" t="s">
        <v>281</v>
      </c>
      <c r="BD1048" s="824">
        <v>1</v>
      </c>
      <c r="BE1048" s="1226">
        <v>1783706083.5057464</v>
      </c>
      <c r="BF1048" s="1227">
        <v>0.44265579388403997</v>
      </c>
      <c r="BH1048" s="824" t="s">
        <v>345</v>
      </c>
      <c r="BI1048" s="824" t="s">
        <v>353</v>
      </c>
      <c r="BJ1048" s="824" t="s">
        <v>335</v>
      </c>
      <c r="BK1048" s="824">
        <v>5</v>
      </c>
      <c r="BL1048" s="1226">
        <v>346622814.47000003</v>
      </c>
      <c r="BM1048" s="1227">
        <v>8.0237002896503359E-2</v>
      </c>
      <c r="BN1048" s="824">
        <f t="shared" si="35"/>
        <v>2017</v>
      </c>
    </row>
    <row r="1049" spans="1:66" ht="15" customHeight="1" x14ac:dyDescent="0.35">
      <c r="A1049" s="64">
        <f t="shared" si="37"/>
        <v>1900</v>
      </c>
      <c r="B1049" s="168" t="str">
        <f t="shared" si="36"/>
        <v>1899-00</v>
      </c>
      <c r="C1049" s="64"/>
      <c r="BA1049" s="824" t="s">
        <v>61</v>
      </c>
      <c r="BB1049" s="1225">
        <v>2019</v>
      </c>
      <c r="BC1049" s="824" t="s">
        <v>308</v>
      </c>
      <c r="BD1049" s="824">
        <v>2</v>
      </c>
      <c r="BE1049" s="1226">
        <v>423780056.69589889</v>
      </c>
      <c r="BF1049" s="1227">
        <v>0.10516794171619041</v>
      </c>
      <c r="BH1049" s="824" t="s">
        <v>345</v>
      </c>
      <c r="BI1049" s="824" t="s">
        <v>353</v>
      </c>
      <c r="BJ1049" s="824" t="s">
        <v>287</v>
      </c>
      <c r="BK1049" s="824">
        <v>6</v>
      </c>
      <c r="BL1049" s="1226">
        <v>291408345.84000003</v>
      </c>
      <c r="BM1049" s="1227">
        <v>6.7455837622751202E-2</v>
      </c>
      <c r="BN1049" s="824">
        <f t="shared" si="35"/>
        <v>2017</v>
      </c>
    </row>
    <row r="1050" spans="1:66" ht="15" customHeight="1" x14ac:dyDescent="0.35">
      <c r="A1050" s="64">
        <f t="shared" si="37"/>
        <v>1900</v>
      </c>
      <c r="B1050" s="168" t="str">
        <f t="shared" si="36"/>
        <v>1899-00</v>
      </c>
      <c r="C1050" s="64"/>
      <c r="BA1050" s="824" t="s">
        <v>61</v>
      </c>
      <c r="BB1050" s="1225">
        <v>2019</v>
      </c>
      <c r="BC1050" s="824" t="s">
        <v>285</v>
      </c>
      <c r="BD1050" s="824">
        <v>3</v>
      </c>
      <c r="BE1050" s="1226">
        <v>366680510.71748519</v>
      </c>
      <c r="BF1050" s="1227">
        <v>9.0997756903109614E-2</v>
      </c>
      <c r="BH1050" s="824" t="s">
        <v>345</v>
      </c>
      <c r="BI1050" s="824" t="s">
        <v>353</v>
      </c>
      <c r="BJ1050" s="824" t="s">
        <v>285</v>
      </c>
      <c r="BK1050" s="824">
        <v>7</v>
      </c>
      <c r="BL1050" s="1226">
        <v>124134055.75</v>
      </c>
      <c r="BM1050" s="1227">
        <v>2.8734821180183751E-2</v>
      </c>
      <c r="BN1050" s="824">
        <f t="shared" si="35"/>
        <v>2017</v>
      </c>
    </row>
    <row r="1051" spans="1:66" ht="15" customHeight="1" x14ac:dyDescent="0.35">
      <c r="A1051" s="64">
        <f t="shared" si="37"/>
        <v>1900</v>
      </c>
      <c r="B1051" s="168" t="str">
        <f t="shared" si="36"/>
        <v>1899-00</v>
      </c>
      <c r="C1051" s="64"/>
      <c r="BA1051" s="824" t="s">
        <v>61</v>
      </c>
      <c r="BB1051" s="1225">
        <v>2019</v>
      </c>
      <c r="BC1051" s="824" t="s">
        <v>320</v>
      </c>
      <c r="BD1051" s="824">
        <v>4</v>
      </c>
      <c r="BE1051" s="1226">
        <v>360224044.49219596</v>
      </c>
      <c r="BF1051" s="1227">
        <v>8.9395479370353928E-2</v>
      </c>
      <c r="BH1051" s="824" t="s">
        <v>345</v>
      </c>
      <c r="BI1051" s="824" t="s">
        <v>353</v>
      </c>
      <c r="BJ1051" s="824" t="s">
        <v>319</v>
      </c>
      <c r="BK1051" s="824">
        <v>8</v>
      </c>
      <c r="BL1051" s="1226">
        <v>50842722.879999995</v>
      </c>
      <c r="BM1051" s="1227">
        <v>1.1769184060277004E-2</v>
      </c>
      <c r="BN1051" s="824">
        <f t="shared" si="35"/>
        <v>2017</v>
      </c>
    </row>
    <row r="1052" spans="1:66" ht="15" customHeight="1" x14ac:dyDescent="0.35">
      <c r="A1052" s="64">
        <f t="shared" si="37"/>
        <v>1900</v>
      </c>
      <c r="B1052" s="168" t="str">
        <f t="shared" si="36"/>
        <v>1899-00</v>
      </c>
      <c r="C1052" s="64"/>
      <c r="BA1052" s="824" t="s">
        <v>61</v>
      </c>
      <c r="BB1052" s="1225">
        <v>2019</v>
      </c>
      <c r="BC1052" s="824" t="s">
        <v>315</v>
      </c>
      <c r="BD1052" s="824">
        <v>5</v>
      </c>
      <c r="BE1052" s="1226">
        <v>318056053.23906589</v>
      </c>
      <c r="BF1052" s="1227">
        <v>7.8930803705872785E-2</v>
      </c>
      <c r="BH1052" s="824" t="s">
        <v>345</v>
      </c>
      <c r="BI1052" s="824" t="s">
        <v>353</v>
      </c>
      <c r="BJ1052" s="824" t="s">
        <v>172</v>
      </c>
      <c r="BK1052" s="824">
        <v>9</v>
      </c>
      <c r="BL1052" s="1226">
        <v>0</v>
      </c>
      <c r="BM1052" s="1227">
        <v>0</v>
      </c>
      <c r="BN1052" s="824">
        <f t="shared" si="35"/>
        <v>2017</v>
      </c>
    </row>
    <row r="1053" spans="1:66" ht="15" customHeight="1" x14ac:dyDescent="0.35">
      <c r="A1053" s="64">
        <f t="shared" si="37"/>
        <v>1900</v>
      </c>
      <c r="B1053" s="168" t="str">
        <f t="shared" si="36"/>
        <v>1899-00</v>
      </c>
      <c r="C1053" s="64"/>
      <c r="BA1053" s="824" t="s">
        <v>61</v>
      </c>
      <c r="BB1053" s="1225">
        <v>2019</v>
      </c>
      <c r="BC1053" s="824" t="s">
        <v>312</v>
      </c>
      <c r="BD1053" s="824">
        <v>6</v>
      </c>
      <c r="BE1053" s="1226">
        <v>210819257.83086553</v>
      </c>
      <c r="BF1053" s="1227">
        <v>5.2318241667792829E-2</v>
      </c>
      <c r="BH1053" s="824" t="s">
        <v>345</v>
      </c>
      <c r="BI1053" s="824" t="s">
        <v>353</v>
      </c>
      <c r="BJ1053" s="824" t="s">
        <v>172</v>
      </c>
      <c r="BK1053" s="824">
        <v>10</v>
      </c>
      <c r="BL1053" s="1226">
        <v>0</v>
      </c>
      <c r="BM1053" s="1227">
        <v>0</v>
      </c>
      <c r="BN1053" s="824">
        <f t="shared" si="35"/>
        <v>2017</v>
      </c>
    </row>
    <row r="1054" spans="1:66" ht="15" customHeight="1" x14ac:dyDescent="0.35">
      <c r="A1054" s="64">
        <f t="shared" si="37"/>
        <v>1900</v>
      </c>
      <c r="B1054" s="168" t="str">
        <f t="shared" si="36"/>
        <v>1899-00</v>
      </c>
      <c r="C1054" s="64"/>
      <c r="BA1054" s="824" t="s">
        <v>61</v>
      </c>
      <c r="BB1054" s="1225">
        <v>2019</v>
      </c>
      <c r="BC1054" s="824" t="s">
        <v>286</v>
      </c>
      <c r="BD1054" s="824">
        <v>7</v>
      </c>
      <c r="BE1054" s="1226">
        <v>210707851.8669765</v>
      </c>
      <c r="BF1054" s="1227">
        <v>5.2290594458510573E-2</v>
      </c>
      <c r="BH1054" s="824" t="s">
        <v>345</v>
      </c>
      <c r="BI1054" s="824" t="s">
        <v>353</v>
      </c>
      <c r="BJ1054" s="824" t="s">
        <v>291</v>
      </c>
      <c r="BL1054" s="1226">
        <v>0</v>
      </c>
      <c r="BM1054" s="1227">
        <v>0</v>
      </c>
      <c r="BN1054" s="824">
        <f t="shared" ref="BN1054:BN1118" si="38">_xlfn.NUMBERVALUE(LEFT(BI1054,4))</f>
        <v>2017</v>
      </c>
    </row>
    <row r="1055" spans="1:66" ht="15" customHeight="1" x14ac:dyDescent="0.35">
      <c r="A1055" s="64">
        <f t="shared" si="37"/>
        <v>1900</v>
      </c>
      <c r="B1055" s="168" t="str">
        <f t="shared" si="36"/>
        <v>1899-00</v>
      </c>
      <c r="C1055" s="64"/>
      <c r="BA1055" s="824" t="s">
        <v>61</v>
      </c>
      <c r="BB1055" s="1225">
        <v>2019</v>
      </c>
      <c r="BC1055" s="824" t="s">
        <v>310</v>
      </c>
      <c r="BD1055" s="824">
        <v>8</v>
      </c>
      <c r="BE1055" s="1226">
        <v>116274344.44341117</v>
      </c>
      <c r="BF1055" s="1227">
        <v>2.8855377421141522E-2</v>
      </c>
      <c r="BH1055" s="824" t="s">
        <v>345</v>
      </c>
      <c r="BI1055" s="824" t="s">
        <v>353</v>
      </c>
      <c r="BJ1055" s="824" t="s">
        <v>292</v>
      </c>
      <c r="BL1055" s="1226">
        <v>4319987062.7907696</v>
      </c>
      <c r="BN1055" s="824">
        <f t="shared" si="38"/>
        <v>2017</v>
      </c>
    </row>
    <row r="1056" spans="1:66" ht="15" customHeight="1" x14ac:dyDescent="0.35">
      <c r="A1056" s="64">
        <f t="shared" si="37"/>
        <v>1900</v>
      </c>
      <c r="B1056" s="168" t="str">
        <f t="shared" si="36"/>
        <v>1899-00</v>
      </c>
      <c r="C1056" s="64"/>
      <c r="BA1056" s="824" t="s">
        <v>61</v>
      </c>
      <c r="BB1056" s="1225">
        <v>2019</v>
      </c>
      <c r="BC1056" s="824" t="s">
        <v>322</v>
      </c>
      <c r="BD1056" s="824">
        <v>9</v>
      </c>
      <c r="BE1056" s="1226">
        <v>58976921.539999992</v>
      </c>
      <c r="BF1056" s="1227">
        <v>1.4636086217643564E-2</v>
      </c>
      <c r="BH1056" s="824" t="s">
        <v>344</v>
      </c>
      <c r="BI1056" s="824" t="s">
        <v>353</v>
      </c>
      <c r="BL1056" s="1226">
        <v>2581868368.1500001</v>
      </c>
      <c r="BN1056" s="824">
        <f t="shared" si="38"/>
        <v>2017</v>
      </c>
    </row>
    <row r="1057" spans="1:66" ht="15" customHeight="1" x14ac:dyDescent="0.35">
      <c r="A1057" s="64">
        <f t="shared" si="37"/>
        <v>1900</v>
      </c>
      <c r="B1057" s="168" t="str">
        <f t="shared" si="36"/>
        <v>1899-00</v>
      </c>
      <c r="C1057" s="64"/>
      <c r="BA1057" s="824" t="s">
        <v>61</v>
      </c>
      <c r="BB1057" s="1225">
        <v>2019</v>
      </c>
      <c r="BC1057" s="824" t="s">
        <v>306</v>
      </c>
      <c r="BD1057" s="824">
        <v>10</v>
      </c>
      <c r="BE1057" s="1226">
        <v>58036221.710000001</v>
      </c>
      <c r="BF1057" s="1227">
        <v>1.4402636192493226E-2</v>
      </c>
      <c r="BH1057" s="824" t="s">
        <v>61</v>
      </c>
      <c r="BI1057" s="824" t="s">
        <v>353</v>
      </c>
      <c r="BJ1057" s="824" t="s">
        <v>281</v>
      </c>
      <c r="BK1057" s="824">
        <v>1</v>
      </c>
      <c r="BL1057" s="1226">
        <v>549993682.473948</v>
      </c>
      <c r="BM1057" s="1227">
        <v>0.32380470261317296</v>
      </c>
      <c r="BN1057" s="824">
        <f t="shared" si="38"/>
        <v>2017</v>
      </c>
    </row>
    <row r="1058" spans="1:66" ht="15" customHeight="1" x14ac:dyDescent="0.35">
      <c r="A1058" s="64">
        <f t="shared" si="37"/>
        <v>1900</v>
      </c>
      <c r="B1058" s="168" t="str">
        <f t="shared" si="36"/>
        <v>1899-00</v>
      </c>
      <c r="C1058" s="64"/>
      <c r="BA1058" s="824" t="s">
        <v>61</v>
      </c>
      <c r="BB1058" s="1225">
        <v>2019</v>
      </c>
      <c r="BC1058" s="824" t="s">
        <v>291</v>
      </c>
      <c r="BE1058" s="1226">
        <v>122294141.88000059</v>
      </c>
      <c r="BF1058" s="1227">
        <v>3.0349288462851558E-2</v>
      </c>
      <c r="BH1058" s="824" t="s">
        <v>61</v>
      </c>
      <c r="BI1058" s="824" t="s">
        <v>353</v>
      </c>
      <c r="BJ1058" s="824" t="s">
        <v>308</v>
      </c>
      <c r="BK1058" s="824">
        <v>2</v>
      </c>
      <c r="BL1058" s="1226">
        <v>345958125.41885078</v>
      </c>
      <c r="BM1058" s="1227">
        <v>0.20368028122426307</v>
      </c>
      <c r="BN1058" s="824">
        <f t="shared" si="38"/>
        <v>2017</v>
      </c>
    </row>
    <row r="1059" spans="1:66" ht="15" customHeight="1" x14ac:dyDescent="0.35">
      <c r="A1059" s="64">
        <f t="shared" si="37"/>
        <v>1900</v>
      </c>
      <c r="B1059" s="168" t="str">
        <f t="shared" si="36"/>
        <v>1899-00</v>
      </c>
      <c r="C1059" s="64"/>
      <c r="BA1059" s="824" t="s">
        <v>61</v>
      </c>
      <c r="BB1059" s="1225">
        <v>2019</v>
      </c>
      <c r="BC1059" s="824" t="s">
        <v>292</v>
      </c>
      <c r="BE1059" s="1226">
        <v>4029555487.9216461</v>
      </c>
      <c r="BH1059" s="824" t="s">
        <v>61</v>
      </c>
      <c r="BI1059" s="824" t="s">
        <v>353</v>
      </c>
      <c r="BJ1059" s="824" t="s">
        <v>315</v>
      </c>
      <c r="BK1059" s="824">
        <v>3</v>
      </c>
      <c r="BL1059" s="1226">
        <v>324600456.40450531</v>
      </c>
      <c r="BM1059" s="1227">
        <v>0.19110611194909455</v>
      </c>
      <c r="BN1059" s="824">
        <f t="shared" si="38"/>
        <v>2017</v>
      </c>
    </row>
    <row r="1060" spans="1:66" ht="15" customHeight="1" x14ac:dyDescent="0.35">
      <c r="A1060" s="64">
        <f t="shared" si="37"/>
        <v>1900</v>
      </c>
      <c r="B1060" s="168" t="str">
        <f t="shared" si="36"/>
        <v>1899-00</v>
      </c>
      <c r="C1060" s="64"/>
      <c r="BA1060" s="824" t="s">
        <v>54</v>
      </c>
      <c r="BB1060" s="1225">
        <v>2019</v>
      </c>
      <c r="BC1060" s="824" t="s">
        <v>281</v>
      </c>
      <c r="BD1060" s="824">
        <v>1</v>
      </c>
      <c r="BE1060" s="1226">
        <v>557290457.57999969</v>
      </c>
      <c r="BF1060" s="1227">
        <v>0.47280289025586464</v>
      </c>
      <c r="BH1060" s="824" t="s">
        <v>61</v>
      </c>
      <c r="BI1060" s="824" t="s">
        <v>353</v>
      </c>
      <c r="BJ1060" s="824" t="s">
        <v>285</v>
      </c>
      <c r="BK1060" s="824">
        <v>4</v>
      </c>
      <c r="BL1060" s="1226">
        <v>170869359.41179702</v>
      </c>
      <c r="BM1060" s="1227">
        <v>0.10059806843810626</v>
      </c>
      <c r="BN1060" s="824">
        <f t="shared" si="38"/>
        <v>2017</v>
      </c>
    </row>
    <row r="1061" spans="1:66" ht="15" customHeight="1" x14ac:dyDescent="0.35">
      <c r="A1061" s="64">
        <f t="shared" si="37"/>
        <v>1900</v>
      </c>
      <c r="B1061" s="168" t="str">
        <f t="shared" si="36"/>
        <v>1899-00</v>
      </c>
      <c r="C1061" s="64"/>
      <c r="BA1061" s="824" t="s">
        <v>54</v>
      </c>
      <c r="BB1061" s="1225">
        <v>2019</v>
      </c>
      <c r="BC1061" s="824" t="s">
        <v>286</v>
      </c>
      <c r="BD1061" s="824">
        <v>2</v>
      </c>
      <c r="BE1061" s="1226">
        <v>76551033.550000012</v>
      </c>
      <c r="BF1061" s="1227">
        <v>6.4945576264991117E-2</v>
      </c>
      <c r="BH1061" s="824" t="s">
        <v>61</v>
      </c>
      <c r="BI1061" s="824" t="s">
        <v>353</v>
      </c>
      <c r="BJ1061" s="824" t="s">
        <v>320</v>
      </c>
      <c r="BK1061" s="824">
        <v>5</v>
      </c>
      <c r="BL1061" s="1226">
        <v>132690563.09999999</v>
      </c>
      <c r="BM1061" s="1227">
        <v>7.8120585187276506E-2</v>
      </c>
      <c r="BN1061" s="824">
        <f t="shared" si="38"/>
        <v>2017</v>
      </c>
    </row>
    <row r="1062" spans="1:66" ht="15" customHeight="1" x14ac:dyDescent="0.35">
      <c r="A1062" s="64">
        <f t="shared" si="37"/>
        <v>1900</v>
      </c>
      <c r="B1062" s="168" t="str">
        <f t="shared" si="36"/>
        <v>1899-00</v>
      </c>
      <c r="C1062" s="64"/>
      <c r="BA1062" s="824" t="s">
        <v>54</v>
      </c>
      <c r="BB1062" s="1225">
        <v>2019</v>
      </c>
      <c r="BC1062" s="824" t="s">
        <v>314</v>
      </c>
      <c r="BD1062" s="824">
        <v>3</v>
      </c>
      <c r="BE1062" s="1226">
        <v>73777353.059999987</v>
      </c>
      <c r="BF1062" s="1227">
        <v>6.2592397353561327E-2</v>
      </c>
      <c r="BH1062" s="824" t="s">
        <v>61</v>
      </c>
      <c r="BI1062" s="824" t="s">
        <v>353</v>
      </c>
      <c r="BJ1062" s="824" t="s">
        <v>309</v>
      </c>
      <c r="BK1062" s="824">
        <v>6</v>
      </c>
      <c r="BL1062" s="1226">
        <v>33378104.359999999</v>
      </c>
      <c r="BM1062" s="1227">
        <v>1.9651111459072446E-2</v>
      </c>
      <c r="BN1062" s="824">
        <f t="shared" si="38"/>
        <v>2017</v>
      </c>
    </row>
    <row r="1063" spans="1:66" ht="15" customHeight="1" x14ac:dyDescent="0.35">
      <c r="A1063" s="64">
        <f t="shared" si="37"/>
        <v>1900</v>
      </c>
      <c r="B1063" s="168" t="str">
        <f t="shared" si="36"/>
        <v>1899-00</v>
      </c>
      <c r="C1063" s="64"/>
      <c r="BA1063" s="824" t="s">
        <v>54</v>
      </c>
      <c r="BB1063" s="1225">
        <v>2019</v>
      </c>
      <c r="BC1063" s="824" t="s">
        <v>312</v>
      </c>
      <c r="BD1063" s="824">
        <v>4</v>
      </c>
      <c r="BE1063" s="1226">
        <v>71157428.269999996</v>
      </c>
      <c r="BF1063" s="1227">
        <v>6.0369664134076469E-2</v>
      </c>
      <c r="BH1063" s="824" t="s">
        <v>61</v>
      </c>
      <c r="BI1063" s="824" t="s">
        <v>353</v>
      </c>
      <c r="BJ1063" s="824" t="s">
        <v>305</v>
      </c>
      <c r="BK1063" s="824">
        <v>7</v>
      </c>
      <c r="BL1063" s="1226">
        <v>29260479.68</v>
      </c>
      <c r="BM1063" s="1227">
        <v>1.7226890458964472E-2</v>
      </c>
      <c r="BN1063" s="824">
        <f t="shared" si="38"/>
        <v>2017</v>
      </c>
    </row>
    <row r="1064" spans="1:66" ht="15" customHeight="1" x14ac:dyDescent="0.35">
      <c r="A1064" s="64">
        <f t="shared" si="37"/>
        <v>1900</v>
      </c>
      <c r="B1064" s="168" t="str">
        <f t="shared" si="36"/>
        <v>1899-00</v>
      </c>
      <c r="C1064" s="64"/>
      <c r="BA1064" s="824" t="s">
        <v>54</v>
      </c>
      <c r="BB1064" s="1225">
        <v>2019</v>
      </c>
      <c r="BC1064" s="824" t="s">
        <v>322</v>
      </c>
      <c r="BD1064" s="824">
        <v>5</v>
      </c>
      <c r="BE1064" s="1226">
        <v>47928980.200000003</v>
      </c>
      <c r="BF1064" s="1227">
        <v>4.0662746073169762E-2</v>
      </c>
      <c r="BH1064" s="824" t="s">
        <v>61</v>
      </c>
      <c r="BI1064" s="824" t="s">
        <v>353</v>
      </c>
      <c r="BJ1064" s="824" t="s">
        <v>312</v>
      </c>
      <c r="BK1064" s="824">
        <v>8</v>
      </c>
      <c r="BL1064" s="1226">
        <v>27616178.609999999</v>
      </c>
      <c r="BM1064" s="1227">
        <v>1.6258820395717716E-2</v>
      </c>
      <c r="BN1064" s="824">
        <f t="shared" si="38"/>
        <v>2017</v>
      </c>
    </row>
    <row r="1065" spans="1:66" ht="15" customHeight="1" x14ac:dyDescent="0.35">
      <c r="A1065" s="64">
        <f t="shared" si="37"/>
        <v>1900</v>
      </c>
      <c r="B1065" s="168" t="str">
        <f t="shared" si="36"/>
        <v>1899-00</v>
      </c>
      <c r="C1065" s="64"/>
      <c r="BA1065" s="824" t="s">
        <v>54</v>
      </c>
      <c r="BB1065" s="1225">
        <v>2019</v>
      </c>
      <c r="BC1065" s="824" t="s">
        <v>315</v>
      </c>
      <c r="BD1065" s="824">
        <v>6</v>
      </c>
      <c r="BE1065" s="1226">
        <v>46179712.670000002</v>
      </c>
      <c r="BF1065" s="1227">
        <v>3.9178674826721022E-2</v>
      </c>
      <c r="BH1065" s="824" t="s">
        <v>61</v>
      </c>
      <c r="BI1065" s="824" t="s">
        <v>353</v>
      </c>
      <c r="BJ1065" s="824" t="s">
        <v>306</v>
      </c>
      <c r="BK1065" s="824">
        <v>9</v>
      </c>
      <c r="BL1065" s="1226">
        <v>25534170.959999997</v>
      </c>
      <c r="BM1065" s="1227">
        <v>1.5033053828883494E-2</v>
      </c>
      <c r="BN1065" s="824">
        <f t="shared" si="38"/>
        <v>2017</v>
      </c>
    </row>
    <row r="1066" spans="1:66" ht="15" customHeight="1" x14ac:dyDescent="0.35">
      <c r="A1066" s="64">
        <f t="shared" si="37"/>
        <v>1900</v>
      </c>
      <c r="B1066" s="168" t="str">
        <f t="shared" si="36"/>
        <v>1899-00</v>
      </c>
      <c r="C1066" s="64"/>
      <c r="BA1066" s="824" t="s">
        <v>54</v>
      </c>
      <c r="BB1066" s="1225">
        <v>2019</v>
      </c>
      <c r="BC1066" s="824" t="s">
        <v>324</v>
      </c>
      <c r="BD1066" s="824">
        <v>7</v>
      </c>
      <c r="BE1066" s="1226">
        <v>39895639.969999999</v>
      </c>
      <c r="BF1066" s="1227">
        <v>3.3847293865992001E-2</v>
      </c>
      <c r="BH1066" s="824" t="s">
        <v>61</v>
      </c>
      <c r="BI1066" s="824" t="s">
        <v>353</v>
      </c>
      <c r="BJ1066" s="824" t="s">
        <v>322</v>
      </c>
      <c r="BK1066" s="824">
        <v>10</v>
      </c>
      <c r="BL1066" s="1226">
        <v>20951501.390000004</v>
      </c>
      <c r="BM1066" s="1227">
        <v>1.2335041097876217E-2</v>
      </c>
      <c r="BN1066" s="824">
        <f t="shared" si="38"/>
        <v>2017</v>
      </c>
    </row>
    <row r="1067" spans="1:66" ht="15" customHeight="1" x14ac:dyDescent="0.35">
      <c r="A1067" s="64">
        <f t="shared" si="37"/>
        <v>1900</v>
      </c>
      <c r="B1067" s="168" t="str">
        <f t="shared" si="36"/>
        <v>1899-00</v>
      </c>
      <c r="C1067" s="64"/>
      <c r="BA1067" s="824" t="s">
        <v>54</v>
      </c>
      <c r="BB1067" s="1225">
        <v>2019</v>
      </c>
      <c r="BC1067" s="824" t="s">
        <v>287</v>
      </c>
      <c r="BD1067" s="824">
        <v>8</v>
      </c>
      <c r="BE1067" s="1226">
        <v>39869108.760000005</v>
      </c>
      <c r="BF1067" s="1227">
        <v>3.3824784898541786E-2</v>
      </c>
      <c r="BH1067" s="824" t="s">
        <v>61</v>
      </c>
      <c r="BI1067" s="824" t="s">
        <v>353</v>
      </c>
      <c r="BJ1067" s="824" t="s">
        <v>291</v>
      </c>
      <c r="BL1067" s="1226">
        <v>37682569.420000076</v>
      </c>
      <c r="BM1067" s="1227">
        <v>2.2185333347572302E-2</v>
      </c>
      <c r="BN1067" s="824">
        <f t="shared" si="38"/>
        <v>2017</v>
      </c>
    </row>
    <row r="1068" spans="1:66" ht="15" customHeight="1" x14ac:dyDescent="0.35">
      <c r="A1068" s="64">
        <f t="shared" si="37"/>
        <v>1900</v>
      </c>
      <c r="B1068" s="168" t="str">
        <f t="shared" si="36"/>
        <v>1899-00</v>
      </c>
      <c r="C1068" s="64"/>
      <c r="BA1068" s="824" t="s">
        <v>54</v>
      </c>
      <c r="BB1068" s="1225">
        <v>2019</v>
      </c>
      <c r="BC1068" s="824" t="s">
        <v>319</v>
      </c>
      <c r="BD1068" s="824">
        <v>9</v>
      </c>
      <c r="BE1068" s="1226">
        <v>39497483.310000002</v>
      </c>
      <c r="BF1068" s="1227">
        <v>3.3509499423144219E-2</v>
      </c>
      <c r="BH1068" s="824" t="s">
        <v>61</v>
      </c>
      <c r="BI1068" s="824" t="s">
        <v>353</v>
      </c>
      <c r="BJ1068" s="824" t="s">
        <v>292</v>
      </c>
      <c r="BL1068" s="1226">
        <v>1698535191.2291012</v>
      </c>
      <c r="BN1068" s="824">
        <f t="shared" si="38"/>
        <v>2017</v>
      </c>
    </row>
    <row r="1069" spans="1:66" ht="15" customHeight="1" x14ac:dyDescent="0.35">
      <c r="A1069" s="64">
        <f t="shared" si="37"/>
        <v>1900</v>
      </c>
      <c r="B1069" s="168" t="str">
        <f t="shared" si="36"/>
        <v>1899-00</v>
      </c>
      <c r="C1069" s="64"/>
      <c r="BA1069" s="824" t="s">
        <v>54</v>
      </c>
      <c r="BB1069" s="1225">
        <v>2019</v>
      </c>
      <c r="BC1069" s="824" t="s">
        <v>285</v>
      </c>
      <c r="BD1069" s="824">
        <v>10</v>
      </c>
      <c r="BE1069" s="1226">
        <v>35621466.850000001</v>
      </c>
      <c r="BF1069" s="1227">
        <v>3.0221103291394134E-2</v>
      </c>
      <c r="BH1069" s="824" t="s">
        <v>165</v>
      </c>
      <c r="BI1069" s="824" t="s">
        <v>356</v>
      </c>
      <c r="BJ1069" s="824" t="s">
        <v>279</v>
      </c>
      <c r="BK1069" s="824">
        <v>1</v>
      </c>
      <c r="BL1069" s="1226">
        <v>2447938951.9499998</v>
      </c>
      <c r="BM1069" s="1227">
        <v>0.26418813943596842</v>
      </c>
      <c r="BN1069" s="824">
        <f t="shared" si="38"/>
        <v>2018</v>
      </c>
    </row>
    <row r="1070" spans="1:66" ht="15" customHeight="1" x14ac:dyDescent="0.35">
      <c r="A1070" s="64">
        <f t="shared" si="37"/>
        <v>1900</v>
      </c>
      <c r="B1070" s="168" t="str">
        <f t="shared" si="36"/>
        <v>1899-00</v>
      </c>
      <c r="C1070" s="64"/>
      <c r="BA1070" s="824" t="s">
        <v>54</v>
      </c>
      <c r="BB1070" s="1225">
        <v>2019</v>
      </c>
      <c r="BC1070" s="824" t="s">
        <v>291</v>
      </c>
      <c r="BE1070" s="1226">
        <v>150926451.79000032</v>
      </c>
      <c r="BF1070" s="1227">
        <v>0.12804536961254354</v>
      </c>
      <c r="BH1070" s="824" t="s">
        <v>165</v>
      </c>
      <c r="BI1070" s="824" t="s">
        <v>356</v>
      </c>
      <c r="BJ1070" s="824" t="s">
        <v>282</v>
      </c>
      <c r="BK1070" s="824">
        <v>2</v>
      </c>
      <c r="BL1070" s="1226">
        <v>1376678510.8000002</v>
      </c>
      <c r="BM1070" s="1227">
        <v>0.14857483846973019</v>
      </c>
      <c r="BN1070" s="824">
        <f t="shared" si="38"/>
        <v>2018</v>
      </c>
    </row>
    <row r="1071" spans="1:66" ht="15" customHeight="1" x14ac:dyDescent="0.35">
      <c r="A1071" s="64">
        <f t="shared" si="37"/>
        <v>1900</v>
      </c>
      <c r="B1071" s="168" t="str">
        <f t="shared" si="36"/>
        <v>1899-00</v>
      </c>
      <c r="C1071" s="64"/>
      <c r="BA1071" s="824" t="s">
        <v>54</v>
      </c>
      <c r="BB1071" s="1225">
        <v>2019</v>
      </c>
      <c r="BC1071" s="824" t="s">
        <v>292</v>
      </c>
      <c r="BE1071" s="1226">
        <v>1178695116.01</v>
      </c>
      <c r="BH1071" s="824" t="s">
        <v>165</v>
      </c>
      <c r="BI1071" s="824" t="s">
        <v>356</v>
      </c>
      <c r="BJ1071" s="824" t="s">
        <v>283</v>
      </c>
      <c r="BK1071" s="824">
        <v>3</v>
      </c>
      <c r="BL1071" s="1226">
        <v>1019876321.77</v>
      </c>
      <c r="BM1071" s="1227">
        <v>0.11006778894080801</v>
      </c>
      <c r="BN1071" s="824">
        <f t="shared" si="38"/>
        <v>2018</v>
      </c>
    </row>
    <row r="1072" spans="1:66" ht="15" customHeight="1" x14ac:dyDescent="0.35">
      <c r="A1072" s="64">
        <f t="shared" si="37"/>
        <v>1900</v>
      </c>
      <c r="B1072" s="168" t="str">
        <f t="shared" si="36"/>
        <v>1899-00</v>
      </c>
      <c r="C1072" s="64"/>
      <c r="BA1072" s="824" t="s">
        <v>40</v>
      </c>
      <c r="BB1072" s="1225">
        <v>2019</v>
      </c>
      <c r="BC1072" s="824" t="s">
        <v>281</v>
      </c>
      <c r="BD1072" s="824">
        <v>1</v>
      </c>
      <c r="BE1072" s="1226">
        <v>78719315000</v>
      </c>
      <c r="BF1072" s="1227">
        <v>0.82164233725168911</v>
      </c>
      <c r="BH1072" s="824" t="s">
        <v>165</v>
      </c>
      <c r="BI1072" s="824" t="s">
        <v>356</v>
      </c>
      <c r="BJ1072" s="824" t="s">
        <v>284</v>
      </c>
      <c r="BK1072" s="824">
        <v>4</v>
      </c>
      <c r="BL1072" s="1226">
        <v>804624484.98000002</v>
      </c>
      <c r="BM1072" s="1227">
        <v>8.6837233200671909E-2</v>
      </c>
      <c r="BN1072" s="824">
        <f t="shared" si="38"/>
        <v>2018</v>
      </c>
    </row>
    <row r="1073" spans="1:66" ht="15" customHeight="1" x14ac:dyDescent="0.35">
      <c r="A1073" s="64">
        <f t="shared" si="37"/>
        <v>1900</v>
      </c>
      <c r="B1073" s="168" t="str">
        <f t="shared" si="36"/>
        <v>1899-00</v>
      </c>
      <c r="C1073" s="64"/>
      <c r="BA1073" s="824" t="s">
        <v>40</v>
      </c>
      <c r="BB1073" s="1225">
        <v>2019</v>
      </c>
      <c r="BC1073" s="824" t="s">
        <v>354</v>
      </c>
      <c r="BD1073" s="824">
        <v>2</v>
      </c>
      <c r="BE1073" s="1226">
        <v>7159053000</v>
      </c>
      <c r="BF1073" s="1227">
        <v>7.4723478468133486E-2</v>
      </c>
      <c r="BH1073" s="824" t="s">
        <v>165</v>
      </c>
      <c r="BI1073" s="824" t="s">
        <v>356</v>
      </c>
      <c r="BJ1073" s="824" t="s">
        <v>287</v>
      </c>
      <c r="BK1073" s="824">
        <v>5</v>
      </c>
      <c r="BL1073" s="1226">
        <v>525934770.19999999</v>
      </c>
      <c r="BM1073" s="1227">
        <v>5.6760291466067418E-2</v>
      </c>
      <c r="BN1073" s="824">
        <f t="shared" si="38"/>
        <v>2018</v>
      </c>
    </row>
    <row r="1074" spans="1:66" ht="15" customHeight="1" x14ac:dyDescent="0.35">
      <c r="A1074" s="64">
        <f t="shared" si="37"/>
        <v>1900</v>
      </c>
      <c r="B1074" s="168" t="str">
        <f t="shared" si="36"/>
        <v>1899-00</v>
      </c>
      <c r="C1074" s="64"/>
      <c r="BA1074" s="824" t="s">
        <v>40</v>
      </c>
      <c r="BB1074" s="1225">
        <v>2019</v>
      </c>
      <c r="BC1074" s="824" t="s">
        <v>320</v>
      </c>
      <c r="BD1074" s="824">
        <v>3</v>
      </c>
      <c r="BE1074" s="1226">
        <v>5992212000</v>
      </c>
      <c r="BF1074" s="1227">
        <v>6.2544434907590582E-2</v>
      </c>
      <c r="BH1074" s="824" t="s">
        <v>165</v>
      </c>
      <c r="BI1074" s="824" t="s">
        <v>356</v>
      </c>
      <c r="BJ1074" s="824" t="s">
        <v>304</v>
      </c>
      <c r="BK1074" s="824">
        <v>6</v>
      </c>
      <c r="BL1074" s="1226">
        <v>499737874.36000001</v>
      </c>
      <c r="BM1074" s="1227">
        <v>5.3933052181585124E-2</v>
      </c>
      <c r="BN1074" s="824">
        <f t="shared" si="38"/>
        <v>2018</v>
      </c>
    </row>
    <row r="1075" spans="1:66" ht="15" customHeight="1" x14ac:dyDescent="0.35">
      <c r="A1075" s="64">
        <f t="shared" si="37"/>
        <v>1900</v>
      </c>
      <c r="B1075" s="168" t="str">
        <f t="shared" si="36"/>
        <v>1899-00</v>
      </c>
      <c r="C1075" s="64"/>
      <c r="BA1075" s="824" t="s">
        <v>40</v>
      </c>
      <c r="BB1075" s="1225">
        <v>2019</v>
      </c>
      <c r="BC1075" s="824" t="s">
        <v>315</v>
      </c>
      <c r="BD1075" s="824">
        <v>4</v>
      </c>
      <c r="BE1075" s="1226">
        <v>1892914000</v>
      </c>
      <c r="BF1075" s="1227">
        <v>1.975751800147707E-2</v>
      </c>
      <c r="BH1075" s="824" t="s">
        <v>165</v>
      </c>
      <c r="BI1075" s="824" t="s">
        <v>356</v>
      </c>
      <c r="BJ1075" s="824" t="s">
        <v>296</v>
      </c>
      <c r="BK1075" s="824">
        <v>7</v>
      </c>
      <c r="BL1075" s="1226">
        <v>382990417.67999995</v>
      </c>
      <c r="BM1075" s="1227">
        <v>4.1333353427005837E-2</v>
      </c>
      <c r="BN1075" s="824">
        <f t="shared" si="38"/>
        <v>2018</v>
      </c>
    </row>
    <row r="1076" spans="1:66" ht="15" customHeight="1" x14ac:dyDescent="0.35">
      <c r="A1076" s="64">
        <f t="shared" si="37"/>
        <v>1900</v>
      </c>
      <c r="B1076" s="168" t="str">
        <f t="shared" si="36"/>
        <v>1899-00</v>
      </c>
      <c r="C1076" s="64"/>
      <c r="BA1076" s="824" t="s">
        <v>40</v>
      </c>
      <c r="BB1076" s="1225">
        <v>2019</v>
      </c>
      <c r="BC1076" s="824" t="s">
        <v>330</v>
      </c>
      <c r="BD1076" s="824">
        <v>5</v>
      </c>
      <c r="BE1076" s="1226">
        <v>708598000</v>
      </c>
      <c r="BF1076" s="1227">
        <v>7.3960770224165747E-3</v>
      </c>
      <c r="BH1076" s="824" t="s">
        <v>165</v>
      </c>
      <c r="BI1076" s="824" t="s">
        <v>356</v>
      </c>
      <c r="BJ1076" s="824" t="s">
        <v>288</v>
      </c>
      <c r="BK1076" s="824">
        <v>8</v>
      </c>
      <c r="BL1076" s="1226">
        <v>379478309.70000005</v>
      </c>
      <c r="BM1076" s="1227">
        <v>4.095431731093143E-2</v>
      </c>
      <c r="BN1076" s="824">
        <f t="shared" si="38"/>
        <v>2018</v>
      </c>
    </row>
    <row r="1077" spans="1:66" ht="15" customHeight="1" x14ac:dyDescent="0.35">
      <c r="A1077" s="64">
        <f t="shared" si="37"/>
        <v>1900</v>
      </c>
      <c r="B1077" s="168" t="str">
        <f t="shared" si="36"/>
        <v>1899-00</v>
      </c>
      <c r="C1077" s="64"/>
      <c r="BA1077" s="824" t="s">
        <v>40</v>
      </c>
      <c r="BB1077" s="1225">
        <v>2019</v>
      </c>
      <c r="BC1077" s="824" t="s">
        <v>291</v>
      </c>
      <c r="BE1077" s="1226">
        <v>1335185000</v>
      </c>
      <c r="BF1077" s="1227">
        <v>1.3936154348693159E-2</v>
      </c>
      <c r="BH1077" s="824" t="s">
        <v>165</v>
      </c>
      <c r="BI1077" s="824" t="s">
        <v>356</v>
      </c>
      <c r="BJ1077" s="824" t="s">
        <v>286</v>
      </c>
      <c r="BK1077" s="824">
        <v>9</v>
      </c>
      <c r="BL1077" s="1226">
        <v>322625317.02999997</v>
      </c>
      <c r="BM1077" s="1227">
        <v>3.4818589807233104E-2</v>
      </c>
      <c r="BN1077" s="824">
        <f t="shared" si="38"/>
        <v>2018</v>
      </c>
    </row>
    <row r="1078" spans="1:66" ht="15" customHeight="1" x14ac:dyDescent="0.35">
      <c r="A1078" s="64">
        <f t="shared" si="37"/>
        <v>1900</v>
      </c>
      <c r="B1078" s="168" t="str">
        <f t="shared" si="36"/>
        <v>1899-00</v>
      </c>
      <c r="C1078" s="64"/>
      <c r="BA1078" s="824" t="s">
        <v>40</v>
      </c>
      <c r="BB1078" s="1225">
        <v>2019</v>
      </c>
      <c r="BC1078" s="824" t="s">
        <v>292</v>
      </c>
      <c r="BE1078" s="1226">
        <v>95807277000</v>
      </c>
      <c r="BH1078" s="824" t="s">
        <v>165</v>
      </c>
      <c r="BI1078" s="824" t="s">
        <v>356</v>
      </c>
      <c r="BJ1078" s="824" t="s">
        <v>318</v>
      </c>
      <c r="BK1078" s="824">
        <v>10</v>
      </c>
      <c r="BL1078" s="1226">
        <v>257160750.98000002</v>
      </c>
      <c r="BM1078" s="1227">
        <v>2.7753478199790609E-2</v>
      </c>
      <c r="BN1078" s="824">
        <f t="shared" si="38"/>
        <v>2018</v>
      </c>
    </row>
    <row r="1079" spans="1:66" ht="15" customHeight="1" x14ac:dyDescent="0.35">
      <c r="A1079" s="64">
        <f t="shared" si="37"/>
        <v>1900</v>
      </c>
      <c r="B1079" s="168" t="str">
        <f t="shared" si="36"/>
        <v>1899-00</v>
      </c>
      <c r="C1079" s="64"/>
      <c r="BA1079" s="824" t="s">
        <v>32</v>
      </c>
      <c r="BB1079" s="1225">
        <v>2019</v>
      </c>
      <c r="BC1079" s="824" t="s">
        <v>314</v>
      </c>
      <c r="BD1079" s="824">
        <v>1</v>
      </c>
      <c r="BE1079" s="1226">
        <v>11983964000</v>
      </c>
      <c r="BF1079" s="1227">
        <v>0.58163745997226346</v>
      </c>
      <c r="BH1079" s="824" t="s">
        <v>165</v>
      </c>
      <c r="BI1079" s="824" t="s">
        <v>356</v>
      </c>
      <c r="BJ1079" s="824" t="s">
        <v>291</v>
      </c>
      <c r="BL1079" s="1226">
        <v>1248846987.9899998</v>
      </c>
      <c r="BM1079" s="1227">
        <v>0.1347789175602081</v>
      </c>
      <c r="BN1079" s="824">
        <f t="shared" si="38"/>
        <v>2018</v>
      </c>
    </row>
    <row r="1080" spans="1:66" ht="15" customHeight="1" x14ac:dyDescent="0.35">
      <c r="A1080" s="64">
        <f t="shared" si="37"/>
        <v>1900</v>
      </c>
      <c r="B1080" s="168" t="str">
        <f t="shared" ref="B1080:B1143" si="39">IF(MONTH(C1080) &gt;= 7, A1080 &amp; "-" &amp; RIGHT(A1080+1, 2), A1080-1 &amp; "-" &amp; RIGHT(A1080, 2))</f>
        <v>1899-00</v>
      </c>
      <c r="C1080" s="64"/>
      <c r="BA1080" s="824" t="s">
        <v>32</v>
      </c>
      <c r="BB1080" s="1225">
        <v>2019</v>
      </c>
      <c r="BC1080" s="824" t="s">
        <v>327</v>
      </c>
      <c r="BD1080" s="824">
        <v>2</v>
      </c>
      <c r="BE1080" s="1226">
        <v>3396127000</v>
      </c>
      <c r="BF1080" s="1227">
        <v>0.16482982442397381</v>
      </c>
      <c r="BH1080" s="824" t="s">
        <v>165</v>
      </c>
      <c r="BI1080" s="824" t="s">
        <v>356</v>
      </c>
      <c r="BJ1080" s="824" t="s">
        <v>292</v>
      </c>
      <c r="BL1080" s="1226">
        <v>9265892697.4399986</v>
      </c>
      <c r="BN1080" s="824">
        <f t="shared" si="38"/>
        <v>2018</v>
      </c>
    </row>
    <row r="1081" spans="1:66" ht="15" customHeight="1" x14ac:dyDescent="0.35">
      <c r="A1081" s="64">
        <f t="shared" si="37"/>
        <v>1900</v>
      </c>
      <c r="B1081" s="168" t="str">
        <f t="shared" si="39"/>
        <v>1899-00</v>
      </c>
      <c r="C1081" s="64"/>
      <c r="BA1081" s="824" t="s">
        <v>32</v>
      </c>
      <c r="BB1081" s="1225">
        <v>2019</v>
      </c>
      <c r="BC1081" s="824" t="s">
        <v>281</v>
      </c>
      <c r="BD1081" s="824">
        <v>3</v>
      </c>
      <c r="BE1081" s="1226">
        <v>2990924000</v>
      </c>
      <c r="BF1081" s="1227">
        <v>0.14516343993774364</v>
      </c>
      <c r="BH1081" s="824" t="s">
        <v>345</v>
      </c>
      <c r="BI1081" s="824" t="s">
        <v>356</v>
      </c>
      <c r="BJ1081" s="824" t="s">
        <v>281</v>
      </c>
      <c r="BK1081" s="824">
        <v>1</v>
      </c>
      <c r="BL1081" s="1226">
        <v>1849671381.7699997</v>
      </c>
      <c r="BM1081" s="1227">
        <v>0.37493240526394805</v>
      </c>
      <c r="BN1081" s="824">
        <f t="shared" si="38"/>
        <v>2018</v>
      </c>
    </row>
    <row r="1082" spans="1:66" ht="15" customHeight="1" x14ac:dyDescent="0.35">
      <c r="A1082" s="64">
        <f t="shared" si="37"/>
        <v>1900</v>
      </c>
      <c r="B1082" s="168" t="str">
        <f t="shared" si="39"/>
        <v>1899-00</v>
      </c>
      <c r="C1082" s="64"/>
      <c r="BA1082" s="824" t="s">
        <v>32</v>
      </c>
      <c r="BB1082" s="1225">
        <v>2019</v>
      </c>
      <c r="BC1082" s="824" t="s">
        <v>357</v>
      </c>
      <c r="BD1082" s="824">
        <v>4</v>
      </c>
      <c r="BE1082" s="1226">
        <v>1363404000</v>
      </c>
      <c r="BF1082" s="1227">
        <v>6.6172331582106211E-2</v>
      </c>
      <c r="BH1082" s="824" t="s">
        <v>345</v>
      </c>
      <c r="BI1082" s="824" t="s">
        <v>356</v>
      </c>
      <c r="BJ1082" s="824" t="s">
        <v>346</v>
      </c>
      <c r="BK1082" s="824">
        <v>2</v>
      </c>
      <c r="BL1082" s="1226">
        <v>879650801.70000005</v>
      </c>
      <c r="BM1082" s="1227">
        <v>0.17830712748452521</v>
      </c>
      <c r="BN1082" s="824">
        <f t="shared" si="38"/>
        <v>2018</v>
      </c>
    </row>
    <row r="1083" spans="1:66" ht="15" customHeight="1" x14ac:dyDescent="0.35">
      <c r="A1083" s="64">
        <f t="shared" si="37"/>
        <v>1900</v>
      </c>
      <c r="B1083" s="168" t="str">
        <f t="shared" si="39"/>
        <v>1899-00</v>
      </c>
      <c r="C1083" s="64"/>
      <c r="BA1083" s="824" t="s">
        <v>32</v>
      </c>
      <c r="BB1083" s="1225">
        <v>2019</v>
      </c>
      <c r="BC1083" s="824" t="s">
        <v>355</v>
      </c>
      <c r="BD1083" s="824">
        <v>5</v>
      </c>
      <c r="BE1083" s="1226">
        <v>265817000</v>
      </c>
      <c r="BF1083" s="1227">
        <v>1.290133420773353E-2</v>
      </c>
      <c r="BH1083" s="824" t="s">
        <v>345</v>
      </c>
      <c r="BI1083" s="824" t="s">
        <v>356</v>
      </c>
      <c r="BJ1083" s="824" t="s">
        <v>320</v>
      </c>
      <c r="BK1083" s="824">
        <v>3</v>
      </c>
      <c r="BL1083" s="1226">
        <v>656981517.92999995</v>
      </c>
      <c r="BM1083" s="1227">
        <v>0.13317158018401129</v>
      </c>
      <c r="BN1083" s="824">
        <f t="shared" si="38"/>
        <v>2018</v>
      </c>
    </row>
    <row r="1084" spans="1:66" ht="15" customHeight="1" x14ac:dyDescent="0.35">
      <c r="A1084" s="64">
        <f t="shared" si="37"/>
        <v>1900</v>
      </c>
      <c r="B1084" s="168" t="str">
        <f t="shared" si="39"/>
        <v>1899-00</v>
      </c>
      <c r="C1084" s="64"/>
      <c r="BA1084" s="824" t="s">
        <v>32</v>
      </c>
      <c r="BB1084" s="1225">
        <v>2019</v>
      </c>
      <c r="BC1084" s="824" t="s">
        <v>328</v>
      </c>
      <c r="BD1084" s="824">
        <v>6</v>
      </c>
      <c r="BE1084" s="1226">
        <v>151869000</v>
      </c>
      <c r="BF1084" s="1227">
        <v>7.3709082744680869E-3</v>
      </c>
      <c r="BH1084" s="824" t="s">
        <v>345</v>
      </c>
      <c r="BI1084" s="824" t="s">
        <v>356</v>
      </c>
      <c r="BJ1084" s="824" t="s">
        <v>308</v>
      </c>
      <c r="BK1084" s="824">
        <v>4</v>
      </c>
      <c r="BL1084" s="1226">
        <v>425596461.69999999</v>
      </c>
      <c r="BM1084" s="1227">
        <v>8.6269326881356648E-2</v>
      </c>
      <c r="BN1084" s="824">
        <f t="shared" si="38"/>
        <v>2018</v>
      </c>
    </row>
    <row r="1085" spans="1:66" ht="15" customHeight="1" x14ac:dyDescent="0.35">
      <c r="A1085" s="64">
        <f t="shared" si="37"/>
        <v>1900</v>
      </c>
      <c r="B1085" s="168" t="str">
        <f t="shared" si="39"/>
        <v>1899-00</v>
      </c>
      <c r="C1085" s="64"/>
      <c r="BA1085" s="824" t="s">
        <v>32</v>
      </c>
      <c r="BB1085" s="1225">
        <v>2019</v>
      </c>
      <c r="BC1085" s="824" t="s">
        <v>286</v>
      </c>
      <c r="BD1085" s="824">
        <v>7</v>
      </c>
      <c r="BE1085" s="1226">
        <v>116526000</v>
      </c>
      <c r="BF1085" s="1227">
        <v>5.6555482527090341E-3</v>
      </c>
      <c r="BH1085" s="824" t="s">
        <v>345</v>
      </c>
      <c r="BI1085" s="824" t="s">
        <v>356</v>
      </c>
      <c r="BJ1085" s="824" t="s">
        <v>335</v>
      </c>
      <c r="BK1085" s="824">
        <v>5</v>
      </c>
      <c r="BL1085" s="1226">
        <v>360180909.46000004</v>
      </c>
      <c r="BM1085" s="1227">
        <v>7.3009452405955161E-2</v>
      </c>
      <c r="BN1085" s="824">
        <f t="shared" si="38"/>
        <v>2018</v>
      </c>
    </row>
    <row r="1086" spans="1:66" ht="15" customHeight="1" x14ac:dyDescent="0.35">
      <c r="A1086" s="64">
        <f t="shared" si="37"/>
        <v>1900</v>
      </c>
      <c r="B1086" s="168" t="str">
        <f t="shared" si="39"/>
        <v>1899-00</v>
      </c>
      <c r="C1086" s="64"/>
      <c r="BA1086" s="824" t="s">
        <v>32</v>
      </c>
      <c r="BB1086" s="1225">
        <v>2019</v>
      </c>
      <c r="BC1086" s="824" t="s">
        <v>320</v>
      </c>
      <c r="BD1086" s="824">
        <v>8</v>
      </c>
      <c r="BE1086" s="1226">
        <v>112952000</v>
      </c>
      <c r="BF1086" s="1227">
        <v>5.4820854250552734E-3</v>
      </c>
      <c r="BH1086" s="824" t="s">
        <v>345</v>
      </c>
      <c r="BI1086" s="824" t="s">
        <v>356</v>
      </c>
      <c r="BJ1086" s="824" t="s">
        <v>287</v>
      </c>
      <c r="BK1086" s="824">
        <v>6</v>
      </c>
      <c r="BL1086" s="1226">
        <v>316761255.86000001</v>
      </c>
      <c r="BM1086" s="1227">
        <v>6.4208194344430078E-2</v>
      </c>
      <c r="BN1086" s="824">
        <f t="shared" si="38"/>
        <v>2018</v>
      </c>
    </row>
    <row r="1087" spans="1:66" ht="15" customHeight="1" x14ac:dyDescent="0.35">
      <c r="A1087" s="64">
        <f t="shared" si="37"/>
        <v>1900</v>
      </c>
      <c r="B1087" s="168" t="str">
        <f t="shared" si="39"/>
        <v>1899-00</v>
      </c>
      <c r="C1087" s="64"/>
      <c r="BA1087" s="824" t="s">
        <v>32</v>
      </c>
      <c r="BB1087" s="1225">
        <v>2019</v>
      </c>
      <c r="BC1087" s="824" t="s">
        <v>358</v>
      </c>
      <c r="BD1087" s="824">
        <v>9</v>
      </c>
      <c r="BE1087" s="1226">
        <v>92815000</v>
      </c>
      <c r="BF1087" s="1227">
        <v>4.5047432424968588E-3</v>
      </c>
      <c r="BH1087" s="824" t="s">
        <v>345</v>
      </c>
      <c r="BI1087" s="824" t="s">
        <v>356</v>
      </c>
      <c r="BJ1087" s="824" t="s">
        <v>315</v>
      </c>
      <c r="BK1087" s="824">
        <v>7</v>
      </c>
      <c r="BL1087" s="1226">
        <v>187269616.85999998</v>
      </c>
      <c r="BM1087" s="1227">
        <v>3.7959957954795558E-2</v>
      </c>
      <c r="BN1087" s="824">
        <f t="shared" si="38"/>
        <v>2018</v>
      </c>
    </row>
    <row r="1088" spans="1:66" ht="15" customHeight="1" x14ac:dyDescent="0.35">
      <c r="A1088" s="64">
        <f t="shared" si="37"/>
        <v>1900</v>
      </c>
      <c r="B1088" s="168" t="str">
        <f t="shared" si="39"/>
        <v>1899-00</v>
      </c>
      <c r="C1088" s="64"/>
      <c r="BA1088" s="824" t="s">
        <v>32</v>
      </c>
      <c r="BB1088" s="1225">
        <v>2019</v>
      </c>
      <c r="BC1088" s="824" t="s">
        <v>359</v>
      </c>
      <c r="BD1088" s="824">
        <v>10</v>
      </c>
      <c r="BE1088" s="1226">
        <v>54470000</v>
      </c>
      <c r="BF1088" s="1227">
        <v>2.643682211052135E-3</v>
      </c>
      <c r="BH1088" s="824" t="s">
        <v>345</v>
      </c>
      <c r="BI1088" s="824" t="s">
        <v>356</v>
      </c>
      <c r="BJ1088" s="824" t="s">
        <v>285</v>
      </c>
      <c r="BK1088" s="824">
        <v>8</v>
      </c>
      <c r="BL1088" s="1226">
        <v>95315065.400000006</v>
      </c>
      <c r="BM1088" s="1227">
        <v>1.9320570713547567E-2</v>
      </c>
      <c r="BN1088" s="824">
        <f t="shared" si="38"/>
        <v>2018</v>
      </c>
    </row>
    <row r="1089" spans="1:66" ht="15" customHeight="1" x14ac:dyDescent="0.35">
      <c r="A1089" s="64">
        <f t="shared" si="37"/>
        <v>1900</v>
      </c>
      <c r="B1089" s="168" t="str">
        <f t="shared" si="39"/>
        <v>1899-00</v>
      </c>
      <c r="C1089" s="64"/>
      <c r="BA1089" s="824" t="s">
        <v>32</v>
      </c>
      <c r="BB1089" s="1225">
        <v>2019</v>
      </c>
      <c r="BC1089" s="824" t="s">
        <v>291</v>
      </c>
      <c r="BE1089" s="1226">
        <v>74970000</v>
      </c>
      <c r="BF1089" s="1227">
        <v>3.6386424703979911E-3</v>
      </c>
      <c r="BH1089" s="824" t="s">
        <v>345</v>
      </c>
      <c r="BI1089" s="824" t="s">
        <v>356</v>
      </c>
      <c r="BJ1089" s="824" t="s">
        <v>347</v>
      </c>
      <c r="BK1089" s="824">
        <v>9</v>
      </c>
      <c r="BL1089" s="1226">
        <v>92038894.219999999</v>
      </c>
      <c r="BM1089" s="1227">
        <v>1.8656483701832871E-2</v>
      </c>
      <c r="BN1089" s="824">
        <f t="shared" si="38"/>
        <v>2018</v>
      </c>
    </row>
    <row r="1090" spans="1:66" ht="15" customHeight="1" x14ac:dyDescent="0.35">
      <c r="A1090" s="64">
        <f t="shared" si="37"/>
        <v>1900</v>
      </c>
      <c r="B1090" s="168" t="str">
        <f t="shared" si="39"/>
        <v>1899-00</v>
      </c>
      <c r="C1090" s="64"/>
      <c r="BA1090" s="824" t="s">
        <v>32</v>
      </c>
      <c r="BB1090" s="1225">
        <v>2019</v>
      </c>
      <c r="BC1090" s="824" t="s">
        <v>292</v>
      </c>
      <c r="BE1090" s="1226">
        <v>20603838000</v>
      </c>
      <c r="BH1090" s="824" t="s">
        <v>345</v>
      </c>
      <c r="BI1090" s="824" t="s">
        <v>356</v>
      </c>
      <c r="BJ1090" s="824" t="s">
        <v>352</v>
      </c>
      <c r="BK1090" s="824">
        <v>10</v>
      </c>
      <c r="BL1090" s="1226">
        <v>33412653.98</v>
      </c>
      <c r="BM1090" s="1227">
        <v>6.77281751041936E-3</v>
      </c>
      <c r="BN1090" s="824">
        <f t="shared" si="38"/>
        <v>2018</v>
      </c>
    </row>
    <row r="1091" spans="1:66" ht="15" customHeight="1" x14ac:dyDescent="0.35">
      <c r="A1091" s="64">
        <f t="shared" si="37"/>
        <v>1900</v>
      </c>
      <c r="B1091" s="168" t="str">
        <f t="shared" si="39"/>
        <v>1899-00</v>
      </c>
      <c r="C1091" s="64"/>
      <c r="BA1091" s="824" t="s">
        <v>71</v>
      </c>
      <c r="BB1091" s="1225">
        <v>2019</v>
      </c>
      <c r="BC1091" s="824" t="s">
        <v>308</v>
      </c>
      <c r="BD1091" s="824">
        <v>1</v>
      </c>
      <c r="BE1091" s="1226">
        <v>15512007283.194126</v>
      </c>
      <c r="BF1091" s="1227">
        <v>0.42057267868769044</v>
      </c>
      <c r="BH1091" s="824" t="s">
        <v>345</v>
      </c>
      <c r="BI1091" s="824" t="s">
        <v>356</v>
      </c>
      <c r="BJ1091" s="824" t="s">
        <v>291</v>
      </c>
      <c r="BL1091" s="1226">
        <v>36467707.81000042</v>
      </c>
      <c r="BM1091" s="1227">
        <v>7.3920835551785071E-3</v>
      </c>
      <c r="BN1091" s="824">
        <f t="shared" si="38"/>
        <v>2018</v>
      </c>
    </row>
    <row r="1092" spans="1:66" ht="15" customHeight="1" x14ac:dyDescent="0.35">
      <c r="A1092" s="64">
        <f t="shared" si="37"/>
        <v>1900</v>
      </c>
      <c r="B1092" s="168" t="str">
        <f t="shared" si="39"/>
        <v>1899-00</v>
      </c>
      <c r="C1092" s="64"/>
      <c r="BA1092" s="824" t="s">
        <v>71</v>
      </c>
      <c r="BB1092" s="1225">
        <v>2019</v>
      </c>
      <c r="BC1092" s="824" t="s">
        <v>281</v>
      </c>
      <c r="BD1092" s="824">
        <v>2</v>
      </c>
      <c r="BE1092" s="1226">
        <v>6105389093.0109987</v>
      </c>
      <c r="BF1092" s="1227">
        <v>0.16553369260341844</v>
      </c>
      <c r="BH1092" s="824" t="s">
        <v>345</v>
      </c>
      <c r="BI1092" s="824" t="s">
        <v>356</v>
      </c>
      <c r="BJ1092" s="824" t="s">
        <v>292</v>
      </c>
      <c r="BL1092" s="1226">
        <v>4933346266.6899986</v>
      </c>
      <c r="BN1092" s="824">
        <f t="shared" si="38"/>
        <v>2018</v>
      </c>
    </row>
    <row r="1093" spans="1:66" ht="15" customHeight="1" x14ac:dyDescent="0.35">
      <c r="A1093" s="64">
        <f t="shared" si="37"/>
        <v>1900</v>
      </c>
      <c r="B1093" s="168" t="str">
        <f t="shared" si="39"/>
        <v>1899-00</v>
      </c>
      <c r="C1093" s="64"/>
      <c r="BA1093" s="824" t="s">
        <v>71</v>
      </c>
      <c r="BB1093" s="1225">
        <v>2019</v>
      </c>
      <c r="BC1093" s="824" t="s">
        <v>306</v>
      </c>
      <c r="BD1093" s="824">
        <v>3</v>
      </c>
      <c r="BE1093" s="1226">
        <v>5497002088.1683006</v>
      </c>
      <c r="BF1093" s="1227">
        <v>0.14903866732176532</v>
      </c>
      <c r="BH1093" s="824" t="s">
        <v>344</v>
      </c>
      <c r="BI1093" s="824" t="s">
        <v>356</v>
      </c>
      <c r="BL1093" s="1226">
        <v>1698686583.2099996</v>
      </c>
      <c r="BN1093" s="824">
        <f t="shared" si="38"/>
        <v>2018</v>
      </c>
    </row>
    <row r="1094" spans="1:66" ht="15" customHeight="1" x14ac:dyDescent="0.35">
      <c r="A1094" s="64">
        <f t="shared" si="37"/>
        <v>1900</v>
      </c>
      <c r="B1094" s="168" t="str">
        <f t="shared" si="39"/>
        <v>1899-00</v>
      </c>
      <c r="C1094" s="64"/>
      <c r="BA1094" s="824" t="s">
        <v>71</v>
      </c>
      <c r="BB1094" s="1225">
        <v>2019</v>
      </c>
      <c r="BC1094" s="824" t="s">
        <v>320</v>
      </c>
      <c r="BD1094" s="824">
        <v>4</v>
      </c>
      <c r="BE1094" s="1226">
        <v>3028046255.7830997</v>
      </c>
      <c r="BF1094" s="1227">
        <v>8.2098564146799224E-2</v>
      </c>
      <c r="BH1094" s="824" t="s">
        <v>61</v>
      </c>
      <c r="BI1094" s="824" t="s">
        <v>356</v>
      </c>
      <c r="BJ1094" s="824" t="s">
        <v>281</v>
      </c>
      <c r="BK1094" s="824">
        <v>1</v>
      </c>
      <c r="BL1094" s="1226">
        <v>1168828700.1600051</v>
      </c>
      <c r="BM1094" s="1227">
        <v>0.4316061328750041</v>
      </c>
      <c r="BN1094" s="824">
        <f t="shared" si="38"/>
        <v>2018</v>
      </c>
    </row>
    <row r="1095" spans="1:66" ht="15" customHeight="1" x14ac:dyDescent="0.35">
      <c r="A1095" s="64">
        <f t="shared" si="37"/>
        <v>1900</v>
      </c>
      <c r="B1095" s="168" t="str">
        <f t="shared" si="39"/>
        <v>1899-00</v>
      </c>
      <c r="C1095" s="64"/>
      <c r="BA1095" s="824" t="s">
        <v>71</v>
      </c>
      <c r="BB1095" s="1225">
        <v>2019</v>
      </c>
      <c r="BC1095" s="824" t="s">
        <v>285</v>
      </c>
      <c r="BD1095" s="824">
        <v>5</v>
      </c>
      <c r="BE1095" s="1226">
        <v>2029774809.0510001</v>
      </c>
      <c r="BF1095" s="1227">
        <v>5.5032711949551963E-2</v>
      </c>
      <c r="BH1095" s="824" t="s">
        <v>61</v>
      </c>
      <c r="BI1095" s="824" t="s">
        <v>356</v>
      </c>
      <c r="BJ1095" s="824" t="s">
        <v>308</v>
      </c>
      <c r="BK1095" s="824">
        <v>2</v>
      </c>
      <c r="BL1095" s="1226">
        <v>470486886.43001038</v>
      </c>
      <c r="BM1095" s="1227">
        <v>0.17373377774917723</v>
      </c>
      <c r="BN1095" s="824">
        <f t="shared" si="38"/>
        <v>2018</v>
      </c>
    </row>
    <row r="1096" spans="1:66" ht="15" customHeight="1" x14ac:dyDescent="0.35">
      <c r="A1096" s="64">
        <f t="shared" si="37"/>
        <v>1900</v>
      </c>
      <c r="B1096" s="168" t="str">
        <f t="shared" si="39"/>
        <v>1899-00</v>
      </c>
      <c r="C1096" s="64"/>
      <c r="BA1096" s="824" t="s">
        <v>71</v>
      </c>
      <c r="BB1096" s="1225">
        <v>2019</v>
      </c>
      <c r="BC1096" s="824" t="s">
        <v>315</v>
      </c>
      <c r="BD1096" s="824">
        <v>6</v>
      </c>
      <c r="BE1096" s="1226">
        <v>1373377702.1822</v>
      </c>
      <c r="BF1096" s="1227">
        <v>3.7236002311737987E-2</v>
      </c>
      <c r="BH1096" s="824" t="s">
        <v>61</v>
      </c>
      <c r="BI1096" s="824" t="s">
        <v>356</v>
      </c>
      <c r="BJ1096" s="824" t="s">
        <v>320</v>
      </c>
      <c r="BK1096" s="824">
        <v>3</v>
      </c>
      <c r="BL1096" s="1226">
        <v>285405319</v>
      </c>
      <c r="BM1096" s="1227">
        <v>0.10538985397833234</v>
      </c>
      <c r="BN1096" s="824">
        <f t="shared" si="38"/>
        <v>2018</v>
      </c>
    </row>
    <row r="1097" spans="1:66" ht="15" customHeight="1" x14ac:dyDescent="0.35">
      <c r="A1097" s="64">
        <f t="shared" si="37"/>
        <v>1900</v>
      </c>
      <c r="B1097" s="168" t="str">
        <f t="shared" si="39"/>
        <v>1899-00</v>
      </c>
      <c r="C1097" s="64"/>
      <c r="BA1097" s="824" t="s">
        <v>71</v>
      </c>
      <c r="BB1097" s="1225">
        <v>2019</v>
      </c>
      <c r="BC1097" s="824" t="s">
        <v>323</v>
      </c>
      <c r="BD1097" s="824">
        <v>7</v>
      </c>
      <c r="BE1097" s="1226">
        <v>1074962675.6193004</v>
      </c>
      <c r="BF1097" s="1227">
        <v>2.9145159857184046E-2</v>
      </c>
      <c r="BH1097" s="824" t="s">
        <v>61</v>
      </c>
      <c r="BI1097" s="824" t="s">
        <v>356</v>
      </c>
      <c r="BJ1097" s="824" t="s">
        <v>315</v>
      </c>
      <c r="BK1097" s="824">
        <v>4</v>
      </c>
      <c r="BL1097" s="1226">
        <v>270601031.06953681</v>
      </c>
      <c r="BM1097" s="1227">
        <v>9.9923166291111268E-2</v>
      </c>
      <c r="BN1097" s="824">
        <f t="shared" si="38"/>
        <v>2018</v>
      </c>
    </row>
    <row r="1098" spans="1:66" ht="15" customHeight="1" x14ac:dyDescent="0.35">
      <c r="A1098" s="64">
        <f t="shared" si="37"/>
        <v>1900</v>
      </c>
      <c r="B1098" s="168" t="str">
        <f t="shared" si="39"/>
        <v>1899-00</v>
      </c>
      <c r="C1098" s="64"/>
      <c r="BA1098" s="824" t="s">
        <v>71</v>
      </c>
      <c r="BB1098" s="1225">
        <v>2019</v>
      </c>
      <c r="BC1098" s="824" t="s">
        <v>289</v>
      </c>
      <c r="BD1098" s="824">
        <v>8</v>
      </c>
      <c r="BE1098" s="1226">
        <v>844450915.12579989</v>
      </c>
      <c r="BF1098" s="1227">
        <v>2.2895359505117414E-2</v>
      </c>
      <c r="BH1098" s="824" t="s">
        <v>61</v>
      </c>
      <c r="BI1098" s="824" t="s">
        <v>356</v>
      </c>
      <c r="BJ1098" s="824" t="s">
        <v>312</v>
      </c>
      <c r="BK1098" s="824">
        <v>5</v>
      </c>
      <c r="BL1098" s="1226">
        <v>180682147.58000001</v>
      </c>
      <c r="BM1098" s="1227">
        <v>6.6719377258514567E-2</v>
      </c>
      <c r="BN1098" s="824">
        <f t="shared" si="38"/>
        <v>2018</v>
      </c>
    </row>
    <row r="1099" spans="1:66" ht="15" customHeight="1" x14ac:dyDescent="0.35">
      <c r="A1099" s="64">
        <f t="shared" si="37"/>
        <v>1900</v>
      </c>
      <c r="B1099" s="168" t="str">
        <f t="shared" si="39"/>
        <v>1899-00</v>
      </c>
      <c r="C1099" s="64"/>
      <c r="BA1099" s="824" t="s">
        <v>71</v>
      </c>
      <c r="BB1099" s="1225">
        <v>2019</v>
      </c>
      <c r="BC1099" s="824" t="s">
        <v>287</v>
      </c>
      <c r="BD1099" s="824">
        <v>9</v>
      </c>
      <c r="BE1099" s="1226">
        <v>475090531.245</v>
      </c>
      <c r="BF1099" s="1227">
        <v>1.2880995586002846E-2</v>
      </c>
      <c r="BH1099" s="824" t="s">
        <v>61</v>
      </c>
      <c r="BI1099" s="824" t="s">
        <v>356</v>
      </c>
      <c r="BJ1099" s="824" t="s">
        <v>322</v>
      </c>
      <c r="BK1099" s="824">
        <v>6</v>
      </c>
      <c r="BL1099" s="1226">
        <v>83704696.170000002</v>
      </c>
      <c r="BM1099" s="1227">
        <v>3.0909114579805622E-2</v>
      </c>
      <c r="BN1099" s="824">
        <f t="shared" si="38"/>
        <v>2018</v>
      </c>
    </row>
    <row r="1100" spans="1:66" ht="15" customHeight="1" x14ac:dyDescent="0.35">
      <c r="A1100" s="64">
        <f t="shared" ref="A1100:A1163" si="40">YEAR(C1100)</f>
        <v>1900</v>
      </c>
      <c r="B1100" s="168" t="str">
        <f t="shared" si="39"/>
        <v>1899-00</v>
      </c>
      <c r="C1100" s="64"/>
      <c r="BA1100" s="824" t="s">
        <v>71</v>
      </c>
      <c r="BB1100" s="1225">
        <v>2019</v>
      </c>
      <c r="BC1100" s="824" t="s">
        <v>279</v>
      </c>
      <c r="BD1100" s="824">
        <v>10</v>
      </c>
      <c r="BE1100" s="1226">
        <v>399984046.64059997</v>
      </c>
      <c r="BF1100" s="1227">
        <v>1.0844654650867341E-2</v>
      </c>
      <c r="BH1100" s="824" t="s">
        <v>61</v>
      </c>
      <c r="BI1100" s="824" t="s">
        <v>356</v>
      </c>
      <c r="BJ1100" s="824" t="s">
        <v>310</v>
      </c>
      <c r="BK1100" s="824">
        <v>7</v>
      </c>
      <c r="BL1100" s="1226">
        <v>61835664.579999998</v>
      </c>
      <c r="BM1100" s="1227">
        <v>2.2833672769565088E-2</v>
      </c>
      <c r="BN1100" s="824">
        <f t="shared" si="38"/>
        <v>2018</v>
      </c>
    </row>
    <row r="1101" spans="1:66" ht="15" customHeight="1" x14ac:dyDescent="0.35">
      <c r="A1101" s="64">
        <f t="shared" si="40"/>
        <v>1900</v>
      </c>
      <c r="B1101" s="168" t="str">
        <f t="shared" si="39"/>
        <v>1899-00</v>
      </c>
      <c r="C1101" s="64"/>
      <c r="BA1101" s="824" t="s">
        <v>71</v>
      </c>
      <c r="BB1101" s="1225">
        <v>2019</v>
      </c>
      <c r="BC1101" s="824" t="s">
        <v>291</v>
      </c>
      <c r="BE1101" s="1226">
        <v>542974459.20798492</v>
      </c>
      <c r="BF1101" s="1227">
        <v>1.4721513379864786E-2</v>
      </c>
      <c r="BH1101" s="824" t="s">
        <v>61</v>
      </c>
      <c r="BI1101" s="824" t="s">
        <v>356</v>
      </c>
      <c r="BJ1101" s="824" t="s">
        <v>314</v>
      </c>
      <c r="BK1101" s="824">
        <v>8</v>
      </c>
      <c r="BL1101" s="1226">
        <v>47633436</v>
      </c>
      <c r="BM1101" s="1227">
        <v>1.7589303808757114E-2</v>
      </c>
      <c r="BN1101" s="824">
        <f t="shared" si="38"/>
        <v>2018</v>
      </c>
    </row>
    <row r="1102" spans="1:66" ht="15" customHeight="1" x14ac:dyDescent="0.35">
      <c r="A1102" s="64">
        <f t="shared" si="40"/>
        <v>1900</v>
      </c>
      <c r="B1102" s="168" t="str">
        <f t="shared" si="39"/>
        <v>1899-00</v>
      </c>
      <c r="C1102" s="64"/>
      <c r="BA1102" s="824" t="s">
        <v>71</v>
      </c>
      <c r="BB1102" s="1225">
        <v>2019</v>
      </c>
      <c r="BC1102" s="824" t="s">
        <v>292</v>
      </c>
      <c r="BE1102" s="1226">
        <v>36883059859.228416</v>
      </c>
      <c r="BH1102" s="824" t="s">
        <v>61</v>
      </c>
      <c r="BI1102" s="824" t="s">
        <v>356</v>
      </c>
      <c r="BJ1102" s="824" t="s">
        <v>352</v>
      </c>
      <c r="BK1102" s="824">
        <v>9</v>
      </c>
      <c r="BL1102" s="1226">
        <v>35239658.309999995</v>
      </c>
      <c r="BM1102" s="1227">
        <v>1.3012730304221223E-2</v>
      </c>
      <c r="BN1102" s="824">
        <f t="shared" si="38"/>
        <v>2018</v>
      </c>
    </row>
    <row r="1103" spans="1:66" ht="15" customHeight="1" x14ac:dyDescent="0.35">
      <c r="A1103" s="64">
        <f t="shared" si="40"/>
        <v>1900</v>
      </c>
      <c r="B1103" s="168" t="str">
        <f t="shared" si="39"/>
        <v>1899-00</v>
      </c>
      <c r="C1103" s="64"/>
      <c r="BA1103" s="824" t="s">
        <v>165</v>
      </c>
      <c r="BB1103" s="1225">
        <v>2020</v>
      </c>
      <c r="BC1103" s="824" t="s">
        <v>279</v>
      </c>
      <c r="BD1103" s="824">
        <v>1</v>
      </c>
      <c r="BE1103" s="1226">
        <v>1741960629.3199999</v>
      </c>
      <c r="BF1103" s="1227">
        <v>0.26932348709612991</v>
      </c>
      <c r="BH1103" s="824" t="s">
        <v>61</v>
      </c>
      <c r="BI1103" s="824" t="s">
        <v>356</v>
      </c>
      <c r="BJ1103" s="824" t="s">
        <v>286</v>
      </c>
      <c r="BK1103" s="824">
        <v>10</v>
      </c>
      <c r="BL1103" s="1226">
        <v>29638823.149999999</v>
      </c>
      <c r="BM1103" s="1227">
        <v>1.0944544603487632E-2</v>
      </c>
      <c r="BN1103" s="824">
        <f t="shared" si="38"/>
        <v>2018</v>
      </c>
    </row>
    <row r="1104" spans="1:66" ht="15" customHeight="1" x14ac:dyDescent="0.35">
      <c r="A1104" s="64">
        <f t="shared" si="40"/>
        <v>1900</v>
      </c>
      <c r="B1104" s="168" t="str">
        <f t="shared" si="39"/>
        <v>1899-00</v>
      </c>
      <c r="C1104" s="64"/>
      <c r="BA1104" s="824" t="s">
        <v>165</v>
      </c>
      <c r="BB1104" s="1225">
        <v>2020</v>
      </c>
      <c r="BC1104" s="824" t="s">
        <v>282</v>
      </c>
      <c r="BD1104" s="824">
        <v>2</v>
      </c>
      <c r="BE1104" s="1226">
        <v>836627245.89999974</v>
      </c>
      <c r="BF1104" s="1227">
        <v>0.12935043621128084</v>
      </c>
      <c r="BH1104" s="824" t="s">
        <v>61</v>
      </c>
      <c r="BI1104" s="824" t="s">
        <v>356</v>
      </c>
      <c r="BJ1104" s="824" t="s">
        <v>291</v>
      </c>
      <c r="BL1104" s="1226">
        <v>74034675.029994965</v>
      </c>
      <c r="BM1104" s="1227">
        <v>2.7338325782023904E-2</v>
      </c>
      <c r="BN1104" s="824">
        <f t="shared" si="38"/>
        <v>2018</v>
      </c>
    </row>
    <row r="1105" spans="1:66" ht="15" customHeight="1" x14ac:dyDescent="0.35">
      <c r="A1105" s="64">
        <f t="shared" si="40"/>
        <v>1900</v>
      </c>
      <c r="B1105" s="168" t="str">
        <f t="shared" si="39"/>
        <v>1899-00</v>
      </c>
      <c r="C1105" s="64"/>
      <c r="BA1105" s="824" t="s">
        <v>165</v>
      </c>
      <c r="BB1105" s="1225">
        <v>2020</v>
      </c>
      <c r="BC1105" s="824" t="s">
        <v>281</v>
      </c>
      <c r="BD1105" s="824">
        <v>3</v>
      </c>
      <c r="BE1105" s="1226">
        <v>629853734.78000009</v>
      </c>
      <c r="BF1105" s="1227">
        <v>9.7381307795509645E-2</v>
      </c>
      <c r="BH1105" s="824" t="s">
        <v>61</v>
      </c>
      <c r="BI1105" s="824" t="s">
        <v>356</v>
      </c>
      <c r="BJ1105" s="824" t="s">
        <v>292</v>
      </c>
      <c r="BL1105" s="1226">
        <v>2708091037.479547</v>
      </c>
      <c r="BN1105" s="824">
        <f t="shared" si="38"/>
        <v>2018</v>
      </c>
    </row>
    <row r="1106" spans="1:66" ht="15" customHeight="1" x14ac:dyDescent="0.35">
      <c r="A1106" s="64">
        <f t="shared" si="40"/>
        <v>1900</v>
      </c>
      <c r="B1106" s="168" t="str">
        <f t="shared" si="39"/>
        <v>1899-00</v>
      </c>
      <c r="C1106" s="64"/>
      <c r="BA1106" s="824" t="s">
        <v>165</v>
      </c>
      <c r="BB1106" s="1225">
        <v>2020</v>
      </c>
      <c r="BC1106" s="824" t="s">
        <v>283</v>
      </c>
      <c r="BD1106" s="824">
        <v>4</v>
      </c>
      <c r="BE1106" s="1226">
        <v>628861657.38</v>
      </c>
      <c r="BF1106" s="1227">
        <v>9.7227923304298955E-2</v>
      </c>
      <c r="BH1106" s="824" t="s">
        <v>32</v>
      </c>
      <c r="BI1106" s="824" t="s">
        <v>356</v>
      </c>
      <c r="BJ1106" s="824" t="s">
        <v>281</v>
      </c>
      <c r="BK1106" s="824">
        <v>1</v>
      </c>
      <c r="BL1106" s="1226">
        <v>5071740000</v>
      </c>
      <c r="BM1106" s="1227">
        <v>0.30504772810192965</v>
      </c>
      <c r="BN1106" s="824">
        <f t="shared" si="38"/>
        <v>2018</v>
      </c>
    </row>
    <row r="1107" spans="1:66" ht="15" customHeight="1" x14ac:dyDescent="0.35">
      <c r="A1107" s="64">
        <f t="shared" si="40"/>
        <v>1900</v>
      </c>
      <c r="B1107" s="168" t="str">
        <f t="shared" si="39"/>
        <v>1899-00</v>
      </c>
      <c r="C1107" s="64"/>
      <c r="BA1107" s="824" t="s">
        <v>165</v>
      </c>
      <c r="BB1107" s="1225">
        <v>2020</v>
      </c>
      <c r="BC1107" s="824" t="s">
        <v>284</v>
      </c>
      <c r="BD1107" s="824">
        <v>5</v>
      </c>
      <c r="BE1107" s="1226">
        <v>532042638.28999996</v>
      </c>
      <c r="BF1107" s="1227">
        <v>8.2258792889035454E-2</v>
      </c>
      <c r="BH1107" s="824" t="s">
        <v>32</v>
      </c>
      <c r="BI1107" s="824" t="s">
        <v>356</v>
      </c>
      <c r="BJ1107" s="824" t="s">
        <v>314</v>
      </c>
      <c r="BK1107" s="824">
        <v>2</v>
      </c>
      <c r="BL1107" s="1226">
        <v>4316792000</v>
      </c>
      <c r="BM1107" s="1227">
        <v>0.25964020085583744</v>
      </c>
      <c r="BN1107" s="824">
        <f t="shared" si="38"/>
        <v>2018</v>
      </c>
    </row>
    <row r="1108" spans="1:66" ht="15" customHeight="1" x14ac:dyDescent="0.35">
      <c r="A1108" s="64">
        <f t="shared" si="40"/>
        <v>1900</v>
      </c>
      <c r="B1108" s="168" t="str">
        <f t="shared" si="39"/>
        <v>1899-00</v>
      </c>
      <c r="C1108" s="64"/>
      <c r="BA1108" s="824" t="s">
        <v>165</v>
      </c>
      <c r="BB1108" s="1225">
        <v>2020</v>
      </c>
      <c r="BC1108" s="824" t="s">
        <v>285</v>
      </c>
      <c r="BD1108" s="824">
        <v>6</v>
      </c>
      <c r="BE1108" s="1226">
        <v>455337809.89000016</v>
      </c>
      <c r="BF1108" s="1227">
        <v>7.0399505420602526E-2</v>
      </c>
      <c r="BH1108" s="824" t="s">
        <v>32</v>
      </c>
      <c r="BI1108" s="824" t="s">
        <v>356</v>
      </c>
      <c r="BJ1108" s="824" t="s">
        <v>327</v>
      </c>
      <c r="BK1108" s="824">
        <v>3</v>
      </c>
      <c r="BL1108" s="1226">
        <v>3784997000</v>
      </c>
      <c r="BM1108" s="1227">
        <v>0.22765455952446684</v>
      </c>
      <c r="BN1108" s="824">
        <f t="shared" si="38"/>
        <v>2018</v>
      </c>
    </row>
    <row r="1109" spans="1:66" ht="15" customHeight="1" x14ac:dyDescent="0.35">
      <c r="A1109" s="64">
        <f t="shared" si="40"/>
        <v>1900</v>
      </c>
      <c r="B1109" s="168" t="str">
        <f t="shared" si="39"/>
        <v>1899-00</v>
      </c>
      <c r="C1109" s="64"/>
      <c r="BA1109" s="824" t="s">
        <v>165</v>
      </c>
      <c r="BB1109" s="1225">
        <v>2020</v>
      </c>
      <c r="BC1109" s="824" t="s">
        <v>287</v>
      </c>
      <c r="BD1109" s="824">
        <v>7</v>
      </c>
      <c r="BE1109" s="1226">
        <v>430910259.41000009</v>
      </c>
      <c r="BF1109" s="1227">
        <v>6.662277650620764E-2</v>
      </c>
      <c r="BH1109" s="824" t="s">
        <v>32</v>
      </c>
      <c r="BI1109" s="824" t="s">
        <v>356</v>
      </c>
      <c r="BJ1109" s="824" t="s">
        <v>306</v>
      </c>
      <c r="BK1109" s="824">
        <v>4</v>
      </c>
      <c r="BL1109" s="1226">
        <v>1276083000</v>
      </c>
      <c r="BM1109" s="1227">
        <v>7.675200621867341E-2</v>
      </c>
      <c r="BN1109" s="824">
        <f t="shared" si="38"/>
        <v>2018</v>
      </c>
    </row>
    <row r="1110" spans="1:66" ht="15" customHeight="1" x14ac:dyDescent="0.35">
      <c r="A1110" s="64">
        <f t="shared" si="40"/>
        <v>1900</v>
      </c>
      <c r="B1110" s="168" t="str">
        <f t="shared" si="39"/>
        <v>1899-00</v>
      </c>
      <c r="C1110" s="64"/>
      <c r="BA1110" s="824" t="s">
        <v>165</v>
      </c>
      <c r="BB1110" s="1225">
        <v>2020</v>
      </c>
      <c r="BC1110" s="824" t="s">
        <v>288</v>
      </c>
      <c r="BD1110" s="824">
        <v>8</v>
      </c>
      <c r="BE1110" s="1226">
        <v>241478975.00000003</v>
      </c>
      <c r="BF1110" s="1227">
        <v>3.7334919350494697E-2</v>
      </c>
      <c r="BH1110" s="824" t="s">
        <v>32</v>
      </c>
      <c r="BI1110" s="824" t="s">
        <v>356</v>
      </c>
      <c r="BJ1110" s="824" t="s">
        <v>323</v>
      </c>
      <c r="BK1110" s="824">
        <v>5</v>
      </c>
      <c r="BL1110" s="1226">
        <v>1129607000</v>
      </c>
      <c r="BM1110" s="1227">
        <v>6.7941978295030195E-2</v>
      </c>
      <c r="BN1110" s="824">
        <f t="shared" si="38"/>
        <v>2018</v>
      </c>
    </row>
    <row r="1111" spans="1:66" ht="15" customHeight="1" x14ac:dyDescent="0.35">
      <c r="A1111" s="64">
        <f t="shared" si="40"/>
        <v>1900</v>
      </c>
      <c r="B1111" s="168" t="str">
        <f t="shared" si="39"/>
        <v>1899-00</v>
      </c>
      <c r="C1111" s="64"/>
      <c r="BA1111" s="824" t="s">
        <v>165</v>
      </c>
      <c r="BB1111" s="1225">
        <v>2020</v>
      </c>
      <c r="BC1111" s="824" t="s">
        <v>296</v>
      </c>
      <c r="BD1111" s="824">
        <v>9</v>
      </c>
      <c r="BE1111" s="1226">
        <v>138225255.53</v>
      </c>
      <c r="BF1111" s="1227">
        <v>2.1370923772614452E-2</v>
      </c>
      <c r="BH1111" s="824" t="s">
        <v>32</v>
      </c>
      <c r="BI1111" s="824" t="s">
        <v>356</v>
      </c>
      <c r="BJ1111" s="824" t="s">
        <v>287</v>
      </c>
      <c r="BK1111" s="824">
        <v>6</v>
      </c>
      <c r="BL1111" s="1226">
        <v>578984000</v>
      </c>
      <c r="BM1111" s="1227">
        <v>3.4823897480424401E-2</v>
      </c>
      <c r="BN1111" s="824">
        <f t="shared" si="38"/>
        <v>2018</v>
      </c>
    </row>
    <row r="1112" spans="1:66" ht="15" customHeight="1" x14ac:dyDescent="0.35">
      <c r="A1112" s="64">
        <f t="shared" si="40"/>
        <v>1900</v>
      </c>
      <c r="B1112" s="168" t="str">
        <f t="shared" si="39"/>
        <v>1899-00</v>
      </c>
      <c r="C1112" s="64"/>
      <c r="BA1112" s="824" t="s">
        <v>165</v>
      </c>
      <c r="BB1112" s="1225">
        <v>2020</v>
      </c>
      <c r="BC1112" s="824" t="s">
        <v>289</v>
      </c>
      <c r="BD1112" s="824">
        <v>10</v>
      </c>
      <c r="BE1112" s="1226">
        <v>124098606.56000002</v>
      </c>
      <c r="BF1112" s="1227">
        <v>1.9186811056434095E-2</v>
      </c>
      <c r="BH1112" s="824" t="s">
        <v>32</v>
      </c>
      <c r="BI1112" s="824" t="s">
        <v>356</v>
      </c>
      <c r="BJ1112" s="824" t="s">
        <v>286</v>
      </c>
      <c r="BK1112" s="824">
        <v>7</v>
      </c>
      <c r="BL1112" s="1226">
        <v>124207000</v>
      </c>
      <c r="BM1112" s="1227">
        <v>7.4706241180258403E-3</v>
      </c>
      <c r="BN1112" s="824">
        <f t="shared" si="38"/>
        <v>2018</v>
      </c>
    </row>
    <row r="1113" spans="1:66" ht="15" customHeight="1" x14ac:dyDescent="0.35">
      <c r="A1113" s="64">
        <f t="shared" si="40"/>
        <v>1900</v>
      </c>
      <c r="B1113" s="168" t="str">
        <f t="shared" si="39"/>
        <v>1899-00</v>
      </c>
      <c r="C1113" s="64"/>
      <c r="BA1113" s="824" t="s">
        <v>165</v>
      </c>
      <c r="BB1113" s="1225">
        <v>2020</v>
      </c>
      <c r="BC1113" s="824" t="s">
        <v>291</v>
      </c>
      <c r="BE1113" s="1226">
        <v>708515244.56000042</v>
      </c>
      <c r="BF1113" s="1227">
        <v>0.10954311659739172</v>
      </c>
      <c r="BH1113" s="824" t="s">
        <v>32</v>
      </c>
      <c r="BI1113" s="824" t="s">
        <v>356</v>
      </c>
      <c r="BJ1113" s="824" t="s">
        <v>320</v>
      </c>
      <c r="BK1113" s="824">
        <v>8</v>
      </c>
      <c r="BL1113" s="1226">
        <v>118040000</v>
      </c>
      <c r="BM1113" s="1227">
        <v>7.0997002656192501E-3</v>
      </c>
      <c r="BN1113" s="824">
        <f t="shared" si="38"/>
        <v>2018</v>
      </c>
    </row>
    <row r="1114" spans="1:66" ht="15" customHeight="1" x14ac:dyDescent="0.35">
      <c r="A1114" s="64">
        <f t="shared" si="40"/>
        <v>1900</v>
      </c>
      <c r="B1114" s="168" t="str">
        <f t="shared" si="39"/>
        <v>1899-00</v>
      </c>
      <c r="C1114" s="64"/>
      <c r="BA1114" s="824" t="s">
        <v>165</v>
      </c>
      <c r="BB1114" s="1225">
        <v>2020</v>
      </c>
      <c r="BC1114" s="824" t="s">
        <v>292</v>
      </c>
      <c r="BE1114" s="1226">
        <v>6467912056.6200008</v>
      </c>
      <c r="BH1114" s="824" t="s">
        <v>32</v>
      </c>
      <c r="BI1114" s="824" t="s">
        <v>356</v>
      </c>
      <c r="BJ1114" s="824" t="s">
        <v>328</v>
      </c>
      <c r="BK1114" s="824">
        <v>9</v>
      </c>
      <c r="BL1114" s="1226">
        <v>107295000</v>
      </c>
      <c r="BM1114" s="1227">
        <v>6.4534254489970978E-3</v>
      </c>
      <c r="BN1114" s="824">
        <f t="shared" si="38"/>
        <v>2018</v>
      </c>
    </row>
    <row r="1115" spans="1:66" ht="15" customHeight="1" x14ac:dyDescent="0.35">
      <c r="A1115" s="64">
        <f t="shared" si="40"/>
        <v>1900</v>
      </c>
      <c r="B1115" s="168" t="str">
        <f t="shared" si="39"/>
        <v>1899-00</v>
      </c>
      <c r="C1115" s="64"/>
      <c r="BA1115" s="824" t="s">
        <v>345</v>
      </c>
      <c r="BB1115" s="1225">
        <v>2020</v>
      </c>
      <c r="BC1115" s="824" t="s">
        <v>281</v>
      </c>
      <c r="BD1115" s="824">
        <v>1</v>
      </c>
      <c r="BE1115" s="1235" t="s">
        <v>172</v>
      </c>
      <c r="BF1115" s="1316">
        <v>0.22453189125237435</v>
      </c>
      <c r="BH1115" s="824" t="s">
        <v>32</v>
      </c>
      <c r="BI1115" s="824" t="s">
        <v>356</v>
      </c>
      <c r="BJ1115" s="824" t="s">
        <v>335</v>
      </c>
      <c r="BK1115" s="824">
        <v>10</v>
      </c>
      <c r="BL1115" s="1226">
        <v>44386000</v>
      </c>
      <c r="BM1115" s="1227">
        <v>2.6696653336985431E-3</v>
      </c>
      <c r="BN1115" s="824">
        <f t="shared" si="38"/>
        <v>2018</v>
      </c>
    </row>
    <row r="1116" spans="1:66" ht="15" customHeight="1" x14ac:dyDescent="0.35">
      <c r="A1116" s="64">
        <f t="shared" si="40"/>
        <v>1900</v>
      </c>
      <c r="B1116" s="168" t="str">
        <f t="shared" si="39"/>
        <v>1899-00</v>
      </c>
      <c r="C1116" s="64"/>
      <c r="BA1116" s="824" t="s">
        <v>345</v>
      </c>
      <c r="BB1116" s="1225">
        <v>2020</v>
      </c>
      <c r="BC1116" s="824" t="s">
        <v>335</v>
      </c>
      <c r="BD1116" s="824">
        <v>2</v>
      </c>
      <c r="BE1116" s="1235" t="s">
        <v>172</v>
      </c>
      <c r="BF1116" s="1316">
        <v>0.21814004874928886</v>
      </c>
      <c r="BH1116" s="824" t="s">
        <v>32</v>
      </c>
      <c r="BI1116" s="824" t="s">
        <v>356</v>
      </c>
      <c r="BJ1116" s="824" t="s">
        <v>291</v>
      </c>
      <c r="BL1116" s="1226">
        <v>73923000</v>
      </c>
      <c r="BM1116" s="1227">
        <v>4.4462143572972877E-3</v>
      </c>
      <c r="BN1116" s="824">
        <f t="shared" si="38"/>
        <v>2018</v>
      </c>
    </row>
    <row r="1117" spans="1:66" ht="15" customHeight="1" x14ac:dyDescent="0.35">
      <c r="A1117" s="64">
        <f t="shared" si="40"/>
        <v>1900</v>
      </c>
      <c r="B1117" s="168" t="str">
        <f t="shared" si="39"/>
        <v>1899-00</v>
      </c>
      <c r="C1117" s="64"/>
      <c r="BA1117" s="824" t="s">
        <v>345</v>
      </c>
      <c r="BB1117" s="1225">
        <v>2020</v>
      </c>
      <c r="BC1117" s="824" t="s">
        <v>360</v>
      </c>
      <c r="BD1117" s="824">
        <v>3</v>
      </c>
      <c r="BE1117" s="1235" t="s">
        <v>172</v>
      </c>
      <c r="BF1117" s="1316">
        <v>0.18365082024814364</v>
      </c>
      <c r="BH1117" s="824" t="s">
        <v>32</v>
      </c>
      <c r="BI1117" s="824" t="s">
        <v>356</v>
      </c>
      <c r="BJ1117" s="824" t="s">
        <v>331</v>
      </c>
      <c r="BL1117" s="1226">
        <v>16626054000</v>
      </c>
      <c r="BN1117" s="824">
        <f t="shared" si="38"/>
        <v>2018</v>
      </c>
    </row>
    <row r="1118" spans="1:66" ht="15" customHeight="1" x14ac:dyDescent="0.35">
      <c r="A1118" s="64">
        <f t="shared" si="40"/>
        <v>1900</v>
      </c>
      <c r="B1118" s="168" t="str">
        <f t="shared" si="39"/>
        <v>1899-00</v>
      </c>
      <c r="C1118" s="64"/>
      <c r="BA1118" s="824" t="s">
        <v>345</v>
      </c>
      <c r="BB1118" s="1225">
        <v>2020</v>
      </c>
      <c r="BC1118" s="824" t="s">
        <v>346</v>
      </c>
      <c r="BD1118" s="824">
        <v>4</v>
      </c>
      <c r="BE1118" s="1235" t="s">
        <v>172</v>
      </c>
      <c r="BF1118" s="1316">
        <v>0.15510445384633745</v>
      </c>
      <c r="BH1118" s="824" t="s">
        <v>54</v>
      </c>
      <c r="BI1118" s="824" t="s">
        <v>356</v>
      </c>
      <c r="BJ1118" s="824" t="s">
        <v>281</v>
      </c>
      <c r="BK1118" s="824">
        <v>1</v>
      </c>
      <c r="BL1118" s="1226">
        <v>608817843.95999992</v>
      </c>
      <c r="BM1118" s="1227">
        <v>0.40686085123877858</v>
      </c>
      <c r="BN1118" s="824">
        <f t="shared" si="38"/>
        <v>2018</v>
      </c>
    </row>
    <row r="1119" spans="1:66" ht="15" customHeight="1" x14ac:dyDescent="0.35">
      <c r="A1119" s="64">
        <f t="shared" si="40"/>
        <v>1900</v>
      </c>
      <c r="B1119" s="168" t="str">
        <f t="shared" si="39"/>
        <v>1899-00</v>
      </c>
      <c r="C1119" s="64"/>
      <c r="BA1119" s="824" t="s">
        <v>345</v>
      </c>
      <c r="BB1119" s="1225">
        <v>2020</v>
      </c>
      <c r="BC1119" s="824" t="s">
        <v>308</v>
      </c>
      <c r="BD1119" s="824">
        <v>5</v>
      </c>
      <c r="BE1119" s="1235" t="s">
        <v>172</v>
      </c>
      <c r="BF1119" s="1316">
        <v>0.11155441356950328</v>
      </c>
      <c r="BH1119" s="824" t="s">
        <v>54</v>
      </c>
      <c r="BI1119" s="824" t="s">
        <v>356</v>
      </c>
      <c r="BJ1119" s="824" t="s">
        <v>286</v>
      </c>
      <c r="BK1119" s="824">
        <v>2</v>
      </c>
      <c r="BL1119" s="1226">
        <v>127675624</v>
      </c>
      <c r="BM1119" s="1227">
        <v>8.5323079108856018E-2</v>
      </c>
      <c r="BN1119" s="824">
        <f t="shared" ref="BN1119:BN1182" si="41">_xlfn.NUMBERVALUE(LEFT(BI1119,4))</f>
        <v>2018</v>
      </c>
    </row>
    <row r="1120" spans="1:66" ht="15" customHeight="1" x14ac:dyDescent="0.35">
      <c r="A1120" s="64">
        <f t="shared" si="40"/>
        <v>1900</v>
      </c>
      <c r="B1120" s="168" t="str">
        <f t="shared" si="39"/>
        <v>1899-00</v>
      </c>
      <c r="C1120" s="64"/>
      <c r="BA1120" s="824" t="s">
        <v>345</v>
      </c>
      <c r="BB1120" s="1225">
        <v>2020</v>
      </c>
      <c r="BC1120" s="824" t="s">
        <v>315</v>
      </c>
      <c r="BD1120" s="824">
        <v>6</v>
      </c>
      <c r="BE1120" s="1235" t="s">
        <v>172</v>
      </c>
      <c r="BF1120" s="1316">
        <v>3.7216140167510584E-2</v>
      </c>
      <c r="BH1120" s="824" t="s">
        <v>54</v>
      </c>
      <c r="BI1120" s="824" t="s">
        <v>356</v>
      </c>
      <c r="BJ1120" s="824" t="s">
        <v>285</v>
      </c>
      <c r="BK1120" s="824">
        <v>3</v>
      </c>
      <c r="BL1120" s="1226">
        <v>120950226.28</v>
      </c>
      <c r="BM1120" s="1227">
        <v>8.0828629630370755E-2</v>
      </c>
      <c r="BN1120" s="824">
        <f t="shared" si="41"/>
        <v>2018</v>
      </c>
    </row>
    <row r="1121" spans="1:66" ht="15" customHeight="1" x14ac:dyDescent="0.35">
      <c r="A1121" s="64">
        <f t="shared" si="40"/>
        <v>1900</v>
      </c>
      <c r="B1121" s="168" t="str">
        <f t="shared" si="39"/>
        <v>1899-00</v>
      </c>
      <c r="C1121" s="64"/>
      <c r="BA1121" s="824" t="s">
        <v>345</v>
      </c>
      <c r="BB1121" s="1225">
        <v>2020</v>
      </c>
      <c r="BC1121" s="824" t="s">
        <v>347</v>
      </c>
      <c r="BD1121" s="824">
        <v>7</v>
      </c>
      <c r="BE1121" s="1235" t="s">
        <v>172</v>
      </c>
      <c r="BF1121" s="1316">
        <v>2.3456683328248153E-2</v>
      </c>
      <c r="BH1121" s="824" t="s">
        <v>54</v>
      </c>
      <c r="BI1121" s="824" t="s">
        <v>356</v>
      </c>
      <c r="BJ1121" s="824" t="s">
        <v>312</v>
      </c>
      <c r="BK1121" s="824">
        <v>4</v>
      </c>
      <c r="BL1121" s="1226">
        <v>90819022.150000006</v>
      </c>
      <c r="BM1121" s="1227">
        <v>6.0692545442295215E-2</v>
      </c>
      <c r="BN1121" s="824">
        <f t="shared" si="41"/>
        <v>2018</v>
      </c>
    </row>
    <row r="1122" spans="1:66" ht="15" customHeight="1" x14ac:dyDescent="0.35">
      <c r="A1122" s="64">
        <f t="shared" si="40"/>
        <v>1900</v>
      </c>
      <c r="B1122" s="168" t="str">
        <f t="shared" si="39"/>
        <v>1899-00</v>
      </c>
      <c r="C1122" s="64"/>
      <c r="BA1122" s="824" t="s">
        <v>345</v>
      </c>
      <c r="BB1122" s="1225">
        <v>2020</v>
      </c>
      <c r="BC1122" s="824" t="s">
        <v>309</v>
      </c>
      <c r="BD1122" s="824">
        <v>8</v>
      </c>
      <c r="BE1122" s="1235" t="s">
        <v>172</v>
      </c>
      <c r="BF1122" s="1316">
        <v>2.3147806687080209E-2</v>
      </c>
      <c r="BH1122" s="824" t="s">
        <v>54</v>
      </c>
      <c r="BI1122" s="824" t="s">
        <v>356</v>
      </c>
      <c r="BJ1122" s="824" t="s">
        <v>322</v>
      </c>
      <c r="BK1122" s="824">
        <v>5</v>
      </c>
      <c r="BL1122" s="1226">
        <v>85506882.879999995</v>
      </c>
      <c r="BM1122" s="1227">
        <v>5.7142548465805229E-2</v>
      </c>
      <c r="BN1122" s="824">
        <f t="shared" si="41"/>
        <v>2018</v>
      </c>
    </row>
    <row r="1123" spans="1:66" ht="15" customHeight="1" x14ac:dyDescent="0.35">
      <c r="A1123" s="64">
        <f t="shared" si="40"/>
        <v>1900</v>
      </c>
      <c r="B1123" s="168" t="str">
        <f t="shared" si="39"/>
        <v>1899-00</v>
      </c>
      <c r="C1123" s="64"/>
      <c r="BA1123" s="824" t="s">
        <v>345</v>
      </c>
      <c r="BB1123" s="1225">
        <v>2020</v>
      </c>
      <c r="BC1123" s="824" t="s">
        <v>285</v>
      </c>
      <c r="BD1123" s="824">
        <v>9</v>
      </c>
      <c r="BE1123" s="1235" t="s">
        <v>172</v>
      </c>
      <c r="BF1123" s="1316">
        <v>1.587869230232759E-2</v>
      </c>
      <c r="BH1123" s="824" t="s">
        <v>54</v>
      </c>
      <c r="BI1123" s="824" t="s">
        <v>356</v>
      </c>
      <c r="BJ1123" s="824" t="s">
        <v>290</v>
      </c>
      <c r="BK1123" s="824">
        <v>6</v>
      </c>
      <c r="BL1123" s="1226">
        <v>76339125.120000005</v>
      </c>
      <c r="BM1123" s="1227">
        <v>5.1015918369152577E-2</v>
      </c>
      <c r="BN1123" s="824">
        <f t="shared" si="41"/>
        <v>2018</v>
      </c>
    </row>
    <row r="1124" spans="1:66" ht="15" customHeight="1" x14ac:dyDescent="0.35">
      <c r="A1124" s="64">
        <f t="shared" si="40"/>
        <v>1900</v>
      </c>
      <c r="B1124" s="168" t="str">
        <f t="shared" si="39"/>
        <v>1899-00</v>
      </c>
      <c r="C1124" s="64"/>
      <c r="BA1124" s="824" t="s">
        <v>345</v>
      </c>
      <c r="BB1124" s="1225">
        <v>2020</v>
      </c>
      <c r="BC1124" s="824" t="s">
        <v>322</v>
      </c>
      <c r="BD1124" s="824">
        <v>10</v>
      </c>
      <c r="BE1124" s="1235" t="s">
        <v>172</v>
      </c>
      <c r="BF1124" s="1227">
        <v>7.3190498491858937E-3</v>
      </c>
      <c r="BH1124" s="824" t="s">
        <v>54</v>
      </c>
      <c r="BI1124" s="824" t="s">
        <v>356</v>
      </c>
      <c r="BJ1124" s="824" t="s">
        <v>314</v>
      </c>
      <c r="BK1124" s="824">
        <v>7</v>
      </c>
      <c r="BL1124" s="1226">
        <v>68398199.99000001</v>
      </c>
      <c r="BM1124" s="1227">
        <v>4.5709156108374498E-2</v>
      </c>
      <c r="BN1124" s="824">
        <f t="shared" si="41"/>
        <v>2018</v>
      </c>
    </row>
    <row r="1125" spans="1:66" ht="15" customHeight="1" x14ac:dyDescent="0.35">
      <c r="A1125" s="64">
        <f t="shared" si="40"/>
        <v>1900</v>
      </c>
      <c r="B1125" s="168" t="str">
        <f t="shared" si="39"/>
        <v>1899-00</v>
      </c>
      <c r="C1125" s="64"/>
      <c r="BA1125" s="824" t="s">
        <v>345</v>
      </c>
      <c r="BB1125" s="1225">
        <v>2020</v>
      </c>
      <c r="BC1125" s="824" t="s">
        <v>291</v>
      </c>
      <c r="BE1125" s="1235" t="s">
        <v>172</v>
      </c>
      <c r="BF1125" s="1227">
        <v>0</v>
      </c>
      <c r="BH1125" s="824" t="s">
        <v>54</v>
      </c>
      <c r="BI1125" s="824" t="s">
        <v>356</v>
      </c>
      <c r="BJ1125" s="824" t="s">
        <v>287</v>
      </c>
      <c r="BK1125" s="824">
        <v>8</v>
      </c>
      <c r="BL1125" s="1226">
        <v>57909525.269999996</v>
      </c>
      <c r="BM1125" s="1227">
        <v>3.8699783490139875E-2</v>
      </c>
      <c r="BN1125" s="824">
        <f t="shared" si="41"/>
        <v>2018</v>
      </c>
    </row>
    <row r="1126" spans="1:66" ht="15" customHeight="1" x14ac:dyDescent="0.35">
      <c r="A1126" s="64">
        <f t="shared" si="40"/>
        <v>1900</v>
      </c>
      <c r="B1126" s="168" t="str">
        <f t="shared" si="39"/>
        <v>1899-00</v>
      </c>
      <c r="C1126" s="64"/>
      <c r="BA1126" s="824" t="s">
        <v>345</v>
      </c>
      <c r="BB1126" s="1225">
        <v>2020</v>
      </c>
      <c r="BC1126" s="824" t="s">
        <v>361</v>
      </c>
      <c r="BE1126" s="1235" t="s">
        <v>172</v>
      </c>
      <c r="BH1126" s="824" t="s">
        <v>54</v>
      </c>
      <c r="BI1126" s="824" t="s">
        <v>356</v>
      </c>
      <c r="BJ1126" s="824" t="s">
        <v>308</v>
      </c>
      <c r="BK1126" s="824">
        <v>9</v>
      </c>
      <c r="BL1126" s="1226">
        <v>48093142.900000006</v>
      </c>
      <c r="BM1126" s="1227">
        <v>3.2139690472554237E-2</v>
      </c>
      <c r="BN1126" s="824">
        <f t="shared" si="41"/>
        <v>2018</v>
      </c>
    </row>
    <row r="1127" spans="1:66" ht="15" customHeight="1" x14ac:dyDescent="0.35">
      <c r="A1127" s="64">
        <f t="shared" si="40"/>
        <v>1900</v>
      </c>
      <c r="B1127" s="168" t="str">
        <f t="shared" si="39"/>
        <v>1899-00</v>
      </c>
      <c r="C1127" s="64"/>
      <c r="BA1127" s="824" t="s">
        <v>71</v>
      </c>
      <c r="BB1127" s="1225">
        <v>2020</v>
      </c>
      <c r="BC1127" s="824" t="s">
        <v>308</v>
      </c>
      <c r="BD1127" s="824">
        <v>1</v>
      </c>
      <c r="BE1127" s="1226">
        <v>10194489244.552509</v>
      </c>
      <c r="BF1127" s="1227">
        <v>0.40684513567059188</v>
      </c>
      <c r="BH1127" s="824" t="s">
        <v>54</v>
      </c>
      <c r="BI1127" s="824" t="s">
        <v>356</v>
      </c>
      <c r="BJ1127" s="824" t="s">
        <v>315</v>
      </c>
      <c r="BK1127" s="824">
        <v>10</v>
      </c>
      <c r="BL1127" s="1226">
        <v>46120988.479999997</v>
      </c>
      <c r="BM1127" s="1227">
        <v>3.0821738914373165E-2</v>
      </c>
      <c r="BN1127" s="824">
        <f t="shared" si="41"/>
        <v>2018</v>
      </c>
    </row>
    <row r="1128" spans="1:66" ht="15" customHeight="1" x14ac:dyDescent="0.35">
      <c r="A1128" s="64">
        <f t="shared" si="40"/>
        <v>1900</v>
      </c>
      <c r="B1128" s="168" t="str">
        <f t="shared" si="39"/>
        <v>1899-00</v>
      </c>
      <c r="C1128" s="64"/>
      <c r="BA1128" s="824" t="s">
        <v>71</v>
      </c>
      <c r="BB1128" s="1225">
        <v>2020</v>
      </c>
      <c r="BC1128" s="824" t="s">
        <v>281</v>
      </c>
      <c r="BD1128" s="824">
        <v>2</v>
      </c>
      <c r="BE1128" s="1226">
        <v>4715755404.8904018</v>
      </c>
      <c r="BF1128" s="1227">
        <v>0.18819796671198305</v>
      </c>
      <c r="BH1128" s="824" t="s">
        <v>54</v>
      </c>
      <c r="BI1128" s="824" t="s">
        <v>356</v>
      </c>
      <c r="BJ1128" s="824" t="s">
        <v>291</v>
      </c>
      <c r="BL1128" s="1226">
        <v>165747952.58000016</v>
      </c>
      <c r="BM1128" s="1227">
        <v>0.11076605875929982</v>
      </c>
      <c r="BN1128" s="824">
        <f t="shared" si="41"/>
        <v>2018</v>
      </c>
    </row>
    <row r="1129" spans="1:66" ht="15" customHeight="1" x14ac:dyDescent="0.35">
      <c r="A1129" s="64">
        <f t="shared" si="40"/>
        <v>1900</v>
      </c>
      <c r="B1129" s="168" t="str">
        <f t="shared" si="39"/>
        <v>1899-00</v>
      </c>
      <c r="C1129" s="64"/>
      <c r="BA1129" s="824" t="s">
        <v>71</v>
      </c>
      <c r="BB1129" s="1225">
        <v>2020</v>
      </c>
      <c r="BC1129" s="824" t="s">
        <v>306</v>
      </c>
      <c r="BD1129" s="824">
        <v>3</v>
      </c>
      <c r="BE1129" s="1226">
        <v>4035907354.6630001</v>
      </c>
      <c r="BF1129" s="1227">
        <v>0.16106636005714708</v>
      </c>
      <c r="BH1129" s="824" t="s">
        <v>54</v>
      </c>
      <c r="BI1129" s="824" t="s">
        <v>356</v>
      </c>
      <c r="BJ1129" s="824" t="s">
        <v>292</v>
      </c>
      <c r="BL1129" s="1226">
        <v>1496378533.6100001</v>
      </c>
      <c r="BM1129" s="1227">
        <v>1</v>
      </c>
      <c r="BN1129" s="824">
        <f t="shared" si="41"/>
        <v>2018</v>
      </c>
    </row>
    <row r="1130" spans="1:66" ht="15" customHeight="1" x14ac:dyDescent="0.35">
      <c r="A1130" s="64">
        <f t="shared" si="40"/>
        <v>1900</v>
      </c>
      <c r="B1130" s="168" t="str">
        <f t="shared" si="39"/>
        <v>1899-00</v>
      </c>
      <c r="C1130" s="64"/>
      <c r="BA1130" s="824" t="s">
        <v>71</v>
      </c>
      <c r="BB1130" s="1225">
        <v>2020</v>
      </c>
      <c r="BC1130" s="824" t="s">
        <v>320</v>
      </c>
      <c r="BD1130" s="824">
        <v>4</v>
      </c>
      <c r="BE1130" s="1226">
        <v>1907398158.4233999</v>
      </c>
      <c r="BF1130" s="1227">
        <v>7.6121092869490661E-2</v>
      </c>
      <c r="BH1130" s="824" t="s">
        <v>40</v>
      </c>
      <c r="BI1130" s="824" t="s">
        <v>356</v>
      </c>
      <c r="BJ1130" s="824" t="s">
        <v>281</v>
      </c>
      <c r="BK1130" s="824">
        <v>1</v>
      </c>
      <c r="BL1130" s="1226">
        <v>62396417000</v>
      </c>
      <c r="BM1130" s="1227">
        <v>0.81883534691564352</v>
      </c>
      <c r="BN1130" s="824">
        <f t="shared" si="41"/>
        <v>2018</v>
      </c>
    </row>
    <row r="1131" spans="1:66" ht="15" customHeight="1" x14ac:dyDescent="0.35">
      <c r="A1131" s="64">
        <f t="shared" si="40"/>
        <v>1900</v>
      </c>
      <c r="B1131" s="168" t="str">
        <f t="shared" si="39"/>
        <v>1899-00</v>
      </c>
      <c r="C1131" s="64"/>
      <c r="BA1131" s="824" t="s">
        <v>71</v>
      </c>
      <c r="BB1131" s="1225">
        <v>2020</v>
      </c>
      <c r="BC1131" s="824" t="s">
        <v>289</v>
      </c>
      <c r="BD1131" s="824">
        <v>5</v>
      </c>
      <c r="BE1131" s="1226">
        <v>895096077.33639991</v>
      </c>
      <c r="BF1131" s="1227">
        <v>3.572179795243164E-2</v>
      </c>
      <c r="BH1131" s="824" t="s">
        <v>40</v>
      </c>
      <c r="BI1131" s="824" t="s">
        <v>356</v>
      </c>
      <c r="BJ1131" s="824" t="s">
        <v>308</v>
      </c>
      <c r="BK1131" s="824">
        <v>2</v>
      </c>
      <c r="BL1131" s="1226">
        <v>5730626000</v>
      </c>
      <c r="BM1131" s="1227">
        <v>7.5203663196779499E-2</v>
      </c>
      <c r="BN1131" s="824">
        <f t="shared" si="41"/>
        <v>2018</v>
      </c>
    </row>
    <row r="1132" spans="1:66" ht="15" customHeight="1" x14ac:dyDescent="0.35">
      <c r="A1132" s="64">
        <f t="shared" si="40"/>
        <v>1900</v>
      </c>
      <c r="B1132" s="168" t="str">
        <f t="shared" si="39"/>
        <v>1899-00</v>
      </c>
      <c r="C1132" s="64"/>
      <c r="BA1132" s="824" t="s">
        <v>71</v>
      </c>
      <c r="BB1132" s="1225">
        <v>2020</v>
      </c>
      <c r="BC1132" s="824" t="s">
        <v>323</v>
      </c>
      <c r="BD1132" s="824">
        <v>6</v>
      </c>
      <c r="BE1132" s="1226">
        <v>810364404.11230004</v>
      </c>
      <c r="BF1132" s="1227">
        <v>3.2340297588705637E-2</v>
      </c>
      <c r="BH1132" s="824" t="s">
        <v>40</v>
      </c>
      <c r="BI1132" s="824" t="s">
        <v>356</v>
      </c>
      <c r="BJ1132" s="824" t="s">
        <v>320</v>
      </c>
      <c r="BK1132" s="824">
        <v>3</v>
      </c>
      <c r="BL1132" s="1226">
        <v>4520131000</v>
      </c>
      <c r="BM1132" s="1227">
        <v>5.9318198278743385E-2</v>
      </c>
      <c r="BN1132" s="824">
        <f t="shared" si="41"/>
        <v>2018</v>
      </c>
    </row>
    <row r="1133" spans="1:66" ht="15" customHeight="1" x14ac:dyDescent="0.35">
      <c r="A1133" s="64">
        <f t="shared" si="40"/>
        <v>1900</v>
      </c>
      <c r="B1133" s="168" t="str">
        <f t="shared" si="39"/>
        <v>1899-00</v>
      </c>
      <c r="C1133" s="64"/>
      <c r="BA1133" s="824" t="s">
        <v>71</v>
      </c>
      <c r="BB1133" s="1225">
        <v>2020</v>
      </c>
      <c r="BC1133" s="824" t="s">
        <v>315</v>
      </c>
      <c r="BD1133" s="824">
        <v>7</v>
      </c>
      <c r="BE1133" s="1226">
        <v>707139206.40100026</v>
      </c>
      <c r="BF1133" s="1227">
        <v>2.8220751375057057E-2</v>
      </c>
      <c r="BH1133" s="824" t="s">
        <v>40</v>
      </c>
      <c r="BI1133" s="824" t="s">
        <v>356</v>
      </c>
      <c r="BJ1133" s="824" t="s">
        <v>315</v>
      </c>
      <c r="BK1133" s="824">
        <v>4</v>
      </c>
      <c r="BL1133" s="1226">
        <v>1739740000</v>
      </c>
      <c r="BM1133" s="1227">
        <v>2.2830807840184503E-2</v>
      </c>
      <c r="BN1133" s="824">
        <f t="shared" si="41"/>
        <v>2018</v>
      </c>
    </row>
    <row r="1134" spans="1:66" ht="15" customHeight="1" x14ac:dyDescent="0.35">
      <c r="A1134" s="64">
        <f t="shared" si="40"/>
        <v>1900</v>
      </c>
      <c r="B1134" s="168" t="str">
        <f t="shared" si="39"/>
        <v>1899-00</v>
      </c>
      <c r="C1134" s="64"/>
      <c r="BA1134" s="824" t="s">
        <v>71</v>
      </c>
      <c r="BB1134" s="1225">
        <v>2020</v>
      </c>
      <c r="BC1134" s="824" t="s">
        <v>285</v>
      </c>
      <c r="BD1134" s="824">
        <v>8</v>
      </c>
      <c r="BE1134" s="1226">
        <v>633746234.79040003</v>
      </c>
      <c r="BF1134" s="1227">
        <v>2.5291759762442606E-2</v>
      </c>
      <c r="BH1134" s="824" t="s">
        <v>40</v>
      </c>
      <c r="BI1134" s="824" t="s">
        <v>356</v>
      </c>
      <c r="BJ1134" s="824" t="s">
        <v>330</v>
      </c>
      <c r="BK1134" s="824">
        <v>5</v>
      </c>
      <c r="BL1134" s="1226">
        <v>615882000</v>
      </c>
      <c r="BM1134" s="1227">
        <v>8.0822902239578963E-3</v>
      </c>
      <c r="BN1134" s="824">
        <f t="shared" si="41"/>
        <v>2018</v>
      </c>
    </row>
    <row r="1135" spans="1:66" ht="15" customHeight="1" x14ac:dyDescent="0.35">
      <c r="A1135" s="64">
        <f t="shared" si="40"/>
        <v>1900</v>
      </c>
      <c r="B1135" s="168" t="str">
        <f t="shared" si="39"/>
        <v>1899-00</v>
      </c>
      <c r="C1135" s="64"/>
      <c r="BA1135" s="824" t="s">
        <v>71</v>
      </c>
      <c r="BB1135" s="1225">
        <v>2020</v>
      </c>
      <c r="BC1135" s="824" t="s">
        <v>287</v>
      </c>
      <c r="BD1135" s="824">
        <v>9</v>
      </c>
      <c r="BE1135" s="1226">
        <v>392840648.73990005</v>
      </c>
      <c r="BF1135" s="1227">
        <v>1.5677617897229292E-2</v>
      </c>
      <c r="BH1135" s="824" t="s">
        <v>40</v>
      </c>
      <c r="BI1135" s="824" t="s">
        <v>356</v>
      </c>
      <c r="BJ1135" s="824" t="s">
        <v>291</v>
      </c>
      <c r="BL1135" s="1226">
        <v>1198625000</v>
      </c>
      <c r="BM1135" s="1227">
        <v>1.5729693544691246E-2</v>
      </c>
      <c r="BN1135" s="824">
        <f t="shared" si="41"/>
        <v>2018</v>
      </c>
    </row>
    <row r="1136" spans="1:66" ht="15" customHeight="1" x14ac:dyDescent="0.35">
      <c r="A1136" s="64">
        <f t="shared" si="40"/>
        <v>1900</v>
      </c>
      <c r="B1136" s="168" t="str">
        <f t="shared" si="39"/>
        <v>1899-00</v>
      </c>
      <c r="C1136" s="64"/>
      <c r="BA1136" s="824" t="s">
        <v>71</v>
      </c>
      <c r="BB1136" s="1225">
        <v>2020</v>
      </c>
      <c r="BC1136" s="824" t="s">
        <v>362</v>
      </c>
      <c r="BD1136" s="824">
        <v>10</v>
      </c>
      <c r="BE1136" s="1226">
        <v>335915500.15360004</v>
      </c>
      <c r="BF1136" s="1227">
        <v>1.3405829753253627E-2</v>
      </c>
      <c r="BH1136" s="824" t="s">
        <v>40</v>
      </c>
      <c r="BI1136" s="824" t="s">
        <v>356</v>
      </c>
      <c r="BJ1136" s="824" t="s">
        <v>292</v>
      </c>
      <c r="BL1136" s="1226">
        <v>76201421000</v>
      </c>
      <c r="BM1136" s="1227">
        <v>1</v>
      </c>
      <c r="BN1136" s="824">
        <f t="shared" si="41"/>
        <v>2018</v>
      </c>
    </row>
    <row r="1137" spans="1:66" ht="15" customHeight="1" x14ac:dyDescent="0.35">
      <c r="A1137" s="64">
        <f t="shared" si="40"/>
        <v>1900</v>
      </c>
      <c r="B1137" s="168" t="str">
        <f t="shared" si="39"/>
        <v>1899-00</v>
      </c>
      <c r="C1137" s="64"/>
      <c r="BA1137" s="824" t="s">
        <v>71</v>
      </c>
      <c r="BB1137" s="1225">
        <v>2020</v>
      </c>
      <c r="BC1137" s="824" t="s">
        <v>291</v>
      </c>
      <c r="BE1137" s="1226">
        <v>428767286.87890244</v>
      </c>
      <c r="BF1137" s="1227">
        <v>1.7111390361667485E-2</v>
      </c>
      <c r="BH1137" s="824" t="s">
        <v>71</v>
      </c>
      <c r="BI1137" s="824" t="s">
        <v>356</v>
      </c>
      <c r="BJ1137" s="824" t="s">
        <v>308</v>
      </c>
      <c r="BK1137" s="824">
        <v>1</v>
      </c>
      <c r="BL1137" s="1226">
        <v>15928444499.216007</v>
      </c>
      <c r="BM1137" s="1227">
        <v>0.43724908067981028</v>
      </c>
      <c r="BN1137" s="824">
        <f t="shared" si="41"/>
        <v>2018</v>
      </c>
    </row>
    <row r="1138" spans="1:66" ht="15" customHeight="1" x14ac:dyDescent="0.35">
      <c r="A1138" s="64">
        <f t="shared" si="40"/>
        <v>1900</v>
      </c>
      <c r="B1138" s="168" t="str">
        <f t="shared" si="39"/>
        <v>1899-00</v>
      </c>
      <c r="C1138" s="64"/>
      <c r="BA1138" s="824" t="s">
        <v>71</v>
      </c>
      <c r="BB1138" s="1225">
        <v>2020</v>
      </c>
      <c r="BC1138" s="824" t="s">
        <v>292</v>
      </c>
      <c r="BE1138" s="1226">
        <v>25057419520.941814</v>
      </c>
      <c r="BH1138" s="824" t="s">
        <v>71</v>
      </c>
      <c r="BI1138" s="824" t="s">
        <v>356</v>
      </c>
      <c r="BJ1138" s="824" t="s">
        <v>281</v>
      </c>
      <c r="BK1138" s="824">
        <v>2</v>
      </c>
      <c r="BL1138" s="1226">
        <v>6006652465.4380007</v>
      </c>
      <c r="BM1138" s="1227">
        <v>0.16488761778371722</v>
      </c>
      <c r="BN1138" s="824">
        <f t="shared" si="41"/>
        <v>2018</v>
      </c>
    </row>
    <row r="1139" spans="1:66" ht="15" customHeight="1" x14ac:dyDescent="0.35">
      <c r="A1139" s="64">
        <f t="shared" si="40"/>
        <v>1900</v>
      </c>
      <c r="B1139" s="168" t="str">
        <f t="shared" si="39"/>
        <v>1899-00</v>
      </c>
      <c r="C1139" s="64"/>
      <c r="BA1139" s="824" t="s">
        <v>61</v>
      </c>
      <c r="BB1139" s="1225">
        <v>2020</v>
      </c>
      <c r="BC1139" s="824" t="s">
        <v>281</v>
      </c>
      <c r="BD1139" s="824">
        <v>1</v>
      </c>
      <c r="BE1139" s="1226">
        <v>1318494634.2871852</v>
      </c>
      <c r="BF1139" s="1227">
        <v>0.42927441635472974</v>
      </c>
      <c r="BH1139" s="824" t="s">
        <v>71</v>
      </c>
      <c r="BI1139" s="824" t="s">
        <v>356</v>
      </c>
      <c r="BJ1139" s="824" t="s">
        <v>306</v>
      </c>
      <c r="BK1139" s="824">
        <v>3</v>
      </c>
      <c r="BL1139" s="1226">
        <v>4765508292.3060007</v>
      </c>
      <c r="BM1139" s="1227">
        <v>0.13081717551800939</v>
      </c>
      <c r="BN1139" s="824">
        <f t="shared" si="41"/>
        <v>2018</v>
      </c>
    </row>
    <row r="1140" spans="1:66" ht="15" customHeight="1" x14ac:dyDescent="0.35">
      <c r="A1140" s="64">
        <f t="shared" si="40"/>
        <v>1900</v>
      </c>
      <c r="B1140" s="168" t="str">
        <f t="shared" si="39"/>
        <v>1899-00</v>
      </c>
      <c r="C1140" s="64"/>
      <c r="BA1140" s="824" t="s">
        <v>61</v>
      </c>
      <c r="BB1140" s="1225">
        <v>2020</v>
      </c>
      <c r="BC1140" s="824" t="s">
        <v>308</v>
      </c>
      <c r="BD1140" s="824">
        <v>2</v>
      </c>
      <c r="BE1140" s="1226">
        <v>350570547.20339251</v>
      </c>
      <c r="BF1140" s="1227">
        <v>0.11413847514309693</v>
      </c>
      <c r="BH1140" s="824" t="s">
        <v>71</v>
      </c>
      <c r="BI1140" s="824" t="s">
        <v>356</v>
      </c>
      <c r="BJ1140" s="824" t="s">
        <v>320</v>
      </c>
      <c r="BK1140" s="824">
        <v>4</v>
      </c>
      <c r="BL1140" s="1226">
        <v>3371530052.717</v>
      </c>
      <c r="BM1140" s="1227">
        <v>9.2551310713825205E-2</v>
      </c>
      <c r="BN1140" s="824">
        <f t="shared" si="41"/>
        <v>2018</v>
      </c>
    </row>
    <row r="1141" spans="1:66" ht="15" customHeight="1" x14ac:dyDescent="0.35">
      <c r="A1141" s="64">
        <f t="shared" si="40"/>
        <v>1900</v>
      </c>
      <c r="B1141" s="168" t="str">
        <f t="shared" si="39"/>
        <v>1899-00</v>
      </c>
      <c r="C1141" s="64"/>
      <c r="BA1141" s="824" t="s">
        <v>61</v>
      </c>
      <c r="BB1141" s="1225">
        <v>2020</v>
      </c>
      <c r="BC1141" s="824" t="s">
        <v>320</v>
      </c>
      <c r="BD1141" s="824">
        <v>3</v>
      </c>
      <c r="BE1141" s="1226">
        <v>336379199.91312361</v>
      </c>
      <c r="BF1141" s="1227">
        <v>0.1095180677732854</v>
      </c>
      <c r="BH1141" s="824" t="s">
        <v>71</v>
      </c>
      <c r="BI1141" s="824" t="s">
        <v>356</v>
      </c>
      <c r="BJ1141" s="824" t="s">
        <v>315</v>
      </c>
      <c r="BK1141" s="824">
        <v>5</v>
      </c>
      <c r="BL1141" s="1226">
        <v>1388257453.4720001</v>
      </c>
      <c r="BM1141" s="1227">
        <v>3.8108824455985242E-2</v>
      </c>
      <c r="BN1141" s="824">
        <f t="shared" si="41"/>
        <v>2018</v>
      </c>
    </row>
    <row r="1142" spans="1:66" ht="15" customHeight="1" x14ac:dyDescent="0.35">
      <c r="A1142" s="64">
        <f t="shared" si="40"/>
        <v>1900</v>
      </c>
      <c r="B1142" s="168" t="str">
        <f t="shared" si="39"/>
        <v>1899-00</v>
      </c>
      <c r="C1142" s="64"/>
      <c r="BA1142" s="824" t="s">
        <v>61</v>
      </c>
      <c r="BB1142" s="1225">
        <v>2020</v>
      </c>
      <c r="BC1142" s="824" t="s">
        <v>306</v>
      </c>
      <c r="BD1142" s="824">
        <v>4</v>
      </c>
      <c r="BE1142" s="1226">
        <v>285851759.23000008</v>
      </c>
      <c r="BF1142" s="1227">
        <v>9.3067384512922818E-2</v>
      </c>
      <c r="BH1142" s="824" t="s">
        <v>71</v>
      </c>
      <c r="BI1142" s="824" t="s">
        <v>356</v>
      </c>
      <c r="BJ1142" s="824" t="s">
        <v>285</v>
      </c>
      <c r="BK1142" s="824">
        <v>6</v>
      </c>
      <c r="BL1142" s="1226">
        <v>1319526572.2449999</v>
      </c>
      <c r="BM1142" s="1227">
        <v>3.622210446695566E-2</v>
      </c>
      <c r="BN1142" s="824">
        <f t="shared" si="41"/>
        <v>2018</v>
      </c>
    </row>
    <row r="1143" spans="1:66" ht="15" customHeight="1" x14ac:dyDescent="0.35">
      <c r="A1143" s="64">
        <f t="shared" si="40"/>
        <v>1900</v>
      </c>
      <c r="B1143" s="168" t="str">
        <f t="shared" si="39"/>
        <v>1899-00</v>
      </c>
      <c r="C1143" s="64"/>
      <c r="BA1143" s="824" t="s">
        <v>61</v>
      </c>
      <c r="BB1143" s="1225">
        <v>2020</v>
      </c>
      <c r="BC1143" s="824" t="s">
        <v>286</v>
      </c>
      <c r="BD1143" s="824">
        <v>5</v>
      </c>
      <c r="BE1143" s="1226">
        <v>236258371.02465194</v>
      </c>
      <c r="BF1143" s="1227">
        <v>7.6920809302615745E-2</v>
      </c>
      <c r="BH1143" s="824" t="s">
        <v>71</v>
      </c>
      <c r="BI1143" s="824" t="s">
        <v>356</v>
      </c>
      <c r="BJ1143" s="824" t="s">
        <v>323</v>
      </c>
      <c r="BK1143" s="824">
        <v>7</v>
      </c>
      <c r="BL1143" s="1226">
        <v>1071511041.229</v>
      </c>
      <c r="BM1143" s="1227">
        <v>2.9413871375745873E-2</v>
      </c>
      <c r="BN1143" s="824">
        <f t="shared" si="41"/>
        <v>2018</v>
      </c>
    </row>
    <row r="1144" spans="1:66" ht="15" customHeight="1" x14ac:dyDescent="0.35">
      <c r="A1144" s="64">
        <f t="shared" si="40"/>
        <v>1900</v>
      </c>
      <c r="B1144" s="168" t="str">
        <f t="shared" ref="B1144:B1207" si="42">IF(MONTH(C1144) &gt;= 7, A1144 &amp; "-" &amp; RIGHT(A1144+1, 2), A1144-1 &amp; "-" &amp; RIGHT(A1144, 2))</f>
        <v>1899-00</v>
      </c>
      <c r="C1144" s="64"/>
      <c r="BA1144" s="824" t="s">
        <v>61</v>
      </c>
      <c r="BB1144" s="1225">
        <v>2020</v>
      </c>
      <c r="BC1144" s="824" t="s">
        <v>312</v>
      </c>
      <c r="BD1144" s="824">
        <v>6</v>
      </c>
      <c r="BE1144" s="1226">
        <v>192043174.96378368</v>
      </c>
      <c r="BF1144" s="1227">
        <v>6.2525261539692512E-2</v>
      </c>
      <c r="BH1144" s="824" t="s">
        <v>71</v>
      </c>
      <c r="BI1144" s="824" t="s">
        <v>356</v>
      </c>
      <c r="BJ1144" s="824" t="s">
        <v>289</v>
      </c>
      <c r="BK1144" s="824">
        <v>8</v>
      </c>
      <c r="BL1144" s="1226">
        <v>624084508.89100015</v>
      </c>
      <c r="BM1144" s="1227">
        <v>1.7131640053900544E-2</v>
      </c>
      <c r="BN1144" s="824">
        <f t="shared" si="41"/>
        <v>2018</v>
      </c>
    </row>
    <row r="1145" spans="1:66" ht="15" customHeight="1" x14ac:dyDescent="0.35">
      <c r="A1145" s="64">
        <f t="shared" si="40"/>
        <v>1900</v>
      </c>
      <c r="B1145" s="168" t="str">
        <f t="shared" si="42"/>
        <v>1899-00</v>
      </c>
      <c r="C1145" s="64"/>
      <c r="BA1145" s="824" t="s">
        <v>61</v>
      </c>
      <c r="BB1145" s="1225">
        <v>2020</v>
      </c>
      <c r="BC1145" s="824" t="s">
        <v>315</v>
      </c>
      <c r="BD1145" s="824">
        <v>7</v>
      </c>
      <c r="BE1145" s="1226">
        <v>127075452.49981523</v>
      </c>
      <c r="BF1145" s="1227">
        <v>4.1373123019467377E-2</v>
      </c>
      <c r="BH1145" s="824" t="s">
        <v>71</v>
      </c>
      <c r="BI1145" s="824" t="s">
        <v>356</v>
      </c>
      <c r="BJ1145" s="824" t="s">
        <v>287</v>
      </c>
      <c r="BK1145" s="824">
        <v>9</v>
      </c>
      <c r="BL1145" s="1226">
        <v>615532093.29100001</v>
      </c>
      <c r="BM1145" s="1227">
        <v>1.6896869115729161E-2</v>
      </c>
      <c r="BN1145" s="824">
        <f t="shared" si="41"/>
        <v>2018</v>
      </c>
    </row>
    <row r="1146" spans="1:66" ht="15" customHeight="1" x14ac:dyDescent="0.35">
      <c r="A1146" s="64">
        <f t="shared" si="40"/>
        <v>1900</v>
      </c>
      <c r="B1146" s="168" t="str">
        <f t="shared" si="42"/>
        <v>1899-00</v>
      </c>
      <c r="C1146" s="64"/>
      <c r="BA1146" s="824" t="s">
        <v>61</v>
      </c>
      <c r="BB1146" s="1225">
        <v>2020</v>
      </c>
      <c r="BC1146" s="824" t="s">
        <v>310</v>
      </c>
      <c r="BD1146" s="824">
        <v>8</v>
      </c>
      <c r="BE1146" s="1226">
        <v>74233561.07425718</v>
      </c>
      <c r="BF1146" s="1227">
        <v>2.4168902758798776E-2</v>
      </c>
      <c r="BH1146" s="824" t="s">
        <v>71</v>
      </c>
      <c r="BI1146" s="824" t="s">
        <v>356</v>
      </c>
      <c r="BJ1146" s="824" t="s">
        <v>342</v>
      </c>
      <c r="BK1146" s="824">
        <v>10</v>
      </c>
      <c r="BL1146" s="1226">
        <v>576052909.58600008</v>
      </c>
      <c r="BM1146" s="1227">
        <v>1.5813132610143183E-2</v>
      </c>
      <c r="BN1146" s="824">
        <f t="shared" si="41"/>
        <v>2018</v>
      </c>
    </row>
    <row r="1147" spans="1:66" ht="15" customHeight="1" x14ac:dyDescent="0.35">
      <c r="A1147" s="64">
        <f t="shared" si="40"/>
        <v>1900</v>
      </c>
      <c r="B1147" s="168" t="str">
        <f t="shared" si="42"/>
        <v>1899-00</v>
      </c>
      <c r="C1147" s="64"/>
      <c r="BA1147" s="824" t="s">
        <v>61</v>
      </c>
      <c r="BB1147" s="1225">
        <v>2020</v>
      </c>
      <c r="BC1147" s="824" t="s">
        <v>322</v>
      </c>
      <c r="BD1147" s="824">
        <v>9</v>
      </c>
      <c r="BE1147" s="1226">
        <v>41074338.399999999</v>
      </c>
      <c r="BF1147" s="1227">
        <v>1.337294986668573E-2</v>
      </c>
      <c r="BH1147" s="824" t="s">
        <v>71</v>
      </c>
      <c r="BI1147" s="824" t="s">
        <v>356</v>
      </c>
      <c r="BJ1147" s="824" t="s">
        <v>291</v>
      </c>
      <c r="BL1147" s="1226">
        <v>761666238.34700012</v>
      </c>
      <c r="BM1147" s="1227">
        <v>2.0908373226178306E-2</v>
      </c>
      <c r="BN1147" s="824">
        <f t="shared" si="41"/>
        <v>2018</v>
      </c>
    </row>
    <row r="1148" spans="1:66" ht="15" customHeight="1" x14ac:dyDescent="0.35">
      <c r="A1148" s="64">
        <f t="shared" si="40"/>
        <v>1900</v>
      </c>
      <c r="B1148" s="168" t="str">
        <f t="shared" si="42"/>
        <v>1899-00</v>
      </c>
      <c r="C1148" s="64"/>
      <c r="BA1148" s="824" t="s">
        <v>61</v>
      </c>
      <c r="BB1148" s="1225">
        <v>2020</v>
      </c>
      <c r="BC1148" s="824" t="s">
        <v>285</v>
      </c>
      <c r="BD1148" s="824">
        <v>10</v>
      </c>
      <c r="BE1148" s="1226">
        <v>27239347.062814027</v>
      </c>
      <c r="BF1148" s="1227">
        <v>8.8685645797831076E-3</v>
      </c>
      <c r="BH1148" s="824" t="s">
        <v>71</v>
      </c>
      <c r="BI1148" s="824" t="s">
        <v>356</v>
      </c>
      <c r="BJ1148" s="824" t="s">
        <v>292</v>
      </c>
      <c r="BL1148" s="1226">
        <v>36428766126.738007</v>
      </c>
      <c r="BM1148" s="1227">
        <v>1</v>
      </c>
      <c r="BN1148" s="824">
        <f t="shared" si="41"/>
        <v>2018</v>
      </c>
    </row>
    <row r="1149" spans="1:66" ht="15" customHeight="1" x14ac:dyDescent="0.35">
      <c r="A1149" s="64">
        <f t="shared" si="40"/>
        <v>1900</v>
      </c>
      <c r="B1149" s="168" t="str">
        <f t="shared" si="42"/>
        <v>1899-00</v>
      </c>
      <c r="C1149" s="64"/>
      <c r="BA1149" s="824" t="s">
        <v>61</v>
      </c>
      <c r="BB1149" s="1225">
        <v>2020</v>
      </c>
      <c r="BC1149" s="824" t="s">
        <v>291</v>
      </c>
      <c r="BE1149" s="1226">
        <v>82228981.120036125</v>
      </c>
      <c r="BF1149" s="1227">
        <v>2.6772045148921755E-2</v>
      </c>
      <c r="BH1149" s="824" t="s">
        <v>165</v>
      </c>
      <c r="BI1149" s="824" t="s">
        <v>363</v>
      </c>
      <c r="BJ1149" s="824" t="s">
        <v>279</v>
      </c>
      <c r="BK1149" s="824">
        <v>1</v>
      </c>
      <c r="BL1149" s="1226">
        <v>1898150104.9300001</v>
      </c>
      <c r="BM1149" s="1227">
        <v>0.3156128417025062</v>
      </c>
      <c r="BN1149" s="824">
        <f t="shared" si="41"/>
        <v>2019</v>
      </c>
    </row>
    <row r="1150" spans="1:66" ht="15" customHeight="1" x14ac:dyDescent="0.35">
      <c r="A1150" s="64">
        <f t="shared" si="40"/>
        <v>1900</v>
      </c>
      <c r="B1150" s="168" t="str">
        <f t="shared" si="42"/>
        <v>1899-00</v>
      </c>
      <c r="C1150" s="64"/>
      <c r="BA1150" s="824" t="s">
        <v>61</v>
      </c>
      <c r="BB1150" s="1225">
        <v>2020</v>
      </c>
      <c r="BC1150" s="824" t="s">
        <v>292</v>
      </c>
      <c r="BE1150" s="1226">
        <v>3071449366.7790599</v>
      </c>
      <c r="BH1150" s="824" t="s">
        <v>165</v>
      </c>
      <c r="BI1150" s="824" t="s">
        <v>363</v>
      </c>
      <c r="BJ1150" s="824" t="s">
        <v>282</v>
      </c>
      <c r="BK1150" s="824">
        <v>2</v>
      </c>
      <c r="BL1150" s="1226">
        <v>553498932.84000003</v>
      </c>
      <c r="BM1150" s="1227">
        <v>9.2032432324091307E-2</v>
      </c>
      <c r="BN1150" s="824">
        <f t="shared" si="41"/>
        <v>2019</v>
      </c>
    </row>
    <row r="1151" spans="1:66" ht="15" customHeight="1" x14ac:dyDescent="0.35">
      <c r="A1151" s="64">
        <f t="shared" si="40"/>
        <v>1900</v>
      </c>
      <c r="B1151" s="168" t="str">
        <f t="shared" si="42"/>
        <v>1899-00</v>
      </c>
      <c r="C1151" s="64"/>
      <c r="BA1151" s="824" t="s">
        <v>54</v>
      </c>
      <c r="BB1151" s="1225">
        <v>2020</v>
      </c>
      <c r="BC1151" s="824" t="s">
        <v>281</v>
      </c>
      <c r="BD1151" s="824">
        <v>1</v>
      </c>
      <c r="BE1151" s="1226">
        <v>646160213.89999998</v>
      </c>
      <c r="BF1151" s="1227">
        <v>0.46855332729001598</v>
      </c>
      <c r="BH1151" s="824" t="s">
        <v>165</v>
      </c>
      <c r="BI1151" s="824" t="s">
        <v>363</v>
      </c>
      <c r="BJ1151" s="824" t="s">
        <v>281</v>
      </c>
      <c r="BK1151" s="824">
        <v>3</v>
      </c>
      <c r="BL1151" s="1226">
        <v>520068808.38000005</v>
      </c>
      <c r="BM1151" s="1227">
        <v>8.6473874783312338E-2</v>
      </c>
      <c r="BN1151" s="824">
        <f t="shared" si="41"/>
        <v>2019</v>
      </c>
    </row>
    <row r="1152" spans="1:66" ht="15" customHeight="1" x14ac:dyDescent="0.35">
      <c r="A1152" s="64">
        <f t="shared" si="40"/>
        <v>1900</v>
      </c>
      <c r="B1152" s="168" t="str">
        <f t="shared" si="42"/>
        <v>1899-00</v>
      </c>
      <c r="C1152" s="64"/>
      <c r="BA1152" s="824" t="s">
        <v>54</v>
      </c>
      <c r="BB1152" s="1225">
        <v>2020</v>
      </c>
      <c r="BC1152" s="824" t="s">
        <v>312</v>
      </c>
      <c r="BD1152" s="824">
        <v>2</v>
      </c>
      <c r="BE1152" s="1226">
        <v>112964248.48999998</v>
      </c>
      <c r="BF1152" s="1227">
        <v>8.191431994139628E-2</v>
      </c>
      <c r="BH1152" s="824" t="s">
        <v>165</v>
      </c>
      <c r="BI1152" s="824" t="s">
        <v>363</v>
      </c>
      <c r="BJ1152" s="824" t="s">
        <v>283</v>
      </c>
      <c r="BK1152" s="824">
        <v>4</v>
      </c>
      <c r="BL1152" s="1226">
        <v>490903522.14999998</v>
      </c>
      <c r="BM1152" s="1227">
        <v>8.162444857502163E-2</v>
      </c>
      <c r="BN1152" s="824">
        <f t="shared" si="41"/>
        <v>2019</v>
      </c>
    </row>
    <row r="1153" spans="1:66" ht="15" customHeight="1" x14ac:dyDescent="0.35">
      <c r="A1153" s="64">
        <f t="shared" si="40"/>
        <v>1900</v>
      </c>
      <c r="B1153" s="168" t="str">
        <f t="shared" si="42"/>
        <v>1899-00</v>
      </c>
      <c r="C1153" s="64"/>
      <c r="BA1153" s="824" t="s">
        <v>54</v>
      </c>
      <c r="BB1153" s="1225">
        <v>2020</v>
      </c>
      <c r="BC1153" s="824" t="s">
        <v>314</v>
      </c>
      <c r="BD1153" s="824">
        <v>3</v>
      </c>
      <c r="BE1153" s="1226">
        <v>105823637.76000001</v>
      </c>
      <c r="BF1153" s="1227">
        <v>7.6736413836298215E-2</v>
      </c>
      <c r="BH1153" s="824" t="s">
        <v>165</v>
      </c>
      <c r="BI1153" s="824" t="s">
        <v>363</v>
      </c>
      <c r="BJ1153" s="824" t="s">
        <v>284</v>
      </c>
      <c r="BK1153" s="824">
        <v>5</v>
      </c>
      <c r="BL1153" s="1226">
        <v>446494966.74000001</v>
      </c>
      <c r="BM1153" s="1227">
        <v>7.4240464383017915E-2</v>
      </c>
      <c r="BN1153" s="824">
        <f t="shared" si="41"/>
        <v>2019</v>
      </c>
    </row>
    <row r="1154" spans="1:66" ht="15" customHeight="1" x14ac:dyDescent="0.35">
      <c r="A1154" s="64">
        <f t="shared" si="40"/>
        <v>1900</v>
      </c>
      <c r="B1154" s="168" t="str">
        <f t="shared" si="42"/>
        <v>1899-00</v>
      </c>
      <c r="C1154" s="64"/>
      <c r="BA1154" s="824" t="s">
        <v>54</v>
      </c>
      <c r="BB1154" s="1225">
        <v>2020</v>
      </c>
      <c r="BC1154" s="824" t="s">
        <v>290</v>
      </c>
      <c r="BD1154" s="824">
        <v>4</v>
      </c>
      <c r="BE1154" s="1226">
        <v>75685814.170000002</v>
      </c>
      <c r="BF1154" s="1227">
        <v>5.4882425898626408E-2</v>
      </c>
      <c r="BH1154" s="824" t="s">
        <v>165</v>
      </c>
      <c r="BI1154" s="824" t="s">
        <v>363</v>
      </c>
      <c r="BJ1154" s="824" t="s">
        <v>285</v>
      </c>
      <c r="BK1154" s="824">
        <v>6</v>
      </c>
      <c r="BL1154" s="1226">
        <v>396871242.23999995</v>
      </c>
      <c r="BM1154" s="1227">
        <v>6.5989333629644292E-2</v>
      </c>
      <c r="BN1154" s="824">
        <f t="shared" si="41"/>
        <v>2019</v>
      </c>
    </row>
    <row r="1155" spans="1:66" ht="15" customHeight="1" x14ac:dyDescent="0.35">
      <c r="A1155" s="64">
        <f t="shared" si="40"/>
        <v>1900</v>
      </c>
      <c r="B1155" s="168" t="str">
        <f t="shared" si="42"/>
        <v>1899-00</v>
      </c>
      <c r="C1155" s="64"/>
      <c r="BA1155" s="824" t="s">
        <v>54</v>
      </c>
      <c r="BB1155" s="1225">
        <v>2020</v>
      </c>
      <c r="BC1155" s="824" t="s">
        <v>322</v>
      </c>
      <c r="BD1155" s="824">
        <v>5</v>
      </c>
      <c r="BE1155" s="1226">
        <v>71572532.839999989</v>
      </c>
      <c r="BF1155" s="1227">
        <v>5.1899742019625349E-2</v>
      </c>
      <c r="BH1155" s="824" t="s">
        <v>165</v>
      </c>
      <c r="BI1155" s="824" t="s">
        <v>363</v>
      </c>
      <c r="BJ1155" s="824" t="s">
        <v>287</v>
      </c>
      <c r="BK1155" s="824">
        <v>7</v>
      </c>
      <c r="BL1155" s="1226">
        <v>382317854.16999996</v>
      </c>
      <c r="BM1155" s="1227">
        <v>6.3569484876248972E-2</v>
      </c>
      <c r="BN1155" s="824">
        <f t="shared" si="41"/>
        <v>2019</v>
      </c>
    </row>
    <row r="1156" spans="1:66" ht="15" customHeight="1" x14ac:dyDescent="0.35">
      <c r="A1156" s="64">
        <f t="shared" si="40"/>
        <v>1900</v>
      </c>
      <c r="B1156" s="168" t="str">
        <f t="shared" si="42"/>
        <v>1899-00</v>
      </c>
      <c r="C1156" s="64"/>
      <c r="BA1156" s="824" t="s">
        <v>54</v>
      </c>
      <c r="BB1156" s="1225">
        <v>2020</v>
      </c>
      <c r="BC1156" s="824" t="s">
        <v>315</v>
      </c>
      <c r="BD1156" s="824">
        <v>6</v>
      </c>
      <c r="BE1156" s="1226">
        <v>54555843.400000006</v>
      </c>
      <c r="BF1156" s="1227">
        <v>3.9560346487286353E-2</v>
      </c>
      <c r="BH1156" s="824" t="s">
        <v>165</v>
      </c>
      <c r="BI1156" s="824" t="s">
        <v>363</v>
      </c>
      <c r="BJ1156" s="824" t="s">
        <v>288</v>
      </c>
      <c r="BK1156" s="824">
        <v>8</v>
      </c>
      <c r="BL1156" s="1226">
        <v>181843832.45000002</v>
      </c>
      <c r="BM1156" s="1227">
        <v>3.0235885221382649E-2</v>
      </c>
      <c r="BN1156" s="824">
        <f t="shared" si="41"/>
        <v>2019</v>
      </c>
    </row>
    <row r="1157" spans="1:66" ht="15" customHeight="1" x14ac:dyDescent="0.35">
      <c r="A1157" s="64">
        <f t="shared" si="40"/>
        <v>1900</v>
      </c>
      <c r="B1157" s="168" t="str">
        <f t="shared" si="42"/>
        <v>1899-00</v>
      </c>
      <c r="C1157" s="64"/>
      <c r="BA1157" s="824" t="s">
        <v>54</v>
      </c>
      <c r="BB1157" s="1225">
        <v>2020</v>
      </c>
      <c r="BC1157" s="824" t="s">
        <v>324</v>
      </c>
      <c r="BD1157" s="824">
        <v>7</v>
      </c>
      <c r="BE1157" s="1226">
        <v>51553903.730000004</v>
      </c>
      <c r="BF1157" s="1227">
        <v>3.7383535240718212E-2</v>
      </c>
      <c r="BH1157" s="824" t="s">
        <v>165</v>
      </c>
      <c r="BI1157" s="824" t="s">
        <v>363</v>
      </c>
      <c r="BJ1157" s="824" t="s">
        <v>296</v>
      </c>
      <c r="BK1157" s="824">
        <v>9</v>
      </c>
      <c r="BL1157" s="1226">
        <v>172834897.82999998</v>
      </c>
      <c r="BM1157" s="1227">
        <v>2.8737934427741304E-2</v>
      </c>
      <c r="BN1157" s="824">
        <f t="shared" si="41"/>
        <v>2019</v>
      </c>
    </row>
    <row r="1158" spans="1:66" ht="15" customHeight="1" x14ac:dyDescent="0.35">
      <c r="A1158" s="64">
        <f t="shared" si="40"/>
        <v>1900</v>
      </c>
      <c r="B1158" s="168" t="str">
        <f t="shared" si="42"/>
        <v>1899-00</v>
      </c>
      <c r="C1158" s="64"/>
      <c r="BA1158" s="824" t="s">
        <v>54</v>
      </c>
      <c r="BB1158" s="1225">
        <v>2020</v>
      </c>
      <c r="BC1158" s="824" t="s">
        <v>286</v>
      </c>
      <c r="BD1158" s="824">
        <v>8</v>
      </c>
      <c r="BE1158" s="1226">
        <v>49249656.639999993</v>
      </c>
      <c r="BF1158" s="1227">
        <v>3.5712645238993451E-2</v>
      </c>
      <c r="BH1158" s="824" t="s">
        <v>165</v>
      </c>
      <c r="BI1158" s="824" t="s">
        <v>363</v>
      </c>
      <c r="BJ1158" s="824" t="s">
        <v>298</v>
      </c>
      <c r="BK1158" s="824">
        <v>10</v>
      </c>
      <c r="BL1158" s="1226">
        <v>157469741.20999998</v>
      </c>
      <c r="BM1158" s="1227">
        <v>2.6183109742671882E-2</v>
      </c>
      <c r="BN1158" s="824">
        <f t="shared" si="41"/>
        <v>2019</v>
      </c>
    </row>
    <row r="1159" spans="1:66" ht="15" customHeight="1" x14ac:dyDescent="0.35">
      <c r="A1159" s="64">
        <f t="shared" si="40"/>
        <v>1900</v>
      </c>
      <c r="B1159" s="168" t="str">
        <f t="shared" si="42"/>
        <v>1899-00</v>
      </c>
      <c r="C1159" s="64"/>
      <c r="BA1159" s="824" t="s">
        <v>54</v>
      </c>
      <c r="BB1159" s="1225">
        <v>2020</v>
      </c>
      <c r="BC1159" s="824" t="s">
        <v>287</v>
      </c>
      <c r="BD1159" s="824">
        <v>9</v>
      </c>
      <c r="BE1159" s="1226">
        <v>46639533.780000009</v>
      </c>
      <c r="BF1159" s="1227">
        <v>3.3819954038915953E-2</v>
      </c>
      <c r="BH1159" s="824" t="s">
        <v>165</v>
      </c>
      <c r="BI1159" s="824" t="s">
        <v>363</v>
      </c>
      <c r="BJ1159" s="824" t="s">
        <v>291</v>
      </c>
      <c r="BL1159" s="1226">
        <v>813718697.54999924</v>
      </c>
      <c r="BM1159" s="1227">
        <v>0.13530019033436158</v>
      </c>
      <c r="BN1159" s="824">
        <f t="shared" si="41"/>
        <v>2019</v>
      </c>
    </row>
    <row r="1160" spans="1:66" ht="15" customHeight="1" x14ac:dyDescent="0.35">
      <c r="A1160" s="64">
        <f t="shared" si="40"/>
        <v>1900</v>
      </c>
      <c r="B1160" s="168" t="str">
        <f t="shared" si="42"/>
        <v>1899-00</v>
      </c>
      <c r="C1160" s="64"/>
      <c r="BA1160" s="824" t="s">
        <v>54</v>
      </c>
      <c r="BB1160" s="1225">
        <v>2020</v>
      </c>
      <c r="BC1160" s="824" t="s">
        <v>319</v>
      </c>
      <c r="BD1160" s="824">
        <v>10</v>
      </c>
      <c r="BE1160" s="1226">
        <v>31310906.889999997</v>
      </c>
      <c r="BF1160" s="1227">
        <v>2.2704631588548792E-2</v>
      </c>
      <c r="BH1160" s="824" t="s">
        <v>165</v>
      </c>
      <c r="BI1160" s="824" t="s">
        <v>363</v>
      </c>
      <c r="BJ1160" s="824" t="s">
        <v>292</v>
      </c>
      <c r="BL1160" s="1226">
        <v>6014172600.4899988</v>
      </c>
      <c r="BN1160" s="824">
        <f t="shared" si="41"/>
        <v>2019</v>
      </c>
    </row>
    <row r="1161" spans="1:66" ht="15" customHeight="1" x14ac:dyDescent="0.35">
      <c r="A1161" s="64">
        <f t="shared" si="40"/>
        <v>1900</v>
      </c>
      <c r="B1161" s="168" t="str">
        <f t="shared" si="42"/>
        <v>1899-00</v>
      </c>
      <c r="C1161" s="64"/>
      <c r="BA1161" s="824" t="s">
        <v>54</v>
      </c>
      <c r="BB1161" s="1225">
        <v>2020</v>
      </c>
      <c r="BC1161" s="824" t="s">
        <v>291</v>
      </c>
      <c r="BE1161" s="1226">
        <v>133537438.82000041</v>
      </c>
      <c r="BF1161" s="1227">
        <v>9.6832658419574877E-2</v>
      </c>
      <c r="BH1161" s="824" t="s">
        <v>345</v>
      </c>
      <c r="BI1161" s="824" t="s">
        <v>363</v>
      </c>
      <c r="BJ1161" s="824" t="s">
        <v>281</v>
      </c>
      <c r="BK1161" s="824">
        <v>1</v>
      </c>
      <c r="BL1161" s="1235" t="s">
        <v>172</v>
      </c>
      <c r="BM1161" s="1227">
        <v>0.23521248271612988</v>
      </c>
      <c r="BN1161" s="824">
        <f t="shared" si="41"/>
        <v>2019</v>
      </c>
    </row>
    <row r="1162" spans="1:66" ht="15" customHeight="1" x14ac:dyDescent="0.35">
      <c r="A1162" s="64">
        <f t="shared" si="40"/>
        <v>1900</v>
      </c>
      <c r="B1162" s="168" t="str">
        <f t="shared" si="42"/>
        <v>1899-00</v>
      </c>
      <c r="C1162" s="64"/>
      <c r="BA1162" s="824" t="s">
        <v>54</v>
      </c>
      <c r="BB1162" s="1225">
        <v>2020</v>
      </c>
      <c r="BC1162" s="824" t="s">
        <v>292</v>
      </c>
      <c r="BE1162" s="1226">
        <v>1379053730.4200006</v>
      </c>
      <c r="BH1162" s="824" t="s">
        <v>345</v>
      </c>
      <c r="BI1162" s="824" t="s">
        <v>363</v>
      </c>
      <c r="BJ1162" s="824" t="s">
        <v>335</v>
      </c>
      <c r="BK1162" s="824">
        <v>2</v>
      </c>
      <c r="BL1162" s="1235" t="s">
        <v>172</v>
      </c>
      <c r="BM1162" s="1227">
        <v>0.2027662764395301</v>
      </c>
      <c r="BN1162" s="824">
        <f t="shared" si="41"/>
        <v>2019</v>
      </c>
    </row>
    <row r="1163" spans="1:66" ht="15" customHeight="1" x14ac:dyDescent="0.35">
      <c r="A1163" s="64">
        <f t="shared" si="40"/>
        <v>1900</v>
      </c>
      <c r="B1163" s="168" t="str">
        <f t="shared" si="42"/>
        <v>1899-00</v>
      </c>
      <c r="C1163" s="64"/>
      <c r="BA1163" s="824" t="s">
        <v>40</v>
      </c>
      <c r="BB1163" s="1225">
        <v>2020</v>
      </c>
      <c r="BC1163" s="824" t="s">
        <v>281</v>
      </c>
      <c r="BD1163" s="824">
        <v>1</v>
      </c>
      <c r="BE1163" s="1226">
        <v>93398527000</v>
      </c>
      <c r="BF1163" s="1227">
        <v>0.80738282324044364</v>
      </c>
      <c r="BH1163" s="824" t="s">
        <v>345</v>
      </c>
      <c r="BI1163" s="824" t="s">
        <v>363</v>
      </c>
      <c r="BJ1163" s="824" t="s">
        <v>346</v>
      </c>
      <c r="BK1163" s="824">
        <v>3</v>
      </c>
      <c r="BL1163" s="1235" t="s">
        <v>172</v>
      </c>
      <c r="BM1163" s="1227">
        <v>0.17495396681004149</v>
      </c>
      <c r="BN1163" s="824">
        <f t="shared" si="41"/>
        <v>2019</v>
      </c>
    </row>
    <row r="1164" spans="1:66" ht="15" customHeight="1" x14ac:dyDescent="0.35">
      <c r="A1164" s="64">
        <f t="shared" ref="A1164:A1227" si="43">YEAR(C1164)</f>
        <v>1900</v>
      </c>
      <c r="B1164" s="168" t="str">
        <f t="shared" si="42"/>
        <v>1899-00</v>
      </c>
      <c r="C1164" s="64"/>
      <c r="BA1164" s="824" t="s">
        <v>40</v>
      </c>
      <c r="BB1164" s="1225">
        <v>2020</v>
      </c>
      <c r="BC1164" s="824" t="s">
        <v>308</v>
      </c>
      <c r="BD1164" s="824">
        <v>2</v>
      </c>
      <c r="BE1164" s="1226">
        <v>6615832000</v>
      </c>
      <c r="BF1164" s="1227">
        <v>5.7190507064896978E-2</v>
      </c>
      <c r="BH1164" s="824" t="s">
        <v>345</v>
      </c>
      <c r="BI1164" s="824" t="s">
        <v>363</v>
      </c>
      <c r="BJ1164" s="824" t="s">
        <v>320</v>
      </c>
      <c r="BK1164" s="824">
        <v>4</v>
      </c>
      <c r="BL1164" s="1235" t="s">
        <v>172</v>
      </c>
      <c r="BM1164" s="1227">
        <v>0.16189878521225168</v>
      </c>
      <c r="BN1164" s="824">
        <f t="shared" si="41"/>
        <v>2019</v>
      </c>
    </row>
    <row r="1165" spans="1:66" ht="15" customHeight="1" x14ac:dyDescent="0.35">
      <c r="A1165" s="64">
        <f t="shared" si="43"/>
        <v>1900</v>
      </c>
      <c r="B1165" s="168" t="str">
        <f t="shared" si="42"/>
        <v>1899-00</v>
      </c>
      <c r="C1165" s="64"/>
      <c r="BA1165" s="824" t="s">
        <v>40</v>
      </c>
      <c r="BB1165" s="1225">
        <v>2020</v>
      </c>
      <c r="BC1165" s="824" t="s">
        <v>320</v>
      </c>
      <c r="BD1165" s="824">
        <v>3</v>
      </c>
      <c r="BE1165" s="1226">
        <v>6558342000</v>
      </c>
      <c r="BF1165" s="1227">
        <v>5.6693535217492007E-2</v>
      </c>
      <c r="BH1165" s="824" t="s">
        <v>345</v>
      </c>
      <c r="BI1165" s="824" t="s">
        <v>363</v>
      </c>
      <c r="BJ1165" s="824" t="s">
        <v>308</v>
      </c>
      <c r="BK1165" s="824">
        <v>5</v>
      </c>
      <c r="BL1165" s="1235" t="s">
        <v>172</v>
      </c>
      <c r="BM1165" s="1227">
        <v>0.13614978127606633</v>
      </c>
      <c r="BN1165" s="824">
        <f t="shared" si="41"/>
        <v>2019</v>
      </c>
    </row>
    <row r="1166" spans="1:66" ht="15" customHeight="1" x14ac:dyDescent="0.35">
      <c r="A1166" s="64">
        <f t="shared" si="43"/>
        <v>1900</v>
      </c>
      <c r="B1166" s="168" t="str">
        <f t="shared" si="42"/>
        <v>1899-00</v>
      </c>
      <c r="C1166" s="64"/>
      <c r="BA1166" s="824" t="s">
        <v>40</v>
      </c>
      <c r="BB1166" s="1225">
        <v>2020</v>
      </c>
      <c r="BC1166" s="824" t="s">
        <v>306</v>
      </c>
      <c r="BD1166" s="824">
        <v>4</v>
      </c>
      <c r="BE1166" s="1226">
        <v>2575969000</v>
      </c>
      <c r="BF1166" s="1227">
        <v>2.2267943516923586E-2</v>
      </c>
      <c r="BH1166" s="824" t="s">
        <v>345</v>
      </c>
      <c r="BI1166" s="824" t="s">
        <v>363</v>
      </c>
      <c r="BJ1166" s="824" t="s">
        <v>315</v>
      </c>
      <c r="BK1166" s="824">
        <v>6</v>
      </c>
      <c r="BL1166" s="1235" t="s">
        <v>172</v>
      </c>
      <c r="BM1166" s="1227">
        <v>7.0032674495095898E-2</v>
      </c>
      <c r="BN1166" s="824">
        <f t="shared" si="41"/>
        <v>2019</v>
      </c>
    </row>
    <row r="1167" spans="1:66" ht="15" customHeight="1" x14ac:dyDescent="0.35">
      <c r="A1167" s="64">
        <f t="shared" si="43"/>
        <v>1900</v>
      </c>
      <c r="B1167" s="168" t="str">
        <f t="shared" si="42"/>
        <v>1899-00</v>
      </c>
      <c r="C1167" s="64"/>
      <c r="BA1167" s="824" t="s">
        <v>40</v>
      </c>
      <c r="BB1167" s="1225">
        <v>2020</v>
      </c>
      <c r="BC1167" s="824" t="s">
        <v>327</v>
      </c>
      <c r="BD1167" s="824">
        <v>5</v>
      </c>
      <c r="BE1167" s="1226">
        <v>2457010000</v>
      </c>
      <c r="BF1167" s="1227">
        <v>2.1239603388284727E-2</v>
      </c>
      <c r="BH1167" s="824" t="s">
        <v>345</v>
      </c>
      <c r="BI1167" s="824" t="s">
        <v>363</v>
      </c>
      <c r="BJ1167" s="824" t="s">
        <v>285</v>
      </c>
      <c r="BK1167" s="824">
        <v>7</v>
      </c>
      <c r="BL1167" s="1235" t="s">
        <v>172</v>
      </c>
      <c r="BM1167" s="1227">
        <v>1.2783671474721068E-2</v>
      </c>
      <c r="BN1167" s="824">
        <f t="shared" si="41"/>
        <v>2019</v>
      </c>
    </row>
    <row r="1168" spans="1:66" ht="15" customHeight="1" x14ac:dyDescent="0.35">
      <c r="A1168" s="64">
        <f t="shared" si="43"/>
        <v>1900</v>
      </c>
      <c r="B1168" s="168" t="str">
        <f t="shared" si="42"/>
        <v>1899-00</v>
      </c>
      <c r="C1168" s="64"/>
      <c r="BA1168" s="824" t="s">
        <v>40</v>
      </c>
      <c r="BB1168" s="1225">
        <v>2020</v>
      </c>
      <c r="BC1168" s="824" t="s">
        <v>291</v>
      </c>
      <c r="BE1168" s="1226">
        <v>4074917000</v>
      </c>
      <c r="BF1168" s="1227">
        <v>3.5225587571959018E-2</v>
      </c>
      <c r="BH1168" s="824" t="s">
        <v>345</v>
      </c>
      <c r="BI1168" s="824" t="s">
        <v>363</v>
      </c>
      <c r="BJ1168" s="824" t="s">
        <v>287</v>
      </c>
      <c r="BK1168" s="824">
        <v>8</v>
      </c>
      <c r="BL1168" s="1235" t="s">
        <v>172</v>
      </c>
      <c r="BM1168" s="1227">
        <v>6.2023615761635934E-3</v>
      </c>
      <c r="BN1168" s="824">
        <f t="shared" si="41"/>
        <v>2019</v>
      </c>
    </row>
    <row r="1169" spans="1:66" ht="15" customHeight="1" x14ac:dyDescent="0.35">
      <c r="A1169" s="64">
        <f t="shared" si="43"/>
        <v>1900</v>
      </c>
      <c r="B1169" s="168" t="str">
        <f t="shared" si="42"/>
        <v>1899-00</v>
      </c>
      <c r="C1169" s="64"/>
      <c r="BA1169" s="824" t="s">
        <v>40</v>
      </c>
      <c r="BB1169" s="1225">
        <v>2020</v>
      </c>
      <c r="BC1169" s="824" t="s">
        <v>292</v>
      </c>
      <c r="BE1169" s="1226">
        <v>115680597000</v>
      </c>
      <c r="BH1169" s="824" t="s">
        <v>345</v>
      </c>
      <c r="BI1169" s="824" t="s">
        <v>363</v>
      </c>
      <c r="BJ1169" s="824" t="s">
        <v>172</v>
      </c>
      <c r="BK1169" s="824">
        <v>9</v>
      </c>
      <c r="BL1169" s="1235" t="s">
        <v>172</v>
      </c>
      <c r="BN1169" s="824">
        <f t="shared" si="41"/>
        <v>2019</v>
      </c>
    </row>
    <row r="1170" spans="1:66" ht="15" customHeight="1" x14ac:dyDescent="0.35">
      <c r="A1170" s="64">
        <f t="shared" si="43"/>
        <v>1900</v>
      </c>
      <c r="B1170" s="168" t="str">
        <f t="shared" si="42"/>
        <v>1899-00</v>
      </c>
      <c r="C1170" s="64"/>
      <c r="BA1170" s="824" t="s">
        <v>32</v>
      </c>
      <c r="BB1170" s="1225">
        <v>2020</v>
      </c>
      <c r="BC1170" s="824" t="s">
        <v>314</v>
      </c>
      <c r="BD1170" s="824">
        <v>1</v>
      </c>
      <c r="BE1170" s="1226">
        <v>11891502000</v>
      </c>
      <c r="BF1170" s="1227">
        <v>0.54563291847833073</v>
      </c>
      <c r="BH1170" s="824" t="s">
        <v>345</v>
      </c>
      <c r="BI1170" s="824" t="s">
        <v>363</v>
      </c>
      <c r="BJ1170" s="824" t="s">
        <v>172</v>
      </c>
      <c r="BK1170" s="824">
        <v>10</v>
      </c>
      <c r="BL1170" s="1235" t="s">
        <v>172</v>
      </c>
      <c r="BN1170" s="824">
        <f t="shared" si="41"/>
        <v>2019</v>
      </c>
    </row>
    <row r="1171" spans="1:66" ht="15" customHeight="1" x14ac:dyDescent="0.35">
      <c r="A1171" s="64">
        <f t="shared" si="43"/>
        <v>1900</v>
      </c>
      <c r="B1171" s="168" t="str">
        <f t="shared" si="42"/>
        <v>1899-00</v>
      </c>
      <c r="C1171" s="64"/>
      <c r="BA1171" s="824" t="s">
        <v>32</v>
      </c>
      <c r="BB1171" s="1225">
        <v>2020</v>
      </c>
      <c r="BC1171" s="824" t="s">
        <v>298</v>
      </c>
      <c r="BD1171" s="824">
        <v>2</v>
      </c>
      <c r="BE1171" s="1226">
        <v>5647549000</v>
      </c>
      <c r="BF1171" s="1227">
        <v>0.25913367740419824</v>
      </c>
      <c r="BH1171" s="824" t="s">
        <v>345</v>
      </c>
      <c r="BI1171" s="824" t="s">
        <v>363</v>
      </c>
      <c r="BJ1171" s="824" t="s">
        <v>292</v>
      </c>
      <c r="BL1171" s="1235" t="s">
        <v>172</v>
      </c>
      <c r="BN1171" s="824">
        <f t="shared" si="41"/>
        <v>2019</v>
      </c>
    </row>
    <row r="1172" spans="1:66" ht="15" customHeight="1" x14ac:dyDescent="0.35">
      <c r="A1172" s="64">
        <f t="shared" si="43"/>
        <v>1900</v>
      </c>
      <c r="B1172" s="168" t="str">
        <f t="shared" si="42"/>
        <v>1899-00</v>
      </c>
      <c r="C1172" s="64"/>
      <c r="BA1172" s="824" t="s">
        <v>32</v>
      </c>
      <c r="BB1172" s="1225">
        <v>2020</v>
      </c>
      <c r="BC1172" s="824" t="s">
        <v>327</v>
      </c>
      <c r="BD1172" s="824">
        <v>3</v>
      </c>
      <c r="BE1172" s="1226">
        <v>1539036000</v>
      </c>
      <c r="BF1172" s="1227">
        <v>7.0617547247035423E-2</v>
      </c>
      <c r="BH1172" s="824" t="s">
        <v>344</v>
      </c>
      <c r="BI1172" s="824" t="s">
        <v>363</v>
      </c>
      <c r="BL1172" s="1235" t="s">
        <v>172</v>
      </c>
      <c r="BN1172" s="824">
        <f t="shared" si="41"/>
        <v>2019</v>
      </c>
    </row>
    <row r="1173" spans="1:66" ht="15" customHeight="1" x14ac:dyDescent="0.35">
      <c r="A1173" s="64">
        <f t="shared" si="43"/>
        <v>1900</v>
      </c>
      <c r="B1173" s="168" t="str">
        <f t="shared" si="42"/>
        <v>1899-00</v>
      </c>
      <c r="C1173" s="64"/>
      <c r="BA1173" s="824" t="s">
        <v>32</v>
      </c>
      <c r="BB1173" s="1225">
        <v>2020</v>
      </c>
      <c r="BC1173" s="824" t="s">
        <v>306</v>
      </c>
      <c r="BD1173" s="824">
        <v>4</v>
      </c>
      <c r="BE1173" s="1226">
        <v>752604000</v>
      </c>
      <c r="BF1173" s="1227">
        <v>3.4532687038060089E-2</v>
      </c>
      <c r="BH1173" s="824" t="s">
        <v>71</v>
      </c>
      <c r="BI1173" s="824" t="s">
        <v>363</v>
      </c>
      <c r="BJ1173" s="824" t="s">
        <v>308</v>
      </c>
      <c r="BK1173" s="824">
        <v>1</v>
      </c>
      <c r="BL1173" s="1226">
        <v>14796674663.3806</v>
      </c>
      <c r="BM1173" s="1227">
        <v>0.4260533116096305</v>
      </c>
      <c r="BN1173" s="824">
        <f t="shared" si="41"/>
        <v>2019</v>
      </c>
    </row>
    <row r="1174" spans="1:66" ht="15" customHeight="1" x14ac:dyDescent="0.35">
      <c r="A1174" s="64">
        <f t="shared" si="43"/>
        <v>1900</v>
      </c>
      <c r="B1174" s="168" t="str">
        <f t="shared" si="42"/>
        <v>1899-00</v>
      </c>
      <c r="C1174" s="64"/>
      <c r="BA1174" s="824" t="s">
        <v>32</v>
      </c>
      <c r="BB1174" s="1225">
        <v>2020</v>
      </c>
      <c r="BC1174" s="824" t="s">
        <v>335</v>
      </c>
      <c r="BD1174" s="824">
        <v>5</v>
      </c>
      <c r="BE1174" s="1226">
        <v>476102000</v>
      </c>
      <c r="BF1174" s="1227">
        <v>2.1845593916846685E-2</v>
      </c>
      <c r="BH1174" s="824" t="s">
        <v>71</v>
      </c>
      <c r="BI1174" s="824" t="s">
        <v>363</v>
      </c>
      <c r="BJ1174" s="824" t="s">
        <v>281</v>
      </c>
      <c r="BK1174" s="824">
        <v>2</v>
      </c>
      <c r="BL1174" s="1226">
        <v>5967747219.1104012</v>
      </c>
      <c r="BM1174" s="1227">
        <v>0.17183445087453494</v>
      </c>
      <c r="BN1174" s="824">
        <f t="shared" si="41"/>
        <v>2019</v>
      </c>
    </row>
    <row r="1175" spans="1:66" ht="15" customHeight="1" x14ac:dyDescent="0.35">
      <c r="A1175" s="64">
        <f t="shared" si="43"/>
        <v>1900</v>
      </c>
      <c r="B1175" s="168" t="str">
        <f t="shared" si="42"/>
        <v>1899-00</v>
      </c>
      <c r="C1175" s="64"/>
      <c r="BA1175" s="824" t="s">
        <v>32</v>
      </c>
      <c r="BB1175" s="1225">
        <v>2020</v>
      </c>
      <c r="BC1175" s="824" t="s">
        <v>328</v>
      </c>
      <c r="BD1175" s="824">
        <v>6</v>
      </c>
      <c r="BE1175" s="1226">
        <v>473196000</v>
      </c>
      <c r="BF1175" s="1227">
        <v>2.171225422089423E-2</v>
      </c>
      <c r="BH1175" s="824" t="s">
        <v>71</v>
      </c>
      <c r="BI1175" s="824" t="s">
        <v>363</v>
      </c>
      <c r="BJ1175" s="824" t="s">
        <v>306</v>
      </c>
      <c r="BK1175" s="824">
        <v>3</v>
      </c>
      <c r="BL1175" s="1226">
        <v>5451823922.2522011</v>
      </c>
      <c r="BM1175" s="1227">
        <v>0.15697903003413552</v>
      </c>
      <c r="BN1175" s="824">
        <f t="shared" si="41"/>
        <v>2019</v>
      </c>
    </row>
    <row r="1176" spans="1:66" ht="15" customHeight="1" x14ac:dyDescent="0.35">
      <c r="A1176" s="64">
        <f t="shared" si="43"/>
        <v>1900</v>
      </c>
      <c r="B1176" s="168" t="str">
        <f t="shared" si="42"/>
        <v>1899-00</v>
      </c>
      <c r="C1176" s="64"/>
      <c r="BA1176" s="824" t="s">
        <v>32</v>
      </c>
      <c r="BB1176" s="1225">
        <v>2020</v>
      </c>
      <c r="BC1176" s="824" t="s">
        <v>337</v>
      </c>
      <c r="BD1176" s="824">
        <v>7</v>
      </c>
      <c r="BE1176" s="1226">
        <v>427159000</v>
      </c>
      <c r="BF1176" s="1227">
        <v>1.9599879966743079E-2</v>
      </c>
      <c r="BH1176" s="824" t="s">
        <v>71</v>
      </c>
      <c r="BI1176" s="824" t="s">
        <v>363</v>
      </c>
      <c r="BJ1176" s="824" t="s">
        <v>320</v>
      </c>
      <c r="BK1176" s="824">
        <v>4</v>
      </c>
      <c r="BL1176" s="1226">
        <v>2832840381.9378004</v>
      </c>
      <c r="BM1176" s="1227">
        <v>8.1568396510945537E-2</v>
      </c>
      <c r="BN1176" s="824">
        <f t="shared" si="41"/>
        <v>2019</v>
      </c>
    </row>
    <row r="1177" spans="1:66" ht="15" customHeight="1" x14ac:dyDescent="0.35">
      <c r="A1177" s="64">
        <f t="shared" si="43"/>
        <v>1900</v>
      </c>
      <c r="B1177" s="168" t="str">
        <f t="shared" si="42"/>
        <v>1899-00</v>
      </c>
      <c r="C1177" s="64"/>
      <c r="BA1177" s="824" t="s">
        <v>32</v>
      </c>
      <c r="BB1177" s="1225">
        <v>2020</v>
      </c>
      <c r="BC1177" s="824" t="s">
        <v>320</v>
      </c>
      <c r="BD1177" s="824">
        <v>8</v>
      </c>
      <c r="BE1177" s="1226">
        <v>243921000</v>
      </c>
      <c r="BF1177" s="1227">
        <v>1.1192137638134602E-2</v>
      </c>
      <c r="BH1177" s="824" t="s">
        <v>71</v>
      </c>
      <c r="BI1177" s="824" t="s">
        <v>363</v>
      </c>
      <c r="BJ1177" s="824" t="s">
        <v>285</v>
      </c>
      <c r="BK1177" s="824">
        <v>5</v>
      </c>
      <c r="BL1177" s="1226">
        <v>1384509471.5978999</v>
      </c>
      <c r="BM1177" s="1227">
        <v>3.9865365614142396E-2</v>
      </c>
      <c r="BN1177" s="824">
        <f t="shared" si="41"/>
        <v>2019</v>
      </c>
    </row>
    <row r="1178" spans="1:66" ht="15" customHeight="1" x14ac:dyDescent="0.35">
      <c r="A1178" s="64">
        <f t="shared" si="43"/>
        <v>1900</v>
      </c>
      <c r="B1178" s="168" t="str">
        <f t="shared" si="42"/>
        <v>1899-00</v>
      </c>
      <c r="C1178" s="64"/>
      <c r="BA1178" s="824" t="s">
        <v>32</v>
      </c>
      <c r="BB1178" s="1225">
        <v>2020</v>
      </c>
      <c r="BC1178" s="824" t="s">
        <v>308</v>
      </c>
      <c r="BD1178" s="824">
        <v>9</v>
      </c>
      <c r="BE1178" s="1226">
        <v>125997000</v>
      </c>
      <c r="BF1178" s="1227">
        <v>5.7812806851072502E-3</v>
      </c>
      <c r="BH1178" s="824" t="s">
        <v>71</v>
      </c>
      <c r="BI1178" s="824" t="s">
        <v>363</v>
      </c>
      <c r="BJ1178" s="824" t="s">
        <v>289</v>
      </c>
      <c r="BK1178" s="824">
        <v>6</v>
      </c>
      <c r="BL1178" s="1226">
        <v>1256720394.7707999</v>
      </c>
      <c r="BM1178" s="1227">
        <v>3.618582540606672E-2</v>
      </c>
      <c r="BN1178" s="824">
        <f t="shared" si="41"/>
        <v>2019</v>
      </c>
    </row>
    <row r="1179" spans="1:66" ht="15" customHeight="1" x14ac:dyDescent="0.35">
      <c r="A1179" s="64">
        <f t="shared" si="43"/>
        <v>1900</v>
      </c>
      <c r="B1179" s="168" t="str">
        <f t="shared" si="42"/>
        <v>1899-00</v>
      </c>
      <c r="C1179" s="64"/>
      <c r="BA1179" s="824" t="s">
        <v>32</v>
      </c>
      <c r="BB1179" s="1225">
        <v>2020</v>
      </c>
      <c r="BC1179" s="824" t="s">
        <v>287</v>
      </c>
      <c r="BD1179" s="824">
        <v>10</v>
      </c>
      <c r="BE1179" s="1226">
        <v>87558000</v>
      </c>
      <c r="BF1179" s="1227">
        <v>4.017535133587471E-3</v>
      </c>
      <c r="BH1179" s="824" t="s">
        <v>71</v>
      </c>
      <c r="BI1179" s="824" t="s">
        <v>363</v>
      </c>
      <c r="BJ1179" s="824" t="s">
        <v>323</v>
      </c>
      <c r="BK1179" s="824">
        <v>7</v>
      </c>
      <c r="BL1179" s="1226">
        <v>1083334300.8728001</v>
      </c>
      <c r="BM1179" s="1227">
        <v>3.1193371278848407E-2</v>
      </c>
      <c r="BN1179" s="824">
        <f t="shared" si="41"/>
        <v>2019</v>
      </c>
    </row>
    <row r="1180" spans="1:66" ht="15" customHeight="1" x14ac:dyDescent="0.35">
      <c r="A1180" s="64">
        <f t="shared" si="43"/>
        <v>1900</v>
      </c>
      <c r="B1180" s="168" t="str">
        <f t="shared" si="42"/>
        <v>1899-00</v>
      </c>
      <c r="C1180" s="64"/>
      <c r="BA1180" s="824" t="s">
        <v>32</v>
      </c>
      <c r="BB1180" s="1225">
        <v>2020</v>
      </c>
      <c r="BC1180" s="824" t="s">
        <v>291</v>
      </c>
      <c r="BE1180" s="1226">
        <v>129336000</v>
      </c>
      <c r="BF1180" s="1227">
        <v>5.9344882710622576E-3</v>
      </c>
      <c r="BH1180" s="824" t="s">
        <v>71</v>
      </c>
      <c r="BI1180" s="824" t="s">
        <v>363</v>
      </c>
      <c r="BJ1180" s="824" t="s">
        <v>315</v>
      </c>
      <c r="BK1180" s="824">
        <v>8</v>
      </c>
      <c r="BL1180" s="1226">
        <v>1047998935.8704</v>
      </c>
      <c r="BM1180" s="1227">
        <v>3.0175929886191062E-2</v>
      </c>
      <c r="BN1180" s="824">
        <f t="shared" si="41"/>
        <v>2019</v>
      </c>
    </row>
    <row r="1181" spans="1:66" ht="15" customHeight="1" x14ac:dyDescent="0.35">
      <c r="A1181" s="64">
        <f t="shared" si="43"/>
        <v>1900</v>
      </c>
      <c r="B1181" s="168" t="str">
        <f t="shared" si="42"/>
        <v>1899-00</v>
      </c>
      <c r="C1181" s="64"/>
      <c r="BA1181" s="824" t="s">
        <v>32</v>
      </c>
      <c r="BB1181" s="1225">
        <v>2020</v>
      </c>
      <c r="BC1181" s="824" t="s">
        <v>292</v>
      </c>
      <c r="BE1181" s="1226">
        <v>21793960000</v>
      </c>
      <c r="BH1181" s="824" t="s">
        <v>71</v>
      </c>
      <c r="BI1181" s="824" t="s">
        <v>363</v>
      </c>
      <c r="BJ1181" s="824" t="s">
        <v>279</v>
      </c>
      <c r="BK1181" s="824">
        <v>9</v>
      </c>
      <c r="BL1181" s="1226">
        <v>305129551.176</v>
      </c>
      <c r="BM1181" s="1227">
        <v>8.7858561944480548E-3</v>
      </c>
      <c r="BN1181" s="824">
        <f t="shared" si="41"/>
        <v>2019</v>
      </c>
    </row>
    <row r="1182" spans="1:66" ht="15" customHeight="1" x14ac:dyDescent="0.35">
      <c r="A1182" s="64">
        <f t="shared" si="43"/>
        <v>1900</v>
      </c>
      <c r="B1182" s="168" t="str">
        <f t="shared" si="42"/>
        <v>1899-00</v>
      </c>
      <c r="C1182" s="64"/>
      <c r="BA1182" s="824" t="s">
        <v>48</v>
      </c>
      <c r="BB1182" s="1225">
        <v>2021</v>
      </c>
      <c r="BC1182" s="824" t="s">
        <v>281</v>
      </c>
      <c r="BD1182" s="824">
        <v>1</v>
      </c>
      <c r="BE1182" s="1226">
        <v>1550057712</v>
      </c>
      <c r="BF1182" s="1227">
        <v>0.9448321975393994</v>
      </c>
      <c r="BH1182" s="824" t="s">
        <v>71</v>
      </c>
      <c r="BI1182" s="824" t="s">
        <v>363</v>
      </c>
      <c r="BJ1182" s="824" t="s">
        <v>287</v>
      </c>
      <c r="BK1182" s="824">
        <v>10</v>
      </c>
      <c r="BL1182" s="1226">
        <v>300953072.8743</v>
      </c>
      <c r="BM1182" s="1227">
        <v>8.6655992818791255E-3</v>
      </c>
      <c r="BN1182" s="824">
        <f t="shared" si="41"/>
        <v>2019</v>
      </c>
    </row>
    <row r="1183" spans="1:66" ht="15" customHeight="1" x14ac:dyDescent="0.35">
      <c r="A1183" s="64">
        <f t="shared" si="43"/>
        <v>1900</v>
      </c>
      <c r="B1183" s="168" t="str">
        <f t="shared" si="42"/>
        <v>1899-00</v>
      </c>
      <c r="C1183" s="64"/>
      <c r="BA1183" s="824" t="s">
        <v>48</v>
      </c>
      <c r="BB1183" s="1225">
        <v>2021</v>
      </c>
      <c r="BC1183" s="824" t="s">
        <v>319</v>
      </c>
      <c r="BD1183" s="824">
        <v>2</v>
      </c>
      <c r="BE1183" s="1226">
        <v>59094419</v>
      </c>
      <c r="BF1183" s="1227">
        <v>3.6020794150975484E-2</v>
      </c>
      <c r="BH1183" s="824" t="s">
        <v>71</v>
      </c>
      <c r="BI1183" s="824" t="s">
        <v>363</v>
      </c>
      <c r="BJ1183" s="824" t="s">
        <v>291</v>
      </c>
      <c r="BL1183" s="1226">
        <v>301899942.50530243</v>
      </c>
      <c r="BM1183" s="1227">
        <v>8.6928633091777428E-3</v>
      </c>
      <c r="BN1183" s="824">
        <f t="shared" ref="BN1183:BN1227" si="44">_xlfn.NUMBERVALUE(LEFT(BI1183,4))</f>
        <v>2019</v>
      </c>
    </row>
    <row r="1184" spans="1:66" ht="15" customHeight="1" x14ac:dyDescent="0.35">
      <c r="A1184" s="64">
        <f t="shared" si="43"/>
        <v>1900</v>
      </c>
      <c r="B1184" s="168" t="str">
        <f t="shared" si="42"/>
        <v>1899-00</v>
      </c>
      <c r="C1184" s="64"/>
      <c r="BA1184" s="824" t="s">
        <v>48</v>
      </c>
      <c r="BB1184" s="1225">
        <v>2021</v>
      </c>
      <c r="BC1184" s="824" t="s">
        <v>320</v>
      </c>
      <c r="BD1184" s="824">
        <v>3</v>
      </c>
      <c r="BE1184" s="1226">
        <v>15133076</v>
      </c>
      <c r="BF1184" s="1227">
        <v>9.2243129671359895E-3</v>
      </c>
      <c r="BH1184" s="824" t="s">
        <v>71</v>
      </c>
      <c r="BI1184" s="824" t="s">
        <v>363</v>
      </c>
      <c r="BJ1184" s="824" t="s">
        <v>292</v>
      </c>
      <c r="BL1184" s="1226">
        <v>34729631856.348503</v>
      </c>
      <c r="BN1184" s="824">
        <f t="shared" si="44"/>
        <v>2019</v>
      </c>
    </row>
    <row r="1185" spans="1:66" ht="15" customHeight="1" x14ac:dyDescent="0.35">
      <c r="A1185" s="64">
        <f t="shared" si="43"/>
        <v>1900</v>
      </c>
      <c r="B1185" s="168" t="str">
        <f t="shared" si="42"/>
        <v>1899-00</v>
      </c>
      <c r="C1185" s="64"/>
      <c r="BA1185" s="824" t="s">
        <v>48</v>
      </c>
      <c r="BB1185" s="1225">
        <v>2021</v>
      </c>
      <c r="BC1185" s="824" t="s">
        <v>298</v>
      </c>
      <c r="BD1185" s="824">
        <v>4</v>
      </c>
      <c r="BE1185" s="1226">
        <v>12837836</v>
      </c>
      <c r="BF1185" s="1227">
        <v>7.8252575408175595E-3</v>
      </c>
      <c r="BH1185" s="824" t="s">
        <v>61</v>
      </c>
      <c r="BI1185" s="824" t="s">
        <v>363</v>
      </c>
      <c r="BJ1185" s="824" t="s">
        <v>281</v>
      </c>
      <c r="BK1185" s="824">
        <v>1</v>
      </c>
      <c r="BL1185" s="1226">
        <v>1579902557.13621</v>
      </c>
      <c r="BM1185" s="1227">
        <v>0.40123135760489742</v>
      </c>
      <c r="BN1185" s="824">
        <f t="shared" si="44"/>
        <v>2019</v>
      </c>
    </row>
    <row r="1186" spans="1:66" ht="15" customHeight="1" x14ac:dyDescent="0.35">
      <c r="A1186" s="64">
        <f t="shared" si="43"/>
        <v>1900</v>
      </c>
      <c r="B1186" s="168" t="str">
        <f t="shared" si="42"/>
        <v>1899-00</v>
      </c>
      <c r="C1186" s="64"/>
      <c r="BA1186" s="824" t="s">
        <v>48</v>
      </c>
      <c r="BB1186" s="1225">
        <v>2021</v>
      </c>
      <c r="BC1186" s="824" t="s">
        <v>322</v>
      </c>
      <c r="BD1186" s="824">
        <v>5</v>
      </c>
      <c r="BE1186" s="1226">
        <v>1192415</v>
      </c>
      <c r="BF1186" s="1227">
        <v>7.2683234701969787E-4</v>
      </c>
      <c r="BH1186" s="824" t="s">
        <v>61</v>
      </c>
      <c r="BI1186" s="824" t="s">
        <v>363</v>
      </c>
      <c r="BJ1186" s="824" t="s">
        <v>285</v>
      </c>
      <c r="BK1186" s="824">
        <v>2</v>
      </c>
      <c r="BL1186" s="1226">
        <v>390683576.76984358</v>
      </c>
      <c r="BM1186" s="1227">
        <v>9.9217829095384555E-2</v>
      </c>
      <c r="BN1186" s="824">
        <f t="shared" si="44"/>
        <v>2019</v>
      </c>
    </row>
    <row r="1187" spans="1:66" ht="15" customHeight="1" x14ac:dyDescent="0.35">
      <c r="A1187" s="64">
        <f t="shared" si="43"/>
        <v>1900</v>
      </c>
      <c r="B1187" s="168" t="str">
        <f t="shared" si="42"/>
        <v>1899-00</v>
      </c>
      <c r="C1187" s="64"/>
      <c r="BA1187" s="824" t="s">
        <v>48</v>
      </c>
      <c r="BB1187" s="1225">
        <v>2021</v>
      </c>
      <c r="BC1187" s="824" t="s">
        <v>291</v>
      </c>
      <c r="BE1187" s="1226">
        <v>2248566</v>
      </c>
      <c r="BF1187" s="1227">
        <v>1.370605454651857E-3</v>
      </c>
      <c r="BH1187" s="824" t="s">
        <v>61</v>
      </c>
      <c r="BI1187" s="824" t="s">
        <v>363</v>
      </c>
      <c r="BJ1187" s="824" t="s">
        <v>308</v>
      </c>
      <c r="BK1187" s="824">
        <v>3</v>
      </c>
      <c r="BL1187" s="1226">
        <v>373220504.01345801</v>
      </c>
      <c r="BM1187" s="1227">
        <v>9.4782914829090598E-2</v>
      </c>
      <c r="BN1187" s="824">
        <f t="shared" si="44"/>
        <v>2019</v>
      </c>
    </row>
    <row r="1188" spans="1:66" ht="15" customHeight="1" x14ac:dyDescent="0.35">
      <c r="A1188" s="64">
        <f t="shared" si="43"/>
        <v>1900</v>
      </c>
      <c r="B1188" s="168" t="str">
        <f t="shared" si="42"/>
        <v>1899-00</v>
      </c>
      <c r="C1188" s="64"/>
      <c r="BA1188" s="824" t="s">
        <v>48</v>
      </c>
      <c r="BB1188" s="1225">
        <v>2021</v>
      </c>
      <c r="BC1188" s="824" t="s">
        <v>292</v>
      </c>
      <c r="BE1188" s="1226">
        <v>1640564024</v>
      </c>
      <c r="BH1188" s="824" t="s">
        <v>61</v>
      </c>
      <c r="BI1188" s="824" t="s">
        <v>363</v>
      </c>
      <c r="BJ1188" s="824" t="s">
        <v>320</v>
      </c>
      <c r="BK1188" s="824">
        <v>4</v>
      </c>
      <c r="BL1188" s="1226">
        <v>338040679.93236768</v>
      </c>
      <c r="BM1188" s="1227">
        <v>8.5848662199015005E-2</v>
      </c>
      <c r="BN1188" s="824">
        <f t="shared" si="44"/>
        <v>2019</v>
      </c>
    </row>
    <row r="1189" spans="1:66" ht="15" customHeight="1" x14ac:dyDescent="0.35">
      <c r="A1189" s="64">
        <f t="shared" si="43"/>
        <v>1900</v>
      </c>
      <c r="B1189" s="168" t="str">
        <f t="shared" si="42"/>
        <v>1899-00</v>
      </c>
      <c r="C1189" s="64"/>
      <c r="BA1189" s="824" t="s">
        <v>165</v>
      </c>
      <c r="BB1189" s="1225">
        <v>2021</v>
      </c>
      <c r="BC1189" s="824" t="s">
        <v>282</v>
      </c>
      <c r="BD1189" s="824">
        <v>1</v>
      </c>
      <c r="BE1189" s="1226">
        <v>1138575390.2799997</v>
      </c>
      <c r="BF1189" s="1227">
        <v>0.1732987401743544</v>
      </c>
      <c r="BH1189" s="824" t="s">
        <v>61</v>
      </c>
      <c r="BI1189" s="824" t="s">
        <v>363</v>
      </c>
      <c r="BJ1189" s="824" t="s">
        <v>315</v>
      </c>
      <c r="BK1189" s="824">
        <v>5</v>
      </c>
      <c r="BL1189" s="1226">
        <v>329284195.6571514</v>
      </c>
      <c r="BM1189" s="1227">
        <v>8.3624869308927249E-2</v>
      </c>
      <c r="BN1189" s="824">
        <f t="shared" si="44"/>
        <v>2019</v>
      </c>
    </row>
    <row r="1190" spans="1:66" ht="15" customHeight="1" x14ac:dyDescent="0.35">
      <c r="A1190" s="64">
        <f t="shared" si="43"/>
        <v>1900</v>
      </c>
      <c r="B1190" s="168" t="str">
        <f t="shared" si="42"/>
        <v>1899-00</v>
      </c>
      <c r="C1190" s="64"/>
      <c r="BA1190" s="824" t="s">
        <v>165</v>
      </c>
      <c r="BB1190" s="1225">
        <v>2021</v>
      </c>
      <c r="BC1190" s="824" t="s">
        <v>279</v>
      </c>
      <c r="BD1190" s="824">
        <v>2</v>
      </c>
      <c r="BE1190" s="1226">
        <v>902995347.42000008</v>
      </c>
      <c r="BF1190" s="1227">
        <v>0.13744189223403624</v>
      </c>
      <c r="BH1190" s="824" t="s">
        <v>61</v>
      </c>
      <c r="BI1190" s="824" t="s">
        <v>363</v>
      </c>
      <c r="BJ1190" s="824" t="s">
        <v>298</v>
      </c>
      <c r="BK1190" s="824">
        <v>6</v>
      </c>
      <c r="BL1190" s="1226">
        <v>259437691.72491229</v>
      </c>
      <c r="BM1190" s="1227">
        <v>6.5886681931418001E-2</v>
      </c>
      <c r="BN1190" s="824">
        <f t="shared" si="44"/>
        <v>2019</v>
      </c>
    </row>
    <row r="1191" spans="1:66" ht="15" customHeight="1" x14ac:dyDescent="0.35">
      <c r="A1191" s="64">
        <f t="shared" si="43"/>
        <v>1900</v>
      </c>
      <c r="B1191" s="168" t="str">
        <f t="shared" si="42"/>
        <v>1899-00</v>
      </c>
      <c r="C1191" s="64"/>
      <c r="BA1191" s="824" t="s">
        <v>165</v>
      </c>
      <c r="BB1191" s="1225">
        <v>2021</v>
      </c>
      <c r="BC1191" s="824" t="s">
        <v>281</v>
      </c>
      <c r="BD1191" s="824">
        <v>3</v>
      </c>
      <c r="BE1191" s="1226">
        <v>715895591.86000025</v>
      </c>
      <c r="BF1191" s="1227">
        <v>0.10896406616974387</v>
      </c>
      <c r="BH1191" s="824" t="s">
        <v>61</v>
      </c>
      <c r="BI1191" s="824" t="s">
        <v>363</v>
      </c>
      <c r="BJ1191" s="824" t="s">
        <v>306</v>
      </c>
      <c r="BK1191" s="824">
        <v>7</v>
      </c>
      <c r="BL1191" s="1226">
        <v>230725338.29000002</v>
      </c>
      <c r="BM1191" s="1227">
        <v>5.8594905298304877E-2</v>
      </c>
      <c r="BN1191" s="824">
        <f t="shared" si="44"/>
        <v>2019</v>
      </c>
    </row>
    <row r="1192" spans="1:66" ht="15" customHeight="1" x14ac:dyDescent="0.35">
      <c r="A1192" s="64">
        <f t="shared" si="43"/>
        <v>1900</v>
      </c>
      <c r="B1192" s="168" t="str">
        <f t="shared" si="42"/>
        <v>1899-00</v>
      </c>
      <c r="C1192" s="64"/>
      <c r="BA1192" s="824" t="s">
        <v>165</v>
      </c>
      <c r="BB1192" s="1225">
        <v>2021</v>
      </c>
      <c r="BC1192" s="824" t="s">
        <v>283</v>
      </c>
      <c r="BD1192" s="824">
        <v>4</v>
      </c>
      <c r="BE1192" s="1226">
        <v>667386593.85000002</v>
      </c>
      <c r="BF1192" s="1227">
        <v>0.10158067433287486</v>
      </c>
      <c r="BH1192" s="824" t="s">
        <v>61</v>
      </c>
      <c r="BI1192" s="824" t="s">
        <v>363</v>
      </c>
      <c r="BJ1192" s="824" t="s">
        <v>312</v>
      </c>
      <c r="BK1192" s="824">
        <v>8</v>
      </c>
      <c r="BL1192" s="1226">
        <v>204328614.14399344</v>
      </c>
      <c r="BM1192" s="1227">
        <v>5.1891204859575171E-2</v>
      </c>
      <c r="BN1192" s="824">
        <f t="shared" si="44"/>
        <v>2019</v>
      </c>
    </row>
    <row r="1193" spans="1:66" ht="15" customHeight="1" x14ac:dyDescent="0.35">
      <c r="A1193" s="64">
        <f t="shared" si="43"/>
        <v>1900</v>
      </c>
      <c r="B1193" s="168" t="str">
        <f t="shared" si="42"/>
        <v>1899-00</v>
      </c>
      <c r="C1193" s="64"/>
      <c r="BA1193" s="824" t="s">
        <v>165</v>
      </c>
      <c r="BB1193" s="1225">
        <v>2021</v>
      </c>
      <c r="BC1193" s="824" t="s">
        <v>288</v>
      </c>
      <c r="BD1193" s="824">
        <v>5</v>
      </c>
      <c r="BE1193" s="1226">
        <v>479212459.78999996</v>
      </c>
      <c r="BF1193" s="1227">
        <v>7.2939320721693679E-2</v>
      </c>
      <c r="BH1193" s="824" t="s">
        <v>61</v>
      </c>
      <c r="BI1193" s="824" t="s">
        <v>363</v>
      </c>
      <c r="BJ1193" s="824" t="s">
        <v>310</v>
      </c>
      <c r="BK1193" s="824">
        <v>9</v>
      </c>
      <c r="BL1193" s="1226">
        <v>88519925.087380648</v>
      </c>
      <c r="BM1193" s="1227">
        <v>2.2480481190101327E-2</v>
      </c>
      <c r="BN1193" s="824">
        <f t="shared" si="44"/>
        <v>2019</v>
      </c>
    </row>
    <row r="1194" spans="1:66" ht="15" customHeight="1" x14ac:dyDescent="0.35">
      <c r="A1194" s="64">
        <f t="shared" si="43"/>
        <v>1900</v>
      </c>
      <c r="B1194" s="168" t="str">
        <f t="shared" si="42"/>
        <v>1899-00</v>
      </c>
      <c r="C1194" s="64"/>
      <c r="BA1194" s="824" t="s">
        <v>165</v>
      </c>
      <c r="BB1194" s="1225">
        <v>2021</v>
      </c>
      <c r="BC1194" s="824" t="s">
        <v>284</v>
      </c>
      <c r="BD1194" s="824">
        <v>6</v>
      </c>
      <c r="BE1194" s="1226">
        <v>463399222.26999998</v>
      </c>
      <c r="BF1194" s="1227">
        <v>7.0532440893015927E-2</v>
      </c>
      <c r="BH1194" s="824" t="s">
        <v>61</v>
      </c>
      <c r="BI1194" s="824" t="s">
        <v>363</v>
      </c>
      <c r="BJ1194" s="824" t="s">
        <v>322</v>
      </c>
      <c r="BK1194" s="824">
        <v>10</v>
      </c>
      <c r="BL1194" s="1226">
        <v>36340805.630000003</v>
      </c>
      <c r="BM1194" s="1227">
        <v>9.2290949929284185E-3</v>
      </c>
      <c r="BN1194" s="824">
        <f t="shared" si="44"/>
        <v>2019</v>
      </c>
    </row>
    <row r="1195" spans="1:66" ht="15" customHeight="1" x14ac:dyDescent="0.35">
      <c r="A1195" s="64">
        <f t="shared" si="43"/>
        <v>1900</v>
      </c>
      <c r="B1195" s="168" t="str">
        <f t="shared" si="42"/>
        <v>1899-00</v>
      </c>
      <c r="C1195" s="64"/>
      <c r="BA1195" s="824" t="s">
        <v>165</v>
      </c>
      <c r="BB1195" s="1225">
        <v>2021</v>
      </c>
      <c r="BC1195" s="824" t="s">
        <v>285</v>
      </c>
      <c r="BD1195" s="824">
        <v>7</v>
      </c>
      <c r="BE1195" s="1226">
        <v>447005830.3599999</v>
      </c>
      <c r="BF1195" s="1227">
        <v>6.8037257711084681E-2</v>
      </c>
      <c r="BH1195" s="824" t="s">
        <v>61</v>
      </c>
      <c r="BI1195" s="824" t="s">
        <v>363</v>
      </c>
      <c r="BJ1195" s="824" t="s">
        <v>291</v>
      </c>
      <c r="BL1195" s="1226">
        <v>107150913.06003666</v>
      </c>
      <c r="BM1195" s="1227">
        <v>2.7211998690357394E-2</v>
      </c>
      <c r="BN1195" s="824">
        <f t="shared" si="44"/>
        <v>2019</v>
      </c>
    </row>
    <row r="1196" spans="1:66" ht="15" customHeight="1" x14ac:dyDescent="0.35">
      <c r="A1196" s="64">
        <f t="shared" si="43"/>
        <v>1900</v>
      </c>
      <c r="B1196" s="168" t="str">
        <f t="shared" si="42"/>
        <v>1899-00</v>
      </c>
      <c r="C1196" s="64"/>
      <c r="BA1196" s="824" t="s">
        <v>165</v>
      </c>
      <c r="BB1196" s="1225">
        <v>2021</v>
      </c>
      <c r="BC1196" s="824" t="s">
        <v>287</v>
      </c>
      <c r="BD1196" s="824">
        <v>8</v>
      </c>
      <c r="BE1196" s="1226">
        <v>403672518.69</v>
      </c>
      <c r="BF1196" s="1227">
        <v>6.1441639727327926E-2</v>
      </c>
      <c r="BH1196" s="824" t="s">
        <v>61</v>
      </c>
      <c r="BI1196" s="824" t="s">
        <v>363</v>
      </c>
      <c r="BJ1196" s="824" t="s">
        <v>292</v>
      </c>
      <c r="BL1196" s="1226">
        <v>3937634801.4453535</v>
      </c>
      <c r="BN1196" s="824">
        <f t="shared" si="44"/>
        <v>2019</v>
      </c>
    </row>
    <row r="1197" spans="1:66" ht="15" customHeight="1" x14ac:dyDescent="0.35">
      <c r="A1197" s="64">
        <f t="shared" si="43"/>
        <v>1900</v>
      </c>
      <c r="B1197" s="168" t="str">
        <f t="shared" si="42"/>
        <v>1899-00</v>
      </c>
      <c r="C1197" s="64"/>
      <c r="BA1197" s="824" t="s">
        <v>165</v>
      </c>
      <c r="BB1197" s="1225">
        <v>2021</v>
      </c>
      <c r="BC1197" s="824" t="s">
        <v>318</v>
      </c>
      <c r="BD1197" s="824">
        <v>9</v>
      </c>
      <c r="BE1197" s="1226">
        <v>275336301.27999997</v>
      </c>
      <c r="BF1197" s="1227">
        <v>4.1908014650093785E-2</v>
      </c>
      <c r="BH1197" s="824" t="s">
        <v>54</v>
      </c>
      <c r="BI1197" s="824" t="s">
        <v>363</v>
      </c>
      <c r="BJ1197" s="824" t="s">
        <v>281</v>
      </c>
      <c r="BK1197" s="824">
        <v>1</v>
      </c>
      <c r="BL1197" s="1226">
        <v>503069856.33000004</v>
      </c>
      <c r="BM1197" s="1227">
        <v>0.41994067250380901</v>
      </c>
      <c r="BN1197" s="824">
        <f t="shared" si="44"/>
        <v>2019</v>
      </c>
    </row>
    <row r="1198" spans="1:66" ht="15" customHeight="1" x14ac:dyDescent="0.35">
      <c r="A1198" s="64">
        <f t="shared" si="43"/>
        <v>1900</v>
      </c>
      <c r="B1198" s="168" t="str">
        <f t="shared" si="42"/>
        <v>1899-00</v>
      </c>
      <c r="C1198" s="64"/>
      <c r="BA1198" s="824" t="s">
        <v>165</v>
      </c>
      <c r="BB1198" s="1225">
        <v>2021</v>
      </c>
      <c r="BC1198" s="824" t="s">
        <v>364</v>
      </c>
      <c r="BD1198" s="824">
        <v>10</v>
      </c>
      <c r="BE1198" s="1226">
        <v>265463958.28999999</v>
      </c>
      <c r="BF1198" s="1227">
        <v>4.0405378445814523E-2</v>
      </c>
      <c r="BH1198" s="824" t="s">
        <v>54</v>
      </c>
      <c r="BI1198" s="824" t="s">
        <v>363</v>
      </c>
      <c r="BJ1198" s="824" t="s">
        <v>314</v>
      </c>
      <c r="BK1198" s="824">
        <v>2</v>
      </c>
      <c r="BL1198" s="1226">
        <v>112946948.53</v>
      </c>
      <c r="BM1198" s="1227">
        <v>9.4283163513235541E-2</v>
      </c>
      <c r="BN1198" s="824">
        <f t="shared" si="44"/>
        <v>2019</v>
      </c>
    </row>
    <row r="1199" spans="1:66" ht="15" customHeight="1" x14ac:dyDescent="0.35">
      <c r="A1199" s="64">
        <f t="shared" si="43"/>
        <v>1900</v>
      </c>
      <c r="B1199" s="168" t="str">
        <f t="shared" si="42"/>
        <v>1899-00</v>
      </c>
      <c r="C1199" s="64"/>
      <c r="BA1199" s="824" t="s">
        <v>165</v>
      </c>
      <c r="BB1199" s="1225">
        <v>2021</v>
      </c>
      <c r="BC1199" s="824" t="s">
        <v>291</v>
      </c>
      <c r="BE1199" s="1226">
        <v>811072177.45000172</v>
      </c>
      <c r="BF1199" s="1227">
        <v>0.12345057493996035</v>
      </c>
      <c r="BH1199" s="824" t="s">
        <v>54</v>
      </c>
      <c r="BI1199" s="824" t="s">
        <v>363</v>
      </c>
      <c r="BJ1199" s="824" t="s">
        <v>312</v>
      </c>
      <c r="BK1199" s="824">
        <v>3</v>
      </c>
      <c r="BL1199" s="1226">
        <v>84940743.800000012</v>
      </c>
      <c r="BM1199" s="1227">
        <v>7.0904810983043992E-2</v>
      </c>
      <c r="BN1199" s="824">
        <f t="shared" si="44"/>
        <v>2019</v>
      </c>
    </row>
    <row r="1200" spans="1:66" ht="15" customHeight="1" x14ac:dyDescent="0.35">
      <c r="A1200" s="64">
        <f t="shared" si="43"/>
        <v>1900</v>
      </c>
      <c r="B1200" s="168" t="str">
        <f t="shared" si="42"/>
        <v>1899-00</v>
      </c>
      <c r="C1200" s="64"/>
      <c r="BA1200" s="824" t="s">
        <v>165</v>
      </c>
      <c r="BB1200" s="1225">
        <v>2021</v>
      </c>
      <c r="BC1200" s="824" t="s">
        <v>292</v>
      </c>
      <c r="BE1200" s="1226">
        <v>6570015391.54</v>
      </c>
      <c r="BH1200" s="824" t="s">
        <v>54</v>
      </c>
      <c r="BI1200" s="824" t="s">
        <v>363</v>
      </c>
      <c r="BJ1200" s="824" t="s">
        <v>324</v>
      </c>
      <c r="BK1200" s="824">
        <v>4</v>
      </c>
      <c r="BL1200" s="1226">
        <v>65648759.810000002</v>
      </c>
      <c r="BM1200" s="1227">
        <v>5.4800708086091721E-2</v>
      </c>
      <c r="BN1200" s="824">
        <f t="shared" si="44"/>
        <v>2019</v>
      </c>
    </row>
    <row r="1201" spans="1:66" ht="15" customHeight="1" x14ac:dyDescent="0.35">
      <c r="A1201" s="64">
        <f t="shared" si="43"/>
        <v>1900</v>
      </c>
      <c r="B1201" s="168" t="str">
        <f t="shared" si="42"/>
        <v>1899-00</v>
      </c>
      <c r="C1201" s="64"/>
      <c r="BA1201" s="824" t="s">
        <v>345</v>
      </c>
      <c r="BB1201" s="1225">
        <v>2021</v>
      </c>
      <c r="BC1201" s="824" t="s">
        <v>360</v>
      </c>
      <c r="BD1201" s="824">
        <v>1</v>
      </c>
      <c r="BE1201" s="1235" t="s">
        <v>172</v>
      </c>
      <c r="BF1201" s="1227">
        <v>0.25640706698595617</v>
      </c>
      <c r="BH1201" s="824" t="s">
        <v>54</v>
      </c>
      <c r="BI1201" s="824" t="s">
        <v>363</v>
      </c>
      <c r="BJ1201" s="824" t="s">
        <v>290</v>
      </c>
      <c r="BK1201" s="824">
        <v>5</v>
      </c>
      <c r="BL1201" s="1226">
        <v>61636550.229999997</v>
      </c>
      <c r="BM1201" s="1227">
        <v>5.1451491336070056E-2</v>
      </c>
      <c r="BN1201" s="824">
        <f t="shared" si="44"/>
        <v>2019</v>
      </c>
    </row>
    <row r="1202" spans="1:66" ht="15" customHeight="1" x14ac:dyDescent="0.35">
      <c r="A1202" s="64">
        <f t="shared" si="43"/>
        <v>1900</v>
      </c>
      <c r="B1202" s="168" t="str">
        <f t="shared" si="42"/>
        <v>1899-00</v>
      </c>
      <c r="C1202" s="64"/>
      <c r="BA1202" s="824" t="s">
        <v>345</v>
      </c>
      <c r="BB1202" s="1225">
        <v>2021</v>
      </c>
      <c r="BC1202" s="824" t="s">
        <v>346</v>
      </c>
      <c r="BD1202" s="824">
        <v>2</v>
      </c>
      <c r="BE1202" s="1235" t="s">
        <v>172</v>
      </c>
      <c r="BF1202" s="1227">
        <v>0.2483039840826724</v>
      </c>
      <c r="BH1202" s="824" t="s">
        <v>54</v>
      </c>
      <c r="BI1202" s="824" t="s">
        <v>363</v>
      </c>
      <c r="BJ1202" s="824" t="s">
        <v>298</v>
      </c>
      <c r="BK1202" s="824">
        <v>6</v>
      </c>
      <c r="BL1202" s="1226">
        <v>60111326.660000004</v>
      </c>
      <c r="BM1202" s="1227">
        <v>5.0178301532218431E-2</v>
      </c>
      <c r="BN1202" s="824">
        <f t="shared" si="44"/>
        <v>2019</v>
      </c>
    </row>
    <row r="1203" spans="1:66" ht="15" customHeight="1" x14ac:dyDescent="0.35">
      <c r="A1203" s="64">
        <f t="shared" si="43"/>
        <v>1900</v>
      </c>
      <c r="B1203" s="168" t="str">
        <f t="shared" si="42"/>
        <v>1899-00</v>
      </c>
      <c r="C1203" s="64"/>
      <c r="BA1203" s="824" t="s">
        <v>345</v>
      </c>
      <c r="BB1203" s="1225">
        <v>2021</v>
      </c>
      <c r="BC1203" s="824" t="s">
        <v>308</v>
      </c>
      <c r="BD1203" s="824">
        <v>3</v>
      </c>
      <c r="BE1203" s="1235" t="s">
        <v>172</v>
      </c>
      <c r="BF1203" s="1227">
        <v>0.22625129648419373</v>
      </c>
      <c r="BH1203" s="824" t="s">
        <v>54</v>
      </c>
      <c r="BI1203" s="824" t="s">
        <v>363</v>
      </c>
      <c r="BJ1203" s="824" t="s">
        <v>315</v>
      </c>
      <c r="BK1203" s="824">
        <v>7</v>
      </c>
      <c r="BL1203" s="1226">
        <v>59511989.880000003</v>
      </c>
      <c r="BM1203" s="1227">
        <v>4.9678001450067677E-2</v>
      </c>
      <c r="BN1203" s="824">
        <f t="shared" si="44"/>
        <v>2019</v>
      </c>
    </row>
    <row r="1204" spans="1:66" ht="15" customHeight="1" x14ac:dyDescent="0.35">
      <c r="A1204" s="64">
        <f t="shared" si="43"/>
        <v>1900</v>
      </c>
      <c r="B1204" s="168" t="str">
        <f t="shared" si="42"/>
        <v>1899-00</v>
      </c>
      <c r="C1204" s="64"/>
      <c r="BA1204" s="824" t="s">
        <v>345</v>
      </c>
      <c r="BB1204" s="1225">
        <v>2021</v>
      </c>
      <c r="BC1204" s="824" t="s">
        <v>335</v>
      </c>
      <c r="BD1204" s="824">
        <v>4</v>
      </c>
      <c r="BE1204" s="1235" t="s">
        <v>172</v>
      </c>
      <c r="BF1204" s="1227">
        <v>7.7064528861049586E-2</v>
      </c>
      <c r="BH1204" s="824" t="s">
        <v>54</v>
      </c>
      <c r="BI1204" s="824" t="s">
        <v>363</v>
      </c>
      <c r="BJ1204" s="824" t="s">
        <v>319</v>
      </c>
      <c r="BK1204" s="824">
        <v>8</v>
      </c>
      <c r="BL1204" s="1226">
        <v>49830755.359999999</v>
      </c>
      <c r="BM1204" s="1227">
        <v>4.1596531085981686E-2</v>
      </c>
      <c r="BN1204" s="824">
        <f t="shared" si="44"/>
        <v>2019</v>
      </c>
    </row>
    <row r="1205" spans="1:66" ht="15" customHeight="1" x14ac:dyDescent="0.35">
      <c r="A1205" s="64">
        <f t="shared" si="43"/>
        <v>1900</v>
      </c>
      <c r="B1205" s="168" t="str">
        <f t="shared" si="42"/>
        <v>1899-00</v>
      </c>
      <c r="C1205" s="64"/>
      <c r="BA1205" s="824" t="s">
        <v>345</v>
      </c>
      <c r="BB1205" s="1225">
        <v>2021</v>
      </c>
      <c r="BC1205" s="824" t="s">
        <v>287</v>
      </c>
      <c r="BD1205" s="824">
        <v>5</v>
      </c>
      <c r="BE1205" s="1235" t="s">
        <v>172</v>
      </c>
      <c r="BF1205" s="1227">
        <v>4.6826164162656975E-2</v>
      </c>
      <c r="BH1205" s="824" t="s">
        <v>54</v>
      </c>
      <c r="BI1205" s="824" t="s">
        <v>363</v>
      </c>
      <c r="BJ1205" s="824" t="s">
        <v>322</v>
      </c>
      <c r="BK1205" s="824">
        <v>9</v>
      </c>
      <c r="BL1205" s="1226">
        <v>48685995.550000004</v>
      </c>
      <c r="BM1205" s="1227">
        <v>4.0640935757782604E-2</v>
      </c>
      <c r="BN1205" s="824">
        <f t="shared" si="44"/>
        <v>2019</v>
      </c>
    </row>
    <row r="1206" spans="1:66" ht="15" customHeight="1" x14ac:dyDescent="0.35">
      <c r="A1206" s="64">
        <f t="shared" si="43"/>
        <v>1900</v>
      </c>
      <c r="B1206" s="168" t="str">
        <f t="shared" si="42"/>
        <v>1899-00</v>
      </c>
      <c r="C1206" s="64"/>
      <c r="BA1206" s="824" t="s">
        <v>345</v>
      </c>
      <c r="BB1206" s="1225">
        <v>2021</v>
      </c>
      <c r="BC1206" s="824" t="s">
        <v>309</v>
      </c>
      <c r="BD1206" s="824">
        <v>6</v>
      </c>
      <c r="BE1206" s="1235" t="s">
        <v>172</v>
      </c>
      <c r="BF1206" s="1227">
        <v>4.3428625862630812E-2</v>
      </c>
      <c r="BH1206" s="824" t="s">
        <v>54</v>
      </c>
      <c r="BI1206" s="824" t="s">
        <v>363</v>
      </c>
      <c r="BJ1206" s="824" t="s">
        <v>308</v>
      </c>
      <c r="BK1206" s="824">
        <v>10</v>
      </c>
      <c r="BL1206" s="1226">
        <v>27154952.300000001</v>
      </c>
      <c r="BM1206" s="1227">
        <v>2.2667764301883539E-2</v>
      </c>
      <c r="BN1206" s="824">
        <f t="shared" si="44"/>
        <v>2019</v>
      </c>
    </row>
    <row r="1207" spans="1:66" ht="15" customHeight="1" x14ac:dyDescent="0.35">
      <c r="A1207" s="64">
        <f t="shared" si="43"/>
        <v>1900</v>
      </c>
      <c r="B1207" s="168" t="str">
        <f t="shared" si="42"/>
        <v>1899-00</v>
      </c>
      <c r="C1207" s="64"/>
      <c r="BA1207" s="824" t="s">
        <v>345</v>
      </c>
      <c r="BB1207" s="1225">
        <v>2021</v>
      </c>
      <c r="BC1207" s="824" t="s">
        <v>315</v>
      </c>
      <c r="BD1207" s="824">
        <v>7</v>
      </c>
      <c r="BE1207" s="1235" t="s">
        <v>172</v>
      </c>
      <c r="BF1207" s="1227">
        <v>3.1098334913442535E-2</v>
      </c>
      <c r="BH1207" s="824" t="s">
        <v>54</v>
      </c>
      <c r="BI1207" s="824" t="s">
        <v>363</v>
      </c>
      <c r="BJ1207" s="824" t="s">
        <v>291</v>
      </c>
      <c r="BL1207" s="1226">
        <v>124416711.97000039</v>
      </c>
      <c r="BM1207" s="1227">
        <v>0.10385761944981584</v>
      </c>
      <c r="BN1207" s="824">
        <f t="shared" si="44"/>
        <v>2019</v>
      </c>
    </row>
    <row r="1208" spans="1:66" ht="15" customHeight="1" x14ac:dyDescent="0.35">
      <c r="A1208" s="64">
        <f t="shared" si="43"/>
        <v>1900</v>
      </c>
      <c r="B1208" s="168" t="str">
        <f t="shared" ref="B1208:B1271" si="45">IF(MONTH(C1208) &gt;= 7, A1208 &amp; "-" &amp; RIGHT(A1208+1, 2), A1208-1 &amp; "-" &amp; RIGHT(A1208, 2))</f>
        <v>1899-00</v>
      </c>
      <c r="C1208" s="64"/>
      <c r="BA1208" s="824" t="s">
        <v>345</v>
      </c>
      <c r="BB1208" s="1225">
        <v>2021</v>
      </c>
      <c r="BC1208" s="824" t="s">
        <v>281</v>
      </c>
      <c r="BD1208" s="824">
        <v>8</v>
      </c>
      <c r="BE1208" s="1235" t="s">
        <v>172</v>
      </c>
      <c r="BF1208" s="1227">
        <v>2.1685647051030349E-2</v>
      </c>
      <c r="BH1208" s="824" t="s">
        <v>54</v>
      </c>
      <c r="BI1208" s="824" t="s">
        <v>363</v>
      </c>
      <c r="BJ1208" s="824" t="s">
        <v>292</v>
      </c>
      <c r="BL1208" s="1226">
        <v>1197954590.4200003</v>
      </c>
      <c r="BN1208" s="824">
        <f t="shared" si="44"/>
        <v>2019</v>
      </c>
    </row>
    <row r="1209" spans="1:66" ht="15" customHeight="1" x14ac:dyDescent="0.35">
      <c r="A1209" s="64">
        <f t="shared" si="43"/>
        <v>1900</v>
      </c>
      <c r="B1209" s="168" t="str">
        <f t="shared" si="45"/>
        <v>1899-00</v>
      </c>
      <c r="C1209" s="64"/>
      <c r="BA1209" s="824" t="s">
        <v>345</v>
      </c>
      <c r="BB1209" s="1225">
        <v>2021</v>
      </c>
      <c r="BC1209" s="824" t="s">
        <v>285</v>
      </c>
      <c r="BD1209" s="824">
        <v>9</v>
      </c>
      <c r="BE1209" s="1235" t="s">
        <v>172</v>
      </c>
      <c r="BF1209" s="1227">
        <v>2.0660591198317847E-2</v>
      </c>
      <c r="BH1209" s="824" t="s">
        <v>40</v>
      </c>
      <c r="BI1209" s="824" t="s">
        <v>363</v>
      </c>
      <c r="BJ1209" s="824" t="s">
        <v>281</v>
      </c>
      <c r="BK1209" s="824">
        <v>1</v>
      </c>
      <c r="BL1209" s="1226">
        <v>83864856000</v>
      </c>
      <c r="BM1209" s="1227">
        <v>0.82954344141442871</v>
      </c>
      <c r="BN1209" s="824">
        <f t="shared" si="44"/>
        <v>2019</v>
      </c>
    </row>
    <row r="1210" spans="1:66" ht="15" customHeight="1" x14ac:dyDescent="0.35">
      <c r="A1210" s="64">
        <f t="shared" si="43"/>
        <v>1900</v>
      </c>
      <c r="B1210" s="168" t="str">
        <f t="shared" si="45"/>
        <v>1899-00</v>
      </c>
      <c r="C1210" s="64"/>
      <c r="BA1210" s="824" t="s">
        <v>345</v>
      </c>
      <c r="BB1210" s="1225">
        <v>2021</v>
      </c>
      <c r="BC1210" s="824" t="s">
        <v>322</v>
      </c>
      <c r="BD1210" s="824">
        <v>10</v>
      </c>
      <c r="BE1210" s="1235" t="s">
        <v>172</v>
      </c>
      <c r="BF1210" s="1227">
        <v>2.0395589445850064E-2</v>
      </c>
      <c r="BH1210" s="824" t="s">
        <v>40</v>
      </c>
      <c r="BI1210" s="824" t="s">
        <v>363</v>
      </c>
      <c r="BJ1210" s="824" t="s">
        <v>308</v>
      </c>
      <c r="BK1210" s="824">
        <v>2</v>
      </c>
      <c r="BL1210" s="1226">
        <v>7044756000</v>
      </c>
      <c r="BM1210" s="1227">
        <v>6.9682718302943786E-2</v>
      </c>
      <c r="BN1210" s="824">
        <f t="shared" si="44"/>
        <v>2019</v>
      </c>
    </row>
    <row r="1211" spans="1:66" ht="15" customHeight="1" x14ac:dyDescent="0.35">
      <c r="A1211" s="64">
        <f t="shared" si="43"/>
        <v>1900</v>
      </c>
      <c r="B1211" s="168" t="str">
        <f t="shared" si="45"/>
        <v>1899-00</v>
      </c>
      <c r="C1211" s="64"/>
      <c r="BA1211" s="824" t="s">
        <v>345</v>
      </c>
      <c r="BB1211" s="1225">
        <v>2021</v>
      </c>
      <c r="BC1211" s="824" t="s">
        <v>291</v>
      </c>
      <c r="BE1211" s="1235" t="s">
        <v>172</v>
      </c>
      <c r="BF1211" s="1227">
        <v>7.8781709521996927E-3</v>
      </c>
      <c r="BH1211" s="824" t="s">
        <v>40</v>
      </c>
      <c r="BI1211" s="824" t="s">
        <v>363</v>
      </c>
      <c r="BJ1211" s="824" t="s">
        <v>320</v>
      </c>
      <c r="BK1211" s="824">
        <v>3</v>
      </c>
      <c r="BL1211" s="1226">
        <v>6132240000</v>
      </c>
      <c r="BM1211" s="1227">
        <v>6.0656629198519302E-2</v>
      </c>
      <c r="BN1211" s="824">
        <f t="shared" si="44"/>
        <v>2019</v>
      </c>
    </row>
    <row r="1212" spans="1:66" ht="15" customHeight="1" x14ac:dyDescent="0.35">
      <c r="A1212" s="64">
        <f t="shared" si="43"/>
        <v>1900</v>
      </c>
      <c r="B1212" s="168" t="str">
        <f t="shared" si="45"/>
        <v>1899-00</v>
      </c>
      <c r="C1212" s="64"/>
      <c r="BA1212" s="824" t="s">
        <v>345</v>
      </c>
      <c r="BB1212" s="1225">
        <v>2021</v>
      </c>
      <c r="BC1212" s="824" t="s">
        <v>361</v>
      </c>
      <c r="BE1212" s="1235" t="s">
        <v>172</v>
      </c>
      <c r="BH1212" s="824" t="s">
        <v>40</v>
      </c>
      <c r="BI1212" s="824" t="s">
        <v>363</v>
      </c>
      <c r="BJ1212" s="824" t="s">
        <v>315</v>
      </c>
      <c r="BK1212" s="824">
        <v>4</v>
      </c>
      <c r="BL1212" s="1226">
        <v>1873631000</v>
      </c>
      <c r="BM1212" s="1227">
        <v>1.8532891866895444E-2</v>
      </c>
      <c r="BN1212" s="824">
        <f t="shared" si="44"/>
        <v>2019</v>
      </c>
    </row>
    <row r="1213" spans="1:66" ht="15" customHeight="1" x14ac:dyDescent="0.35">
      <c r="A1213" s="64">
        <f t="shared" si="43"/>
        <v>1900</v>
      </c>
      <c r="B1213" s="168" t="str">
        <f t="shared" si="45"/>
        <v>1899-00</v>
      </c>
      <c r="C1213" s="64"/>
      <c r="BA1213" s="824" t="s">
        <v>32</v>
      </c>
      <c r="BB1213" s="1225">
        <v>2021</v>
      </c>
      <c r="BC1213" s="824" t="s">
        <v>281</v>
      </c>
      <c r="BD1213" s="824">
        <v>1</v>
      </c>
      <c r="BE1213" s="1226">
        <v>6984800000</v>
      </c>
      <c r="BF1213" s="1227">
        <v>0.36316722710061083</v>
      </c>
      <c r="BH1213" s="824" t="s">
        <v>40</v>
      </c>
      <c r="BI1213" s="824" t="s">
        <v>363</v>
      </c>
      <c r="BJ1213" s="824" t="s">
        <v>330</v>
      </c>
      <c r="BK1213" s="824">
        <v>5</v>
      </c>
      <c r="BL1213" s="1226">
        <v>764897000</v>
      </c>
      <c r="BM1213" s="1227">
        <v>7.5659259428952257E-3</v>
      </c>
      <c r="BN1213" s="824">
        <f t="shared" si="44"/>
        <v>2019</v>
      </c>
    </row>
    <row r="1214" spans="1:66" ht="15" customHeight="1" x14ac:dyDescent="0.35">
      <c r="A1214" s="64">
        <f t="shared" si="43"/>
        <v>1900</v>
      </c>
      <c r="B1214" s="168" t="str">
        <f t="shared" si="45"/>
        <v>1899-00</v>
      </c>
      <c r="C1214" s="64"/>
      <c r="BA1214" s="824" t="s">
        <v>32</v>
      </c>
      <c r="BB1214" s="1225">
        <v>2021</v>
      </c>
      <c r="BC1214" s="824" t="s">
        <v>327</v>
      </c>
      <c r="BD1214" s="824">
        <v>2</v>
      </c>
      <c r="BE1214" s="1226">
        <v>2904457000</v>
      </c>
      <c r="BF1214" s="1227">
        <v>0.15101414427370272</v>
      </c>
      <c r="BH1214" s="824" t="s">
        <v>40</v>
      </c>
      <c r="BI1214" s="824" t="s">
        <v>363</v>
      </c>
      <c r="BJ1214" s="824" t="s">
        <v>291</v>
      </c>
      <c r="BL1214" s="1226">
        <v>1417226000</v>
      </c>
      <c r="BM1214" s="1227">
        <v>1.4018393274317495E-2</v>
      </c>
      <c r="BN1214" s="824">
        <f t="shared" si="44"/>
        <v>2019</v>
      </c>
    </row>
    <row r="1215" spans="1:66" ht="15" customHeight="1" x14ac:dyDescent="0.35">
      <c r="A1215" s="64">
        <f t="shared" si="43"/>
        <v>1900</v>
      </c>
      <c r="B1215" s="168" t="str">
        <f t="shared" si="45"/>
        <v>1899-00</v>
      </c>
      <c r="C1215" s="64"/>
      <c r="BA1215" s="824" t="s">
        <v>32</v>
      </c>
      <c r="BB1215" s="1225">
        <v>2021</v>
      </c>
      <c r="BC1215" s="824" t="s">
        <v>287</v>
      </c>
      <c r="BD1215" s="824">
        <v>3</v>
      </c>
      <c r="BE1215" s="1226">
        <v>2178024000</v>
      </c>
      <c r="BF1215" s="1227">
        <v>0.11324403513895613</v>
      </c>
      <c r="BH1215" s="824" t="s">
        <v>40</v>
      </c>
      <c r="BI1215" s="824" t="s">
        <v>363</v>
      </c>
      <c r="BJ1215" s="824" t="s">
        <v>292</v>
      </c>
      <c r="BL1215" s="1226">
        <v>101097606000</v>
      </c>
      <c r="BN1215" s="824">
        <f t="shared" si="44"/>
        <v>2019</v>
      </c>
    </row>
    <row r="1216" spans="1:66" ht="15" customHeight="1" x14ac:dyDescent="0.35">
      <c r="A1216" s="64">
        <f t="shared" si="43"/>
        <v>1900</v>
      </c>
      <c r="B1216" s="168" t="str">
        <f t="shared" si="45"/>
        <v>1899-00</v>
      </c>
      <c r="C1216" s="64"/>
      <c r="BA1216" s="824" t="s">
        <v>32</v>
      </c>
      <c r="BB1216" s="1225">
        <v>2021</v>
      </c>
      <c r="BC1216" s="824" t="s">
        <v>306</v>
      </c>
      <c r="BD1216" s="824">
        <v>4</v>
      </c>
      <c r="BE1216" s="1226">
        <v>2113235000</v>
      </c>
      <c r="BF1216" s="1227">
        <v>0.10987540017780885</v>
      </c>
      <c r="BH1216" s="824" t="s">
        <v>32</v>
      </c>
      <c r="BI1216" s="824" t="s">
        <v>363</v>
      </c>
      <c r="BJ1216" s="824" t="s">
        <v>314</v>
      </c>
      <c r="BK1216" s="824">
        <v>1</v>
      </c>
      <c r="BL1216" s="1226">
        <v>12705259000</v>
      </c>
      <c r="BM1216" s="1227">
        <v>0.59051249583558907</v>
      </c>
      <c r="BN1216" s="824">
        <f t="shared" si="44"/>
        <v>2019</v>
      </c>
    </row>
    <row r="1217" spans="1:66" ht="15" customHeight="1" x14ac:dyDescent="0.35">
      <c r="A1217" s="64">
        <f t="shared" si="43"/>
        <v>1900</v>
      </c>
      <c r="B1217" s="168" t="str">
        <f t="shared" si="45"/>
        <v>1899-00</v>
      </c>
      <c r="C1217" s="64"/>
      <c r="BA1217" s="824" t="s">
        <v>32</v>
      </c>
      <c r="BB1217" s="1225">
        <v>2021</v>
      </c>
      <c r="BC1217" s="824" t="s">
        <v>314</v>
      </c>
      <c r="BD1217" s="824">
        <v>5</v>
      </c>
      <c r="BE1217" s="1226">
        <v>1524412000</v>
      </c>
      <c r="BF1217" s="1227">
        <v>7.9260176239677058E-2</v>
      </c>
      <c r="BH1217" s="824" t="s">
        <v>32</v>
      </c>
      <c r="BI1217" s="824" t="s">
        <v>363</v>
      </c>
      <c r="BJ1217" s="824" t="s">
        <v>286</v>
      </c>
      <c r="BK1217" s="824">
        <v>2</v>
      </c>
      <c r="BL1217" s="1226">
        <v>3011200000</v>
      </c>
      <c r="BM1217" s="1227">
        <v>0.13995395351327555</v>
      </c>
      <c r="BN1217" s="824">
        <f t="shared" si="44"/>
        <v>2019</v>
      </c>
    </row>
    <row r="1218" spans="1:66" ht="15" customHeight="1" x14ac:dyDescent="0.35">
      <c r="A1218" s="64">
        <f t="shared" si="43"/>
        <v>1900</v>
      </c>
      <c r="B1218" s="168" t="str">
        <f t="shared" si="45"/>
        <v>1899-00</v>
      </c>
      <c r="C1218" s="64"/>
      <c r="BA1218" s="824" t="s">
        <v>32</v>
      </c>
      <c r="BB1218" s="1225">
        <v>2021</v>
      </c>
      <c r="BC1218" s="824" t="s">
        <v>298</v>
      </c>
      <c r="BD1218" s="824">
        <v>6</v>
      </c>
      <c r="BE1218" s="1226">
        <v>1347094000</v>
      </c>
      <c r="BF1218" s="1227">
        <v>7.0040715929428218E-2</v>
      </c>
      <c r="BH1218" s="824" t="s">
        <v>32</v>
      </c>
      <c r="BI1218" s="824" t="s">
        <v>363</v>
      </c>
      <c r="BJ1218" s="824" t="s">
        <v>327</v>
      </c>
      <c r="BK1218" s="824">
        <v>3</v>
      </c>
      <c r="BL1218" s="1226">
        <v>2971013000</v>
      </c>
      <c r="BM1218" s="1227">
        <v>0.13808615013593828</v>
      </c>
      <c r="BN1218" s="824">
        <f t="shared" si="44"/>
        <v>2019</v>
      </c>
    </row>
    <row r="1219" spans="1:66" ht="15" customHeight="1" x14ac:dyDescent="0.35">
      <c r="A1219" s="64">
        <f t="shared" si="43"/>
        <v>1900</v>
      </c>
      <c r="B1219" s="168" t="str">
        <f t="shared" si="45"/>
        <v>1899-00</v>
      </c>
      <c r="C1219" s="64"/>
      <c r="BA1219" s="824" t="s">
        <v>32</v>
      </c>
      <c r="BB1219" s="1225">
        <v>2021</v>
      </c>
      <c r="BC1219" s="824" t="s">
        <v>323</v>
      </c>
      <c r="BD1219" s="824">
        <v>7</v>
      </c>
      <c r="BE1219" s="1226">
        <v>954317000</v>
      </c>
      <c r="BF1219" s="1227">
        <v>4.9618694689178448E-2</v>
      </c>
      <c r="BH1219" s="824" t="s">
        <v>32</v>
      </c>
      <c r="BI1219" s="824" t="s">
        <v>363</v>
      </c>
      <c r="BJ1219" s="824" t="s">
        <v>306</v>
      </c>
      <c r="BK1219" s="824">
        <v>4</v>
      </c>
      <c r="BL1219" s="1226">
        <v>853932000</v>
      </c>
      <c r="BM1219" s="1227">
        <v>3.9688881320237256E-2</v>
      </c>
      <c r="BN1219" s="824">
        <f t="shared" si="44"/>
        <v>2019</v>
      </c>
    </row>
    <row r="1220" spans="1:66" ht="15" customHeight="1" x14ac:dyDescent="0.35">
      <c r="A1220" s="64">
        <f t="shared" si="43"/>
        <v>1900</v>
      </c>
      <c r="B1220" s="168" t="str">
        <f t="shared" si="45"/>
        <v>1899-00</v>
      </c>
      <c r="C1220" s="64"/>
      <c r="BA1220" s="824" t="s">
        <v>32</v>
      </c>
      <c r="BB1220" s="1225">
        <v>2021</v>
      </c>
      <c r="BC1220" s="824" t="s">
        <v>320</v>
      </c>
      <c r="BD1220" s="824">
        <v>8</v>
      </c>
      <c r="BE1220" s="1226">
        <v>701893000</v>
      </c>
      <c r="BF1220" s="1227">
        <v>3.6494178005287058E-2</v>
      </c>
      <c r="BH1220" s="824" t="s">
        <v>32</v>
      </c>
      <c r="BI1220" s="824" t="s">
        <v>363</v>
      </c>
      <c r="BJ1220" s="824" t="s">
        <v>281</v>
      </c>
      <c r="BK1220" s="824">
        <v>5</v>
      </c>
      <c r="BL1220" s="1226">
        <v>823663000</v>
      </c>
      <c r="BM1220" s="1227">
        <v>3.828204477039223E-2</v>
      </c>
      <c r="BN1220" s="824">
        <f t="shared" si="44"/>
        <v>2019</v>
      </c>
    </row>
    <row r="1221" spans="1:66" ht="15" customHeight="1" x14ac:dyDescent="0.35">
      <c r="A1221" s="64">
        <f t="shared" si="43"/>
        <v>1900</v>
      </c>
      <c r="B1221" s="168" t="str">
        <f t="shared" si="45"/>
        <v>1899-00</v>
      </c>
      <c r="C1221" s="64"/>
      <c r="BA1221" s="824" t="s">
        <v>32</v>
      </c>
      <c r="BB1221" s="1225">
        <v>2021</v>
      </c>
      <c r="BC1221" s="824" t="s">
        <v>337</v>
      </c>
      <c r="BD1221" s="824">
        <v>9</v>
      </c>
      <c r="BE1221" s="1226">
        <v>379608000</v>
      </c>
      <c r="BF1221" s="1227">
        <v>1.973731312925333E-2</v>
      </c>
      <c r="BH1221" s="824" t="s">
        <v>32</v>
      </c>
      <c r="BI1221" s="824" t="s">
        <v>363</v>
      </c>
      <c r="BJ1221" s="824" t="s">
        <v>335</v>
      </c>
      <c r="BK1221" s="824">
        <v>6</v>
      </c>
      <c r="BL1221" s="1226">
        <v>404170000</v>
      </c>
      <c r="BM1221" s="1227">
        <v>1.8784932715017459E-2</v>
      </c>
      <c r="BN1221" s="824">
        <f t="shared" si="44"/>
        <v>2019</v>
      </c>
    </row>
    <row r="1222" spans="1:66" ht="15" customHeight="1" x14ac:dyDescent="0.35">
      <c r="A1222" s="64">
        <f t="shared" si="43"/>
        <v>1900</v>
      </c>
      <c r="B1222" s="168" t="str">
        <f t="shared" si="45"/>
        <v>1899-00</v>
      </c>
      <c r="C1222" s="64"/>
      <c r="BA1222" s="824" t="s">
        <v>32</v>
      </c>
      <c r="BB1222" s="1225">
        <v>2021</v>
      </c>
      <c r="BC1222" s="824" t="s">
        <v>335</v>
      </c>
      <c r="BD1222" s="824">
        <v>10</v>
      </c>
      <c r="BE1222" s="1226">
        <v>69824000</v>
      </c>
      <c r="BF1222" s="1227">
        <v>3.6304244166007688E-3</v>
      </c>
      <c r="BH1222" s="824" t="s">
        <v>32</v>
      </c>
      <c r="BI1222" s="824" t="s">
        <v>363</v>
      </c>
      <c r="BJ1222" s="824" t="s">
        <v>320</v>
      </c>
      <c r="BK1222" s="824">
        <v>7</v>
      </c>
      <c r="BL1222" s="1226">
        <v>192807000</v>
      </c>
      <c r="BM1222" s="1227">
        <v>8.9612453224741356E-3</v>
      </c>
      <c r="BN1222" s="824">
        <f t="shared" si="44"/>
        <v>2019</v>
      </c>
    </row>
    <row r="1223" spans="1:66" ht="15" customHeight="1" x14ac:dyDescent="0.35">
      <c r="A1223" s="64">
        <f t="shared" si="43"/>
        <v>1900</v>
      </c>
      <c r="B1223" s="168" t="str">
        <f t="shared" si="45"/>
        <v>1899-00</v>
      </c>
      <c r="C1223" s="64"/>
      <c r="BA1223" s="824" t="s">
        <v>32</v>
      </c>
      <c r="BB1223" s="1225">
        <v>2021</v>
      </c>
      <c r="BC1223" s="824" t="s">
        <v>291</v>
      </c>
      <c r="BE1223" s="1226">
        <v>75349000</v>
      </c>
      <c r="BF1223" s="1227">
        <v>3.9176908994966106E-3</v>
      </c>
      <c r="BH1223" s="824" t="s">
        <v>32</v>
      </c>
      <c r="BI1223" s="824" t="s">
        <v>363</v>
      </c>
      <c r="BJ1223" s="824" t="s">
        <v>328</v>
      </c>
      <c r="BK1223" s="824">
        <v>8</v>
      </c>
      <c r="BL1223" s="1226">
        <v>174732000</v>
      </c>
      <c r="BM1223" s="1227">
        <v>8.1211590745489046E-3</v>
      </c>
      <c r="BN1223" s="824">
        <f t="shared" si="44"/>
        <v>2019</v>
      </c>
    </row>
    <row r="1224" spans="1:66" ht="15" customHeight="1" x14ac:dyDescent="0.35">
      <c r="A1224" s="64">
        <f t="shared" si="43"/>
        <v>1900</v>
      </c>
      <c r="B1224" s="168" t="str">
        <f t="shared" si="45"/>
        <v>1899-00</v>
      </c>
      <c r="C1224" s="64"/>
      <c r="BA1224" s="824" t="s">
        <v>32</v>
      </c>
      <c r="BB1224" s="1225">
        <v>2021</v>
      </c>
      <c r="BC1224" s="824" t="s">
        <v>292</v>
      </c>
      <c r="BE1224" s="1226">
        <v>19233013000</v>
      </c>
      <c r="BH1224" s="824" t="s">
        <v>32</v>
      </c>
      <c r="BI1224" s="824" t="s">
        <v>363</v>
      </c>
      <c r="BJ1224" s="824" t="s">
        <v>308</v>
      </c>
      <c r="BK1224" s="824">
        <v>9</v>
      </c>
      <c r="BL1224" s="1226">
        <v>123730000</v>
      </c>
      <c r="BM1224" s="1227">
        <v>5.7506982824779432E-3</v>
      </c>
      <c r="BN1224" s="824">
        <f t="shared" si="44"/>
        <v>2019</v>
      </c>
    </row>
    <row r="1225" spans="1:66" ht="15" customHeight="1" x14ac:dyDescent="0.35">
      <c r="A1225" s="64">
        <f t="shared" si="43"/>
        <v>1900</v>
      </c>
      <c r="B1225" s="168" t="str">
        <f t="shared" si="45"/>
        <v>1899-00</v>
      </c>
      <c r="C1225" s="64"/>
      <c r="BA1225" s="824" t="s">
        <v>40</v>
      </c>
      <c r="BB1225" s="1225">
        <v>2021</v>
      </c>
      <c r="BC1225" s="824" t="s">
        <v>281</v>
      </c>
      <c r="BD1225" s="824">
        <v>1</v>
      </c>
      <c r="BE1225" s="1226">
        <v>125193892000</v>
      </c>
      <c r="BF1225" s="1227">
        <v>0.81958303014537448</v>
      </c>
      <c r="BH1225" s="824" t="s">
        <v>32</v>
      </c>
      <c r="BI1225" s="824" t="s">
        <v>363</v>
      </c>
      <c r="BJ1225" s="824" t="s">
        <v>329</v>
      </c>
      <c r="BK1225" s="824">
        <v>10</v>
      </c>
      <c r="BL1225" s="1226">
        <v>112245000</v>
      </c>
      <c r="BM1225" s="1227">
        <v>5.2169007412651482E-3</v>
      </c>
      <c r="BN1225" s="824">
        <f t="shared" si="44"/>
        <v>2019</v>
      </c>
    </row>
    <row r="1226" spans="1:66" ht="15" customHeight="1" x14ac:dyDescent="0.35">
      <c r="A1226" s="64">
        <f t="shared" si="43"/>
        <v>1900</v>
      </c>
      <c r="B1226" s="168" t="str">
        <f t="shared" si="45"/>
        <v>1899-00</v>
      </c>
      <c r="C1226" s="64"/>
      <c r="BA1226" s="824" t="s">
        <v>40</v>
      </c>
      <c r="BB1226" s="1225">
        <v>2021</v>
      </c>
      <c r="BC1226" s="824" t="s">
        <v>308</v>
      </c>
      <c r="BD1226" s="824">
        <v>2</v>
      </c>
      <c r="BE1226" s="1226">
        <v>11276013000</v>
      </c>
      <c r="BF1226" s="1227">
        <v>7.3818528642744283E-2</v>
      </c>
      <c r="BH1226" s="824" t="s">
        <v>32</v>
      </c>
      <c r="BI1226" s="824" t="s">
        <v>363</v>
      </c>
      <c r="BJ1226" s="824" t="s">
        <v>291</v>
      </c>
      <c r="BL1226" s="1226">
        <v>142897000</v>
      </c>
      <c r="BM1226" s="1227">
        <v>6.6415382887840511E-3</v>
      </c>
      <c r="BN1226" s="824">
        <f t="shared" si="44"/>
        <v>2019</v>
      </c>
    </row>
    <row r="1227" spans="1:66" ht="15" customHeight="1" x14ac:dyDescent="0.35">
      <c r="A1227" s="64">
        <f t="shared" si="43"/>
        <v>1900</v>
      </c>
      <c r="B1227" s="168" t="str">
        <f t="shared" si="45"/>
        <v>1899-00</v>
      </c>
      <c r="C1227" s="64"/>
      <c r="BA1227" s="824" t="s">
        <v>40</v>
      </c>
      <c r="BB1227" s="1225">
        <v>2021</v>
      </c>
      <c r="BC1227" s="824" t="s">
        <v>320</v>
      </c>
      <c r="BD1227" s="824">
        <v>3</v>
      </c>
      <c r="BE1227" s="1226">
        <v>9841650000</v>
      </c>
      <c r="BF1227" s="1227">
        <v>6.4428457329453612E-2</v>
      </c>
      <c r="BH1227" s="824" t="s">
        <v>32</v>
      </c>
      <c r="BI1227" s="824" t="s">
        <v>363</v>
      </c>
      <c r="BJ1227" s="824" t="s">
        <v>292</v>
      </c>
      <c r="BL1227" s="1226">
        <v>21515648000</v>
      </c>
      <c r="BN1227" s="824">
        <f t="shared" si="44"/>
        <v>2019</v>
      </c>
    </row>
    <row r="1228" spans="1:66" ht="15" customHeight="1" x14ac:dyDescent="0.35">
      <c r="A1228" s="64">
        <f t="shared" ref="A1228:A1291" si="46">YEAR(C1228)</f>
        <v>1900</v>
      </c>
      <c r="B1228" s="168" t="str">
        <f t="shared" si="45"/>
        <v>1899-00</v>
      </c>
      <c r="C1228" s="64"/>
      <c r="BA1228" s="824" t="s">
        <v>40</v>
      </c>
      <c r="BB1228" s="1225">
        <v>2021</v>
      </c>
      <c r="BC1228" s="824" t="s">
        <v>315</v>
      </c>
      <c r="BD1228" s="824">
        <v>4</v>
      </c>
      <c r="BE1228" s="1226">
        <v>3380371000</v>
      </c>
      <c r="BF1228" s="1227">
        <v>2.2129631589339435E-2</v>
      </c>
      <c r="BH1228" s="824" t="s">
        <v>165</v>
      </c>
      <c r="BI1228" s="824" t="s">
        <v>365</v>
      </c>
      <c r="BJ1228" s="824" t="s">
        <v>282</v>
      </c>
      <c r="BK1228" s="824">
        <v>1</v>
      </c>
      <c r="BL1228" s="1226">
        <v>1076588663.01</v>
      </c>
      <c r="BM1228" s="1227">
        <v>0.18692100200328479</v>
      </c>
      <c r="BN1228" s="824">
        <v>2020</v>
      </c>
    </row>
    <row r="1229" spans="1:66" ht="15" customHeight="1" x14ac:dyDescent="0.35">
      <c r="A1229" s="64">
        <f t="shared" si="46"/>
        <v>1900</v>
      </c>
      <c r="B1229" s="168" t="str">
        <f t="shared" si="45"/>
        <v>1899-00</v>
      </c>
      <c r="C1229" s="64"/>
      <c r="BA1229" s="824" t="s">
        <v>40</v>
      </c>
      <c r="BB1229" s="1225">
        <v>2021</v>
      </c>
      <c r="BC1229" s="824" t="s">
        <v>330</v>
      </c>
      <c r="BD1229" s="824">
        <v>5</v>
      </c>
      <c r="BE1229" s="1226">
        <v>1762718000</v>
      </c>
      <c r="BF1229" s="1227">
        <v>1.1539650510520067E-2</v>
      </c>
      <c r="BH1229" s="824" t="s">
        <v>165</v>
      </c>
      <c r="BI1229" s="824" t="s">
        <v>365</v>
      </c>
      <c r="BJ1229" s="824" t="s">
        <v>279</v>
      </c>
      <c r="BK1229" s="824">
        <v>2</v>
      </c>
      <c r="BL1229" s="1226">
        <v>848125326.12</v>
      </c>
      <c r="BM1229" s="1227">
        <v>0.14725441687215737</v>
      </c>
      <c r="BN1229" s="824">
        <v>2020</v>
      </c>
    </row>
    <row r="1230" spans="1:66" ht="15" customHeight="1" x14ac:dyDescent="0.35">
      <c r="A1230" s="64">
        <f t="shared" si="46"/>
        <v>1900</v>
      </c>
      <c r="B1230" s="168" t="str">
        <f t="shared" si="45"/>
        <v>1899-00</v>
      </c>
      <c r="C1230" s="64"/>
      <c r="BA1230" s="824" t="s">
        <v>40</v>
      </c>
      <c r="BB1230" s="1225">
        <v>2021</v>
      </c>
      <c r="BC1230" s="824" t="s">
        <v>291</v>
      </c>
      <c r="BE1230" s="1226">
        <v>1298509000</v>
      </c>
      <c r="BF1230" s="1227">
        <v>8.5007017825681156E-3</v>
      </c>
      <c r="BH1230" s="824" t="s">
        <v>165</v>
      </c>
      <c r="BI1230" s="824" t="s">
        <v>365</v>
      </c>
      <c r="BJ1230" s="824" t="s">
        <v>281</v>
      </c>
      <c r="BK1230" s="824">
        <v>3</v>
      </c>
      <c r="BL1230" s="1226">
        <v>665647686.70999992</v>
      </c>
      <c r="BM1230" s="1227">
        <v>0.11557202565474728</v>
      </c>
      <c r="BN1230" s="824">
        <v>2020</v>
      </c>
    </row>
    <row r="1231" spans="1:66" ht="15" customHeight="1" x14ac:dyDescent="0.35">
      <c r="A1231" s="64">
        <f t="shared" si="46"/>
        <v>1900</v>
      </c>
      <c r="B1231" s="168" t="str">
        <f t="shared" si="45"/>
        <v>1899-00</v>
      </c>
      <c r="C1231" s="64"/>
      <c r="BA1231" s="824" t="s">
        <v>40</v>
      </c>
      <c r="BB1231" s="1225">
        <v>2021</v>
      </c>
      <c r="BC1231" s="824" t="s">
        <v>292</v>
      </c>
      <c r="BE1231" s="1226">
        <v>152753153000</v>
      </c>
      <c r="BH1231" s="824" t="s">
        <v>165</v>
      </c>
      <c r="BI1231" s="824" t="s">
        <v>365</v>
      </c>
      <c r="BJ1231" s="824" t="s">
        <v>283</v>
      </c>
      <c r="BK1231" s="824">
        <v>4</v>
      </c>
      <c r="BL1231" s="1226">
        <v>606515305.56999993</v>
      </c>
      <c r="BM1231" s="1227">
        <v>0.10530525960630499</v>
      </c>
      <c r="BN1231" s="824">
        <v>2020</v>
      </c>
    </row>
    <row r="1232" spans="1:66" ht="15" customHeight="1" x14ac:dyDescent="0.35">
      <c r="A1232" s="64">
        <f t="shared" si="46"/>
        <v>1900</v>
      </c>
      <c r="B1232" s="168" t="str">
        <f t="shared" si="45"/>
        <v>1899-00</v>
      </c>
      <c r="C1232" s="64"/>
      <c r="BA1232" s="824" t="s">
        <v>54</v>
      </c>
      <c r="BB1232" s="1225">
        <v>2021</v>
      </c>
      <c r="BC1232" s="824" t="s">
        <v>281</v>
      </c>
      <c r="BD1232" s="824">
        <v>1</v>
      </c>
      <c r="BE1232" s="1226">
        <v>859273144.74000025</v>
      </c>
      <c r="BF1232" s="1227">
        <v>0.45491236729112144</v>
      </c>
      <c r="BH1232" s="824" t="s">
        <v>165</v>
      </c>
      <c r="BI1232" s="824" t="s">
        <v>365</v>
      </c>
      <c r="BJ1232" s="824" t="s">
        <v>284</v>
      </c>
      <c r="BK1232" s="824">
        <v>5</v>
      </c>
      <c r="BL1232" s="1226">
        <v>494147508.14000005</v>
      </c>
      <c r="BM1232" s="1227">
        <v>8.5795578694568872E-2</v>
      </c>
      <c r="BN1232" s="824">
        <v>2020</v>
      </c>
    </row>
    <row r="1233" spans="1:66" ht="15" customHeight="1" x14ac:dyDescent="0.35">
      <c r="A1233" s="64">
        <f t="shared" si="46"/>
        <v>1900</v>
      </c>
      <c r="B1233" s="168" t="str">
        <f t="shared" si="45"/>
        <v>1899-00</v>
      </c>
      <c r="C1233" s="64"/>
      <c r="BA1233" s="824" t="s">
        <v>54</v>
      </c>
      <c r="BB1233" s="1225">
        <v>2021</v>
      </c>
      <c r="BC1233" s="824" t="s">
        <v>290</v>
      </c>
      <c r="BD1233" s="824">
        <v>2</v>
      </c>
      <c r="BE1233" s="1226">
        <v>180322917.55000001</v>
      </c>
      <c r="BF1233" s="1227">
        <v>9.5465715182258229E-2</v>
      </c>
      <c r="BH1233" s="824" t="s">
        <v>165</v>
      </c>
      <c r="BI1233" s="824" t="s">
        <v>365</v>
      </c>
      <c r="BJ1233" s="824" t="s">
        <v>285</v>
      </c>
      <c r="BK1233" s="824">
        <v>6</v>
      </c>
      <c r="BL1233" s="1226">
        <v>402630686.25</v>
      </c>
      <c r="BM1233" s="1227">
        <v>6.9906115396666704E-2</v>
      </c>
      <c r="BN1233" s="824">
        <v>2020</v>
      </c>
    </row>
    <row r="1234" spans="1:66" ht="15" customHeight="1" x14ac:dyDescent="0.35">
      <c r="A1234" s="64">
        <f t="shared" si="46"/>
        <v>1900</v>
      </c>
      <c r="B1234" s="168" t="str">
        <f t="shared" si="45"/>
        <v>1899-00</v>
      </c>
      <c r="C1234" s="64"/>
      <c r="BA1234" s="824" t="s">
        <v>54</v>
      </c>
      <c r="BB1234" s="1225">
        <v>2021</v>
      </c>
      <c r="BC1234" s="824" t="s">
        <v>298</v>
      </c>
      <c r="BD1234" s="824">
        <v>3</v>
      </c>
      <c r="BE1234" s="1226">
        <v>143178928.29999998</v>
      </c>
      <c r="BF1234" s="1227">
        <v>7.5801118210050672E-2</v>
      </c>
      <c r="BH1234" s="824" t="s">
        <v>165</v>
      </c>
      <c r="BI1234" s="824" t="s">
        <v>365</v>
      </c>
      <c r="BJ1234" s="824" t="s">
        <v>287</v>
      </c>
      <c r="BK1234" s="824">
        <v>7</v>
      </c>
      <c r="BL1234" s="1226">
        <v>394443551.61000001</v>
      </c>
      <c r="BM1234" s="1227">
        <v>6.8484637107859583E-2</v>
      </c>
      <c r="BN1234" s="824">
        <v>2020</v>
      </c>
    </row>
    <row r="1235" spans="1:66" ht="15" customHeight="1" x14ac:dyDescent="0.35">
      <c r="A1235" s="64">
        <f t="shared" si="46"/>
        <v>1900</v>
      </c>
      <c r="B1235" s="168" t="str">
        <f t="shared" si="45"/>
        <v>1899-00</v>
      </c>
      <c r="C1235" s="64"/>
      <c r="BA1235" s="824" t="s">
        <v>54</v>
      </c>
      <c r="BB1235" s="1225">
        <v>2021</v>
      </c>
      <c r="BC1235" s="824" t="s">
        <v>287</v>
      </c>
      <c r="BD1235" s="824">
        <v>4</v>
      </c>
      <c r="BE1235" s="1226">
        <v>98854491.130000055</v>
      </c>
      <c r="BF1235" s="1227">
        <v>5.2335082101180527E-2</v>
      </c>
      <c r="BH1235" s="824" t="s">
        <v>165</v>
      </c>
      <c r="BI1235" s="824" t="s">
        <v>365</v>
      </c>
      <c r="BJ1235" s="824" t="s">
        <v>288</v>
      </c>
      <c r="BK1235" s="824">
        <v>8</v>
      </c>
      <c r="BL1235" s="1226">
        <v>305679669.29000002</v>
      </c>
      <c r="BM1235" s="1227">
        <v>5.3073148583944171E-2</v>
      </c>
      <c r="BN1235" s="824">
        <v>2020</v>
      </c>
    </row>
    <row r="1236" spans="1:66" ht="15" customHeight="1" x14ac:dyDescent="0.35">
      <c r="A1236" s="64">
        <f t="shared" si="46"/>
        <v>1900</v>
      </c>
      <c r="B1236" s="168" t="str">
        <f t="shared" si="45"/>
        <v>1899-00</v>
      </c>
      <c r="C1236" s="64"/>
      <c r="BA1236" s="824" t="s">
        <v>54</v>
      </c>
      <c r="BB1236" s="1225">
        <v>2021</v>
      </c>
      <c r="BC1236" s="824" t="s">
        <v>322</v>
      </c>
      <c r="BD1236" s="824">
        <v>5</v>
      </c>
      <c r="BE1236" s="1226">
        <v>91519684.180000007</v>
      </c>
      <c r="BF1236" s="1227">
        <v>4.8451922929183468E-2</v>
      </c>
      <c r="BH1236" s="824" t="s">
        <v>165</v>
      </c>
      <c r="BI1236" s="824" t="s">
        <v>365</v>
      </c>
      <c r="BJ1236" s="824" t="s">
        <v>289</v>
      </c>
      <c r="BK1236" s="824">
        <v>9</v>
      </c>
      <c r="BL1236" s="1226">
        <v>187470991.42999998</v>
      </c>
      <c r="BM1236" s="1227">
        <v>3.254935405568108E-2</v>
      </c>
      <c r="BN1236" s="824">
        <v>2020</v>
      </c>
    </row>
    <row r="1237" spans="1:66" ht="15" customHeight="1" x14ac:dyDescent="0.35">
      <c r="A1237" s="64">
        <f t="shared" si="46"/>
        <v>1900</v>
      </c>
      <c r="B1237" s="168" t="str">
        <f t="shared" si="45"/>
        <v>1899-00</v>
      </c>
      <c r="C1237" s="64"/>
      <c r="BA1237" s="824" t="s">
        <v>54</v>
      </c>
      <c r="BB1237" s="1225">
        <v>2021</v>
      </c>
      <c r="BC1237" s="824" t="s">
        <v>315</v>
      </c>
      <c r="BD1237" s="824">
        <v>6</v>
      </c>
      <c r="BE1237" s="1226">
        <v>82702673.500000015</v>
      </c>
      <c r="BF1237" s="1227">
        <v>4.378406239447126E-2</v>
      </c>
      <c r="BH1237" s="824" t="s">
        <v>165</v>
      </c>
      <c r="BI1237" s="824" t="s">
        <v>365</v>
      </c>
      <c r="BJ1237" s="824" t="s">
        <v>300</v>
      </c>
      <c r="BK1237" s="824">
        <v>10</v>
      </c>
      <c r="BL1237" s="1226">
        <v>185429637.14000002</v>
      </c>
      <c r="BM1237" s="1227">
        <v>3.2194927149248986E-2</v>
      </c>
      <c r="BN1237" s="824">
        <v>2020</v>
      </c>
    </row>
    <row r="1238" spans="1:66" ht="15" customHeight="1" x14ac:dyDescent="0.35">
      <c r="A1238" s="64">
        <f t="shared" si="46"/>
        <v>1900</v>
      </c>
      <c r="B1238" s="168" t="str">
        <f t="shared" si="45"/>
        <v>1899-00</v>
      </c>
      <c r="C1238" s="64"/>
      <c r="BA1238" s="824" t="s">
        <v>54</v>
      </c>
      <c r="BB1238" s="1225">
        <v>2021</v>
      </c>
      <c r="BC1238" s="824" t="s">
        <v>312</v>
      </c>
      <c r="BD1238" s="824">
        <v>7</v>
      </c>
      <c r="BE1238" s="1226">
        <v>77407287.199999988</v>
      </c>
      <c r="BF1238" s="1227">
        <v>4.0980603759460756E-2</v>
      </c>
      <c r="BH1238" s="824" t="s">
        <v>165</v>
      </c>
      <c r="BI1238" s="824" t="s">
        <v>365</v>
      </c>
      <c r="BJ1238" s="824" t="s">
        <v>291</v>
      </c>
      <c r="BL1238" s="1226">
        <v>592912735.2699995</v>
      </c>
      <c r="BM1238" s="1227">
        <v>0.10294353487553604</v>
      </c>
      <c r="BN1238" s="824">
        <v>2020</v>
      </c>
    </row>
    <row r="1239" spans="1:66" ht="15" customHeight="1" x14ac:dyDescent="0.35">
      <c r="A1239" s="64">
        <f t="shared" si="46"/>
        <v>1900</v>
      </c>
      <c r="B1239" s="168" t="str">
        <f t="shared" si="45"/>
        <v>1899-00</v>
      </c>
      <c r="C1239" s="64"/>
      <c r="BA1239" s="824" t="s">
        <v>54</v>
      </c>
      <c r="BB1239" s="1225">
        <v>2021</v>
      </c>
      <c r="BC1239" s="824" t="s">
        <v>285</v>
      </c>
      <c r="BD1239" s="824">
        <v>8</v>
      </c>
      <c r="BE1239" s="1226">
        <v>66775992.24000001</v>
      </c>
      <c r="BF1239" s="1227">
        <v>3.5352233331234308E-2</v>
      </c>
      <c r="BH1239" s="824" t="s">
        <v>165</v>
      </c>
      <c r="BI1239" s="824" t="s">
        <v>365</v>
      </c>
      <c r="BJ1239" s="824" t="s">
        <v>292</v>
      </c>
      <c r="BL1239" s="1226">
        <v>5759591760.54</v>
      </c>
      <c r="BN1239" s="824">
        <v>2020</v>
      </c>
    </row>
    <row r="1240" spans="1:66" ht="15" customHeight="1" x14ac:dyDescent="0.35">
      <c r="A1240" s="64">
        <f t="shared" si="46"/>
        <v>1900</v>
      </c>
      <c r="B1240" s="168" t="str">
        <f t="shared" si="45"/>
        <v>1899-00</v>
      </c>
      <c r="C1240" s="64"/>
      <c r="BA1240" s="824" t="s">
        <v>54</v>
      </c>
      <c r="BB1240" s="1225">
        <v>2021</v>
      </c>
      <c r="BC1240" s="824" t="s">
        <v>314</v>
      </c>
      <c r="BD1240" s="824">
        <v>9</v>
      </c>
      <c r="BE1240" s="1226">
        <v>58142020.450000003</v>
      </c>
      <c r="BF1240" s="1227">
        <v>3.078127638912935E-2</v>
      </c>
      <c r="BH1240" s="824" t="s">
        <v>345</v>
      </c>
      <c r="BI1240" s="824" t="s">
        <v>365</v>
      </c>
      <c r="BJ1240" s="824" t="s">
        <v>360</v>
      </c>
      <c r="BK1240" s="824">
        <v>1</v>
      </c>
      <c r="BL1240" s="1235" t="s">
        <v>172</v>
      </c>
      <c r="BM1240" s="1316">
        <v>0.25690669464334059</v>
      </c>
      <c r="BN1240" s="824">
        <v>2020</v>
      </c>
    </row>
    <row r="1241" spans="1:66" ht="15" customHeight="1" x14ac:dyDescent="0.35">
      <c r="A1241" s="64">
        <f t="shared" si="46"/>
        <v>1900</v>
      </c>
      <c r="B1241" s="168" t="str">
        <f t="shared" si="45"/>
        <v>1899-00</v>
      </c>
      <c r="C1241" s="64"/>
      <c r="BA1241" s="824" t="s">
        <v>54</v>
      </c>
      <c r="BB1241" s="1225">
        <v>2021</v>
      </c>
      <c r="BC1241" s="824" t="s">
        <v>324</v>
      </c>
      <c r="BD1241" s="824">
        <v>10</v>
      </c>
      <c r="BE1241" s="1226">
        <v>54373069.82</v>
      </c>
      <c r="BF1241" s="1227">
        <v>2.8785936183524003E-2</v>
      </c>
      <c r="BH1241" s="824" t="s">
        <v>345</v>
      </c>
      <c r="BI1241" s="824" t="s">
        <v>365</v>
      </c>
      <c r="BJ1241" s="824" t="s">
        <v>346</v>
      </c>
      <c r="BK1241" s="824">
        <v>2</v>
      </c>
      <c r="BL1241" s="1235" t="s">
        <v>172</v>
      </c>
      <c r="BM1241" s="1316">
        <v>0.19626711481652317</v>
      </c>
      <c r="BN1241" s="824">
        <v>2020</v>
      </c>
    </row>
    <row r="1242" spans="1:66" ht="15" customHeight="1" x14ac:dyDescent="0.35">
      <c r="A1242" s="64">
        <f t="shared" si="46"/>
        <v>1900</v>
      </c>
      <c r="B1242" s="168" t="str">
        <f t="shared" si="45"/>
        <v>1899-00</v>
      </c>
      <c r="C1242" s="64"/>
      <c r="BA1242" s="824" t="s">
        <v>54</v>
      </c>
      <c r="BB1242" s="1225">
        <v>2021</v>
      </c>
      <c r="BC1242" s="824" t="s">
        <v>291</v>
      </c>
      <c r="BE1242" s="1226">
        <v>176325993.25999999</v>
      </c>
      <c r="BF1242" s="1227">
        <v>9.3349682228385966E-2</v>
      </c>
      <c r="BH1242" s="824" t="s">
        <v>345</v>
      </c>
      <c r="BI1242" s="824" t="s">
        <v>365</v>
      </c>
      <c r="BJ1242" s="824" t="s">
        <v>308</v>
      </c>
      <c r="BK1242" s="824">
        <v>3</v>
      </c>
      <c r="BL1242" s="1235" t="s">
        <v>172</v>
      </c>
      <c r="BM1242" s="1316">
        <v>0.17270970380097272</v>
      </c>
      <c r="BN1242" s="824">
        <v>2020</v>
      </c>
    </row>
    <row r="1243" spans="1:66" ht="15" customHeight="1" x14ac:dyDescent="0.35">
      <c r="A1243" s="64">
        <f t="shared" si="46"/>
        <v>1900</v>
      </c>
      <c r="B1243" s="168" t="str">
        <f t="shared" si="45"/>
        <v>1899-00</v>
      </c>
      <c r="C1243" s="64"/>
      <c r="BA1243" s="824" t="s">
        <v>54</v>
      </c>
      <c r="BB1243" s="1225">
        <v>2021</v>
      </c>
      <c r="BC1243" s="824" t="s">
        <v>292</v>
      </c>
      <c r="BE1243" s="1226">
        <v>1888876202.3700004</v>
      </c>
      <c r="BH1243" s="824" t="s">
        <v>345</v>
      </c>
      <c r="BI1243" s="824" t="s">
        <v>365</v>
      </c>
      <c r="BJ1243" s="824" t="s">
        <v>281</v>
      </c>
      <c r="BK1243" s="824">
        <v>4</v>
      </c>
      <c r="BL1243" s="1235" t="s">
        <v>172</v>
      </c>
      <c r="BM1243" s="1316">
        <v>0.11823619946056574</v>
      </c>
      <c r="BN1243" s="824">
        <v>2020</v>
      </c>
    </row>
    <row r="1244" spans="1:66" ht="15" customHeight="1" x14ac:dyDescent="0.35">
      <c r="A1244" s="64">
        <f t="shared" si="46"/>
        <v>1900</v>
      </c>
      <c r="B1244" s="168" t="str">
        <f t="shared" si="45"/>
        <v>1899-00</v>
      </c>
      <c r="C1244" s="64"/>
      <c r="BA1244" s="824" t="s">
        <v>61</v>
      </c>
      <c r="BB1244" s="1225">
        <v>2021</v>
      </c>
      <c r="BC1244" s="824" t="s">
        <v>281</v>
      </c>
      <c r="BD1244" s="824">
        <v>1</v>
      </c>
      <c r="BE1244" s="1235" t="s">
        <v>172</v>
      </c>
      <c r="BF1244" s="1227">
        <v>0.61421973235808913</v>
      </c>
      <c r="BH1244" s="824" t="s">
        <v>345</v>
      </c>
      <c r="BI1244" s="824" t="s">
        <v>365</v>
      </c>
      <c r="BJ1244" s="824" t="s">
        <v>335</v>
      </c>
      <c r="BK1244" s="824">
        <v>5</v>
      </c>
      <c r="BL1244" s="1235" t="s">
        <v>172</v>
      </c>
      <c r="BM1244" s="1316">
        <v>9.1937433001963428E-2</v>
      </c>
      <c r="BN1244" s="824">
        <v>2020</v>
      </c>
    </row>
    <row r="1245" spans="1:66" ht="15" customHeight="1" x14ac:dyDescent="0.35">
      <c r="A1245" s="64">
        <f t="shared" si="46"/>
        <v>1900</v>
      </c>
      <c r="B1245" s="168" t="str">
        <f t="shared" si="45"/>
        <v>1899-00</v>
      </c>
      <c r="C1245" s="64"/>
      <c r="BA1245" s="824" t="s">
        <v>61</v>
      </c>
      <c r="BB1245" s="1225">
        <v>2021</v>
      </c>
      <c r="BC1245" s="824" t="s">
        <v>308</v>
      </c>
      <c r="BD1245" s="824">
        <v>2</v>
      </c>
      <c r="BE1245" s="1235" t="s">
        <v>172</v>
      </c>
      <c r="BF1245" s="1227">
        <v>0.15605727169511943</v>
      </c>
      <c r="BH1245" s="824" t="s">
        <v>345</v>
      </c>
      <c r="BI1245" s="824" t="s">
        <v>365</v>
      </c>
      <c r="BJ1245" s="824" t="s">
        <v>309</v>
      </c>
      <c r="BK1245" s="824">
        <v>6</v>
      </c>
      <c r="BL1245" s="1235" t="s">
        <v>172</v>
      </c>
      <c r="BM1245" s="1316">
        <v>4.6241284619636322E-2</v>
      </c>
      <c r="BN1245" s="824">
        <v>2020</v>
      </c>
    </row>
    <row r="1246" spans="1:66" ht="15" customHeight="1" x14ac:dyDescent="0.35">
      <c r="A1246" s="64">
        <f t="shared" si="46"/>
        <v>1900</v>
      </c>
      <c r="B1246" s="168" t="str">
        <f t="shared" si="45"/>
        <v>1899-00</v>
      </c>
      <c r="C1246" s="64"/>
      <c r="BA1246" s="824" t="s">
        <v>61</v>
      </c>
      <c r="BB1246" s="1225">
        <v>2021</v>
      </c>
      <c r="BC1246" s="824" t="s">
        <v>360</v>
      </c>
      <c r="BD1246" s="824">
        <v>3</v>
      </c>
      <c r="BE1246" s="1235" t="s">
        <v>172</v>
      </c>
      <c r="BF1246" s="1227">
        <v>9.1375744917541038E-2</v>
      </c>
      <c r="BH1246" s="824" t="s">
        <v>345</v>
      </c>
      <c r="BI1246" s="824" t="s">
        <v>365</v>
      </c>
      <c r="BJ1246" s="824" t="s">
        <v>287</v>
      </c>
      <c r="BK1246" s="824">
        <v>7</v>
      </c>
      <c r="BL1246" s="1235" t="s">
        <v>172</v>
      </c>
      <c r="BM1246" s="1316">
        <v>3.8468726154402631E-2</v>
      </c>
      <c r="BN1246" s="824">
        <v>2020</v>
      </c>
    </row>
    <row r="1247" spans="1:66" ht="15" customHeight="1" x14ac:dyDescent="0.35">
      <c r="A1247" s="64">
        <f t="shared" si="46"/>
        <v>1900</v>
      </c>
      <c r="B1247" s="168" t="str">
        <f t="shared" si="45"/>
        <v>1899-00</v>
      </c>
      <c r="C1247" s="64"/>
      <c r="BA1247" s="824" t="s">
        <v>61</v>
      </c>
      <c r="BB1247" s="1225">
        <v>2021</v>
      </c>
      <c r="BC1247" s="824" t="s">
        <v>310</v>
      </c>
      <c r="BD1247" s="824">
        <v>4</v>
      </c>
      <c r="BE1247" s="1235" t="s">
        <v>172</v>
      </c>
      <c r="BF1247" s="1227">
        <v>8.9255225439639541E-2</v>
      </c>
      <c r="BH1247" s="824" t="s">
        <v>345</v>
      </c>
      <c r="BI1247" s="824" t="s">
        <v>365</v>
      </c>
      <c r="BJ1247" s="824" t="s">
        <v>315</v>
      </c>
      <c r="BK1247" s="824">
        <v>8</v>
      </c>
      <c r="BL1247" s="1235" t="s">
        <v>172</v>
      </c>
      <c r="BM1247" s="1316">
        <v>2.7258993393669554E-2</v>
      </c>
      <c r="BN1247" s="824">
        <v>2020</v>
      </c>
    </row>
    <row r="1248" spans="1:66" ht="15" customHeight="1" x14ac:dyDescent="0.35">
      <c r="A1248" s="64">
        <f t="shared" si="46"/>
        <v>1900</v>
      </c>
      <c r="B1248" s="168" t="str">
        <f t="shared" si="45"/>
        <v>1899-00</v>
      </c>
      <c r="C1248" s="64"/>
      <c r="BA1248" s="824" t="s">
        <v>61</v>
      </c>
      <c r="BB1248" s="1225">
        <v>2021</v>
      </c>
      <c r="BC1248" s="824" t="s">
        <v>312</v>
      </c>
      <c r="BD1248" s="824">
        <v>5</v>
      </c>
      <c r="BE1248" s="1235" t="s">
        <v>172</v>
      </c>
      <c r="BF1248" s="1227">
        <v>8.9896750345476659E-3</v>
      </c>
      <c r="BH1248" s="824" t="s">
        <v>345</v>
      </c>
      <c r="BI1248" s="824" t="s">
        <v>365</v>
      </c>
      <c r="BJ1248" s="824" t="s">
        <v>347</v>
      </c>
      <c r="BK1248" s="824">
        <v>9</v>
      </c>
      <c r="BL1248" s="1235" t="s">
        <v>172</v>
      </c>
      <c r="BM1248" s="1316">
        <v>2.4435086396196397E-2</v>
      </c>
      <c r="BN1248" s="824">
        <v>2020</v>
      </c>
    </row>
    <row r="1249" spans="1:66" ht="15" customHeight="1" x14ac:dyDescent="0.35">
      <c r="A1249" s="64">
        <f t="shared" si="46"/>
        <v>1900</v>
      </c>
      <c r="B1249" s="168" t="str">
        <f t="shared" si="45"/>
        <v>1899-00</v>
      </c>
      <c r="C1249" s="64"/>
      <c r="BA1249" s="824" t="s">
        <v>61</v>
      </c>
      <c r="BB1249" s="1225">
        <v>2021</v>
      </c>
      <c r="BC1249" s="824" t="s">
        <v>315</v>
      </c>
      <c r="BD1249" s="824">
        <v>6</v>
      </c>
      <c r="BE1249" s="1235" t="s">
        <v>172</v>
      </c>
      <c r="BF1249" s="1227">
        <v>6.811000223470298E-3</v>
      </c>
      <c r="BH1249" s="824" t="s">
        <v>345</v>
      </c>
      <c r="BI1249" s="824" t="s">
        <v>365</v>
      </c>
      <c r="BJ1249" s="824" t="s">
        <v>285</v>
      </c>
      <c r="BK1249" s="824">
        <v>10</v>
      </c>
      <c r="BL1249" s="1235" t="s">
        <v>172</v>
      </c>
      <c r="BM1249" s="1316">
        <v>1.5330673894428349E-2</v>
      </c>
      <c r="BN1249" s="824">
        <v>2020</v>
      </c>
    </row>
    <row r="1250" spans="1:66" ht="15" customHeight="1" x14ac:dyDescent="0.35">
      <c r="A1250" s="64">
        <f t="shared" si="46"/>
        <v>1900</v>
      </c>
      <c r="B1250" s="168" t="str">
        <f t="shared" si="45"/>
        <v>1899-00</v>
      </c>
      <c r="C1250" s="64"/>
      <c r="BA1250" s="824" t="s">
        <v>61</v>
      </c>
      <c r="BB1250" s="1225">
        <v>2021</v>
      </c>
      <c r="BC1250" s="824" t="s">
        <v>305</v>
      </c>
      <c r="BD1250" s="824">
        <v>7</v>
      </c>
      <c r="BE1250" s="1235" t="s">
        <v>172</v>
      </c>
      <c r="BF1250" s="1227">
        <v>5.9890780106854908E-3</v>
      </c>
      <c r="BH1250" s="824" t="s">
        <v>345</v>
      </c>
      <c r="BI1250" s="824" t="s">
        <v>365</v>
      </c>
      <c r="BJ1250" s="824" t="s">
        <v>291</v>
      </c>
      <c r="BL1250" s="1235" t="s">
        <v>172</v>
      </c>
      <c r="BM1250" s="1316">
        <v>1.2208089818301153E-2</v>
      </c>
      <c r="BN1250" s="824">
        <v>2020</v>
      </c>
    </row>
    <row r="1251" spans="1:66" ht="15" customHeight="1" x14ac:dyDescent="0.35">
      <c r="A1251" s="64">
        <f t="shared" si="46"/>
        <v>1900</v>
      </c>
      <c r="B1251" s="168" t="str">
        <f t="shared" si="45"/>
        <v>1899-00</v>
      </c>
      <c r="C1251" s="64"/>
      <c r="BA1251" s="824" t="s">
        <v>61</v>
      </c>
      <c r="BB1251" s="1225">
        <v>2021</v>
      </c>
      <c r="BC1251" s="824" t="s">
        <v>298</v>
      </c>
      <c r="BD1251" s="824">
        <v>8</v>
      </c>
      <c r="BE1251" s="1235" t="s">
        <v>172</v>
      </c>
      <c r="BF1251" s="1227">
        <v>9.0294073136338217E-3</v>
      </c>
      <c r="BH1251" s="824" t="s">
        <v>345</v>
      </c>
      <c r="BI1251" s="824" t="s">
        <v>365</v>
      </c>
      <c r="BJ1251" s="824" t="s">
        <v>361</v>
      </c>
      <c r="BL1251" s="1235" t="s">
        <v>172</v>
      </c>
      <c r="BN1251" s="824">
        <v>2020</v>
      </c>
    </row>
    <row r="1252" spans="1:66" ht="15" customHeight="1" x14ac:dyDescent="0.35">
      <c r="A1252" s="64">
        <f t="shared" si="46"/>
        <v>1900</v>
      </c>
      <c r="B1252" s="168" t="str">
        <f t="shared" si="45"/>
        <v>1899-00</v>
      </c>
      <c r="C1252" s="64"/>
      <c r="BA1252" s="824" t="s">
        <v>61</v>
      </c>
      <c r="BB1252" s="1225">
        <v>2021</v>
      </c>
      <c r="BC1252" s="824" t="s">
        <v>352</v>
      </c>
      <c r="BD1252" s="824">
        <v>9</v>
      </c>
      <c r="BE1252" s="1235" t="s">
        <v>172</v>
      </c>
      <c r="BF1252" s="1227">
        <v>3.6800666579479046E-3</v>
      </c>
      <c r="BH1252" s="824" t="s">
        <v>71</v>
      </c>
      <c r="BI1252" s="824" t="s">
        <v>365</v>
      </c>
      <c r="BJ1252" s="824" t="s">
        <v>308</v>
      </c>
      <c r="BK1252" s="824">
        <v>1</v>
      </c>
      <c r="BL1252" s="1235" t="s">
        <v>172</v>
      </c>
      <c r="BM1252" s="1227">
        <v>0.37439430297324683</v>
      </c>
      <c r="BN1252" s="824">
        <v>2020</v>
      </c>
    </row>
    <row r="1253" spans="1:66" ht="15" customHeight="1" x14ac:dyDescent="0.35">
      <c r="A1253" s="64">
        <f t="shared" si="46"/>
        <v>1900</v>
      </c>
      <c r="B1253" s="168" t="str">
        <f t="shared" si="45"/>
        <v>1899-00</v>
      </c>
      <c r="C1253" s="64"/>
      <c r="BA1253" s="824" t="s">
        <v>61</v>
      </c>
      <c r="BB1253" s="1225">
        <v>2021</v>
      </c>
      <c r="BC1253" s="824" t="s">
        <v>306</v>
      </c>
      <c r="BD1253" s="824">
        <v>10</v>
      </c>
      <c r="BE1253" s="1235" t="s">
        <v>172</v>
      </c>
      <c r="BF1253" s="1227">
        <v>2.959385617735594E-4</v>
      </c>
      <c r="BH1253" s="824" t="s">
        <v>71</v>
      </c>
      <c r="BI1253" s="824" t="s">
        <v>365</v>
      </c>
      <c r="BJ1253" s="824" t="s">
        <v>306</v>
      </c>
      <c r="BK1253" s="824">
        <v>2</v>
      </c>
      <c r="BL1253" s="1235" t="s">
        <v>172</v>
      </c>
      <c r="BM1253" s="1227">
        <v>0.18076029712713562</v>
      </c>
      <c r="BN1253" s="824">
        <v>2020</v>
      </c>
    </row>
    <row r="1254" spans="1:66" ht="15" customHeight="1" x14ac:dyDescent="0.35">
      <c r="A1254" s="64">
        <f t="shared" si="46"/>
        <v>1900</v>
      </c>
      <c r="B1254" s="168" t="str">
        <f t="shared" si="45"/>
        <v>1899-00</v>
      </c>
      <c r="C1254" s="64"/>
      <c r="BA1254" s="824" t="s">
        <v>61</v>
      </c>
      <c r="BB1254" s="1225">
        <v>2021</v>
      </c>
      <c r="BC1254" s="824" t="s">
        <v>291</v>
      </c>
      <c r="BE1254" s="1235" t="s">
        <v>172</v>
      </c>
      <c r="BF1254" s="1227">
        <v>1.4296859787552282E-2</v>
      </c>
      <c r="BH1254" s="824" t="s">
        <v>71</v>
      </c>
      <c r="BI1254" s="824" t="s">
        <v>365</v>
      </c>
      <c r="BJ1254" s="824" t="s">
        <v>281</v>
      </c>
      <c r="BK1254" s="824">
        <v>3</v>
      </c>
      <c r="BL1254" s="1235" t="s">
        <v>172</v>
      </c>
      <c r="BM1254" s="1227">
        <v>0.17128133079566124</v>
      </c>
      <c r="BN1254" s="824">
        <v>2020</v>
      </c>
    </row>
    <row r="1255" spans="1:66" ht="15" customHeight="1" x14ac:dyDescent="0.35">
      <c r="A1255" s="64">
        <f t="shared" si="46"/>
        <v>1900</v>
      </c>
      <c r="B1255" s="168" t="str">
        <f t="shared" si="45"/>
        <v>1899-00</v>
      </c>
      <c r="C1255" s="64"/>
      <c r="BA1255" s="824" t="s">
        <v>61</v>
      </c>
      <c r="BB1255" s="1225">
        <v>2021</v>
      </c>
      <c r="BC1255" s="824" t="s">
        <v>292</v>
      </c>
      <c r="BE1255" s="1235" t="s">
        <v>172</v>
      </c>
      <c r="BH1255" s="824" t="s">
        <v>71</v>
      </c>
      <c r="BI1255" s="824" t="s">
        <v>365</v>
      </c>
      <c r="BJ1255" s="824" t="s">
        <v>360</v>
      </c>
      <c r="BK1255" s="824">
        <v>4</v>
      </c>
      <c r="BL1255" s="1235" t="s">
        <v>172</v>
      </c>
      <c r="BM1255" s="1227">
        <v>8.6827948311628267E-2</v>
      </c>
      <c r="BN1255" s="824">
        <v>2020</v>
      </c>
    </row>
    <row r="1256" spans="1:66" ht="15" customHeight="1" x14ac:dyDescent="0.35">
      <c r="A1256" s="64">
        <f t="shared" si="46"/>
        <v>1900</v>
      </c>
      <c r="B1256" s="168" t="str">
        <f t="shared" si="45"/>
        <v>1899-00</v>
      </c>
      <c r="C1256" s="64"/>
      <c r="BA1256" s="824" t="s">
        <v>71</v>
      </c>
      <c r="BB1256" s="1225">
        <v>2021</v>
      </c>
      <c r="BC1256" s="824" t="s">
        <v>308</v>
      </c>
      <c r="BD1256" s="824">
        <v>1</v>
      </c>
      <c r="BE1256" s="1235" t="s">
        <v>172</v>
      </c>
      <c r="BF1256" s="1227">
        <v>0.34567072490972356</v>
      </c>
      <c r="BH1256" s="824" t="s">
        <v>71</v>
      </c>
      <c r="BI1256" s="824" t="s">
        <v>365</v>
      </c>
      <c r="BJ1256" s="824" t="s">
        <v>315</v>
      </c>
      <c r="BK1256" s="824">
        <v>5</v>
      </c>
      <c r="BL1256" s="1235" t="s">
        <v>172</v>
      </c>
      <c r="BM1256" s="1227">
        <v>4.1323485763881472E-2</v>
      </c>
      <c r="BN1256" s="824">
        <v>2020</v>
      </c>
    </row>
    <row r="1257" spans="1:66" ht="15" customHeight="1" x14ac:dyDescent="0.35">
      <c r="A1257" s="64">
        <f t="shared" si="46"/>
        <v>1900</v>
      </c>
      <c r="B1257" s="168" t="str">
        <f t="shared" si="45"/>
        <v>1899-00</v>
      </c>
      <c r="C1257" s="64"/>
      <c r="BA1257" s="824" t="s">
        <v>71</v>
      </c>
      <c r="BB1257" s="1225">
        <v>2021</v>
      </c>
      <c r="BC1257" s="824" t="s">
        <v>281</v>
      </c>
      <c r="BD1257" s="824">
        <v>2</v>
      </c>
      <c r="BE1257" s="1235" t="s">
        <v>172</v>
      </c>
      <c r="BF1257" s="1227">
        <v>0.20792959822645116</v>
      </c>
      <c r="BH1257" s="824" t="s">
        <v>71</v>
      </c>
      <c r="BI1257" s="824" t="s">
        <v>365</v>
      </c>
      <c r="BJ1257" s="824" t="s">
        <v>289</v>
      </c>
      <c r="BK1257" s="824">
        <v>6</v>
      </c>
      <c r="BL1257" s="1235" t="s">
        <v>172</v>
      </c>
      <c r="BM1257" s="1227">
        <v>3.753757991389392E-2</v>
      </c>
      <c r="BN1257" s="824">
        <v>2020</v>
      </c>
    </row>
    <row r="1258" spans="1:66" ht="15" customHeight="1" x14ac:dyDescent="0.35">
      <c r="A1258" s="64">
        <f t="shared" si="46"/>
        <v>1900</v>
      </c>
      <c r="B1258" s="168" t="str">
        <f t="shared" si="45"/>
        <v>1899-00</v>
      </c>
      <c r="C1258" s="64"/>
      <c r="BA1258" s="824" t="s">
        <v>71</v>
      </c>
      <c r="BB1258" s="1225">
        <v>2021</v>
      </c>
      <c r="BC1258" s="824" t="s">
        <v>306</v>
      </c>
      <c r="BD1258" s="824">
        <v>3</v>
      </c>
      <c r="BE1258" s="1235" t="s">
        <v>172</v>
      </c>
      <c r="BF1258" s="1227">
        <v>0.18198089972336753</v>
      </c>
      <c r="BH1258" s="824" t="s">
        <v>71</v>
      </c>
      <c r="BI1258" s="824" t="s">
        <v>365</v>
      </c>
      <c r="BJ1258" s="824" t="s">
        <v>285</v>
      </c>
      <c r="BK1258" s="824">
        <v>7</v>
      </c>
      <c r="BL1258" s="1235" t="s">
        <v>172</v>
      </c>
      <c r="BM1258" s="1227">
        <v>2.9842053752038245E-2</v>
      </c>
      <c r="BN1258" s="824">
        <v>2020</v>
      </c>
    </row>
    <row r="1259" spans="1:66" ht="15" customHeight="1" x14ac:dyDescent="0.35">
      <c r="A1259" s="64">
        <f t="shared" si="46"/>
        <v>1900</v>
      </c>
      <c r="B1259" s="168" t="str">
        <f t="shared" si="45"/>
        <v>1899-00</v>
      </c>
      <c r="C1259" s="64"/>
      <c r="BA1259" s="824" t="s">
        <v>71</v>
      </c>
      <c r="BB1259" s="1225">
        <v>2021</v>
      </c>
      <c r="BC1259" s="824" t="s">
        <v>360</v>
      </c>
      <c r="BD1259" s="824">
        <v>4</v>
      </c>
      <c r="BE1259" s="1235" t="s">
        <v>172</v>
      </c>
      <c r="BF1259" s="1227">
        <v>8.9855222238075058E-2</v>
      </c>
      <c r="BH1259" s="824" t="s">
        <v>71</v>
      </c>
      <c r="BI1259" s="824" t="s">
        <v>365</v>
      </c>
      <c r="BJ1259" s="824" t="s">
        <v>323</v>
      </c>
      <c r="BK1259" s="824">
        <v>8</v>
      </c>
      <c r="BL1259" s="1235" t="s">
        <v>172</v>
      </c>
      <c r="BM1259" s="1227">
        <v>2.7575968053982401E-2</v>
      </c>
      <c r="BN1259" s="824">
        <v>2020</v>
      </c>
    </row>
    <row r="1260" spans="1:66" ht="15" customHeight="1" x14ac:dyDescent="0.35">
      <c r="A1260" s="64">
        <f t="shared" si="46"/>
        <v>1900</v>
      </c>
      <c r="B1260" s="168" t="str">
        <f t="shared" si="45"/>
        <v>1899-00</v>
      </c>
      <c r="C1260" s="64"/>
      <c r="BA1260" s="824" t="s">
        <v>71</v>
      </c>
      <c r="BB1260" s="1225">
        <v>2021</v>
      </c>
      <c r="BC1260" s="824" t="s">
        <v>315</v>
      </c>
      <c r="BD1260" s="824">
        <v>5</v>
      </c>
      <c r="BE1260" s="1235" t="s">
        <v>172</v>
      </c>
      <c r="BF1260" s="1227">
        <v>6.3205832824711969E-2</v>
      </c>
      <c r="BH1260" s="824" t="s">
        <v>71</v>
      </c>
      <c r="BI1260" s="824" t="s">
        <v>365</v>
      </c>
      <c r="BJ1260" s="824" t="s">
        <v>362</v>
      </c>
      <c r="BK1260" s="824">
        <v>9</v>
      </c>
      <c r="BL1260" s="1235" t="s">
        <v>172</v>
      </c>
      <c r="BM1260" s="1227">
        <v>2.4795345911670232E-2</v>
      </c>
      <c r="BN1260" s="824">
        <v>2020</v>
      </c>
    </row>
    <row r="1261" spans="1:66" ht="15" customHeight="1" x14ac:dyDescent="0.35">
      <c r="A1261" s="64">
        <f t="shared" si="46"/>
        <v>1900</v>
      </c>
      <c r="B1261" s="168" t="str">
        <f t="shared" si="45"/>
        <v>1899-00</v>
      </c>
      <c r="C1261" s="64"/>
      <c r="BA1261" s="824" t="s">
        <v>71</v>
      </c>
      <c r="BB1261" s="1225">
        <v>2021</v>
      </c>
      <c r="BC1261" s="824" t="s">
        <v>285</v>
      </c>
      <c r="BD1261" s="824">
        <v>6</v>
      </c>
      <c r="BE1261" s="1235" t="s">
        <v>172</v>
      </c>
      <c r="BF1261" s="1227">
        <v>3.3183784015016787E-2</v>
      </c>
      <c r="BH1261" s="824" t="s">
        <v>71</v>
      </c>
      <c r="BI1261" s="824" t="s">
        <v>365</v>
      </c>
      <c r="BJ1261" s="824" t="s">
        <v>287</v>
      </c>
      <c r="BK1261" s="824">
        <v>10</v>
      </c>
      <c r="BL1261" s="1235" t="s">
        <v>172</v>
      </c>
      <c r="BM1261" s="1227">
        <v>1.2282494704944498E-2</v>
      </c>
      <c r="BN1261" s="824">
        <v>2020</v>
      </c>
    </row>
    <row r="1262" spans="1:66" ht="15" customHeight="1" x14ac:dyDescent="0.35">
      <c r="A1262" s="64">
        <f t="shared" si="46"/>
        <v>1900</v>
      </c>
      <c r="B1262" s="168" t="str">
        <f t="shared" si="45"/>
        <v>1899-00</v>
      </c>
      <c r="C1262" s="64"/>
      <c r="BA1262" s="824" t="s">
        <v>71</v>
      </c>
      <c r="BB1262" s="1225">
        <v>2021</v>
      </c>
      <c r="BC1262" s="824" t="s">
        <v>289</v>
      </c>
      <c r="BD1262" s="824">
        <v>7</v>
      </c>
      <c r="BE1262" s="1235" t="s">
        <v>172</v>
      </c>
      <c r="BF1262" s="1227">
        <v>2.7995388266182482E-2</v>
      </c>
      <c r="BH1262" s="824" t="s">
        <v>71</v>
      </c>
      <c r="BI1262" s="824" t="s">
        <v>365</v>
      </c>
      <c r="BJ1262" s="824" t="s">
        <v>291</v>
      </c>
      <c r="BL1262" s="1235" t="s">
        <v>172</v>
      </c>
      <c r="BM1262" s="1227">
        <v>1.3379192691917424E-2</v>
      </c>
      <c r="BN1262" s="824">
        <v>2020</v>
      </c>
    </row>
    <row r="1263" spans="1:66" ht="15" customHeight="1" x14ac:dyDescent="0.35">
      <c r="A1263" s="64">
        <f t="shared" si="46"/>
        <v>1900</v>
      </c>
      <c r="B1263" s="168" t="str">
        <f t="shared" si="45"/>
        <v>1899-00</v>
      </c>
      <c r="C1263" s="64"/>
      <c r="BA1263" s="824" t="s">
        <v>71</v>
      </c>
      <c r="BB1263" s="1225">
        <v>2021</v>
      </c>
      <c r="BC1263" s="824" t="s">
        <v>323</v>
      </c>
      <c r="BD1263" s="824">
        <v>8</v>
      </c>
      <c r="BE1263" s="1235" t="s">
        <v>172</v>
      </c>
      <c r="BF1263" s="1227">
        <v>2.3362629068317028E-2</v>
      </c>
      <c r="BH1263" s="824" t="s">
        <v>71</v>
      </c>
      <c r="BI1263" s="824" t="s">
        <v>365</v>
      </c>
      <c r="BJ1263" s="824" t="s">
        <v>292</v>
      </c>
      <c r="BL1263" s="1235" t="s">
        <v>172</v>
      </c>
      <c r="BN1263" s="824">
        <v>2020</v>
      </c>
    </row>
    <row r="1264" spans="1:66" ht="15" customHeight="1" x14ac:dyDescent="0.35">
      <c r="A1264" s="64">
        <f t="shared" si="46"/>
        <v>1900</v>
      </c>
      <c r="B1264" s="168" t="str">
        <f t="shared" si="45"/>
        <v>1899-00</v>
      </c>
      <c r="C1264" s="64"/>
      <c r="BA1264" s="824" t="s">
        <v>71</v>
      </c>
      <c r="BB1264" s="1225">
        <v>2021</v>
      </c>
      <c r="BC1264" s="824" t="s">
        <v>362</v>
      </c>
      <c r="BD1264" s="824">
        <v>9</v>
      </c>
      <c r="BE1264" s="1235" t="s">
        <v>172</v>
      </c>
      <c r="BF1264" s="1227">
        <v>1.4323911122192267E-2</v>
      </c>
      <c r="BH1264" s="824" t="s">
        <v>61</v>
      </c>
      <c r="BI1264" s="824" t="s">
        <v>365</v>
      </c>
      <c r="BJ1264" s="824" t="s">
        <v>281</v>
      </c>
      <c r="BK1264" s="824">
        <v>1</v>
      </c>
      <c r="BL1264" s="1226">
        <v>1216637639.0058341</v>
      </c>
      <c r="BM1264" s="1227">
        <v>0.44225663548365063</v>
      </c>
      <c r="BN1264" s="824">
        <v>2020</v>
      </c>
    </row>
    <row r="1265" spans="1:66" ht="15" customHeight="1" x14ac:dyDescent="0.35">
      <c r="A1265" s="64">
        <f t="shared" si="46"/>
        <v>1900</v>
      </c>
      <c r="B1265" s="168" t="str">
        <f t="shared" si="45"/>
        <v>1899-00</v>
      </c>
      <c r="C1265" s="64"/>
      <c r="BA1265" s="824" t="s">
        <v>71</v>
      </c>
      <c r="BB1265" s="1225">
        <v>2021</v>
      </c>
      <c r="BC1265" s="824" t="s">
        <v>287</v>
      </c>
      <c r="BD1265" s="824">
        <v>10</v>
      </c>
      <c r="BE1265" s="1235" t="s">
        <v>172</v>
      </c>
      <c r="BF1265" s="1227">
        <v>4.300777226201479E-3</v>
      </c>
      <c r="BH1265" s="824" t="s">
        <v>61</v>
      </c>
      <c r="BI1265" s="824" t="s">
        <v>365</v>
      </c>
      <c r="BJ1265" s="824" t="s">
        <v>320</v>
      </c>
      <c r="BK1265" s="824">
        <v>2</v>
      </c>
      <c r="BL1265" s="1226">
        <v>437980495.7916671</v>
      </c>
      <c r="BM1265" s="1227">
        <v>0.15920909748819226</v>
      </c>
      <c r="BN1265" s="824">
        <v>2020</v>
      </c>
    </row>
    <row r="1266" spans="1:66" ht="15" customHeight="1" x14ac:dyDescent="0.35">
      <c r="A1266" s="64">
        <f t="shared" si="46"/>
        <v>1900</v>
      </c>
      <c r="B1266" s="168" t="str">
        <f t="shared" si="45"/>
        <v>1899-00</v>
      </c>
      <c r="C1266" s="64"/>
      <c r="BA1266" s="824" t="s">
        <v>71</v>
      </c>
      <c r="BB1266" s="1225">
        <v>2021</v>
      </c>
      <c r="BC1266" s="824" t="s">
        <v>291</v>
      </c>
      <c r="BE1266" s="1235" t="s">
        <v>172</v>
      </c>
      <c r="BF1266" s="1227">
        <v>8.1912323797606237E-3</v>
      </c>
      <c r="BH1266" s="824" t="s">
        <v>61</v>
      </c>
      <c r="BI1266" s="824" t="s">
        <v>365</v>
      </c>
      <c r="BJ1266" s="824" t="s">
        <v>308</v>
      </c>
      <c r="BK1266" s="824">
        <v>3</v>
      </c>
      <c r="BL1266" s="1226">
        <v>212451663.36933169</v>
      </c>
      <c r="BM1266" s="1227">
        <v>7.7227725686181262E-2</v>
      </c>
      <c r="BN1266" s="824">
        <v>2020</v>
      </c>
    </row>
    <row r="1267" spans="1:66" ht="15" customHeight="1" x14ac:dyDescent="0.35">
      <c r="A1267" s="64">
        <f t="shared" si="46"/>
        <v>1900</v>
      </c>
      <c r="B1267" s="168" t="str">
        <f t="shared" si="45"/>
        <v>1899-00</v>
      </c>
      <c r="C1267" s="64"/>
      <c r="BA1267" s="824" t="s">
        <v>71</v>
      </c>
      <c r="BB1267" s="1225">
        <v>2021</v>
      </c>
      <c r="BC1267" s="824" t="s">
        <v>292</v>
      </c>
      <c r="BE1267" s="1235" t="s">
        <v>172</v>
      </c>
      <c r="BH1267" s="824" t="s">
        <v>61</v>
      </c>
      <c r="BI1267" s="824" t="s">
        <v>365</v>
      </c>
      <c r="BJ1267" s="824" t="s">
        <v>312</v>
      </c>
      <c r="BK1267" s="824">
        <v>4</v>
      </c>
      <c r="BL1267" s="1226">
        <v>196125478.85615754</v>
      </c>
      <c r="BM1267" s="1227">
        <v>7.1293038806872031E-2</v>
      </c>
      <c r="BN1267" s="824">
        <v>2020</v>
      </c>
    </row>
    <row r="1268" spans="1:66" ht="15" customHeight="1" x14ac:dyDescent="0.35">
      <c r="A1268" s="64">
        <f t="shared" si="46"/>
        <v>1900</v>
      </c>
      <c r="B1268" s="168" t="str">
        <f t="shared" si="45"/>
        <v>1899-00</v>
      </c>
      <c r="C1268" s="64"/>
      <c r="BA1268" s="824" t="s">
        <v>165</v>
      </c>
      <c r="BB1268" s="1225">
        <v>2022</v>
      </c>
      <c r="BC1268" s="824" t="s">
        <v>282</v>
      </c>
      <c r="BD1268" s="824">
        <v>1</v>
      </c>
      <c r="BE1268" s="1226">
        <v>1224862000</v>
      </c>
      <c r="BF1268" s="1227">
        <v>0.18183248713557221</v>
      </c>
      <c r="BH1268" s="824" t="s">
        <v>61</v>
      </c>
      <c r="BI1268" s="824" t="s">
        <v>365</v>
      </c>
      <c r="BJ1268" s="824" t="s">
        <v>298</v>
      </c>
      <c r="BK1268" s="824">
        <v>5</v>
      </c>
      <c r="BL1268" s="1226">
        <v>194260176.14829916</v>
      </c>
      <c r="BM1268" s="1227">
        <v>7.0614987698400578E-2</v>
      </c>
      <c r="BN1268" s="824">
        <v>2020</v>
      </c>
    </row>
    <row r="1269" spans="1:66" ht="15" customHeight="1" x14ac:dyDescent="0.35">
      <c r="A1269" s="64">
        <f t="shared" si="46"/>
        <v>1900</v>
      </c>
      <c r="B1269" s="168" t="str">
        <f t="shared" si="45"/>
        <v>1899-00</v>
      </c>
      <c r="C1269" s="64"/>
      <c r="BA1269" s="824" t="s">
        <v>165</v>
      </c>
      <c r="BB1269" s="1225">
        <v>2022</v>
      </c>
      <c r="BC1269" s="824" t="s">
        <v>279</v>
      </c>
      <c r="BD1269" s="824">
        <v>2</v>
      </c>
      <c r="BE1269" s="1226">
        <v>1127643000</v>
      </c>
      <c r="BF1269" s="1227">
        <v>0.16740018980996885</v>
      </c>
      <c r="BH1269" s="824" t="s">
        <v>61</v>
      </c>
      <c r="BI1269" s="824" t="s">
        <v>365</v>
      </c>
      <c r="BJ1269" s="824" t="s">
        <v>306</v>
      </c>
      <c r="BK1269" s="824">
        <v>6</v>
      </c>
      <c r="BL1269" s="1226">
        <v>157406155.53999999</v>
      </c>
      <c r="BM1269" s="1227">
        <v>5.7218283013519999E-2</v>
      </c>
      <c r="BN1269" s="824">
        <v>2020</v>
      </c>
    </row>
    <row r="1270" spans="1:66" ht="15" customHeight="1" x14ac:dyDescent="0.35">
      <c r="A1270" s="64">
        <f t="shared" si="46"/>
        <v>1900</v>
      </c>
      <c r="B1270" s="168" t="str">
        <f t="shared" si="45"/>
        <v>1899-00</v>
      </c>
      <c r="C1270" s="64"/>
      <c r="BA1270" s="824" t="s">
        <v>165</v>
      </c>
      <c r="BB1270" s="1225">
        <v>2022</v>
      </c>
      <c r="BC1270" s="824" t="s">
        <v>283</v>
      </c>
      <c r="BD1270" s="824">
        <v>3</v>
      </c>
      <c r="BE1270" s="1226">
        <v>699453000</v>
      </c>
      <c r="BF1270" s="1227">
        <v>0.10383478189741978</v>
      </c>
      <c r="BH1270" s="824" t="s">
        <v>61</v>
      </c>
      <c r="BI1270" s="824" t="s">
        <v>365</v>
      </c>
      <c r="BJ1270" s="824" t="s">
        <v>310</v>
      </c>
      <c r="BK1270" s="824">
        <v>7</v>
      </c>
      <c r="BL1270" s="1226">
        <v>114276787.02262953</v>
      </c>
      <c r="BM1270" s="1227">
        <v>4.1540443696783814E-2</v>
      </c>
      <c r="BN1270" s="824">
        <v>2020</v>
      </c>
    </row>
    <row r="1271" spans="1:66" ht="15" customHeight="1" x14ac:dyDescent="0.35">
      <c r="A1271" s="64">
        <f t="shared" si="46"/>
        <v>1900</v>
      </c>
      <c r="B1271" s="168" t="str">
        <f t="shared" si="45"/>
        <v>1899-00</v>
      </c>
      <c r="C1271" s="64"/>
      <c r="BA1271" s="824" t="s">
        <v>165</v>
      </c>
      <c r="BB1271" s="1225">
        <v>2022</v>
      </c>
      <c r="BC1271" s="824" t="s">
        <v>284</v>
      </c>
      <c r="BD1271" s="824">
        <v>4</v>
      </c>
      <c r="BE1271" s="1226">
        <v>667589000</v>
      </c>
      <c r="BF1271" s="1227">
        <v>9.910452626855068E-2</v>
      </c>
      <c r="BH1271" s="824" t="s">
        <v>61</v>
      </c>
      <c r="BI1271" s="824" t="s">
        <v>365</v>
      </c>
      <c r="BJ1271" s="824" t="s">
        <v>315</v>
      </c>
      <c r="BK1271" s="824">
        <v>8</v>
      </c>
      <c r="BL1271" s="1226">
        <v>113195749.68402028</v>
      </c>
      <c r="BM1271" s="1227">
        <v>4.1147478757283674E-2</v>
      </c>
      <c r="BN1271" s="824">
        <v>2020</v>
      </c>
    </row>
    <row r="1272" spans="1:66" ht="15" customHeight="1" x14ac:dyDescent="0.35">
      <c r="A1272" s="64">
        <f t="shared" si="46"/>
        <v>1900</v>
      </c>
      <c r="B1272" s="168" t="str">
        <f t="shared" ref="B1272:B1302" si="47">IF(MONTH(C1272) &gt;= 7, A1272 &amp; "-" &amp; RIGHT(A1272+1, 2), A1272-1 &amp; "-" &amp; RIGHT(A1272, 2))</f>
        <v>1899-00</v>
      </c>
      <c r="C1272" s="64"/>
      <c r="BA1272" s="824" t="s">
        <v>165</v>
      </c>
      <c r="BB1272" s="1225">
        <v>2022</v>
      </c>
      <c r="BC1272" s="824" t="s">
        <v>288</v>
      </c>
      <c r="BD1272" s="824">
        <v>5</v>
      </c>
      <c r="BE1272" s="1226">
        <v>590226000</v>
      </c>
      <c r="BF1272" s="1227">
        <v>8.7619880077984491E-2</v>
      </c>
      <c r="BH1272" s="824" t="s">
        <v>61</v>
      </c>
      <c r="BI1272" s="824" t="s">
        <v>365</v>
      </c>
      <c r="BJ1272" s="824" t="s">
        <v>322</v>
      </c>
      <c r="BK1272" s="824">
        <v>9</v>
      </c>
      <c r="BL1272" s="1226">
        <v>43189319.609999992</v>
      </c>
      <c r="BM1272" s="1227">
        <v>1.5699631975182593E-2</v>
      </c>
      <c r="BN1272" s="824">
        <v>2020</v>
      </c>
    </row>
    <row r="1273" spans="1:66" ht="15" customHeight="1" x14ac:dyDescent="0.35">
      <c r="A1273" s="64">
        <f t="shared" si="46"/>
        <v>1900</v>
      </c>
      <c r="B1273" s="168" t="str">
        <f t="shared" si="47"/>
        <v>1899-00</v>
      </c>
      <c r="C1273" s="64"/>
      <c r="BA1273" s="824" t="s">
        <v>165</v>
      </c>
      <c r="BB1273" s="1225">
        <v>2022</v>
      </c>
      <c r="BC1273" s="824" t="s">
        <v>287</v>
      </c>
      <c r="BD1273" s="824">
        <v>6</v>
      </c>
      <c r="BE1273" s="1226">
        <v>377359000</v>
      </c>
      <c r="BF1273" s="1227">
        <v>5.6019474449360333E-2</v>
      </c>
      <c r="BH1273" s="824" t="s">
        <v>61</v>
      </c>
      <c r="BI1273" s="824" t="s">
        <v>365</v>
      </c>
      <c r="BJ1273" s="824" t="s">
        <v>305</v>
      </c>
      <c r="BK1273" s="824">
        <v>10</v>
      </c>
      <c r="BL1273" s="1226">
        <v>19788043.729999997</v>
      </c>
      <c r="BM1273" s="1227">
        <v>7.1930978972377345E-3</v>
      </c>
      <c r="BN1273" s="824">
        <v>2020</v>
      </c>
    </row>
    <row r="1274" spans="1:66" ht="15" customHeight="1" x14ac:dyDescent="0.35">
      <c r="A1274" s="64">
        <f t="shared" si="46"/>
        <v>1900</v>
      </c>
      <c r="B1274" s="168" t="str">
        <f t="shared" si="47"/>
        <v>1899-00</v>
      </c>
      <c r="C1274" s="64"/>
      <c r="BA1274" s="824" t="s">
        <v>165</v>
      </c>
      <c r="BB1274" s="1225">
        <v>2022</v>
      </c>
      <c r="BC1274" s="824" t="s">
        <v>304</v>
      </c>
      <c r="BD1274" s="824">
        <v>7</v>
      </c>
      <c r="BE1274" s="1226">
        <v>369602000</v>
      </c>
      <c r="BF1274" s="1227">
        <v>5.4867936886181266E-2</v>
      </c>
      <c r="BH1274" s="824" t="s">
        <v>61</v>
      </c>
      <c r="BI1274" s="824" t="s">
        <v>365</v>
      </c>
      <c r="BJ1274" s="824" t="s">
        <v>291</v>
      </c>
      <c r="BL1274" s="1226">
        <v>45665054.149528503</v>
      </c>
      <c r="BM1274" s="1227">
        <v>1.6599579496695441E-2</v>
      </c>
      <c r="BN1274" s="824">
        <v>2020</v>
      </c>
    </row>
    <row r="1275" spans="1:66" ht="15" customHeight="1" x14ac:dyDescent="0.35">
      <c r="A1275" s="64">
        <f t="shared" si="46"/>
        <v>1900</v>
      </c>
      <c r="B1275" s="168" t="str">
        <f t="shared" si="47"/>
        <v>1899-00</v>
      </c>
      <c r="C1275" s="64"/>
      <c r="BA1275" s="824" t="s">
        <v>165</v>
      </c>
      <c r="BB1275" s="1225">
        <v>2022</v>
      </c>
      <c r="BC1275" s="824" t="s">
        <v>627</v>
      </c>
      <c r="BD1275" s="824">
        <v>8</v>
      </c>
      <c r="BE1275" s="1226">
        <v>353270000</v>
      </c>
      <c r="BF1275" s="1227">
        <v>5.2443428508994153E-2</v>
      </c>
      <c r="BH1275" s="824" t="s">
        <v>61</v>
      </c>
      <c r="BI1275" s="824" t="s">
        <v>365</v>
      </c>
      <c r="BJ1275" s="824" t="s">
        <v>292</v>
      </c>
      <c r="BL1275" s="1226">
        <v>2750976562.9074678</v>
      </c>
      <c r="BN1275" s="824">
        <v>2020</v>
      </c>
    </row>
    <row r="1276" spans="1:66" ht="15" customHeight="1" x14ac:dyDescent="0.35">
      <c r="A1276" s="64">
        <f t="shared" si="46"/>
        <v>1900</v>
      </c>
      <c r="B1276" s="168" t="str">
        <f t="shared" si="47"/>
        <v>1899-00</v>
      </c>
      <c r="C1276" s="64"/>
      <c r="BA1276" s="824" t="s">
        <v>165</v>
      </c>
      <c r="BB1276" s="1225">
        <v>2022</v>
      </c>
      <c r="BC1276" s="824" t="s">
        <v>285</v>
      </c>
      <c r="BD1276" s="824">
        <v>9</v>
      </c>
      <c r="BE1276" s="1226">
        <v>338173000</v>
      </c>
      <c r="BF1276" s="1227">
        <v>5.0202257619305572E-2</v>
      </c>
      <c r="BH1276" s="824" t="s">
        <v>54</v>
      </c>
      <c r="BI1276" s="824" t="s">
        <v>365</v>
      </c>
      <c r="BJ1276" s="824" t="s">
        <v>281</v>
      </c>
      <c r="BK1276" s="824">
        <v>1</v>
      </c>
      <c r="BL1276" s="1226">
        <v>745095372.27999997</v>
      </c>
      <c r="BM1276" s="1227">
        <v>0.50699518045078695</v>
      </c>
      <c r="BN1276" s="824">
        <v>2020</v>
      </c>
    </row>
    <row r="1277" spans="1:66" ht="15" customHeight="1" x14ac:dyDescent="0.35">
      <c r="A1277" s="64">
        <f t="shared" si="46"/>
        <v>1900</v>
      </c>
      <c r="B1277" s="168" t="str">
        <f t="shared" si="47"/>
        <v>1899-00</v>
      </c>
      <c r="C1277" s="64"/>
      <c r="BA1277" s="824" t="s">
        <v>165</v>
      </c>
      <c r="BB1277" s="1225">
        <v>2022</v>
      </c>
      <c r="BC1277" s="824" t="s">
        <v>296</v>
      </c>
      <c r="BD1277" s="824">
        <v>10</v>
      </c>
      <c r="BE1277" s="1226">
        <v>235920000</v>
      </c>
      <c r="BF1277" s="1227">
        <v>3.5022655911461205E-2</v>
      </c>
      <c r="BH1277" s="824" t="s">
        <v>54</v>
      </c>
      <c r="BI1277" s="824" t="s">
        <v>365</v>
      </c>
      <c r="BJ1277" s="824" t="s">
        <v>312</v>
      </c>
      <c r="BK1277" s="824">
        <v>2</v>
      </c>
      <c r="BL1277" s="1226">
        <v>112028921.86999999</v>
      </c>
      <c r="BM1277" s="1227">
        <v>7.6229333280362313E-2</v>
      </c>
      <c r="BN1277" s="824">
        <v>2020</v>
      </c>
    </row>
    <row r="1278" spans="1:66" ht="15" customHeight="1" x14ac:dyDescent="0.35">
      <c r="A1278" s="64">
        <f t="shared" si="46"/>
        <v>1900</v>
      </c>
      <c r="B1278" s="168" t="str">
        <f t="shared" si="47"/>
        <v>1899-00</v>
      </c>
      <c r="C1278" s="64"/>
      <c r="BA1278" s="824" t="s">
        <v>165</v>
      </c>
      <c r="BB1278" s="1225">
        <v>2022</v>
      </c>
      <c r="BC1278" s="824" t="s">
        <v>291</v>
      </c>
      <c r="BE1278" s="1226">
        <v>752114000</v>
      </c>
      <c r="BF1278" s="1227">
        <v>0.11165238143520148</v>
      </c>
      <c r="BH1278" s="824" t="s">
        <v>54</v>
      </c>
      <c r="BI1278" s="824" t="s">
        <v>365</v>
      </c>
      <c r="BJ1278" s="824" t="s">
        <v>298</v>
      </c>
      <c r="BK1278" s="824">
        <v>3</v>
      </c>
      <c r="BL1278" s="1226">
        <v>86376943.719999999</v>
      </c>
      <c r="BM1278" s="1227">
        <v>5.877461570335988E-2</v>
      </c>
      <c r="BN1278" s="824">
        <v>2020</v>
      </c>
    </row>
    <row r="1279" spans="1:66" ht="15" customHeight="1" x14ac:dyDescent="0.35">
      <c r="A1279" s="64">
        <f t="shared" si="46"/>
        <v>1900</v>
      </c>
      <c r="B1279" s="168" t="str">
        <f t="shared" si="47"/>
        <v>1899-00</v>
      </c>
      <c r="C1279" s="64"/>
      <c r="BA1279" s="824" t="s">
        <v>165</v>
      </c>
      <c r="BB1279" s="1225">
        <v>2022</v>
      </c>
      <c r="BC1279" s="824" t="s">
        <v>292</v>
      </c>
      <c r="BE1279" s="1226">
        <v>6736211000</v>
      </c>
      <c r="BH1279" s="824" t="s">
        <v>54</v>
      </c>
      <c r="BI1279" s="824" t="s">
        <v>365</v>
      </c>
      <c r="BJ1279" s="824" t="s">
        <v>290</v>
      </c>
      <c r="BK1279" s="824">
        <v>4</v>
      </c>
      <c r="BL1279" s="1226">
        <v>80086532.449999988</v>
      </c>
      <c r="BM1279" s="1227">
        <v>5.4494347276535127E-2</v>
      </c>
      <c r="BN1279" s="824">
        <v>2020</v>
      </c>
    </row>
    <row r="1280" spans="1:66" ht="15" customHeight="1" x14ac:dyDescent="0.35">
      <c r="A1280" s="64">
        <f t="shared" si="46"/>
        <v>1900</v>
      </c>
      <c r="B1280" s="168" t="str">
        <f t="shared" si="47"/>
        <v>1899-00</v>
      </c>
      <c r="C1280" s="64"/>
      <c r="BA1280" s="824" t="s">
        <v>345</v>
      </c>
      <c r="BB1280" s="1225">
        <v>2022</v>
      </c>
      <c r="BC1280" s="824" t="s">
        <v>360</v>
      </c>
      <c r="BD1280" s="824">
        <v>1</v>
      </c>
      <c r="BE1280" s="1235" t="s">
        <v>172</v>
      </c>
      <c r="BF1280" s="1227">
        <v>0.24534517154578719</v>
      </c>
      <c r="BH1280" s="824" t="s">
        <v>54</v>
      </c>
      <c r="BI1280" s="824" t="s">
        <v>365</v>
      </c>
      <c r="BJ1280" s="824" t="s">
        <v>322</v>
      </c>
      <c r="BK1280" s="824">
        <v>5</v>
      </c>
      <c r="BL1280" s="1226">
        <v>79104146.169999987</v>
      </c>
      <c r="BM1280" s="1227">
        <v>5.382588907932892E-2</v>
      </c>
      <c r="BN1280" s="824">
        <v>2020</v>
      </c>
    </row>
    <row r="1281" spans="1:66" ht="15" customHeight="1" x14ac:dyDescent="0.35">
      <c r="A1281" s="64">
        <f t="shared" si="46"/>
        <v>1900</v>
      </c>
      <c r="B1281" s="168" t="str">
        <f t="shared" si="47"/>
        <v>1899-00</v>
      </c>
      <c r="C1281" s="64"/>
      <c r="BA1281" s="824" t="s">
        <v>345</v>
      </c>
      <c r="BB1281" s="1225">
        <v>2022</v>
      </c>
      <c r="BC1281" s="824" t="s">
        <v>346</v>
      </c>
      <c r="BD1281" s="824">
        <v>2</v>
      </c>
      <c r="BE1281" s="1235" t="s">
        <v>172</v>
      </c>
      <c r="BF1281" s="1227">
        <v>0.19914766056625766</v>
      </c>
      <c r="BH1281" s="824" t="s">
        <v>54</v>
      </c>
      <c r="BI1281" s="824" t="s">
        <v>365</v>
      </c>
      <c r="BJ1281" s="824" t="s">
        <v>315</v>
      </c>
      <c r="BK1281" s="824">
        <v>6</v>
      </c>
      <c r="BL1281" s="1226">
        <v>65228124.480000004</v>
      </c>
      <c r="BM1281" s="1227">
        <v>4.4384042595793309E-2</v>
      </c>
      <c r="BN1281" s="824">
        <v>2020</v>
      </c>
    </row>
    <row r="1282" spans="1:66" ht="15" customHeight="1" x14ac:dyDescent="0.35">
      <c r="A1282" s="64">
        <f t="shared" si="46"/>
        <v>1900</v>
      </c>
      <c r="B1282" s="168" t="str">
        <f t="shared" si="47"/>
        <v>1899-00</v>
      </c>
      <c r="C1282" s="64"/>
      <c r="BA1282" s="824" t="s">
        <v>345</v>
      </c>
      <c r="BB1282" s="1225">
        <v>2022</v>
      </c>
      <c r="BC1282" s="824" t="s">
        <v>308</v>
      </c>
      <c r="BD1282" s="824">
        <v>3</v>
      </c>
      <c r="BE1282" s="1235" t="s">
        <v>172</v>
      </c>
      <c r="BF1282" s="1227">
        <v>0.16004679698779845</v>
      </c>
      <c r="BH1282" s="824" t="s">
        <v>54</v>
      </c>
      <c r="BI1282" s="824" t="s">
        <v>365</v>
      </c>
      <c r="BJ1282" s="824" t="s">
        <v>314</v>
      </c>
      <c r="BK1282" s="824">
        <v>7</v>
      </c>
      <c r="BL1282" s="1226">
        <v>64481780.540000007</v>
      </c>
      <c r="BM1282" s="1227">
        <v>4.3876197835758413E-2</v>
      </c>
      <c r="BN1282" s="824">
        <v>2020</v>
      </c>
    </row>
    <row r="1283" spans="1:66" ht="15" customHeight="1" x14ac:dyDescent="0.35">
      <c r="A1283" s="64">
        <f t="shared" si="46"/>
        <v>1900</v>
      </c>
      <c r="B1283" s="168" t="str">
        <f t="shared" si="47"/>
        <v>1899-00</v>
      </c>
      <c r="C1283" s="64"/>
      <c r="BA1283" s="824" t="s">
        <v>345</v>
      </c>
      <c r="BB1283" s="1225">
        <v>2022</v>
      </c>
      <c r="BC1283" s="824" t="s">
        <v>335</v>
      </c>
      <c r="BD1283" s="824">
        <v>4</v>
      </c>
      <c r="BE1283" s="1235" t="s">
        <v>172</v>
      </c>
      <c r="BF1283" s="1227">
        <v>0.13132123401419726</v>
      </c>
      <c r="BH1283" s="824" t="s">
        <v>54</v>
      </c>
      <c r="BI1283" s="824" t="s">
        <v>365</v>
      </c>
      <c r="BJ1283" s="824" t="s">
        <v>287</v>
      </c>
      <c r="BK1283" s="824">
        <v>8</v>
      </c>
      <c r="BL1283" s="1226">
        <v>62928999.770000003</v>
      </c>
      <c r="BM1283" s="1227">
        <v>4.2819618509171452E-2</v>
      </c>
      <c r="BN1283" s="824">
        <v>2020</v>
      </c>
    </row>
    <row r="1284" spans="1:66" ht="15" customHeight="1" x14ac:dyDescent="0.35">
      <c r="A1284" s="64">
        <f t="shared" si="46"/>
        <v>1900</v>
      </c>
      <c r="B1284" s="168" t="str">
        <f t="shared" si="47"/>
        <v>1899-00</v>
      </c>
      <c r="C1284" s="64"/>
      <c r="BA1284" s="824" t="s">
        <v>345</v>
      </c>
      <c r="BB1284" s="1225">
        <v>2022</v>
      </c>
      <c r="BC1284" s="824" t="s">
        <v>309</v>
      </c>
      <c r="BD1284" s="824">
        <v>5</v>
      </c>
      <c r="BE1284" s="1235" t="s">
        <v>172</v>
      </c>
      <c r="BF1284" s="1227">
        <v>0.12703793660667209</v>
      </c>
      <c r="BH1284" s="824" t="s">
        <v>54</v>
      </c>
      <c r="BI1284" s="824" t="s">
        <v>365</v>
      </c>
      <c r="BJ1284" s="824" t="s">
        <v>324</v>
      </c>
      <c r="BK1284" s="824">
        <v>9</v>
      </c>
      <c r="BL1284" s="1226">
        <v>41841006.269999996</v>
      </c>
      <c r="BM1284" s="1227">
        <v>2.8470433871020519E-2</v>
      </c>
      <c r="BN1284" s="824">
        <v>2020</v>
      </c>
    </row>
    <row r="1285" spans="1:66" ht="15" customHeight="1" x14ac:dyDescent="0.35">
      <c r="A1285" s="64">
        <f t="shared" si="46"/>
        <v>1900</v>
      </c>
      <c r="B1285" s="168" t="str">
        <f t="shared" si="47"/>
        <v>1899-00</v>
      </c>
      <c r="C1285" s="64"/>
      <c r="BA1285" s="824" t="s">
        <v>345</v>
      </c>
      <c r="BB1285" s="1225">
        <v>2022</v>
      </c>
      <c r="BC1285" s="824" t="s">
        <v>281</v>
      </c>
      <c r="BD1285" s="824">
        <v>6</v>
      </c>
      <c r="BE1285" s="1235" t="s">
        <v>172</v>
      </c>
      <c r="BF1285" s="1227">
        <v>5.5159751483079687E-2</v>
      </c>
      <c r="BH1285" s="824" t="s">
        <v>54</v>
      </c>
      <c r="BI1285" s="824" t="s">
        <v>365</v>
      </c>
      <c r="BJ1285" s="824" t="s">
        <v>285</v>
      </c>
      <c r="BK1285" s="824">
        <v>10</v>
      </c>
      <c r="BL1285" s="1226">
        <v>35799482.050000004</v>
      </c>
      <c r="BM1285" s="1227">
        <v>2.4359518978684241E-2</v>
      </c>
      <c r="BN1285" s="824">
        <v>2020</v>
      </c>
    </row>
    <row r="1286" spans="1:66" ht="15" customHeight="1" x14ac:dyDescent="0.35">
      <c r="A1286" s="64">
        <f t="shared" si="46"/>
        <v>1900</v>
      </c>
      <c r="B1286" s="168" t="str">
        <f t="shared" si="47"/>
        <v>1899-00</v>
      </c>
      <c r="C1286" s="64"/>
      <c r="BA1286" s="824" t="s">
        <v>345</v>
      </c>
      <c r="BB1286" s="1225">
        <v>2022</v>
      </c>
      <c r="BC1286" s="824" t="s">
        <v>322</v>
      </c>
      <c r="BD1286" s="824">
        <v>7</v>
      </c>
      <c r="BE1286" s="1235" t="s">
        <v>172</v>
      </c>
      <c r="BF1286" s="1227">
        <v>2.9216318518376826E-2</v>
      </c>
      <c r="BH1286" s="824" t="s">
        <v>54</v>
      </c>
      <c r="BI1286" s="824" t="s">
        <v>365</v>
      </c>
      <c r="BJ1286" s="824" t="s">
        <v>291</v>
      </c>
      <c r="BL1286" s="1226">
        <v>96658779.620000124</v>
      </c>
      <c r="BM1286" s="1227">
        <v>6.5770822419198946E-2</v>
      </c>
      <c r="BN1286" s="824">
        <v>2020</v>
      </c>
    </row>
    <row r="1287" spans="1:66" ht="15" customHeight="1" x14ac:dyDescent="0.35">
      <c r="A1287" s="64">
        <f t="shared" si="46"/>
        <v>1900</v>
      </c>
      <c r="B1287" s="168" t="str">
        <f t="shared" si="47"/>
        <v>1899-00</v>
      </c>
      <c r="C1287" s="64"/>
      <c r="BA1287" s="824" t="s">
        <v>345</v>
      </c>
      <c r="BB1287" s="1225">
        <v>2022</v>
      </c>
      <c r="BC1287" s="824" t="s">
        <v>352</v>
      </c>
      <c r="BD1287" s="824">
        <v>8</v>
      </c>
      <c r="BE1287" s="1235" t="s">
        <v>172</v>
      </c>
      <c r="BF1287" s="1227">
        <v>2.731683263513476E-2</v>
      </c>
      <c r="BH1287" s="824" t="s">
        <v>54</v>
      </c>
      <c r="BI1287" s="824" t="s">
        <v>365</v>
      </c>
      <c r="BJ1287" s="1317" t="s">
        <v>292</v>
      </c>
      <c r="BL1287" s="1226">
        <v>1469630089.22</v>
      </c>
      <c r="BN1287" s="824">
        <v>2020</v>
      </c>
    </row>
    <row r="1288" spans="1:66" ht="15" customHeight="1" x14ac:dyDescent="0.35">
      <c r="A1288" s="64">
        <f t="shared" si="46"/>
        <v>1900</v>
      </c>
      <c r="B1288" s="168" t="str">
        <f t="shared" si="47"/>
        <v>1899-00</v>
      </c>
      <c r="C1288" s="64"/>
      <c r="BA1288" s="824" t="s">
        <v>345</v>
      </c>
      <c r="BB1288" s="1225">
        <v>2022</v>
      </c>
      <c r="BC1288" s="824" t="s">
        <v>315</v>
      </c>
      <c r="BD1288" s="824">
        <v>9</v>
      </c>
      <c r="BE1288" s="1235" t="s">
        <v>172</v>
      </c>
      <c r="BF1288" s="1227">
        <v>1.6677050570248084E-2</v>
      </c>
      <c r="BH1288" s="824" t="s">
        <v>40</v>
      </c>
      <c r="BI1288" s="824" t="s">
        <v>365</v>
      </c>
      <c r="BJ1288" s="1317" t="s">
        <v>281</v>
      </c>
      <c r="BK1288" s="824">
        <v>1</v>
      </c>
      <c r="BL1288" s="1226">
        <v>123185327000</v>
      </c>
      <c r="BM1288" s="1227">
        <v>0.81496008704122425</v>
      </c>
      <c r="BN1288" s="824">
        <v>2020</v>
      </c>
    </row>
    <row r="1289" spans="1:66" ht="15" customHeight="1" x14ac:dyDescent="0.35">
      <c r="A1289" s="64">
        <f t="shared" si="46"/>
        <v>1900</v>
      </c>
      <c r="B1289" s="168" t="str">
        <f t="shared" si="47"/>
        <v>1899-00</v>
      </c>
      <c r="C1289" s="64"/>
      <c r="BA1289" s="824" t="s">
        <v>345</v>
      </c>
      <c r="BB1289" s="1225">
        <v>2022</v>
      </c>
      <c r="BC1289" s="824" t="s">
        <v>287</v>
      </c>
      <c r="BD1289" s="824">
        <v>10</v>
      </c>
      <c r="BE1289" s="1235" t="s">
        <v>172</v>
      </c>
      <c r="BF1289" s="1227">
        <v>7.795161510870249E-3</v>
      </c>
      <c r="BH1289" s="824" t="s">
        <v>40</v>
      </c>
      <c r="BI1289" s="824" t="s">
        <v>365</v>
      </c>
      <c r="BJ1289" s="1317" t="s">
        <v>308</v>
      </c>
      <c r="BK1289" s="824">
        <v>2</v>
      </c>
      <c r="BL1289" s="1226">
        <v>9048431000</v>
      </c>
      <c r="BM1289" s="1227">
        <v>5.986191939358583E-2</v>
      </c>
      <c r="BN1289" s="824">
        <v>2020</v>
      </c>
    </row>
    <row r="1290" spans="1:66" ht="15" customHeight="1" x14ac:dyDescent="0.35">
      <c r="A1290" s="64">
        <f t="shared" si="46"/>
        <v>1900</v>
      </c>
      <c r="B1290" s="168" t="str">
        <f t="shared" si="47"/>
        <v>1899-00</v>
      </c>
      <c r="C1290" s="64"/>
      <c r="BA1290" s="824" t="s">
        <v>345</v>
      </c>
      <c r="BB1290" s="1225">
        <v>2022</v>
      </c>
      <c r="BC1290" s="824" t="s">
        <v>291</v>
      </c>
      <c r="BE1290" s="1235" t="s">
        <v>172</v>
      </c>
      <c r="BF1290" s="1227">
        <v>9.3608556157761223E-4</v>
      </c>
      <c r="BH1290" s="824" t="s">
        <v>40</v>
      </c>
      <c r="BI1290" s="824" t="s">
        <v>365</v>
      </c>
      <c r="BJ1290" s="1317" t="s">
        <v>320</v>
      </c>
      <c r="BK1290" s="824">
        <v>3</v>
      </c>
      <c r="BL1290" s="1226">
        <v>8945395000</v>
      </c>
      <c r="BM1290" s="1227">
        <v>5.9180261686670947E-2</v>
      </c>
      <c r="BN1290" s="824">
        <v>2020</v>
      </c>
    </row>
    <row r="1291" spans="1:66" ht="15" customHeight="1" x14ac:dyDescent="0.35">
      <c r="A1291" s="64">
        <f t="shared" si="46"/>
        <v>1900</v>
      </c>
      <c r="B1291" s="168" t="str">
        <f t="shared" si="47"/>
        <v>1899-00</v>
      </c>
      <c r="C1291" s="64"/>
      <c r="BA1291" s="824" t="s">
        <v>345</v>
      </c>
      <c r="BB1291" s="1225">
        <v>2022</v>
      </c>
      <c r="BC1291" s="824" t="s">
        <v>361</v>
      </c>
      <c r="BE1291" s="1235" t="s">
        <v>172</v>
      </c>
      <c r="BH1291" s="824" t="s">
        <v>40</v>
      </c>
      <c r="BI1291" s="824" t="s">
        <v>365</v>
      </c>
      <c r="BJ1291" s="1317" t="s">
        <v>315</v>
      </c>
      <c r="BK1291" s="824">
        <v>4</v>
      </c>
      <c r="BL1291" s="1226">
        <v>3069840000</v>
      </c>
      <c r="BM1291" s="1227">
        <v>2.0309213236107512E-2</v>
      </c>
      <c r="BN1291" s="824">
        <v>2020</v>
      </c>
    </row>
    <row r="1292" spans="1:66" ht="15" customHeight="1" x14ac:dyDescent="0.35">
      <c r="A1292" s="64">
        <f t="shared" ref="A1292:A1302" si="48">YEAR(C1292)</f>
        <v>1900</v>
      </c>
      <c r="B1292" s="168" t="str">
        <f t="shared" si="47"/>
        <v>1899-00</v>
      </c>
      <c r="C1292" s="64"/>
      <c r="BA1292" s="824" t="s">
        <v>32</v>
      </c>
      <c r="BB1292" s="1225">
        <v>2022</v>
      </c>
      <c r="BC1292" s="824" t="s">
        <v>281</v>
      </c>
      <c r="BD1292" s="824">
        <v>1</v>
      </c>
      <c r="BE1292" s="1226">
        <v>7196897000</v>
      </c>
      <c r="BF1292" s="1227">
        <v>0.38326914890025154</v>
      </c>
      <c r="BH1292" s="824" t="s">
        <v>40</v>
      </c>
      <c r="BI1292" s="824" t="s">
        <v>365</v>
      </c>
      <c r="BJ1292" s="1317" t="s">
        <v>306</v>
      </c>
      <c r="BK1292" s="824">
        <v>5</v>
      </c>
      <c r="BL1292" s="1226">
        <v>2008749000</v>
      </c>
      <c r="BM1292" s="1227">
        <v>1.3289328362005097E-2</v>
      </c>
      <c r="BN1292" s="824">
        <v>2020</v>
      </c>
    </row>
    <row r="1293" spans="1:66" ht="15" customHeight="1" x14ac:dyDescent="0.35">
      <c r="A1293" s="64">
        <f t="shared" si="48"/>
        <v>1900</v>
      </c>
      <c r="B1293" s="168" t="str">
        <f t="shared" si="47"/>
        <v>1899-00</v>
      </c>
      <c r="C1293" s="64"/>
      <c r="BA1293" s="824" t="s">
        <v>32</v>
      </c>
      <c r="BB1293" s="1225">
        <v>2022</v>
      </c>
      <c r="BC1293" s="824" t="s">
        <v>327</v>
      </c>
      <c r="BD1293" s="824">
        <v>2</v>
      </c>
      <c r="BE1293" s="1226">
        <v>4662574000</v>
      </c>
      <c r="BF1293" s="1227">
        <v>0.24830434125491049</v>
      </c>
      <c r="BH1293" s="824" t="s">
        <v>40</v>
      </c>
      <c r="BI1293" s="824" t="s">
        <v>365</v>
      </c>
      <c r="BJ1293" s="1317" t="s">
        <v>291</v>
      </c>
      <c r="BL1293" s="1226">
        <v>4897301000</v>
      </c>
      <c r="BM1293" s="1227">
        <v>3.2399190280406324E-2</v>
      </c>
      <c r="BN1293" s="824">
        <v>2020</v>
      </c>
    </row>
    <row r="1294" spans="1:66" ht="15" customHeight="1" x14ac:dyDescent="0.35">
      <c r="A1294" s="64">
        <f t="shared" si="48"/>
        <v>1900</v>
      </c>
      <c r="B1294" s="168" t="str">
        <f t="shared" si="47"/>
        <v>1899-00</v>
      </c>
      <c r="C1294" s="64"/>
      <c r="BA1294" s="824" t="s">
        <v>32</v>
      </c>
      <c r="BB1294" s="1225">
        <v>2022</v>
      </c>
      <c r="BC1294" s="824" t="s">
        <v>306</v>
      </c>
      <c r="BD1294" s="824">
        <v>3</v>
      </c>
      <c r="BE1294" s="1226">
        <v>2390830000</v>
      </c>
      <c r="BF1294" s="1227">
        <v>0.12732311984806624</v>
      </c>
      <c r="BH1294" s="824" t="s">
        <v>40</v>
      </c>
      <c r="BI1294" s="824" t="s">
        <v>365</v>
      </c>
      <c r="BJ1294" s="1317" t="s">
        <v>292</v>
      </c>
      <c r="BL1294" s="1226">
        <v>151155043000</v>
      </c>
      <c r="BN1294" s="824">
        <v>2020</v>
      </c>
    </row>
    <row r="1295" spans="1:66" ht="15" customHeight="1" x14ac:dyDescent="0.35">
      <c r="A1295" s="64">
        <f t="shared" si="48"/>
        <v>1900</v>
      </c>
      <c r="B1295" s="168" t="str">
        <f t="shared" si="47"/>
        <v>1899-00</v>
      </c>
      <c r="C1295" s="64"/>
      <c r="BA1295" s="824" t="s">
        <v>32</v>
      </c>
      <c r="BB1295" s="1225">
        <v>2022</v>
      </c>
      <c r="BC1295" s="824" t="s">
        <v>287</v>
      </c>
      <c r="BD1295" s="824">
        <v>4</v>
      </c>
      <c r="BE1295" s="1226">
        <v>1506680000</v>
      </c>
      <c r="BF1295" s="1227">
        <v>8.0237908263107144E-2</v>
      </c>
      <c r="BH1295" s="824" t="s">
        <v>32</v>
      </c>
      <c r="BI1295" s="824" t="s">
        <v>365</v>
      </c>
      <c r="BJ1295" s="1317" t="s">
        <v>314</v>
      </c>
      <c r="BK1295" s="824">
        <v>1</v>
      </c>
      <c r="BL1295" s="1226">
        <v>8765311000</v>
      </c>
      <c r="BM1295" s="1227">
        <v>0.3981900327099348</v>
      </c>
      <c r="BN1295" s="824">
        <v>2020</v>
      </c>
    </row>
    <row r="1296" spans="1:66" ht="15" customHeight="1" x14ac:dyDescent="0.35">
      <c r="A1296" s="64">
        <f t="shared" si="48"/>
        <v>1900</v>
      </c>
      <c r="B1296" s="168" t="str">
        <f t="shared" si="47"/>
        <v>1899-00</v>
      </c>
      <c r="C1296" s="64"/>
      <c r="BA1296" s="824" t="s">
        <v>32</v>
      </c>
      <c r="BB1296" s="1225">
        <v>2022</v>
      </c>
      <c r="BC1296" s="824" t="s">
        <v>298</v>
      </c>
      <c r="BD1296" s="824">
        <v>5</v>
      </c>
      <c r="BE1296" s="1226">
        <v>1414490000</v>
      </c>
      <c r="BF1296" s="1227">
        <v>7.5328350319299672E-2</v>
      </c>
      <c r="BH1296" s="824" t="s">
        <v>32</v>
      </c>
      <c r="BI1296" s="824" t="s">
        <v>365</v>
      </c>
      <c r="BJ1296" s="1317" t="s">
        <v>298</v>
      </c>
      <c r="BK1296" s="824">
        <v>2</v>
      </c>
      <c r="BL1296" s="1226">
        <v>3618673000</v>
      </c>
      <c r="BM1296" s="1227">
        <v>0.16438886426694477</v>
      </c>
      <c r="BN1296" s="824">
        <v>2020</v>
      </c>
    </row>
    <row r="1297" spans="1:66" ht="15" customHeight="1" x14ac:dyDescent="0.35">
      <c r="A1297" s="64">
        <f t="shared" si="48"/>
        <v>1900</v>
      </c>
      <c r="B1297" s="168" t="str">
        <f t="shared" si="47"/>
        <v>1899-00</v>
      </c>
      <c r="C1297" s="64"/>
      <c r="BA1297" s="824" t="s">
        <v>32</v>
      </c>
      <c r="BB1297" s="1225">
        <v>2022</v>
      </c>
      <c r="BC1297" s="824" t="s">
        <v>323</v>
      </c>
      <c r="BD1297" s="824">
        <v>6</v>
      </c>
      <c r="BE1297" s="1226">
        <v>724191000</v>
      </c>
      <c r="BF1297" s="1227">
        <v>3.8566630620282892E-2</v>
      </c>
      <c r="BH1297" s="824" t="s">
        <v>32</v>
      </c>
      <c r="BI1297" s="824" t="s">
        <v>365</v>
      </c>
      <c r="BJ1297" s="1317" t="s">
        <v>306</v>
      </c>
      <c r="BK1297" s="824">
        <v>3</v>
      </c>
      <c r="BL1297" s="1226">
        <v>2164409000</v>
      </c>
      <c r="BM1297" s="1227">
        <v>9.832464478529937E-2</v>
      </c>
      <c r="BN1297" s="824">
        <v>2020</v>
      </c>
    </row>
    <row r="1298" spans="1:66" ht="15" customHeight="1" x14ac:dyDescent="0.35">
      <c r="A1298" s="64">
        <f t="shared" si="48"/>
        <v>1900</v>
      </c>
      <c r="B1298" s="168" t="str">
        <f t="shared" si="47"/>
        <v>1899-00</v>
      </c>
      <c r="C1298" s="64"/>
      <c r="BA1298" s="824" t="s">
        <v>32</v>
      </c>
      <c r="BB1298" s="1225">
        <v>2022</v>
      </c>
      <c r="BC1298" s="824" t="s">
        <v>320</v>
      </c>
      <c r="BD1298" s="824">
        <v>7</v>
      </c>
      <c r="BE1298" s="1226">
        <v>464352000</v>
      </c>
      <c r="BF1298" s="1227">
        <v>2.4728962472316835E-2</v>
      </c>
      <c r="BH1298" s="824" t="s">
        <v>32</v>
      </c>
      <c r="BI1298" s="824" t="s">
        <v>365</v>
      </c>
      <c r="BJ1298" s="1317" t="s">
        <v>281</v>
      </c>
      <c r="BK1298" s="824">
        <v>4</v>
      </c>
      <c r="BL1298" s="1226">
        <v>2028145000</v>
      </c>
      <c r="BM1298" s="1227">
        <v>9.2134451805588033E-2</v>
      </c>
      <c r="BN1298" s="824">
        <v>2020</v>
      </c>
    </row>
    <row r="1299" spans="1:66" ht="15" customHeight="1" x14ac:dyDescent="0.35">
      <c r="A1299" s="64">
        <f t="shared" si="48"/>
        <v>1900</v>
      </c>
      <c r="B1299" s="168" t="str">
        <f t="shared" si="47"/>
        <v>1899-00</v>
      </c>
      <c r="C1299" s="64"/>
      <c r="BA1299" s="824" t="s">
        <v>32</v>
      </c>
      <c r="BB1299" s="1225">
        <v>2022</v>
      </c>
      <c r="BC1299" s="824" t="s">
        <v>328</v>
      </c>
      <c r="BD1299" s="824">
        <v>8</v>
      </c>
      <c r="BE1299" s="1226">
        <v>255428000</v>
      </c>
      <c r="BF1299" s="1227">
        <v>1.3602761324122529E-2</v>
      </c>
      <c r="BH1299" s="824" t="s">
        <v>32</v>
      </c>
      <c r="BI1299" s="824" t="s">
        <v>365</v>
      </c>
      <c r="BJ1299" s="1317" t="s">
        <v>287</v>
      </c>
      <c r="BK1299" s="824">
        <v>5</v>
      </c>
      <c r="BL1299" s="1226">
        <v>1395638000</v>
      </c>
      <c r="BM1299" s="1227">
        <v>6.340096100083932E-2</v>
      </c>
      <c r="BN1299" s="824">
        <v>2020</v>
      </c>
    </row>
    <row r="1300" spans="1:66" ht="15" customHeight="1" x14ac:dyDescent="0.35">
      <c r="A1300" s="64">
        <f t="shared" si="48"/>
        <v>1900</v>
      </c>
      <c r="B1300" s="168" t="str">
        <f t="shared" si="47"/>
        <v>1899-00</v>
      </c>
      <c r="C1300" s="64"/>
      <c r="BA1300" s="824" t="s">
        <v>32</v>
      </c>
      <c r="BB1300" s="1225">
        <v>2022</v>
      </c>
      <c r="BC1300" s="824" t="s">
        <v>335</v>
      </c>
      <c r="BD1300" s="824">
        <v>9</v>
      </c>
      <c r="BE1300" s="1226">
        <v>103585000</v>
      </c>
      <c r="BF1300" s="1227">
        <v>5.5163961341717907E-3</v>
      </c>
      <c r="BH1300" s="824" t="s">
        <v>32</v>
      </c>
      <c r="BI1300" s="824" t="s">
        <v>365</v>
      </c>
      <c r="BJ1300" s="1317" t="s">
        <v>327</v>
      </c>
      <c r="BK1300" s="824">
        <v>6</v>
      </c>
      <c r="BL1300" s="1226">
        <v>1392759000</v>
      </c>
      <c r="BM1300" s="1227">
        <v>6.3270173958123802E-2</v>
      </c>
      <c r="BN1300" s="824">
        <v>2020</v>
      </c>
    </row>
    <row r="1301" spans="1:66" ht="15" customHeight="1" x14ac:dyDescent="0.35">
      <c r="A1301" s="64">
        <f t="shared" si="48"/>
        <v>1900</v>
      </c>
      <c r="B1301" s="168" t="str">
        <f t="shared" si="47"/>
        <v>1899-00</v>
      </c>
      <c r="C1301" s="64"/>
      <c r="BA1301" s="824" t="s">
        <v>32</v>
      </c>
      <c r="BB1301" s="1225">
        <v>2022</v>
      </c>
      <c r="BC1301" s="824" t="s">
        <v>299</v>
      </c>
      <c r="BD1301" s="824">
        <v>10</v>
      </c>
      <c r="BE1301" s="1226">
        <v>51247000</v>
      </c>
      <c r="BF1301" s="1227">
        <v>2.7291475859236546E-3</v>
      </c>
      <c r="BH1301" s="824" t="s">
        <v>32</v>
      </c>
      <c r="BI1301" s="824" t="s">
        <v>365</v>
      </c>
      <c r="BJ1301" s="1317" t="s">
        <v>337</v>
      </c>
      <c r="BK1301" s="824">
        <v>7</v>
      </c>
      <c r="BL1301" s="1226">
        <v>806767000</v>
      </c>
      <c r="BM1301" s="1227">
        <v>3.6649763838304879E-2</v>
      </c>
      <c r="BN1301" s="824">
        <v>2020</v>
      </c>
    </row>
    <row r="1302" spans="1:66" ht="15" customHeight="1" x14ac:dyDescent="0.35">
      <c r="A1302" s="64">
        <f t="shared" si="48"/>
        <v>1900</v>
      </c>
      <c r="B1302" s="168" t="str">
        <f t="shared" si="47"/>
        <v>1899-00</v>
      </c>
      <c r="C1302" s="64"/>
      <c r="BA1302" s="824" t="s">
        <v>32</v>
      </c>
      <c r="BB1302" s="1225">
        <v>2022</v>
      </c>
      <c r="BC1302" s="824" t="s">
        <v>291</v>
      </c>
      <c r="BE1302" s="1226">
        <v>7384000</v>
      </c>
      <c r="BF1302" s="1227">
        <v>3.9323327754717865E-4</v>
      </c>
      <c r="BH1302" s="824" t="s">
        <v>32</v>
      </c>
      <c r="BI1302" s="824" t="s">
        <v>365</v>
      </c>
      <c r="BJ1302" s="1317" t="s">
        <v>323</v>
      </c>
      <c r="BK1302" s="824">
        <v>8</v>
      </c>
      <c r="BL1302" s="1226">
        <v>636346000</v>
      </c>
      <c r="BM1302" s="1227">
        <v>2.8907888671016482E-2</v>
      </c>
      <c r="BN1302" s="824">
        <v>2020</v>
      </c>
    </row>
    <row r="1303" spans="1:66" ht="15" customHeight="1" x14ac:dyDescent="0.35">
      <c r="BA1303" s="824" t="s">
        <v>32</v>
      </c>
      <c r="BB1303" s="1225">
        <v>2022</v>
      </c>
      <c r="BC1303" s="824" t="s">
        <v>292</v>
      </c>
      <c r="BE1303" s="1226">
        <v>18777658000</v>
      </c>
      <c r="BH1303" s="824" t="s">
        <v>32</v>
      </c>
      <c r="BI1303" s="824" t="s">
        <v>365</v>
      </c>
      <c r="BJ1303" s="1317" t="s">
        <v>320</v>
      </c>
      <c r="BK1303" s="824">
        <v>9</v>
      </c>
      <c r="BL1303" s="1226">
        <v>561510000</v>
      </c>
      <c r="BM1303" s="1227">
        <v>2.5508243263354314E-2</v>
      </c>
      <c r="BN1303" s="824">
        <v>2020</v>
      </c>
    </row>
    <row r="1304" spans="1:66" ht="15" customHeight="1" x14ac:dyDescent="0.35">
      <c r="BA1304" s="824" t="s">
        <v>61</v>
      </c>
      <c r="BB1304" s="1225">
        <v>2022</v>
      </c>
      <c r="BC1304" s="824" t="s">
        <v>281</v>
      </c>
      <c r="BD1304" s="824">
        <v>1</v>
      </c>
      <c r="BE1304" s="1235" t="s">
        <v>172</v>
      </c>
      <c r="BF1304" s="1227">
        <v>0.58870290444653295</v>
      </c>
      <c r="BH1304" s="824" t="s">
        <v>32</v>
      </c>
      <c r="BI1304" s="824" t="s">
        <v>365</v>
      </c>
      <c r="BJ1304" s="1317" t="s">
        <v>328</v>
      </c>
      <c r="BK1304" s="824">
        <v>10</v>
      </c>
      <c r="BL1304" s="1226">
        <v>402547000</v>
      </c>
      <c r="BM1304" s="1227">
        <v>1.8286881446338426E-2</v>
      </c>
      <c r="BN1304" s="824">
        <v>2020</v>
      </c>
    </row>
    <row r="1305" spans="1:66" ht="15" customHeight="1" x14ac:dyDescent="0.35">
      <c r="BA1305" s="824" t="s">
        <v>61</v>
      </c>
      <c r="BB1305" s="1225">
        <v>2022</v>
      </c>
      <c r="BC1305" s="824" t="s">
        <v>308</v>
      </c>
      <c r="BD1305" s="824">
        <v>2</v>
      </c>
      <c r="BE1305" s="1235" t="s">
        <v>172</v>
      </c>
      <c r="BF1305" s="1227">
        <v>0.17519409738269193</v>
      </c>
      <c r="BH1305" s="824" t="s">
        <v>32</v>
      </c>
      <c r="BI1305" s="824" t="s">
        <v>365</v>
      </c>
      <c r="BJ1305" s="1317" t="s">
        <v>291</v>
      </c>
      <c r="BL1305" s="1226">
        <v>240779000</v>
      </c>
      <c r="BM1305" s="1227">
        <v>1.0938094254255825E-2</v>
      </c>
      <c r="BN1305" s="824">
        <v>2020</v>
      </c>
    </row>
    <row r="1306" spans="1:66" ht="15" customHeight="1" x14ac:dyDescent="0.35">
      <c r="BA1306" s="824" t="s">
        <v>61</v>
      </c>
      <c r="BB1306" s="1225">
        <v>2022</v>
      </c>
      <c r="BC1306" s="824" t="s">
        <v>360</v>
      </c>
      <c r="BD1306" s="824">
        <v>3</v>
      </c>
      <c r="BE1306" s="1235" t="s">
        <v>172</v>
      </c>
      <c r="BF1306" s="1227">
        <v>8.2044583265152432E-2</v>
      </c>
      <c r="BH1306" s="824" t="s">
        <v>32</v>
      </c>
      <c r="BI1306" s="824" t="s">
        <v>365</v>
      </c>
      <c r="BJ1306" s="1317" t="s">
        <v>292</v>
      </c>
      <c r="BL1306" s="1226">
        <v>22012884000</v>
      </c>
      <c r="BN1306" s="824">
        <v>2020</v>
      </c>
    </row>
    <row r="1307" spans="1:66" ht="15" customHeight="1" x14ac:dyDescent="0.35">
      <c r="BA1307" s="824" t="s">
        <v>61</v>
      </c>
      <c r="BB1307" s="1225">
        <v>2022</v>
      </c>
      <c r="BC1307" s="824" t="s">
        <v>312</v>
      </c>
      <c r="BD1307" s="824">
        <v>4</v>
      </c>
      <c r="BE1307" s="1235" t="s">
        <v>172</v>
      </c>
      <c r="BF1307" s="1227">
        <v>5.9685771283176994E-2</v>
      </c>
      <c r="BH1307" s="824" t="s">
        <v>165</v>
      </c>
      <c r="BI1307" s="824" t="s">
        <v>366</v>
      </c>
      <c r="BJ1307" s="824" t="s">
        <v>282</v>
      </c>
      <c r="BK1307" s="824">
        <v>1</v>
      </c>
      <c r="BL1307" s="1226">
        <v>1345471599.03</v>
      </c>
      <c r="BM1307" s="1227">
        <v>0.17005269075942778</v>
      </c>
      <c r="BN1307" s="824">
        <v>2021</v>
      </c>
    </row>
    <row r="1308" spans="1:66" ht="15" customHeight="1" x14ac:dyDescent="0.35">
      <c r="BA1308" s="824" t="s">
        <v>61</v>
      </c>
      <c r="BB1308" s="1225">
        <v>2022</v>
      </c>
      <c r="BC1308" s="824" t="s">
        <v>310</v>
      </c>
      <c r="BD1308" s="824">
        <v>5</v>
      </c>
      <c r="BE1308" s="1235" t="s">
        <v>172</v>
      </c>
      <c r="BF1308" s="1227">
        <v>2.3446997189059644E-2</v>
      </c>
      <c r="BH1308" s="824" t="s">
        <v>165</v>
      </c>
      <c r="BI1308" s="824" t="s">
        <v>366</v>
      </c>
      <c r="BJ1308" s="824" t="s">
        <v>279</v>
      </c>
      <c r="BK1308" s="824">
        <v>2</v>
      </c>
      <c r="BL1308" s="1226">
        <v>1143562001.5</v>
      </c>
      <c r="BM1308" s="1227">
        <v>0.1445335565206351</v>
      </c>
      <c r="BN1308" s="824">
        <v>2021</v>
      </c>
    </row>
    <row r="1309" spans="1:66" ht="15" customHeight="1" x14ac:dyDescent="0.35">
      <c r="BA1309" s="824" t="s">
        <v>61</v>
      </c>
      <c r="BB1309" s="1225">
        <v>2022</v>
      </c>
      <c r="BC1309" s="824" t="s">
        <v>287</v>
      </c>
      <c r="BD1309" s="824">
        <v>6</v>
      </c>
      <c r="BE1309" s="1235" t="s">
        <v>172</v>
      </c>
      <c r="BF1309" s="1227">
        <v>1.4771746738491362E-2</v>
      </c>
      <c r="BH1309" s="824" t="s">
        <v>165</v>
      </c>
      <c r="BI1309" s="824" t="s">
        <v>366</v>
      </c>
      <c r="BJ1309" s="824" t="s">
        <v>283</v>
      </c>
      <c r="BK1309" s="824">
        <v>3</v>
      </c>
      <c r="BL1309" s="1226">
        <v>805902515.14999998</v>
      </c>
      <c r="BM1309" s="1227">
        <v>0.10185714160733636</v>
      </c>
      <c r="BN1309" s="824">
        <v>2021</v>
      </c>
    </row>
    <row r="1310" spans="1:66" ht="15" customHeight="1" x14ac:dyDescent="0.35">
      <c r="BA1310" s="824" t="s">
        <v>61</v>
      </c>
      <c r="BB1310" s="1225">
        <v>2022</v>
      </c>
      <c r="BC1310" s="824" t="s">
        <v>305</v>
      </c>
      <c r="BD1310" s="824">
        <v>7</v>
      </c>
      <c r="BE1310" s="1235" t="s">
        <v>172</v>
      </c>
      <c r="BF1310" s="1227">
        <v>1.4501063638253027E-2</v>
      </c>
      <c r="BH1310" s="824" t="s">
        <v>165</v>
      </c>
      <c r="BI1310" s="824" t="s">
        <v>366</v>
      </c>
      <c r="BJ1310" s="824" t="s">
        <v>284</v>
      </c>
      <c r="BK1310" s="824">
        <v>4</v>
      </c>
      <c r="BL1310" s="1226">
        <v>690922848.96000004</v>
      </c>
      <c r="BM1310" s="1227">
        <v>8.7324986761164597E-2</v>
      </c>
      <c r="BN1310" s="824">
        <v>2021</v>
      </c>
    </row>
    <row r="1311" spans="1:66" ht="15" customHeight="1" x14ac:dyDescent="0.35">
      <c r="BA1311" s="824" t="s">
        <v>61</v>
      </c>
      <c r="BB1311" s="1225">
        <v>2022</v>
      </c>
      <c r="BC1311" s="824" t="s">
        <v>367</v>
      </c>
      <c r="BD1311" s="824">
        <v>8</v>
      </c>
      <c r="BE1311" s="1235" t="s">
        <v>172</v>
      </c>
      <c r="BF1311" s="1227">
        <v>1.4059628920257651E-2</v>
      </c>
      <c r="BH1311" s="824" t="s">
        <v>165</v>
      </c>
      <c r="BI1311" s="824" t="s">
        <v>366</v>
      </c>
      <c r="BJ1311" s="824" t="s">
        <v>288</v>
      </c>
      <c r="BK1311" s="824">
        <v>5</v>
      </c>
      <c r="BL1311" s="1226">
        <v>645615125.67999995</v>
      </c>
      <c r="BM1311" s="1227">
        <v>8.159859293649957E-2</v>
      </c>
      <c r="BN1311" s="824">
        <v>2021</v>
      </c>
    </row>
    <row r="1312" spans="1:66" ht="15" customHeight="1" x14ac:dyDescent="0.35">
      <c r="BA1312" s="824" t="s">
        <v>61</v>
      </c>
      <c r="BB1312" s="1225">
        <v>2022</v>
      </c>
      <c r="BC1312" s="824" t="s">
        <v>315</v>
      </c>
      <c r="BD1312" s="824">
        <v>9</v>
      </c>
      <c r="BE1312" s="1235" t="s">
        <v>172</v>
      </c>
      <c r="BF1312" s="1227">
        <v>8.5989222825659708E-3</v>
      </c>
      <c r="BH1312" s="824" t="s">
        <v>165</v>
      </c>
      <c r="BI1312" s="824" t="s">
        <v>366</v>
      </c>
      <c r="BJ1312" s="824" t="s">
        <v>281</v>
      </c>
      <c r="BK1312" s="824">
        <v>6</v>
      </c>
      <c r="BL1312" s="1226">
        <v>559590840.5</v>
      </c>
      <c r="BM1312" s="1227">
        <v>7.0726077176180513E-2</v>
      </c>
      <c r="BN1312" s="824">
        <v>2021</v>
      </c>
    </row>
    <row r="1313" spans="53:66" ht="15" customHeight="1" x14ac:dyDescent="0.35">
      <c r="BA1313" s="824" t="s">
        <v>61</v>
      </c>
      <c r="BB1313" s="1225">
        <v>2022</v>
      </c>
      <c r="BC1313" s="824" t="s">
        <v>306</v>
      </c>
      <c r="BD1313" s="824">
        <v>10</v>
      </c>
      <c r="BE1313" s="1235" t="s">
        <v>172</v>
      </c>
      <c r="BF1313" s="1227">
        <v>8.1096549410802753E-3</v>
      </c>
      <c r="BH1313" s="824" t="s">
        <v>165</v>
      </c>
      <c r="BI1313" s="824" t="s">
        <v>366</v>
      </c>
      <c r="BJ1313" s="824" t="s">
        <v>287</v>
      </c>
      <c r="BK1313" s="824">
        <v>7</v>
      </c>
      <c r="BL1313" s="1226">
        <v>471251590.95999998</v>
      </c>
      <c r="BM1313" s="1227">
        <v>5.9560975590405157E-2</v>
      </c>
      <c r="BN1313" s="824">
        <v>2021</v>
      </c>
    </row>
    <row r="1314" spans="53:66" ht="15" customHeight="1" x14ac:dyDescent="0.35">
      <c r="BA1314" s="824" t="s">
        <v>61</v>
      </c>
      <c r="BB1314" s="1225">
        <v>2022</v>
      </c>
      <c r="BC1314" s="824" t="s">
        <v>291</v>
      </c>
      <c r="BE1314" s="1235" t="s">
        <v>172</v>
      </c>
      <c r="BF1314" s="1227">
        <v>1.0884629912737878E-2</v>
      </c>
      <c r="BH1314" s="824" t="s">
        <v>165</v>
      </c>
      <c r="BI1314" s="824" t="s">
        <v>366</v>
      </c>
      <c r="BJ1314" s="824" t="s">
        <v>285</v>
      </c>
      <c r="BK1314" s="824">
        <v>8</v>
      </c>
      <c r="BL1314" s="1226">
        <v>351701149.20999998</v>
      </c>
      <c r="BM1314" s="1227">
        <v>4.4451125396820779E-2</v>
      </c>
      <c r="BN1314" s="824">
        <v>2021</v>
      </c>
    </row>
    <row r="1315" spans="53:66" ht="15" customHeight="1" x14ac:dyDescent="0.35">
      <c r="BA1315" s="824" t="s">
        <v>61</v>
      </c>
      <c r="BB1315" s="1225">
        <v>2022</v>
      </c>
      <c r="BC1315" s="824" t="s">
        <v>292</v>
      </c>
      <c r="BE1315" s="1235" t="s">
        <v>172</v>
      </c>
      <c r="BH1315" s="824" t="s">
        <v>165</v>
      </c>
      <c r="BI1315" s="824" t="s">
        <v>366</v>
      </c>
      <c r="BJ1315" s="824" t="s">
        <v>304</v>
      </c>
      <c r="BK1315" s="824">
        <v>9</v>
      </c>
      <c r="BL1315" s="1226">
        <v>338445280.93999994</v>
      </c>
      <c r="BM1315" s="1227">
        <v>4.277573063613526E-2</v>
      </c>
      <c r="BN1315" s="824">
        <v>2021</v>
      </c>
    </row>
    <row r="1316" spans="53:66" ht="15" customHeight="1" x14ac:dyDescent="0.35">
      <c r="BA1316" s="824" t="s">
        <v>40</v>
      </c>
      <c r="BB1316" s="1225">
        <v>2022</v>
      </c>
      <c r="BC1316" s="824" t="s">
        <v>281</v>
      </c>
      <c r="BD1316" s="824">
        <v>1</v>
      </c>
      <c r="BE1316" s="1226">
        <v>102384752000</v>
      </c>
      <c r="BF1316" s="1227">
        <v>0.8345571074950876</v>
      </c>
      <c r="BH1316" s="824" t="s">
        <v>165</v>
      </c>
      <c r="BI1316" s="824" t="s">
        <v>366</v>
      </c>
      <c r="BJ1316" s="824" t="s">
        <v>318</v>
      </c>
      <c r="BK1316" s="824">
        <v>10</v>
      </c>
      <c r="BL1316" s="1226">
        <v>332420415.78999996</v>
      </c>
      <c r="BM1316" s="1227">
        <v>4.2014254488322973E-2</v>
      </c>
      <c r="BN1316" s="824">
        <v>2021</v>
      </c>
    </row>
    <row r="1317" spans="53:66" ht="15" customHeight="1" x14ac:dyDescent="0.35">
      <c r="BA1317" s="824" t="s">
        <v>40</v>
      </c>
      <c r="BB1317" s="1225">
        <v>2022</v>
      </c>
      <c r="BC1317" s="824" t="s">
        <v>308</v>
      </c>
      <c r="BD1317" s="824">
        <v>2</v>
      </c>
      <c r="BE1317" s="1226">
        <v>8614994000</v>
      </c>
      <c r="BF1317" s="1227">
        <v>7.0222414307625949E-2</v>
      </c>
      <c r="BH1317" s="824" t="s">
        <v>165</v>
      </c>
      <c r="BI1317" s="824" t="s">
        <v>366</v>
      </c>
      <c r="BJ1317" s="824" t="s">
        <v>291</v>
      </c>
      <c r="BL1317" s="1226">
        <v>1227203133.3599997</v>
      </c>
      <c r="BM1317" s="1227">
        <v>0.155104868127072</v>
      </c>
      <c r="BN1317" s="824">
        <v>2021</v>
      </c>
    </row>
    <row r="1318" spans="53:66" ht="15" customHeight="1" x14ac:dyDescent="0.35">
      <c r="BA1318" s="824" t="s">
        <v>40</v>
      </c>
      <c r="BB1318" s="1225">
        <v>2022</v>
      </c>
      <c r="BC1318" s="824" t="s">
        <v>320</v>
      </c>
      <c r="BD1318" s="824">
        <v>3</v>
      </c>
      <c r="BE1318" s="1226">
        <v>6853796000</v>
      </c>
      <c r="BF1318" s="1227">
        <v>5.5866562680362809E-2</v>
      </c>
      <c r="BH1318" s="824" t="s">
        <v>165</v>
      </c>
      <c r="BI1318" s="824" t="s">
        <v>366</v>
      </c>
      <c r="BJ1318" s="824" t="s">
        <v>292</v>
      </c>
      <c r="BL1318" s="1226">
        <v>7912086501.079999</v>
      </c>
      <c r="BN1318" s="824">
        <v>2021</v>
      </c>
    </row>
    <row r="1319" spans="53:66" ht="15" customHeight="1" x14ac:dyDescent="0.35">
      <c r="BA1319" s="824" t="s">
        <v>40</v>
      </c>
      <c r="BB1319" s="1225">
        <v>2022</v>
      </c>
      <c r="BC1319" s="824" t="s">
        <v>315</v>
      </c>
      <c r="BD1319" s="824">
        <v>4</v>
      </c>
      <c r="BE1319" s="1226">
        <v>2392691000</v>
      </c>
      <c r="BF1319" s="1227">
        <v>1.9503268221907972E-2</v>
      </c>
      <c r="BH1319" s="824" t="s">
        <v>345</v>
      </c>
      <c r="BI1319" s="824" t="s">
        <v>366</v>
      </c>
      <c r="BJ1319" s="824" t="s">
        <v>360</v>
      </c>
      <c r="BK1319" s="824">
        <v>1</v>
      </c>
      <c r="BL1319" s="1235" t="s">
        <v>172</v>
      </c>
      <c r="BM1319" s="1227">
        <v>0.2659789091263593</v>
      </c>
      <c r="BN1319" s="824">
        <v>2021</v>
      </c>
    </row>
    <row r="1320" spans="53:66" ht="15" customHeight="1" x14ac:dyDescent="0.35">
      <c r="BA1320" s="824" t="s">
        <v>40</v>
      </c>
      <c r="BB1320" s="1225">
        <v>2022</v>
      </c>
      <c r="BC1320" s="824" t="s">
        <v>330</v>
      </c>
      <c r="BD1320" s="824">
        <v>5</v>
      </c>
      <c r="BE1320" s="1226">
        <v>1186056000</v>
      </c>
      <c r="BF1320" s="1227">
        <v>9.6677624875937933E-3</v>
      </c>
      <c r="BH1320" s="824" t="s">
        <v>345</v>
      </c>
      <c r="BI1320" s="824" t="s">
        <v>366</v>
      </c>
      <c r="BJ1320" s="824" t="s">
        <v>346</v>
      </c>
      <c r="BK1320" s="824">
        <v>2</v>
      </c>
      <c r="BL1320" s="1235" t="s">
        <v>172</v>
      </c>
      <c r="BM1320" s="1227">
        <v>0.23919176556882343</v>
      </c>
      <c r="BN1320" s="824">
        <v>2021</v>
      </c>
    </row>
    <row r="1321" spans="53:66" ht="15" customHeight="1" x14ac:dyDescent="0.35">
      <c r="BA1321" s="824" t="s">
        <v>40</v>
      </c>
      <c r="BB1321" s="1225">
        <v>2022</v>
      </c>
      <c r="BC1321" s="824" t="s">
        <v>291</v>
      </c>
      <c r="BE1321" s="1226">
        <v>1249252000</v>
      </c>
      <c r="BF1321" s="1227">
        <v>1.0182884807421844E-2</v>
      </c>
      <c r="BH1321" s="824" t="s">
        <v>345</v>
      </c>
      <c r="BI1321" s="824" t="s">
        <v>366</v>
      </c>
      <c r="BJ1321" s="824" t="s">
        <v>308</v>
      </c>
      <c r="BK1321" s="824">
        <v>3</v>
      </c>
      <c r="BL1321" s="1235" t="s">
        <v>172</v>
      </c>
      <c r="BM1321" s="1227">
        <v>0.21480162321087615</v>
      </c>
      <c r="BN1321" s="824">
        <v>2021</v>
      </c>
    </row>
    <row r="1322" spans="53:66" ht="15" customHeight="1" x14ac:dyDescent="0.35">
      <c r="BA1322" s="824" t="s">
        <v>40</v>
      </c>
      <c r="BB1322" s="1225">
        <v>2022</v>
      </c>
      <c r="BC1322" s="824" t="s">
        <v>292</v>
      </c>
      <c r="BE1322" s="1226">
        <v>122681541000</v>
      </c>
      <c r="BH1322" s="824" t="s">
        <v>345</v>
      </c>
      <c r="BI1322" s="824" t="s">
        <v>366</v>
      </c>
      <c r="BJ1322" s="824" t="s">
        <v>335</v>
      </c>
      <c r="BK1322" s="824">
        <v>4</v>
      </c>
      <c r="BL1322" s="1235" t="s">
        <v>172</v>
      </c>
      <c r="BM1322" s="1227">
        <v>0.10320753457772958</v>
      </c>
      <c r="BN1322" s="824">
        <v>2021</v>
      </c>
    </row>
    <row r="1323" spans="53:66" ht="15" customHeight="1" x14ac:dyDescent="0.35">
      <c r="BA1323" s="824" t="s">
        <v>48</v>
      </c>
      <c r="BB1323" s="1225">
        <v>2022</v>
      </c>
      <c r="BC1323" s="824" t="s">
        <v>281</v>
      </c>
      <c r="BD1323" s="824">
        <v>1</v>
      </c>
      <c r="BE1323" s="1226">
        <v>11814972210</v>
      </c>
      <c r="BF1323" s="1227">
        <v>0.97483283907107432</v>
      </c>
      <c r="BH1323" s="824" t="s">
        <v>345</v>
      </c>
      <c r="BI1323" s="824" t="s">
        <v>366</v>
      </c>
      <c r="BJ1323" s="824" t="s">
        <v>309</v>
      </c>
      <c r="BK1323" s="824">
        <v>5</v>
      </c>
      <c r="BL1323" s="1235" t="s">
        <v>172</v>
      </c>
      <c r="BM1323" s="1227">
        <v>5.8191219803038222E-2</v>
      </c>
      <c r="BN1323" s="824">
        <v>2021</v>
      </c>
    </row>
    <row r="1324" spans="53:66" ht="15" customHeight="1" x14ac:dyDescent="0.35">
      <c r="BA1324" s="824" t="s">
        <v>48</v>
      </c>
      <c r="BB1324" s="1225">
        <v>2022</v>
      </c>
      <c r="BC1324" s="824" t="s">
        <v>319</v>
      </c>
      <c r="BD1324" s="824">
        <v>2</v>
      </c>
      <c r="BE1324" s="1226">
        <v>145527837</v>
      </c>
      <c r="BF1324" s="1227">
        <v>1.2007249106054609E-2</v>
      </c>
      <c r="BH1324" s="824" t="s">
        <v>345</v>
      </c>
      <c r="BI1324" s="824" t="s">
        <v>366</v>
      </c>
      <c r="BJ1324" s="824" t="s">
        <v>322</v>
      </c>
      <c r="BK1324" s="824">
        <v>6</v>
      </c>
      <c r="BL1324" s="1235" t="s">
        <v>172</v>
      </c>
      <c r="BM1324" s="1227">
        <v>3.5137807493169082E-2</v>
      </c>
      <c r="BN1324" s="824">
        <v>2021</v>
      </c>
    </row>
    <row r="1325" spans="53:66" ht="15" customHeight="1" x14ac:dyDescent="0.35">
      <c r="BA1325" s="824" t="s">
        <v>48</v>
      </c>
      <c r="BB1325" s="1225">
        <v>2022</v>
      </c>
      <c r="BC1325" s="824" t="s">
        <v>320</v>
      </c>
      <c r="BD1325" s="824">
        <v>3</v>
      </c>
      <c r="BE1325" s="1226">
        <v>116842199</v>
      </c>
      <c r="BF1325" s="1227">
        <v>9.6404469303849032E-3</v>
      </c>
      <c r="BH1325" s="824" t="s">
        <v>345</v>
      </c>
      <c r="BI1325" s="824" t="s">
        <v>366</v>
      </c>
      <c r="BJ1325" s="824" t="s">
        <v>281</v>
      </c>
      <c r="BK1325" s="824">
        <v>7</v>
      </c>
      <c r="BL1325" s="1235" t="s">
        <v>172</v>
      </c>
      <c r="BM1325" s="1227">
        <v>3.2140486540446912E-2</v>
      </c>
      <c r="BN1325" s="824">
        <v>2021</v>
      </c>
    </row>
    <row r="1326" spans="53:66" ht="15" customHeight="1" x14ac:dyDescent="0.35">
      <c r="BA1326" s="824" t="s">
        <v>48</v>
      </c>
      <c r="BB1326" s="1225">
        <v>2022</v>
      </c>
      <c r="BC1326" s="824" t="s">
        <v>298</v>
      </c>
      <c r="BD1326" s="824">
        <v>4</v>
      </c>
      <c r="BE1326" s="1226">
        <v>34810962</v>
      </c>
      <c r="BF1326" s="1227">
        <v>2.8721920216226464E-3</v>
      </c>
      <c r="BH1326" s="824" t="s">
        <v>345</v>
      </c>
      <c r="BI1326" s="824" t="s">
        <v>366</v>
      </c>
      <c r="BJ1326" s="824" t="s">
        <v>315</v>
      </c>
      <c r="BK1326" s="824">
        <v>8</v>
      </c>
      <c r="BL1326" s="1235" t="s">
        <v>172</v>
      </c>
      <c r="BM1326" s="1227">
        <v>1.5952744584336345E-2</v>
      </c>
      <c r="BN1326" s="824">
        <v>2021</v>
      </c>
    </row>
    <row r="1327" spans="53:66" ht="15" customHeight="1" x14ac:dyDescent="0.35">
      <c r="BA1327" s="824" t="s">
        <v>48</v>
      </c>
      <c r="BB1327" s="1225">
        <v>2022</v>
      </c>
      <c r="BC1327" s="824" t="s">
        <v>315</v>
      </c>
      <c r="BD1327" s="824">
        <v>5</v>
      </c>
      <c r="BE1327" s="1226">
        <v>2905021</v>
      </c>
      <c r="BF1327" s="1227">
        <v>2.396882378271029E-4</v>
      </c>
      <c r="BH1327" s="824" t="s">
        <v>345</v>
      </c>
      <c r="BI1327" s="824" t="s">
        <v>366</v>
      </c>
      <c r="BJ1327" s="824" t="s">
        <v>285</v>
      </c>
      <c r="BK1327" s="824">
        <v>9</v>
      </c>
      <c r="BL1327" s="1235" t="s">
        <v>172</v>
      </c>
      <c r="BM1327" s="1227">
        <v>1.5943814420771984E-2</v>
      </c>
      <c r="BN1327" s="824">
        <v>2021</v>
      </c>
    </row>
    <row r="1328" spans="53:66" ht="15" customHeight="1" x14ac:dyDescent="0.35">
      <c r="BA1328" s="824" t="s">
        <v>48</v>
      </c>
      <c r="BB1328" s="1225">
        <v>2022</v>
      </c>
      <c r="BC1328" s="824" t="s">
        <v>291</v>
      </c>
      <c r="BE1328" s="1226">
        <v>4939925</v>
      </c>
      <c r="BF1328" s="1227">
        <v>4.0758463303640531E-4</v>
      </c>
      <c r="BH1328" s="824" t="s">
        <v>345</v>
      </c>
      <c r="BI1328" s="824" t="s">
        <v>366</v>
      </c>
      <c r="BJ1328" s="824" t="s">
        <v>287</v>
      </c>
      <c r="BK1328" s="824">
        <v>10</v>
      </c>
      <c r="BL1328" s="1235" t="s">
        <v>172</v>
      </c>
      <c r="BM1328" s="1227">
        <v>1.2135312329863979E-2</v>
      </c>
      <c r="BN1328" s="824">
        <v>2021</v>
      </c>
    </row>
    <row r="1329" spans="53:66" ht="15" customHeight="1" x14ac:dyDescent="0.35">
      <c r="BA1329" s="824" t="s">
        <v>48</v>
      </c>
      <c r="BB1329" s="1225">
        <v>2022</v>
      </c>
      <c r="BC1329" s="824" t="s">
        <v>292</v>
      </c>
      <c r="BE1329" s="1226">
        <v>12119998154</v>
      </c>
      <c r="BH1329" s="824" t="s">
        <v>345</v>
      </c>
      <c r="BI1329" s="824" t="s">
        <v>366</v>
      </c>
      <c r="BJ1329" s="824" t="s">
        <v>291</v>
      </c>
      <c r="BL1329" s="1235" t="s">
        <v>172</v>
      </c>
      <c r="BM1329" s="1227">
        <v>7.318782344585194E-3</v>
      </c>
      <c r="BN1329" s="824">
        <v>2021</v>
      </c>
    </row>
    <row r="1330" spans="53:66" ht="15" customHeight="1" x14ac:dyDescent="0.35">
      <c r="BA1330" s="824" t="s">
        <v>54</v>
      </c>
      <c r="BB1330" s="1225">
        <v>2022</v>
      </c>
      <c r="BC1330" s="824" t="s">
        <v>281</v>
      </c>
      <c r="BD1330" s="824">
        <v>1</v>
      </c>
      <c r="BE1330" s="1226">
        <v>839096506.14999998</v>
      </c>
      <c r="BF1330" s="1227">
        <v>0.38348119542691927</v>
      </c>
      <c r="BH1330" s="824" t="s">
        <v>345</v>
      </c>
      <c r="BI1330" s="824" t="s">
        <v>366</v>
      </c>
      <c r="BJ1330" s="824" t="s">
        <v>361</v>
      </c>
      <c r="BL1330" s="1235" t="s">
        <v>172</v>
      </c>
      <c r="BN1330" s="824">
        <v>2021</v>
      </c>
    </row>
    <row r="1331" spans="53:66" ht="15" customHeight="1" x14ac:dyDescent="0.35">
      <c r="BA1331" s="824" t="s">
        <v>54</v>
      </c>
      <c r="BB1331" s="1225">
        <v>2022</v>
      </c>
      <c r="BC1331" s="824" t="s">
        <v>285</v>
      </c>
      <c r="BD1331" s="824">
        <v>2</v>
      </c>
      <c r="BE1331" s="1226">
        <v>206419765.33000001</v>
      </c>
      <c r="BF1331" s="1227">
        <v>9.4337299450442433E-2</v>
      </c>
      <c r="BH1331" s="824" t="s">
        <v>32</v>
      </c>
      <c r="BI1331" s="824" t="s">
        <v>366</v>
      </c>
      <c r="BJ1331" s="824" t="s">
        <v>281</v>
      </c>
      <c r="BK1331" s="824">
        <v>1</v>
      </c>
      <c r="BL1331" s="1226">
        <v>8177085000</v>
      </c>
      <c r="BM1331" s="1227">
        <v>0.43641622584745232</v>
      </c>
      <c r="BN1331" s="824">
        <v>2021</v>
      </c>
    </row>
    <row r="1332" spans="53:66" ht="15" customHeight="1" x14ac:dyDescent="0.35">
      <c r="BA1332" s="824" t="s">
        <v>54</v>
      </c>
      <c r="BB1332" s="1225">
        <v>2022</v>
      </c>
      <c r="BC1332" s="824" t="s">
        <v>322</v>
      </c>
      <c r="BD1332" s="824">
        <v>3</v>
      </c>
      <c r="BE1332" s="1226">
        <v>176757343.94999999</v>
      </c>
      <c r="BF1332" s="1227">
        <v>8.078107471742467E-2</v>
      </c>
      <c r="BH1332" s="824" t="s">
        <v>32</v>
      </c>
      <c r="BI1332" s="824" t="s">
        <v>366</v>
      </c>
      <c r="BJ1332" s="824" t="s">
        <v>327</v>
      </c>
      <c r="BK1332" s="824">
        <v>2</v>
      </c>
      <c r="BL1332" s="1226">
        <v>4718926000</v>
      </c>
      <c r="BM1332" s="1227">
        <v>0.25185208114791696</v>
      </c>
      <c r="BN1332" s="824">
        <v>2021</v>
      </c>
    </row>
    <row r="1333" spans="53:66" ht="15" customHeight="1" x14ac:dyDescent="0.35">
      <c r="BA1333" s="824" t="s">
        <v>54</v>
      </c>
      <c r="BB1333" s="1225">
        <v>2022</v>
      </c>
      <c r="BC1333" s="824" t="s">
        <v>367</v>
      </c>
      <c r="BD1333" s="824">
        <v>4</v>
      </c>
      <c r="BE1333" s="1226">
        <v>164134243.13999996</v>
      </c>
      <c r="BF1333" s="1227">
        <v>7.5012105649940583E-2</v>
      </c>
      <c r="BH1333" s="824" t="s">
        <v>32</v>
      </c>
      <c r="BI1333" s="824" t="s">
        <v>366</v>
      </c>
      <c r="BJ1333" s="824" t="s">
        <v>287</v>
      </c>
      <c r="BK1333" s="824">
        <v>3</v>
      </c>
      <c r="BL1333" s="1226">
        <v>1802800000</v>
      </c>
      <c r="BM1333" s="1227">
        <v>9.6216582309929147E-2</v>
      </c>
      <c r="BN1333" s="824">
        <v>2021</v>
      </c>
    </row>
    <row r="1334" spans="53:66" ht="15" customHeight="1" x14ac:dyDescent="0.35">
      <c r="BA1334" s="824" t="s">
        <v>54</v>
      </c>
      <c r="BB1334" s="1225">
        <v>2022</v>
      </c>
      <c r="BC1334" s="824" t="s">
        <v>324</v>
      </c>
      <c r="BD1334" s="824">
        <v>5</v>
      </c>
      <c r="BE1334" s="1226">
        <v>125192129.88</v>
      </c>
      <c r="BF1334" s="1227">
        <v>5.721490588097182E-2</v>
      </c>
      <c r="BH1334" s="824" t="s">
        <v>32</v>
      </c>
      <c r="BI1334" s="824" t="s">
        <v>366</v>
      </c>
      <c r="BJ1334" s="824" t="s">
        <v>298</v>
      </c>
      <c r="BK1334" s="824">
        <v>4</v>
      </c>
      <c r="BL1334" s="1226">
        <v>1289054000</v>
      </c>
      <c r="BM1334" s="1227">
        <v>6.8797631624663527E-2</v>
      </c>
      <c r="BN1334" s="824">
        <v>2021</v>
      </c>
    </row>
    <row r="1335" spans="53:66" ht="15" customHeight="1" x14ac:dyDescent="0.35">
      <c r="BA1335" s="824" t="s">
        <v>54</v>
      </c>
      <c r="BB1335" s="1225">
        <v>2022</v>
      </c>
      <c r="BC1335" s="824" t="s">
        <v>314</v>
      </c>
      <c r="BD1335" s="824">
        <v>6</v>
      </c>
      <c r="BE1335" s="1226">
        <v>121000155.11</v>
      </c>
      <c r="BF1335" s="1227">
        <v>5.529910300941069E-2</v>
      </c>
      <c r="BH1335" s="824" t="s">
        <v>32</v>
      </c>
      <c r="BI1335" s="824" t="s">
        <v>366</v>
      </c>
      <c r="BJ1335" s="824" t="s">
        <v>306</v>
      </c>
      <c r="BK1335" s="824">
        <v>5</v>
      </c>
      <c r="BL1335" s="1226">
        <v>1216371000</v>
      </c>
      <c r="BM1335" s="1227">
        <v>6.4918493699196153E-2</v>
      </c>
      <c r="BN1335" s="824">
        <v>2021</v>
      </c>
    </row>
    <row r="1336" spans="53:66" ht="15" customHeight="1" x14ac:dyDescent="0.35">
      <c r="BA1336" s="824" t="s">
        <v>54</v>
      </c>
      <c r="BB1336" s="1225">
        <v>2022</v>
      </c>
      <c r="BC1336" s="824" t="s">
        <v>290</v>
      </c>
      <c r="BD1336" s="824">
        <v>7</v>
      </c>
      <c r="BE1336" s="1226">
        <v>118805217.33</v>
      </c>
      <c r="BF1336" s="1227">
        <v>5.4295979581303312E-2</v>
      </c>
      <c r="BH1336" s="824" t="s">
        <v>32</v>
      </c>
      <c r="BI1336" s="824" t="s">
        <v>366</v>
      </c>
      <c r="BJ1336" s="824" t="s">
        <v>323</v>
      </c>
      <c r="BK1336" s="824">
        <v>6</v>
      </c>
      <c r="BL1336" s="1226">
        <v>612109000</v>
      </c>
      <c r="BM1336" s="1227">
        <v>3.2668646539354571E-2</v>
      </c>
      <c r="BN1336" s="824">
        <v>2021</v>
      </c>
    </row>
    <row r="1337" spans="53:66" ht="15" customHeight="1" x14ac:dyDescent="0.35">
      <c r="BA1337" s="824" t="s">
        <v>54</v>
      </c>
      <c r="BB1337" s="1225">
        <v>2022</v>
      </c>
      <c r="BC1337" s="824" t="s">
        <v>312</v>
      </c>
      <c r="BD1337" s="824">
        <v>8</v>
      </c>
      <c r="BE1337" s="1226">
        <v>94253224.069999993</v>
      </c>
      <c r="BF1337" s="1227">
        <v>4.3075306325663074E-2</v>
      </c>
      <c r="BH1337" s="824" t="s">
        <v>32</v>
      </c>
      <c r="BI1337" s="824" t="s">
        <v>366</v>
      </c>
      <c r="BJ1337" s="824" t="s">
        <v>320</v>
      </c>
      <c r="BK1337" s="824">
        <v>7</v>
      </c>
      <c r="BL1337" s="1226">
        <v>577524000</v>
      </c>
      <c r="BM1337" s="1227">
        <v>3.0822823098490972E-2</v>
      </c>
      <c r="BN1337" s="824">
        <v>2021</v>
      </c>
    </row>
    <row r="1338" spans="53:66" ht="15" customHeight="1" x14ac:dyDescent="0.35">
      <c r="BA1338" s="824" t="s">
        <v>54</v>
      </c>
      <c r="BB1338" s="1225">
        <v>2022</v>
      </c>
      <c r="BC1338" s="824" t="s">
        <v>287</v>
      </c>
      <c r="BD1338" s="824">
        <v>9</v>
      </c>
      <c r="BE1338" s="1226">
        <v>82831244.87000002</v>
      </c>
      <c r="BF1338" s="1227">
        <v>3.78552700060572E-2</v>
      </c>
      <c r="BH1338" s="824" t="s">
        <v>32</v>
      </c>
      <c r="BI1338" s="824" t="s">
        <v>366</v>
      </c>
      <c r="BJ1338" s="824" t="s">
        <v>314</v>
      </c>
      <c r="BK1338" s="824">
        <v>8</v>
      </c>
      <c r="BL1338" s="1226">
        <v>196155000</v>
      </c>
      <c r="BM1338" s="1227">
        <v>1.0468917075107696E-2</v>
      </c>
      <c r="BN1338" s="824">
        <v>2021</v>
      </c>
    </row>
    <row r="1339" spans="53:66" ht="15" customHeight="1" x14ac:dyDescent="0.35">
      <c r="BA1339" s="824" t="s">
        <v>54</v>
      </c>
      <c r="BB1339" s="1225">
        <v>2022</v>
      </c>
      <c r="BC1339" s="824" t="s">
        <v>319</v>
      </c>
      <c r="BD1339" s="824">
        <v>10</v>
      </c>
      <c r="BE1339" s="1226">
        <v>78421496.159999996</v>
      </c>
      <c r="BF1339" s="1227">
        <v>3.5839940786534949E-2</v>
      </c>
      <c r="BH1339" s="824" t="s">
        <v>32</v>
      </c>
      <c r="BI1339" s="824" t="s">
        <v>366</v>
      </c>
      <c r="BJ1339" s="824" t="s">
        <v>335</v>
      </c>
      <c r="BK1339" s="824">
        <v>9</v>
      </c>
      <c r="BL1339" s="1226">
        <v>88920000</v>
      </c>
      <c r="BM1339" s="1227">
        <v>4.7457169397597627E-3</v>
      </c>
      <c r="BN1339" s="824">
        <v>2021</v>
      </c>
    </row>
    <row r="1340" spans="53:66" ht="15" customHeight="1" x14ac:dyDescent="0.35">
      <c r="BA1340" s="824" t="s">
        <v>54</v>
      </c>
      <c r="BB1340" s="1225">
        <v>2022</v>
      </c>
      <c r="BC1340" s="824" t="s">
        <v>291</v>
      </c>
      <c r="BE1340" s="1226">
        <v>181192070.35999966</v>
      </c>
      <c r="BF1340" s="1227">
        <v>8.2807819165332058E-2</v>
      </c>
      <c r="BH1340" s="824" t="s">
        <v>32</v>
      </c>
      <c r="BI1340" s="824" t="s">
        <v>366</v>
      </c>
      <c r="BJ1340" s="824" t="s">
        <v>299</v>
      </c>
      <c r="BK1340" s="824">
        <v>10</v>
      </c>
      <c r="BL1340" s="1226">
        <v>50881000</v>
      </c>
      <c r="BM1340" s="1227">
        <v>2.7155513226711256E-3</v>
      </c>
      <c r="BN1340" s="824">
        <v>2021</v>
      </c>
    </row>
    <row r="1341" spans="53:66" ht="15" customHeight="1" x14ac:dyDescent="0.35">
      <c r="BA1341" s="824" t="s">
        <v>54</v>
      </c>
      <c r="BB1341" s="1225">
        <v>2022</v>
      </c>
      <c r="BC1341" s="824" t="s">
        <v>292</v>
      </c>
      <c r="BE1341" s="1226">
        <v>2188103396.3499994</v>
      </c>
      <c r="BH1341" s="824" t="s">
        <v>32</v>
      </c>
      <c r="BI1341" s="824" t="s">
        <v>366</v>
      </c>
      <c r="BJ1341" s="824" t="s">
        <v>291</v>
      </c>
      <c r="BL1341" s="1226">
        <v>7070000</v>
      </c>
      <c r="BM1341" s="1227">
        <v>3.7733039545773193E-4</v>
      </c>
      <c r="BN1341" s="824">
        <v>2021</v>
      </c>
    </row>
    <row r="1342" spans="53:66" ht="15" customHeight="1" x14ac:dyDescent="0.35">
      <c r="BA1342" s="824" t="s">
        <v>71</v>
      </c>
      <c r="BB1342" s="1225">
        <v>2022</v>
      </c>
      <c r="BC1342" s="824" t="s">
        <v>308</v>
      </c>
      <c r="BD1342" s="824">
        <v>1</v>
      </c>
      <c r="BE1342" s="1235" t="s">
        <v>172</v>
      </c>
      <c r="BF1342" s="1227">
        <v>0.35774419681460157</v>
      </c>
      <c r="BH1342" s="824" t="s">
        <v>32</v>
      </c>
      <c r="BI1342" s="824" t="s">
        <v>366</v>
      </c>
      <c r="BJ1342" s="824" t="s">
        <v>292</v>
      </c>
      <c r="BL1342" s="1226">
        <v>18736895000</v>
      </c>
      <c r="BN1342" s="824">
        <v>2021</v>
      </c>
    </row>
    <row r="1343" spans="53:66" ht="15" customHeight="1" x14ac:dyDescent="0.35">
      <c r="BA1343" s="824" t="s">
        <v>71</v>
      </c>
      <c r="BB1343" s="1225">
        <v>2022</v>
      </c>
      <c r="BC1343" s="824" t="s">
        <v>320</v>
      </c>
      <c r="BD1343" s="824">
        <v>2</v>
      </c>
      <c r="BE1343" s="1235" t="s">
        <v>172</v>
      </c>
      <c r="BF1343" s="1227">
        <v>0.14642743799232405</v>
      </c>
      <c r="BH1343" s="824" t="s">
        <v>61</v>
      </c>
      <c r="BI1343" s="824" t="s">
        <v>366</v>
      </c>
      <c r="BJ1343" s="824" t="s">
        <v>281</v>
      </c>
      <c r="BK1343" s="824">
        <v>1</v>
      </c>
      <c r="BL1343" s="1235" t="s">
        <v>172</v>
      </c>
      <c r="BM1343" s="1227">
        <v>0.62878234851271919</v>
      </c>
      <c r="BN1343" s="824">
        <v>2021</v>
      </c>
    </row>
    <row r="1344" spans="53:66" ht="15" customHeight="1" x14ac:dyDescent="0.35">
      <c r="BA1344" s="824" t="s">
        <v>71</v>
      </c>
      <c r="BB1344" s="1225">
        <v>2022</v>
      </c>
      <c r="BC1344" s="824" t="s">
        <v>281</v>
      </c>
      <c r="BD1344" s="824">
        <v>3</v>
      </c>
      <c r="BE1344" s="1235" t="s">
        <v>172</v>
      </c>
      <c r="BF1344" s="1227">
        <v>0.13863611353927865</v>
      </c>
      <c r="BH1344" s="824" t="s">
        <v>61</v>
      </c>
      <c r="BI1344" s="824" t="s">
        <v>366</v>
      </c>
      <c r="BJ1344" s="824" t="s">
        <v>308</v>
      </c>
      <c r="BK1344" s="824">
        <v>2</v>
      </c>
      <c r="BL1344" s="1235" t="s">
        <v>172</v>
      </c>
      <c r="BM1344" s="1227">
        <v>0.17300849955203745</v>
      </c>
      <c r="BN1344" s="824">
        <v>2021</v>
      </c>
    </row>
    <row r="1345" spans="53:66" ht="15" customHeight="1" x14ac:dyDescent="0.35">
      <c r="BA1345" s="824" t="s">
        <v>71</v>
      </c>
      <c r="BB1345" s="1225">
        <v>2022</v>
      </c>
      <c r="BC1345" s="824" t="s">
        <v>306</v>
      </c>
      <c r="BD1345" s="824">
        <v>4</v>
      </c>
      <c r="BE1345" s="1235" t="s">
        <v>172</v>
      </c>
      <c r="BF1345" s="1227">
        <v>0.13565764410196288</v>
      </c>
      <c r="BH1345" s="824" t="s">
        <v>61</v>
      </c>
      <c r="BI1345" s="824" t="s">
        <v>366</v>
      </c>
      <c r="BJ1345" s="824" t="s">
        <v>360</v>
      </c>
      <c r="BK1345" s="824">
        <v>3</v>
      </c>
      <c r="BL1345" s="1235" t="s">
        <v>172</v>
      </c>
      <c r="BM1345" s="1227">
        <v>9.4081051542305172E-2</v>
      </c>
      <c r="BN1345" s="824">
        <v>2021</v>
      </c>
    </row>
    <row r="1346" spans="53:66" ht="15" customHeight="1" x14ac:dyDescent="0.35">
      <c r="BA1346" s="824" t="s">
        <v>71</v>
      </c>
      <c r="BB1346" s="1225">
        <v>2022</v>
      </c>
      <c r="BC1346" s="824" t="s">
        <v>315</v>
      </c>
      <c r="BD1346" s="824">
        <v>5</v>
      </c>
      <c r="BE1346" s="1235" t="s">
        <v>172</v>
      </c>
      <c r="BF1346" s="1227">
        <v>0.12252754767291808</v>
      </c>
      <c r="BH1346" s="824" t="s">
        <v>61</v>
      </c>
      <c r="BI1346" s="824" t="s">
        <v>366</v>
      </c>
      <c r="BJ1346" s="824" t="s">
        <v>310</v>
      </c>
      <c r="BK1346" s="824">
        <v>4</v>
      </c>
      <c r="BL1346" s="1235" t="s">
        <v>172</v>
      </c>
      <c r="BM1346" s="1227">
        <v>3.101292984350949E-2</v>
      </c>
      <c r="BN1346" s="824">
        <v>2021</v>
      </c>
    </row>
    <row r="1347" spans="53:66" ht="15" customHeight="1" x14ac:dyDescent="0.35">
      <c r="BA1347" s="824" t="s">
        <v>71</v>
      </c>
      <c r="BB1347" s="1225">
        <v>2022</v>
      </c>
      <c r="BC1347" s="824" t="s">
        <v>285</v>
      </c>
      <c r="BD1347" s="824">
        <v>6</v>
      </c>
      <c r="BE1347" s="1235" t="s">
        <v>172</v>
      </c>
      <c r="BF1347" s="1227">
        <v>2.4063617889030147E-2</v>
      </c>
      <c r="BH1347" s="824" t="s">
        <v>61</v>
      </c>
      <c r="BI1347" s="824" t="s">
        <v>366</v>
      </c>
      <c r="BJ1347" s="824" t="s">
        <v>312</v>
      </c>
      <c r="BK1347" s="824">
        <v>5</v>
      </c>
      <c r="BL1347" s="1235" t="s">
        <v>172</v>
      </c>
      <c r="BM1347" s="1227">
        <v>2.3659081041010607E-2</v>
      </c>
      <c r="BN1347" s="824">
        <v>2021</v>
      </c>
    </row>
    <row r="1348" spans="53:66" ht="15" customHeight="1" x14ac:dyDescent="0.35">
      <c r="BA1348" s="824" t="s">
        <v>71</v>
      </c>
      <c r="BB1348" s="1225">
        <v>2022</v>
      </c>
      <c r="BC1348" s="824" t="s">
        <v>323</v>
      </c>
      <c r="BD1348" s="824">
        <v>7</v>
      </c>
      <c r="BE1348" s="1235" t="s">
        <v>172</v>
      </c>
      <c r="BF1348" s="1227">
        <v>2.3008362749212127E-2</v>
      </c>
      <c r="BH1348" s="824" t="s">
        <v>61</v>
      </c>
      <c r="BI1348" s="824" t="s">
        <v>366</v>
      </c>
      <c r="BJ1348" s="824" t="s">
        <v>315</v>
      </c>
      <c r="BK1348" s="824">
        <v>6</v>
      </c>
      <c r="BL1348" s="1235" t="s">
        <v>172</v>
      </c>
      <c r="BM1348" s="1227">
        <v>1.2026528238807838E-2</v>
      </c>
      <c r="BN1348" s="824">
        <v>2021</v>
      </c>
    </row>
    <row r="1349" spans="53:66" ht="15" customHeight="1" x14ac:dyDescent="0.35">
      <c r="BA1349" s="824" t="s">
        <v>71</v>
      </c>
      <c r="BB1349" s="1225">
        <v>2022</v>
      </c>
      <c r="BC1349" s="824" t="s">
        <v>289</v>
      </c>
      <c r="BD1349" s="824">
        <v>8</v>
      </c>
      <c r="BE1349" s="1235" t="s">
        <v>172</v>
      </c>
      <c r="BF1349" s="1227">
        <v>1.8451029405328351E-2</v>
      </c>
      <c r="BH1349" s="824" t="s">
        <v>61</v>
      </c>
      <c r="BI1349" s="824" t="s">
        <v>366</v>
      </c>
      <c r="BJ1349" s="824" t="s">
        <v>305</v>
      </c>
      <c r="BK1349" s="824">
        <v>7</v>
      </c>
      <c r="BL1349" s="1235" t="s">
        <v>172</v>
      </c>
      <c r="BM1349" s="1227">
        <v>8.5157298283819287E-3</v>
      </c>
      <c r="BN1349" s="824">
        <v>2021</v>
      </c>
    </row>
    <row r="1350" spans="53:66" ht="15" customHeight="1" x14ac:dyDescent="0.35">
      <c r="BA1350" s="824" t="s">
        <v>71</v>
      </c>
      <c r="BB1350" s="1225">
        <v>2022</v>
      </c>
      <c r="BC1350" s="824" t="s">
        <v>287</v>
      </c>
      <c r="BD1350" s="824">
        <v>9</v>
      </c>
      <c r="BE1350" s="1235" t="s">
        <v>172</v>
      </c>
      <c r="BF1350" s="1227">
        <v>1.3713340767005483E-2</v>
      </c>
      <c r="BH1350" s="824" t="s">
        <v>61</v>
      </c>
      <c r="BI1350" s="824" t="s">
        <v>366</v>
      </c>
      <c r="BJ1350" s="824" t="s">
        <v>298</v>
      </c>
      <c r="BK1350" s="824">
        <v>8</v>
      </c>
      <c r="BL1350" s="1235" t="s">
        <v>172</v>
      </c>
      <c r="BM1350" s="1227">
        <v>8.1784891021427254E-3</v>
      </c>
      <c r="BN1350" s="824">
        <v>2021</v>
      </c>
    </row>
    <row r="1351" spans="53:66" ht="15" customHeight="1" x14ac:dyDescent="0.35">
      <c r="BA1351" s="824" t="s">
        <v>71</v>
      </c>
      <c r="BB1351" s="1225">
        <v>2022</v>
      </c>
      <c r="BC1351" s="824" t="s">
        <v>279</v>
      </c>
      <c r="BD1351" s="824">
        <v>10</v>
      </c>
      <c r="BE1351" s="1235" t="s">
        <v>172</v>
      </c>
      <c r="BF1351" s="1227">
        <v>5.4640341850017227E-3</v>
      </c>
      <c r="BH1351" s="824" t="s">
        <v>61</v>
      </c>
      <c r="BI1351" s="824" t="s">
        <v>366</v>
      </c>
      <c r="BJ1351" s="824" t="s">
        <v>352</v>
      </c>
      <c r="BK1351" s="824">
        <v>9</v>
      </c>
      <c r="BL1351" s="1235" t="s">
        <v>172</v>
      </c>
      <c r="BM1351" s="1227">
        <v>4.8627556672079433E-3</v>
      </c>
      <c r="BN1351" s="824">
        <v>2021</v>
      </c>
    </row>
    <row r="1352" spans="53:66" ht="15" customHeight="1" x14ac:dyDescent="0.35">
      <c r="BA1352" s="824" t="s">
        <v>71</v>
      </c>
      <c r="BB1352" s="1225">
        <v>2022</v>
      </c>
      <c r="BC1352" s="824" t="s">
        <v>291</v>
      </c>
      <c r="BE1352" s="1235" t="s">
        <v>172</v>
      </c>
      <c r="BF1352" s="1227">
        <v>1.4306674883337055E-2</v>
      </c>
      <c r="BH1352" s="824" t="s">
        <v>61</v>
      </c>
      <c r="BI1352" s="824" t="s">
        <v>366</v>
      </c>
      <c r="BJ1352" s="824" t="s">
        <v>306</v>
      </c>
      <c r="BK1352" s="824">
        <v>10</v>
      </c>
      <c r="BL1352" s="1235" t="s">
        <v>172</v>
      </c>
      <c r="BM1352" s="1227">
        <v>6.0227072936766216E-3</v>
      </c>
      <c r="BN1352" s="824">
        <v>2021</v>
      </c>
    </row>
    <row r="1353" spans="53:66" ht="15" customHeight="1" x14ac:dyDescent="0.35">
      <c r="BA1353" s="824" t="s">
        <v>71</v>
      </c>
      <c r="BB1353" s="1225">
        <v>2022</v>
      </c>
      <c r="BC1353" s="824" t="s">
        <v>292</v>
      </c>
      <c r="BE1353" s="1235" t="s">
        <v>172</v>
      </c>
      <c r="BH1353" s="824" t="s">
        <v>61</v>
      </c>
      <c r="BI1353" s="824" t="s">
        <v>366</v>
      </c>
      <c r="BJ1353" s="824" t="s">
        <v>291</v>
      </c>
      <c r="BL1353" s="1235" t="s">
        <v>172</v>
      </c>
      <c r="BM1353" s="1227">
        <v>9.8498793782008289E-3</v>
      </c>
      <c r="BN1353" s="824">
        <v>2021</v>
      </c>
    </row>
    <row r="1354" spans="53:66" ht="15" customHeight="1" x14ac:dyDescent="0.35">
      <c r="BA1354" s="824" t="s">
        <v>165</v>
      </c>
      <c r="BB1354" s="1225">
        <v>2023</v>
      </c>
      <c r="BC1354" s="824" t="s">
        <v>282</v>
      </c>
      <c r="BD1354" s="824">
        <v>1</v>
      </c>
      <c r="BE1354" s="1226">
        <v>1239261000</v>
      </c>
      <c r="BF1354" s="1227">
        <v>0.19872885222257627</v>
      </c>
      <c r="BH1354" s="824" t="s">
        <v>61</v>
      </c>
      <c r="BI1354" s="824" t="s">
        <v>366</v>
      </c>
      <c r="BJ1354" s="824" t="s">
        <v>292</v>
      </c>
      <c r="BL1354" s="1235" t="s">
        <v>172</v>
      </c>
      <c r="BN1354" s="824">
        <v>2021</v>
      </c>
    </row>
    <row r="1355" spans="53:66" ht="15" customHeight="1" x14ac:dyDescent="0.35">
      <c r="BA1355" s="824" t="s">
        <v>165</v>
      </c>
      <c r="BB1355" s="1225">
        <v>2023</v>
      </c>
      <c r="BC1355" s="824" t="s">
        <v>279</v>
      </c>
      <c r="BD1355" s="824">
        <v>2</v>
      </c>
      <c r="BE1355" s="1226">
        <v>1032479000</v>
      </c>
      <c r="BF1355" s="1227">
        <v>0.16556913080772598</v>
      </c>
      <c r="BH1355" s="824" t="s">
        <v>40</v>
      </c>
      <c r="BI1355" s="824" t="s">
        <v>366</v>
      </c>
      <c r="BJ1355" s="824" t="s">
        <v>281</v>
      </c>
      <c r="BK1355" s="824">
        <v>1</v>
      </c>
      <c r="BL1355" s="1226">
        <v>107071310000</v>
      </c>
      <c r="BM1355" s="1227">
        <v>0.81754320422834559</v>
      </c>
      <c r="BN1355" s="824">
        <v>2021</v>
      </c>
    </row>
    <row r="1356" spans="53:66" ht="15" customHeight="1" x14ac:dyDescent="0.35">
      <c r="BA1356" s="824" t="s">
        <v>165</v>
      </c>
      <c r="BB1356" s="1225">
        <v>2023</v>
      </c>
      <c r="BC1356" s="824" t="s">
        <v>283</v>
      </c>
      <c r="BD1356" s="824">
        <v>3</v>
      </c>
      <c r="BE1356" s="1226">
        <v>705755000</v>
      </c>
      <c r="BF1356" s="1227">
        <v>0.1131754175273363</v>
      </c>
      <c r="BH1356" s="824" t="s">
        <v>40</v>
      </c>
      <c r="BI1356" s="824" t="s">
        <v>366</v>
      </c>
      <c r="BJ1356" s="824" t="s">
        <v>308</v>
      </c>
      <c r="BK1356" s="824">
        <v>2</v>
      </c>
      <c r="BL1356" s="1226">
        <v>10231276000</v>
      </c>
      <c r="BM1356" s="1227">
        <v>7.8120928607155082E-2</v>
      </c>
      <c r="BN1356" s="824">
        <v>2021</v>
      </c>
    </row>
    <row r="1357" spans="53:66" ht="15" customHeight="1" x14ac:dyDescent="0.35">
      <c r="BA1357" s="824" t="s">
        <v>165</v>
      </c>
      <c r="BB1357" s="1225">
        <v>2023</v>
      </c>
      <c r="BC1357" s="824" t="s">
        <v>284</v>
      </c>
      <c r="BD1357" s="824">
        <v>4</v>
      </c>
      <c r="BE1357" s="1226">
        <v>563226000</v>
      </c>
      <c r="BF1357" s="1227">
        <v>9.0319356876326085E-2</v>
      </c>
      <c r="BH1357" s="824" t="s">
        <v>40</v>
      </c>
      <c r="BI1357" s="824" t="s">
        <v>366</v>
      </c>
      <c r="BJ1357" s="824" t="s">
        <v>320</v>
      </c>
      <c r="BK1357" s="824">
        <v>3</v>
      </c>
      <c r="BL1357" s="1226">
        <v>8073551000</v>
      </c>
      <c r="BM1357" s="1227">
        <v>6.1645615002197729E-2</v>
      </c>
      <c r="BN1357" s="824">
        <v>2021</v>
      </c>
    </row>
    <row r="1358" spans="53:66" ht="15" customHeight="1" x14ac:dyDescent="0.35">
      <c r="BA1358" s="824" t="s">
        <v>165</v>
      </c>
      <c r="BB1358" s="1225">
        <v>2023</v>
      </c>
      <c r="BC1358" s="824" t="s">
        <v>288</v>
      </c>
      <c r="BD1358" s="824">
        <v>5</v>
      </c>
      <c r="BE1358" s="1226">
        <v>524930000</v>
      </c>
      <c r="BF1358" s="1227">
        <v>8.417818070382023E-2</v>
      </c>
      <c r="BH1358" s="824" t="s">
        <v>40</v>
      </c>
      <c r="BI1358" s="824" t="s">
        <v>366</v>
      </c>
      <c r="BJ1358" s="824" t="s">
        <v>315</v>
      </c>
      <c r="BK1358" s="824">
        <v>4</v>
      </c>
      <c r="BL1358" s="1226">
        <v>2793255000</v>
      </c>
      <c r="BM1358" s="1227">
        <v>2.1327904206335454E-2</v>
      </c>
      <c r="BN1358" s="824">
        <v>2021</v>
      </c>
    </row>
    <row r="1359" spans="53:66" ht="15" customHeight="1" x14ac:dyDescent="0.35">
      <c r="BA1359" s="824" t="s">
        <v>165</v>
      </c>
      <c r="BB1359" s="1225">
        <v>2023</v>
      </c>
      <c r="BC1359" s="824" t="s">
        <v>627</v>
      </c>
      <c r="BD1359" s="824">
        <v>6</v>
      </c>
      <c r="BE1359" s="1226">
        <v>356734000</v>
      </c>
      <c r="BF1359" s="1227">
        <v>5.7206140085719247E-2</v>
      </c>
      <c r="BH1359" s="824" t="s">
        <v>40</v>
      </c>
      <c r="BI1359" s="824" t="s">
        <v>366</v>
      </c>
      <c r="BJ1359" s="824" t="s">
        <v>330</v>
      </c>
      <c r="BK1359" s="824">
        <v>5</v>
      </c>
      <c r="BL1359" s="1226">
        <v>1554278000</v>
      </c>
      <c r="BM1359" s="1227">
        <v>1.1867692815018555E-2</v>
      </c>
      <c r="BN1359" s="824">
        <v>2021</v>
      </c>
    </row>
    <row r="1360" spans="53:66" ht="15" customHeight="1" x14ac:dyDescent="0.35">
      <c r="BA1360" s="824" t="s">
        <v>165</v>
      </c>
      <c r="BB1360" s="1225">
        <v>2023</v>
      </c>
      <c r="BC1360" s="824" t="s">
        <v>304</v>
      </c>
      <c r="BD1360" s="824">
        <v>7</v>
      </c>
      <c r="BE1360" s="1226">
        <v>348154000</v>
      </c>
      <c r="BF1360" s="1227">
        <v>5.58302446512065E-2</v>
      </c>
      <c r="BH1360" s="824" t="s">
        <v>40</v>
      </c>
      <c r="BI1360" s="824" t="s">
        <v>366</v>
      </c>
      <c r="BJ1360" s="824" t="s">
        <v>291</v>
      </c>
      <c r="BL1360" s="1226">
        <v>1243488000</v>
      </c>
      <c r="BM1360" s="1227">
        <v>9.4946551409476262E-3</v>
      </c>
      <c r="BN1360" s="824">
        <v>2021</v>
      </c>
    </row>
    <row r="1361" spans="53:66" ht="15" customHeight="1" x14ac:dyDescent="0.35">
      <c r="BA1361" s="824" t="s">
        <v>165</v>
      </c>
      <c r="BB1361" s="1225">
        <v>2023</v>
      </c>
      <c r="BC1361" s="824" t="s">
        <v>296</v>
      </c>
      <c r="BD1361" s="824">
        <v>8</v>
      </c>
      <c r="BE1361" s="1226">
        <v>295891000</v>
      </c>
      <c r="BF1361" s="1227">
        <v>4.7449309558672721E-2</v>
      </c>
      <c r="BH1361" s="824" t="s">
        <v>40</v>
      </c>
      <c r="BI1361" s="824" t="s">
        <v>366</v>
      </c>
      <c r="BJ1361" s="824" t="s">
        <v>292</v>
      </c>
      <c r="BL1361" s="1226">
        <v>130967158000</v>
      </c>
      <c r="BN1361" s="824">
        <v>2021</v>
      </c>
    </row>
    <row r="1362" spans="53:66" ht="15" customHeight="1" x14ac:dyDescent="0.35">
      <c r="BA1362" s="824" t="s">
        <v>165</v>
      </c>
      <c r="BB1362" s="1225">
        <v>2023</v>
      </c>
      <c r="BC1362" s="824" t="s">
        <v>368</v>
      </c>
      <c r="BD1362" s="824">
        <v>9</v>
      </c>
      <c r="BE1362" s="1226">
        <v>247732000</v>
      </c>
      <c r="BF1362" s="1227">
        <v>3.9726495079570212E-2</v>
      </c>
      <c r="BH1362" s="824" t="s">
        <v>48</v>
      </c>
      <c r="BI1362" s="824" t="s">
        <v>366</v>
      </c>
      <c r="BJ1362" s="824" t="s">
        <v>281</v>
      </c>
      <c r="BK1362" s="824">
        <v>1</v>
      </c>
      <c r="BL1362" s="1226">
        <v>4742662086</v>
      </c>
      <c r="BM1362" s="1227">
        <v>0.96496436735346891</v>
      </c>
      <c r="BN1362" s="824">
        <v>2021</v>
      </c>
    </row>
    <row r="1363" spans="53:66" ht="15" customHeight="1" x14ac:dyDescent="0.35">
      <c r="BA1363" s="824" t="s">
        <v>165</v>
      </c>
      <c r="BB1363" s="1225">
        <v>2023</v>
      </c>
      <c r="BC1363" s="824" t="s">
        <v>287</v>
      </c>
      <c r="BD1363" s="824">
        <v>10</v>
      </c>
      <c r="BE1363" s="1226">
        <v>197688000</v>
      </c>
      <c r="BF1363" s="1227">
        <v>3.1701400542885359E-2</v>
      </c>
      <c r="BH1363" s="824" t="s">
        <v>48</v>
      </c>
      <c r="BI1363" s="824" t="s">
        <v>366</v>
      </c>
      <c r="BJ1363" s="824" t="s">
        <v>319</v>
      </c>
      <c r="BK1363" s="824">
        <v>2</v>
      </c>
      <c r="BL1363" s="1226">
        <v>84628122</v>
      </c>
      <c r="BM1363" s="1227">
        <v>1.7218836325511338E-2</v>
      </c>
      <c r="BN1363" s="824">
        <v>2021</v>
      </c>
    </row>
    <row r="1364" spans="53:66" ht="15" customHeight="1" x14ac:dyDescent="0.35">
      <c r="BA1364" s="824" t="s">
        <v>165</v>
      </c>
      <c r="BB1364" s="1225">
        <v>2023</v>
      </c>
      <c r="BC1364" s="824" t="s">
        <v>291</v>
      </c>
      <c r="BE1364" s="1226">
        <v>724089000</v>
      </c>
      <c r="BF1364" s="1227">
        <v>0.11611547194416109</v>
      </c>
      <c r="BH1364" s="824" t="s">
        <v>48</v>
      </c>
      <c r="BI1364" s="824" t="s">
        <v>366</v>
      </c>
      <c r="BJ1364" s="824" t="s">
        <v>320</v>
      </c>
      <c r="BK1364" s="824">
        <v>3</v>
      </c>
      <c r="BL1364" s="1226">
        <v>45464906</v>
      </c>
      <c r="BM1364" s="1227">
        <v>9.2505039278640549E-3</v>
      </c>
      <c r="BN1364" s="824">
        <v>2021</v>
      </c>
    </row>
    <row r="1365" spans="53:66" ht="15" customHeight="1" x14ac:dyDescent="0.35">
      <c r="BA1365" s="824" t="s">
        <v>165</v>
      </c>
      <c r="BB1365" s="1225">
        <v>2023</v>
      </c>
      <c r="BC1365" s="824" t="s">
        <v>292</v>
      </c>
      <c r="BE1365" s="1226">
        <v>6235939000</v>
      </c>
      <c r="BH1365" s="824" t="s">
        <v>48</v>
      </c>
      <c r="BI1365" s="824" t="s">
        <v>366</v>
      </c>
      <c r="BJ1365" s="824" t="s">
        <v>298</v>
      </c>
      <c r="BK1365" s="824">
        <v>4</v>
      </c>
      <c r="BL1365" s="1226">
        <v>36167848</v>
      </c>
      <c r="BM1365" s="1227">
        <v>7.3588807153013823E-3</v>
      </c>
      <c r="BN1365" s="824">
        <v>2021</v>
      </c>
    </row>
    <row r="1366" spans="53:66" ht="15" customHeight="1" x14ac:dyDescent="0.35">
      <c r="BA1366" s="824" t="s">
        <v>345</v>
      </c>
      <c r="BB1366" s="1225">
        <v>2023</v>
      </c>
      <c r="BC1366" s="824" t="s">
        <v>346</v>
      </c>
      <c r="BD1366" s="824">
        <v>1</v>
      </c>
      <c r="BE1366" s="1235" t="s">
        <v>172</v>
      </c>
      <c r="BF1366" s="1227">
        <v>0.29596078385230828</v>
      </c>
      <c r="BH1366" s="824" t="s">
        <v>48</v>
      </c>
      <c r="BI1366" s="824" t="s">
        <v>366</v>
      </c>
      <c r="BJ1366" s="824" t="s">
        <v>322</v>
      </c>
      <c r="BK1366" s="824">
        <v>5</v>
      </c>
      <c r="BL1366" s="1226">
        <v>1659969</v>
      </c>
      <c r="BM1366" s="1227">
        <v>3.377451116831203E-4</v>
      </c>
      <c r="BN1366" s="824">
        <v>2021</v>
      </c>
    </row>
    <row r="1367" spans="53:66" ht="15" customHeight="1" x14ac:dyDescent="0.35">
      <c r="BA1367" s="824" t="s">
        <v>345</v>
      </c>
      <c r="BB1367" s="1225">
        <v>2023</v>
      </c>
      <c r="BC1367" s="824" t="s">
        <v>360</v>
      </c>
      <c r="BD1367" s="824">
        <v>2</v>
      </c>
      <c r="BE1367" s="1235" t="s">
        <v>172</v>
      </c>
      <c r="BF1367" s="1227">
        <v>0.19429285905544016</v>
      </c>
      <c r="BH1367" s="824" t="s">
        <v>48</v>
      </c>
      <c r="BI1367" s="824" t="s">
        <v>366</v>
      </c>
      <c r="BJ1367" s="824" t="s">
        <v>291</v>
      </c>
      <c r="BL1367" s="1226">
        <v>4274287</v>
      </c>
      <c r="BM1367" s="1227">
        <v>8.6966656617124135E-4</v>
      </c>
      <c r="BN1367" s="824">
        <v>2021</v>
      </c>
    </row>
    <row r="1368" spans="53:66" ht="15" customHeight="1" x14ac:dyDescent="0.35">
      <c r="BA1368" s="824" t="s">
        <v>345</v>
      </c>
      <c r="BB1368" s="1225">
        <v>2023</v>
      </c>
      <c r="BC1368" s="824" t="s">
        <v>308</v>
      </c>
      <c r="BD1368" s="824">
        <v>3</v>
      </c>
      <c r="BE1368" s="1235" t="s">
        <v>172</v>
      </c>
      <c r="BF1368" s="1227">
        <v>0.14726278672538848</v>
      </c>
      <c r="BH1368" s="824" t="s">
        <v>48</v>
      </c>
      <c r="BI1368" s="824" t="s">
        <v>366</v>
      </c>
      <c r="BJ1368" s="824" t="s">
        <v>292</v>
      </c>
      <c r="BL1368" s="1226">
        <v>4914857218</v>
      </c>
      <c r="BN1368" s="824">
        <v>2021</v>
      </c>
    </row>
    <row r="1369" spans="53:66" ht="15" customHeight="1" x14ac:dyDescent="0.35">
      <c r="BA1369" s="824" t="s">
        <v>345</v>
      </c>
      <c r="BB1369" s="1225">
        <v>2023</v>
      </c>
      <c r="BC1369" s="824" t="s">
        <v>335</v>
      </c>
      <c r="BD1369" s="824">
        <v>4</v>
      </c>
      <c r="BE1369" s="1235" t="s">
        <v>172</v>
      </c>
      <c r="BF1369" s="1227">
        <v>0.11783673320171363</v>
      </c>
      <c r="BH1369" s="824" t="s">
        <v>54</v>
      </c>
      <c r="BI1369" s="824" t="s">
        <v>366</v>
      </c>
      <c r="BJ1369" s="824" t="s">
        <v>281</v>
      </c>
      <c r="BK1369" s="824">
        <v>1</v>
      </c>
      <c r="BL1369" s="1226">
        <v>896759061.66999984</v>
      </c>
      <c r="BM1369" s="1227">
        <v>0.42238336893062955</v>
      </c>
      <c r="BN1369" s="824">
        <v>2021</v>
      </c>
    </row>
    <row r="1370" spans="53:66" ht="15" customHeight="1" x14ac:dyDescent="0.35">
      <c r="BA1370" s="824" t="s">
        <v>345</v>
      </c>
      <c r="BB1370" s="1225">
        <v>2023</v>
      </c>
      <c r="BC1370" s="824" t="s">
        <v>281</v>
      </c>
      <c r="BD1370" s="824">
        <v>5</v>
      </c>
      <c r="BE1370" s="1235" t="s">
        <v>172</v>
      </c>
      <c r="BF1370" s="1227">
        <v>0.11171339904698359</v>
      </c>
      <c r="BH1370" s="824" t="s">
        <v>54</v>
      </c>
      <c r="BI1370" s="824" t="s">
        <v>366</v>
      </c>
      <c r="BJ1370" s="824" t="s">
        <v>290</v>
      </c>
      <c r="BK1370" s="824">
        <v>2</v>
      </c>
      <c r="BL1370" s="1226">
        <v>177821677.46000001</v>
      </c>
      <c r="BM1370" s="1227">
        <v>8.3755963451964621E-2</v>
      </c>
      <c r="BN1370" s="824">
        <v>2021</v>
      </c>
    </row>
    <row r="1371" spans="53:66" ht="15" customHeight="1" x14ac:dyDescent="0.35">
      <c r="BA1371" s="824" t="s">
        <v>345</v>
      </c>
      <c r="BB1371" s="1225">
        <v>2023</v>
      </c>
      <c r="BC1371" s="824" t="s">
        <v>352</v>
      </c>
      <c r="BD1371" s="824">
        <v>6</v>
      </c>
      <c r="BE1371" s="1235" t="s">
        <v>172</v>
      </c>
      <c r="BF1371" s="1227">
        <v>6.2458053854693919E-2</v>
      </c>
      <c r="BH1371" s="824" t="s">
        <v>54</v>
      </c>
      <c r="BI1371" s="824" t="s">
        <v>366</v>
      </c>
      <c r="BJ1371" s="824" t="s">
        <v>298</v>
      </c>
      <c r="BK1371" s="824">
        <v>3</v>
      </c>
      <c r="BL1371" s="1226">
        <v>153720581.83000001</v>
      </c>
      <c r="BM1371" s="1227">
        <v>7.2404082660081651E-2</v>
      </c>
      <c r="BN1371" s="824">
        <v>2021</v>
      </c>
    </row>
    <row r="1372" spans="53:66" ht="15" customHeight="1" x14ac:dyDescent="0.35">
      <c r="BA1372" s="824" t="s">
        <v>345</v>
      </c>
      <c r="BB1372" s="1225">
        <v>2023</v>
      </c>
      <c r="BC1372" s="824" t="s">
        <v>309</v>
      </c>
      <c r="BD1372" s="824">
        <v>7</v>
      </c>
      <c r="BE1372" s="1235" t="s">
        <v>172</v>
      </c>
      <c r="BF1372" s="1227">
        <v>4.9104893740899359E-2</v>
      </c>
      <c r="BH1372" s="824" t="s">
        <v>54</v>
      </c>
      <c r="BI1372" s="824" t="s">
        <v>366</v>
      </c>
      <c r="BJ1372" s="824" t="s">
        <v>285</v>
      </c>
      <c r="BK1372" s="824">
        <v>4</v>
      </c>
      <c r="BL1372" s="1226">
        <v>118852278.73</v>
      </c>
      <c r="BM1372" s="1227">
        <v>5.5980728872225501E-2</v>
      </c>
      <c r="BN1372" s="824">
        <v>2021</v>
      </c>
    </row>
    <row r="1373" spans="53:66" ht="15" customHeight="1" x14ac:dyDescent="0.35">
      <c r="BA1373" s="824" t="s">
        <v>345</v>
      </c>
      <c r="BB1373" s="1225">
        <v>2023</v>
      </c>
      <c r="BC1373" s="824" t="s">
        <v>315</v>
      </c>
      <c r="BD1373" s="824">
        <v>8</v>
      </c>
      <c r="BE1373" s="1235" t="s">
        <v>172</v>
      </c>
      <c r="BF1373" s="1227">
        <v>1.1126869897751532E-2</v>
      </c>
      <c r="BH1373" s="824" t="s">
        <v>54</v>
      </c>
      <c r="BI1373" s="824" t="s">
        <v>366</v>
      </c>
      <c r="BJ1373" s="824" t="s">
        <v>287</v>
      </c>
      <c r="BK1373" s="824">
        <v>5</v>
      </c>
      <c r="BL1373" s="1226">
        <v>113366868.61</v>
      </c>
      <c r="BM1373" s="1227">
        <v>5.3397040448562388E-2</v>
      </c>
      <c r="BN1373" s="824">
        <v>2021</v>
      </c>
    </row>
    <row r="1374" spans="53:66" ht="15" customHeight="1" x14ac:dyDescent="0.35">
      <c r="BA1374" s="824" t="s">
        <v>345</v>
      </c>
      <c r="BB1374" s="1225">
        <v>2023</v>
      </c>
      <c r="BC1374" s="824" t="s">
        <v>287</v>
      </c>
      <c r="BD1374" s="824">
        <v>9</v>
      </c>
      <c r="BE1374" s="1235" t="s">
        <v>172</v>
      </c>
      <c r="BF1374" s="1227">
        <v>1.0243620624821086E-2</v>
      </c>
      <c r="BH1374" s="824" t="s">
        <v>54</v>
      </c>
      <c r="BI1374" s="824" t="s">
        <v>366</v>
      </c>
      <c r="BJ1374" s="824" t="s">
        <v>322</v>
      </c>
      <c r="BK1374" s="824">
        <v>6</v>
      </c>
      <c r="BL1374" s="1226">
        <v>104063770.58</v>
      </c>
      <c r="BM1374" s="1227">
        <v>4.901517908204818E-2</v>
      </c>
      <c r="BN1374" s="824">
        <v>2021</v>
      </c>
    </row>
    <row r="1375" spans="53:66" ht="15" customHeight="1" x14ac:dyDescent="0.35">
      <c r="BA1375" s="824" t="s">
        <v>345</v>
      </c>
      <c r="BB1375" s="1225">
        <v>2023</v>
      </c>
      <c r="BC1375" s="824" t="s">
        <v>172</v>
      </c>
      <c r="BD1375" s="824">
        <v>10</v>
      </c>
      <c r="BE1375" s="1235" t="s">
        <v>172</v>
      </c>
      <c r="BF1375" s="1227">
        <v>0</v>
      </c>
      <c r="BH1375" s="824" t="s">
        <v>54</v>
      </c>
      <c r="BI1375" s="824" t="s">
        <v>366</v>
      </c>
      <c r="BJ1375" s="824" t="s">
        <v>314</v>
      </c>
      <c r="BK1375" s="824">
        <v>7</v>
      </c>
      <c r="BL1375" s="1226">
        <v>100583836.69000001</v>
      </c>
      <c r="BM1375" s="1227">
        <v>4.7376091992839639E-2</v>
      </c>
      <c r="BN1375" s="824">
        <v>2021</v>
      </c>
    </row>
    <row r="1376" spans="53:66" ht="15" customHeight="1" x14ac:dyDescent="0.35">
      <c r="BA1376" s="824" t="s">
        <v>345</v>
      </c>
      <c r="BB1376" s="1225">
        <v>2023</v>
      </c>
      <c r="BC1376" s="824" t="s">
        <v>291</v>
      </c>
      <c r="BE1376" s="1235" t="s">
        <v>172</v>
      </c>
      <c r="BF1376" s="1227">
        <v>0</v>
      </c>
      <c r="BH1376" s="824" t="s">
        <v>54</v>
      </c>
      <c r="BI1376" s="824" t="s">
        <v>366</v>
      </c>
      <c r="BJ1376" s="824" t="s">
        <v>315</v>
      </c>
      <c r="BK1376" s="824">
        <v>8</v>
      </c>
      <c r="BL1376" s="1226">
        <v>92098032.849999994</v>
      </c>
      <c r="BM1376" s="1227">
        <v>4.3379185167779132E-2</v>
      </c>
      <c r="BN1376" s="824">
        <v>2021</v>
      </c>
    </row>
    <row r="1377" spans="53:66" ht="15" customHeight="1" x14ac:dyDescent="0.35">
      <c r="BA1377" s="824" t="s">
        <v>345</v>
      </c>
      <c r="BB1377" s="1225">
        <v>2023</v>
      </c>
      <c r="BC1377" s="824" t="s">
        <v>361</v>
      </c>
      <c r="BE1377" s="1235" t="s">
        <v>172</v>
      </c>
      <c r="BH1377" s="824" t="s">
        <v>54</v>
      </c>
      <c r="BI1377" s="824" t="s">
        <v>366</v>
      </c>
      <c r="BJ1377" s="824" t="s">
        <v>324</v>
      </c>
      <c r="BK1377" s="824">
        <v>9</v>
      </c>
      <c r="BL1377" s="1226">
        <v>85645507.180000007</v>
      </c>
      <c r="BM1377" s="1227">
        <v>4.033997469631706E-2</v>
      </c>
      <c r="BN1377" s="824">
        <v>2021</v>
      </c>
    </row>
    <row r="1378" spans="53:66" ht="15" customHeight="1" x14ac:dyDescent="0.35">
      <c r="BA1378" s="824" t="s">
        <v>32</v>
      </c>
      <c r="BB1378" s="1225">
        <v>2023</v>
      </c>
      <c r="BC1378" s="824" t="s">
        <v>627</v>
      </c>
      <c r="BD1378" s="824">
        <v>1</v>
      </c>
      <c r="BE1378" s="1226">
        <v>6398747000</v>
      </c>
      <c r="BF1378" s="1227">
        <v>0.2812310928450909</v>
      </c>
      <c r="BH1378" s="824" t="s">
        <v>54</v>
      </c>
      <c r="BI1378" s="824" t="s">
        <v>366</v>
      </c>
      <c r="BJ1378" s="824" t="s">
        <v>312</v>
      </c>
      <c r="BK1378" s="824">
        <v>10</v>
      </c>
      <c r="BL1378" s="1226">
        <v>79521064.729999989</v>
      </c>
      <c r="BM1378" s="1227">
        <v>3.7455295025463943E-2</v>
      </c>
      <c r="BN1378" s="824">
        <v>2021</v>
      </c>
    </row>
    <row r="1379" spans="53:66" ht="15" customHeight="1" x14ac:dyDescent="0.35">
      <c r="BA1379" s="824" t="s">
        <v>32</v>
      </c>
      <c r="BB1379" s="1225">
        <v>2023</v>
      </c>
      <c r="BC1379" s="824" t="s">
        <v>628</v>
      </c>
      <c r="BD1379" s="824">
        <v>2</v>
      </c>
      <c r="BE1379" s="1226">
        <v>5483849000</v>
      </c>
      <c r="BF1379" s="1227">
        <v>0.24102044466947337</v>
      </c>
      <c r="BH1379" s="824" t="s">
        <v>54</v>
      </c>
      <c r="BI1379" s="824" t="s">
        <v>366</v>
      </c>
      <c r="BJ1379" s="824" t="s">
        <v>291</v>
      </c>
      <c r="BL1379" s="1226">
        <v>200660053.9800005</v>
      </c>
      <c r="BM1379" s="1227">
        <v>9.4513089672088449E-2</v>
      </c>
      <c r="BN1379" s="824">
        <v>2021</v>
      </c>
    </row>
    <row r="1380" spans="53:66" ht="15" customHeight="1" x14ac:dyDescent="0.35">
      <c r="BA1380" s="824" t="s">
        <v>32</v>
      </c>
      <c r="BB1380" s="1225">
        <v>2023</v>
      </c>
      <c r="BC1380" s="824" t="s">
        <v>287</v>
      </c>
      <c r="BD1380" s="824">
        <v>3</v>
      </c>
      <c r="BE1380" s="1226">
        <v>3314664000</v>
      </c>
      <c r="BF1380" s="1227">
        <v>0.14568267492593165</v>
      </c>
      <c r="BH1380" s="824" t="s">
        <v>54</v>
      </c>
      <c r="BI1380" s="824" t="s">
        <v>366</v>
      </c>
      <c r="BJ1380" s="824" t="s">
        <v>292</v>
      </c>
      <c r="BL1380" s="1226">
        <v>2123092734.3100002</v>
      </c>
      <c r="BN1380" s="824">
        <v>2021</v>
      </c>
    </row>
    <row r="1381" spans="53:66" ht="15" customHeight="1" x14ac:dyDescent="0.35">
      <c r="BA1381" s="824" t="s">
        <v>32</v>
      </c>
      <c r="BB1381" s="1225">
        <v>2023</v>
      </c>
      <c r="BC1381" s="824" t="s">
        <v>630</v>
      </c>
      <c r="BD1381" s="824">
        <v>4</v>
      </c>
      <c r="BE1381" s="1226">
        <v>2578813000</v>
      </c>
      <c r="BF1381" s="1227">
        <v>0.11334131482821985</v>
      </c>
      <c r="BH1381" s="824" t="s">
        <v>71</v>
      </c>
      <c r="BI1381" s="824" t="s">
        <v>366</v>
      </c>
      <c r="BJ1381" s="824" t="s">
        <v>308</v>
      </c>
      <c r="BK1381" s="824">
        <v>1</v>
      </c>
      <c r="BL1381" s="1235" t="s">
        <v>172</v>
      </c>
      <c r="BM1381" s="1227">
        <v>0.35048516559530557</v>
      </c>
      <c r="BN1381" s="824">
        <v>2021</v>
      </c>
    </row>
    <row r="1382" spans="53:66" ht="15" customHeight="1" x14ac:dyDescent="0.35">
      <c r="BA1382" s="824" t="s">
        <v>32</v>
      </c>
      <c r="BB1382" s="1225">
        <v>2023</v>
      </c>
      <c r="BC1382" s="824" t="s">
        <v>306</v>
      </c>
      <c r="BD1382" s="824">
        <v>5</v>
      </c>
      <c r="BE1382" s="1226">
        <v>2285380000</v>
      </c>
      <c r="BF1382" s="1227">
        <v>0.10044465189298996</v>
      </c>
      <c r="BH1382" s="824" t="s">
        <v>71</v>
      </c>
      <c r="BI1382" s="824" t="s">
        <v>366</v>
      </c>
      <c r="BJ1382" s="824" t="s">
        <v>281</v>
      </c>
      <c r="BK1382" s="824">
        <v>2</v>
      </c>
      <c r="BL1382" s="1235" t="s">
        <v>172</v>
      </c>
      <c r="BM1382" s="1227">
        <v>0.18072888293298475</v>
      </c>
      <c r="BN1382" s="824">
        <v>2021</v>
      </c>
    </row>
    <row r="1383" spans="53:66" ht="15" customHeight="1" x14ac:dyDescent="0.35">
      <c r="BA1383" s="824" t="s">
        <v>32</v>
      </c>
      <c r="BB1383" s="1225">
        <v>2023</v>
      </c>
      <c r="BC1383" s="824" t="s">
        <v>298</v>
      </c>
      <c r="BD1383" s="824">
        <v>6</v>
      </c>
      <c r="BE1383" s="1226">
        <v>1636350000</v>
      </c>
      <c r="BF1383" s="1227">
        <v>7.1919158356638327E-2</v>
      </c>
      <c r="BH1383" s="824" t="s">
        <v>71</v>
      </c>
      <c r="BI1383" s="824" t="s">
        <v>366</v>
      </c>
      <c r="BJ1383" s="824" t="s">
        <v>306</v>
      </c>
      <c r="BK1383" s="824">
        <v>3</v>
      </c>
      <c r="BL1383" s="1235" t="s">
        <v>172</v>
      </c>
      <c r="BM1383" s="1227">
        <v>0.1659980676374383</v>
      </c>
      <c r="BN1383" s="824">
        <v>2021</v>
      </c>
    </row>
    <row r="1384" spans="53:66" ht="15" customHeight="1" x14ac:dyDescent="0.35">
      <c r="BA1384" s="824" t="s">
        <v>32</v>
      </c>
      <c r="BB1384" s="1225">
        <v>2023</v>
      </c>
      <c r="BC1384" s="824" t="s">
        <v>320</v>
      </c>
      <c r="BD1384" s="824">
        <v>7</v>
      </c>
      <c r="BE1384" s="1226">
        <v>491670000</v>
      </c>
      <c r="BF1384" s="1227">
        <v>2.1609369993710617E-2</v>
      </c>
      <c r="BH1384" s="824" t="s">
        <v>71</v>
      </c>
      <c r="BI1384" s="824" t="s">
        <v>366</v>
      </c>
      <c r="BJ1384" s="824" t="s">
        <v>360</v>
      </c>
      <c r="BK1384" s="824">
        <v>4</v>
      </c>
      <c r="BL1384" s="1235" t="s">
        <v>172</v>
      </c>
      <c r="BM1384" s="1227">
        <v>0.11027930748490507</v>
      </c>
      <c r="BN1384" s="824">
        <v>2021</v>
      </c>
    </row>
    <row r="1385" spans="53:66" ht="15" customHeight="1" x14ac:dyDescent="0.35">
      <c r="BA1385" s="824" t="s">
        <v>32</v>
      </c>
      <c r="BB1385" s="1225">
        <v>2023</v>
      </c>
      <c r="BC1385" s="824" t="s">
        <v>629</v>
      </c>
      <c r="BD1385" s="824">
        <v>8</v>
      </c>
      <c r="BE1385" s="1226">
        <v>289073000</v>
      </c>
      <c r="BF1385" s="1227">
        <v>1.270503673641245E-2</v>
      </c>
      <c r="BH1385" s="824" t="s">
        <v>71</v>
      </c>
      <c r="BI1385" s="824" t="s">
        <v>366</v>
      </c>
      <c r="BJ1385" s="824" t="s">
        <v>315</v>
      </c>
      <c r="BK1385" s="824">
        <v>5</v>
      </c>
      <c r="BL1385" s="1235" t="s">
        <v>172</v>
      </c>
      <c r="BM1385" s="1227">
        <v>8.5277867924061362E-2</v>
      </c>
      <c r="BN1385" s="824">
        <v>2021</v>
      </c>
    </row>
    <row r="1386" spans="53:66" ht="15" customHeight="1" x14ac:dyDescent="0.35">
      <c r="BA1386" s="824" t="s">
        <v>32</v>
      </c>
      <c r="BB1386" s="1225">
        <v>2023</v>
      </c>
      <c r="BC1386" s="824" t="s">
        <v>323</v>
      </c>
      <c r="BD1386" s="824">
        <v>9</v>
      </c>
      <c r="BE1386" s="1226">
        <v>112037000</v>
      </c>
      <c r="BF1386" s="1227">
        <v>4.9241340451631303E-3</v>
      </c>
      <c r="BH1386" s="824" t="s">
        <v>71</v>
      </c>
      <c r="BI1386" s="824" t="s">
        <v>366</v>
      </c>
      <c r="BJ1386" s="824" t="s">
        <v>285</v>
      </c>
      <c r="BK1386" s="824">
        <v>6</v>
      </c>
      <c r="BL1386" s="1235" t="s">
        <v>172</v>
      </c>
      <c r="BM1386" s="1227">
        <v>3.0840785957273013E-2</v>
      </c>
      <c r="BN1386" s="824">
        <v>2021</v>
      </c>
    </row>
    <row r="1387" spans="53:66" ht="15" customHeight="1" x14ac:dyDescent="0.35">
      <c r="BA1387" s="824" t="s">
        <v>32</v>
      </c>
      <c r="BB1387" s="1225">
        <v>2023</v>
      </c>
      <c r="BC1387" s="824" t="s">
        <v>279</v>
      </c>
      <c r="BD1387" s="824">
        <v>10</v>
      </c>
      <c r="BE1387" s="1226">
        <v>88269000</v>
      </c>
      <c r="BF1387" s="1227">
        <v>3.8795075558298096E-3</v>
      </c>
      <c r="BH1387" s="824" t="s">
        <v>71</v>
      </c>
      <c r="BI1387" s="824" t="s">
        <v>366</v>
      </c>
      <c r="BJ1387" s="824" t="s">
        <v>323</v>
      </c>
      <c r="BK1387" s="824">
        <v>7</v>
      </c>
      <c r="BL1387" s="1235" t="s">
        <v>172</v>
      </c>
      <c r="BM1387" s="1227">
        <v>3.0398565105409552E-2</v>
      </c>
      <c r="BN1387" s="824">
        <v>2021</v>
      </c>
    </row>
    <row r="1388" spans="53:66" ht="15" customHeight="1" x14ac:dyDescent="0.35">
      <c r="BA1388" s="824" t="s">
        <v>32</v>
      </c>
      <c r="BB1388" s="1225">
        <v>2023</v>
      </c>
      <c r="BC1388" s="824" t="s">
        <v>291</v>
      </c>
      <c r="BE1388" s="1226">
        <v>73778000</v>
      </c>
      <c r="BF1388" s="1227">
        <v>3.2426141505399594E-3</v>
      </c>
      <c r="BH1388" s="824" t="s">
        <v>71</v>
      </c>
      <c r="BI1388" s="824" t="s">
        <v>366</v>
      </c>
      <c r="BJ1388" s="824" t="s">
        <v>289</v>
      </c>
      <c r="BK1388" s="824">
        <v>8</v>
      </c>
      <c r="BL1388" s="1235" t="s">
        <v>172</v>
      </c>
      <c r="BM1388" s="1227">
        <v>1.5184021841316044E-2</v>
      </c>
      <c r="BN1388" s="824">
        <v>2021</v>
      </c>
    </row>
    <row r="1389" spans="53:66" ht="15" customHeight="1" x14ac:dyDescent="0.35">
      <c r="BA1389" s="824" t="s">
        <v>32</v>
      </c>
      <c r="BB1389" s="1225">
        <v>2023</v>
      </c>
      <c r="BC1389" s="824" t="s">
        <v>292</v>
      </c>
      <c r="BE1389" s="1226">
        <v>22752630000</v>
      </c>
      <c r="BH1389" s="824" t="s">
        <v>71</v>
      </c>
      <c r="BI1389" s="824" t="s">
        <v>366</v>
      </c>
      <c r="BJ1389" s="824" t="s">
        <v>362</v>
      </c>
      <c r="BK1389" s="824">
        <v>9</v>
      </c>
      <c r="BL1389" s="1235" t="s">
        <v>172</v>
      </c>
      <c r="BM1389" s="1227">
        <v>9.8598629785457068E-3</v>
      </c>
      <c r="BN1389" s="824">
        <v>2021</v>
      </c>
    </row>
    <row r="1390" spans="53:66" ht="15" customHeight="1" x14ac:dyDescent="0.35">
      <c r="BA1390" s="824" t="s">
        <v>40</v>
      </c>
      <c r="BB1390" s="1225">
        <v>2023</v>
      </c>
      <c r="BC1390" s="824" t="s">
        <v>281</v>
      </c>
      <c r="BD1390" s="824">
        <v>1</v>
      </c>
      <c r="BE1390" s="1226">
        <v>114249204000</v>
      </c>
      <c r="BF1390" s="1227">
        <v>0.84939165476735634</v>
      </c>
      <c r="BH1390" s="824" t="s">
        <v>71</v>
      </c>
      <c r="BI1390" s="824" t="s">
        <v>366</v>
      </c>
      <c r="BJ1390" s="824" t="s">
        <v>287</v>
      </c>
      <c r="BK1390" s="824">
        <v>10</v>
      </c>
      <c r="BL1390" s="1235" t="s">
        <v>172</v>
      </c>
      <c r="BM1390" s="1227">
        <v>6.6579316662084467E-3</v>
      </c>
      <c r="BN1390" s="824">
        <v>2021</v>
      </c>
    </row>
    <row r="1391" spans="53:66" ht="15" customHeight="1" x14ac:dyDescent="0.35">
      <c r="BA1391" s="824" t="s">
        <v>40</v>
      </c>
      <c r="BB1391" s="1225">
        <v>2023</v>
      </c>
      <c r="BC1391" s="824" t="s">
        <v>308</v>
      </c>
      <c r="BD1391" s="824">
        <v>2</v>
      </c>
      <c r="BE1391" s="1226">
        <v>7962367000</v>
      </c>
      <c r="BF1391" s="1227">
        <v>5.9196631969488302E-2</v>
      </c>
      <c r="BH1391" s="824" t="s">
        <v>71</v>
      </c>
      <c r="BI1391" s="824" t="s">
        <v>366</v>
      </c>
      <c r="BJ1391" s="824" t="s">
        <v>291</v>
      </c>
      <c r="BL1391" s="1235" t="s">
        <v>172</v>
      </c>
      <c r="BM1391" s="1227">
        <v>1.4289540876552253E-2</v>
      </c>
      <c r="BN1391" s="824">
        <v>2021</v>
      </c>
    </row>
    <row r="1392" spans="53:66" ht="15" customHeight="1" x14ac:dyDescent="0.35">
      <c r="BA1392" s="824" t="s">
        <v>40</v>
      </c>
      <c r="BB1392" s="1225">
        <v>2023</v>
      </c>
      <c r="BC1392" s="824" t="s">
        <v>320</v>
      </c>
      <c r="BD1392" s="824">
        <v>3</v>
      </c>
      <c r="BE1392" s="1226">
        <v>7224173000</v>
      </c>
      <c r="BF1392" s="1227">
        <v>5.3708490247298853E-2</v>
      </c>
      <c r="BH1392" s="824" t="s">
        <v>71</v>
      </c>
      <c r="BI1392" s="824" t="s">
        <v>366</v>
      </c>
      <c r="BJ1392" s="824" t="s">
        <v>292</v>
      </c>
      <c r="BL1392" s="1235" t="s">
        <v>172</v>
      </c>
      <c r="BN1392" s="824">
        <v>2021</v>
      </c>
    </row>
    <row r="1393" spans="53:66" ht="15" customHeight="1" x14ac:dyDescent="0.35">
      <c r="BA1393" s="824" t="s">
        <v>40</v>
      </c>
      <c r="BB1393" s="1225">
        <v>2023</v>
      </c>
      <c r="BC1393" s="824" t="s">
        <v>315</v>
      </c>
      <c r="BD1393" s="824">
        <v>4</v>
      </c>
      <c r="BE1393" s="1226">
        <v>2117179000</v>
      </c>
      <c r="BF1393" s="1227">
        <v>1.5740277492425212E-2</v>
      </c>
      <c r="BH1393" s="824" t="s">
        <v>48</v>
      </c>
      <c r="BI1393" s="824" t="s">
        <v>369</v>
      </c>
      <c r="BJ1393" s="824" t="s">
        <v>281</v>
      </c>
      <c r="BK1393" s="824">
        <v>1</v>
      </c>
      <c r="BL1393" s="1226">
        <v>19760865482</v>
      </c>
      <c r="BM1393" s="1227">
        <v>0.98595435223441252</v>
      </c>
      <c r="BN1393" s="824">
        <v>2022</v>
      </c>
    </row>
    <row r="1394" spans="53:66" ht="15" customHeight="1" x14ac:dyDescent="0.35">
      <c r="BA1394" s="824" t="s">
        <v>40</v>
      </c>
      <c r="BB1394" s="1225">
        <v>2023</v>
      </c>
      <c r="BC1394" s="824" t="s">
        <v>330</v>
      </c>
      <c r="BD1394" s="824">
        <v>5</v>
      </c>
      <c r="BE1394" s="1226">
        <v>1222001000</v>
      </c>
      <c r="BF1394" s="1227">
        <v>9.0850300499018283E-3</v>
      </c>
      <c r="BH1394" s="824" t="s">
        <v>48</v>
      </c>
      <c r="BI1394" s="824" t="s">
        <v>369</v>
      </c>
      <c r="BJ1394" s="824" t="s">
        <v>319</v>
      </c>
      <c r="BK1394" s="824">
        <v>2</v>
      </c>
      <c r="BL1394" s="1226">
        <v>168508006</v>
      </c>
      <c r="BM1394" s="1227">
        <v>8.4075873120728981E-3</v>
      </c>
      <c r="BN1394" s="824">
        <v>2022</v>
      </c>
    </row>
    <row r="1395" spans="53:66" ht="15" customHeight="1" x14ac:dyDescent="0.35">
      <c r="BA1395" s="824" t="s">
        <v>40</v>
      </c>
      <c r="BB1395" s="1225">
        <v>2023</v>
      </c>
      <c r="BC1395" s="824" t="s">
        <v>291</v>
      </c>
      <c r="BE1395" s="1226">
        <v>1732171000</v>
      </c>
      <c r="BF1395" s="1227">
        <v>1.2877915473529481E-2</v>
      </c>
      <c r="BH1395" s="824" t="s">
        <v>48</v>
      </c>
      <c r="BI1395" s="824" t="s">
        <v>369</v>
      </c>
      <c r="BJ1395" s="824" t="s">
        <v>320</v>
      </c>
      <c r="BK1395" s="824">
        <v>3</v>
      </c>
      <c r="BL1395" s="1226">
        <v>89970699</v>
      </c>
      <c r="BM1395" s="1227">
        <v>4.4890241438779463E-3</v>
      </c>
      <c r="BN1395" s="824">
        <v>2022</v>
      </c>
    </row>
    <row r="1396" spans="53:66" ht="15" customHeight="1" x14ac:dyDescent="0.35">
      <c r="BA1396" s="824" t="s">
        <v>40</v>
      </c>
      <c r="BB1396" s="1225">
        <v>2023</v>
      </c>
      <c r="BC1396" s="824" t="s">
        <v>292</v>
      </c>
      <c r="BE1396" s="1226">
        <v>134507095000</v>
      </c>
      <c r="BH1396" s="824" t="s">
        <v>48</v>
      </c>
      <c r="BI1396" s="824" t="s">
        <v>369</v>
      </c>
      <c r="BJ1396" s="824" t="s">
        <v>298</v>
      </c>
      <c r="BK1396" s="824">
        <v>4</v>
      </c>
      <c r="BL1396" s="1226">
        <v>14780700</v>
      </c>
      <c r="BM1396" s="1227">
        <v>7.3747253162295386E-4</v>
      </c>
      <c r="BN1396" s="824">
        <v>2022</v>
      </c>
    </row>
    <row r="1397" spans="53:66" ht="15" customHeight="1" x14ac:dyDescent="0.35">
      <c r="BA1397" s="824" t="s">
        <v>48</v>
      </c>
      <c r="BB1397" s="1225">
        <v>2023</v>
      </c>
      <c r="BC1397" s="824" t="s">
        <v>281</v>
      </c>
      <c r="BD1397" s="824">
        <v>1</v>
      </c>
      <c r="BE1397" s="1226">
        <v>18171358116</v>
      </c>
      <c r="BF1397" s="1227">
        <v>0.98880799457497659</v>
      </c>
      <c r="BH1397" s="824" t="s">
        <v>48</v>
      </c>
      <c r="BI1397" s="824" t="s">
        <v>369</v>
      </c>
      <c r="BJ1397" s="824" t="s">
        <v>308</v>
      </c>
      <c r="BK1397" s="824">
        <v>5</v>
      </c>
      <c r="BL1397" s="1226">
        <v>3233465</v>
      </c>
      <c r="BM1397" s="1227">
        <v>1.6133144028795756E-4</v>
      </c>
      <c r="BN1397" s="824">
        <v>2022</v>
      </c>
    </row>
    <row r="1398" spans="53:66" ht="15" customHeight="1" x14ac:dyDescent="0.35">
      <c r="BA1398" s="824" t="s">
        <v>48</v>
      </c>
      <c r="BB1398" s="1225">
        <v>2023</v>
      </c>
      <c r="BC1398" s="824" t="s">
        <v>319</v>
      </c>
      <c r="BD1398" s="824">
        <v>2</v>
      </c>
      <c r="BE1398" s="1226">
        <v>130344082</v>
      </c>
      <c r="BF1398" s="1227">
        <v>7.0927703644589985E-3</v>
      </c>
      <c r="BH1398" s="824" t="s">
        <v>48</v>
      </c>
      <c r="BI1398" s="824" t="s">
        <v>369</v>
      </c>
      <c r="BJ1398" s="824" t="s">
        <v>291</v>
      </c>
      <c r="BL1398" s="1226">
        <v>5015250</v>
      </c>
      <c r="BM1398" s="1227">
        <v>2.5023233772568409E-4</v>
      </c>
      <c r="BN1398" s="824">
        <v>2022</v>
      </c>
    </row>
    <row r="1399" spans="53:66" ht="15" customHeight="1" x14ac:dyDescent="0.35">
      <c r="BA1399" s="824" t="s">
        <v>48</v>
      </c>
      <c r="BB1399" s="1225">
        <v>2023</v>
      </c>
      <c r="BC1399" s="824" t="s">
        <v>320</v>
      </c>
      <c r="BD1399" s="824">
        <v>3</v>
      </c>
      <c r="BE1399" s="1226">
        <v>51562701</v>
      </c>
      <c r="BF1399" s="1227">
        <v>2.8058228034032288E-3</v>
      </c>
      <c r="BH1399" s="824" t="s">
        <v>48</v>
      </c>
      <c r="BI1399" s="824" t="s">
        <v>369</v>
      </c>
      <c r="BJ1399" s="824" t="s">
        <v>292</v>
      </c>
      <c r="BL1399" s="1226">
        <v>20042373602</v>
      </c>
      <c r="BN1399" s="824">
        <v>2022</v>
      </c>
    </row>
    <row r="1400" spans="53:66" ht="15" customHeight="1" x14ac:dyDescent="0.35">
      <c r="BA1400" s="824" t="s">
        <v>48</v>
      </c>
      <c r="BB1400" s="1225">
        <v>2023</v>
      </c>
      <c r="BC1400" s="824" t="s">
        <v>298</v>
      </c>
      <c r="BD1400" s="824">
        <v>4</v>
      </c>
      <c r="BE1400" s="1226">
        <v>18325635</v>
      </c>
      <c r="BF1400" s="1227">
        <v>9.972030861968293E-4</v>
      </c>
      <c r="BH1400" s="824" t="s">
        <v>40</v>
      </c>
      <c r="BI1400" s="824" t="s">
        <v>369</v>
      </c>
      <c r="BJ1400" s="824" t="s">
        <v>281</v>
      </c>
      <c r="BK1400" s="824">
        <v>1</v>
      </c>
      <c r="BL1400" s="1226">
        <v>103430275000</v>
      </c>
      <c r="BM1400" s="1227">
        <v>0.84412863777832137</v>
      </c>
      <c r="BN1400" s="824">
        <v>2022</v>
      </c>
    </row>
    <row r="1401" spans="53:66" ht="15" customHeight="1" x14ac:dyDescent="0.35">
      <c r="BA1401" s="824" t="s">
        <v>48</v>
      </c>
      <c r="BB1401" s="1225">
        <v>2023</v>
      </c>
      <c r="BC1401" s="824" t="s">
        <v>308</v>
      </c>
      <c r="BD1401" s="824">
        <v>5</v>
      </c>
      <c r="BE1401" s="1226">
        <v>2708553</v>
      </c>
      <c r="BF1401" s="1227">
        <v>1.4738793011689257E-4</v>
      </c>
      <c r="BH1401" s="824" t="s">
        <v>40</v>
      </c>
      <c r="BI1401" s="824" t="s">
        <v>369</v>
      </c>
      <c r="BJ1401" s="824" t="s">
        <v>308</v>
      </c>
      <c r="BK1401" s="824">
        <v>2</v>
      </c>
      <c r="BL1401" s="1226">
        <v>8039059000</v>
      </c>
      <c r="BM1401" s="1227">
        <v>6.5609415837766596E-2</v>
      </c>
      <c r="BN1401" s="824">
        <v>2022</v>
      </c>
    </row>
    <row r="1402" spans="53:66" ht="15" customHeight="1" x14ac:dyDescent="0.35">
      <c r="BA1402" s="824" t="s">
        <v>48</v>
      </c>
      <c r="BB1402" s="1225">
        <v>2023</v>
      </c>
      <c r="BC1402" s="824" t="s">
        <v>291</v>
      </c>
      <c r="BE1402" s="1226">
        <v>2734893</v>
      </c>
      <c r="BF1402" s="1227">
        <v>1.4882124084748523E-4</v>
      </c>
      <c r="BH1402" s="824" t="s">
        <v>40</v>
      </c>
      <c r="BI1402" s="824" t="s">
        <v>369</v>
      </c>
      <c r="BJ1402" s="824" t="s">
        <v>320</v>
      </c>
      <c r="BK1402" s="824">
        <v>3</v>
      </c>
      <c r="BL1402" s="1226">
        <v>6772530000</v>
      </c>
      <c r="BM1402" s="1227">
        <v>5.5272854328317453E-2</v>
      </c>
      <c r="BN1402" s="824">
        <v>2022</v>
      </c>
    </row>
    <row r="1403" spans="53:66" ht="15" customHeight="1" x14ac:dyDescent="0.35">
      <c r="BA1403" s="824" t="s">
        <v>48</v>
      </c>
      <c r="BB1403" s="1225">
        <v>2023</v>
      </c>
      <c r="BC1403" s="824" t="s">
        <v>292</v>
      </c>
      <c r="BE1403" s="1226">
        <v>18377033980</v>
      </c>
      <c r="BH1403" s="824" t="s">
        <v>40</v>
      </c>
      <c r="BI1403" s="824" t="s">
        <v>369</v>
      </c>
      <c r="BJ1403" s="824" t="s">
        <v>315</v>
      </c>
      <c r="BK1403" s="824">
        <v>4</v>
      </c>
      <c r="BL1403" s="1226">
        <v>1974484000</v>
      </c>
      <c r="BM1403" s="1227">
        <v>1.6114416105295001E-2</v>
      </c>
      <c r="BN1403" s="824">
        <v>2022</v>
      </c>
    </row>
    <row r="1404" spans="53:66" ht="15" customHeight="1" x14ac:dyDescent="0.35">
      <c r="BA1404" s="824" t="s">
        <v>54</v>
      </c>
      <c r="BB1404" s="1225">
        <v>2023</v>
      </c>
      <c r="BC1404" s="824" t="s">
        <v>281</v>
      </c>
      <c r="BD1404" s="824">
        <v>1</v>
      </c>
      <c r="BE1404" s="1226">
        <v>695288422.24000013</v>
      </c>
      <c r="BF1404" s="1227">
        <v>0.39732111297062289</v>
      </c>
      <c r="BH1404" s="824" t="s">
        <v>40</v>
      </c>
      <c r="BI1404" s="824" t="s">
        <v>369</v>
      </c>
      <c r="BJ1404" s="824" t="s">
        <v>289</v>
      </c>
      <c r="BK1404" s="824">
        <v>5</v>
      </c>
      <c r="BL1404" s="1226">
        <v>1005022000</v>
      </c>
      <c r="BM1404" s="1227">
        <v>8.202316505464614E-3</v>
      </c>
      <c r="BN1404" s="824">
        <v>2022</v>
      </c>
    </row>
    <row r="1405" spans="53:66" ht="15" customHeight="1" x14ac:dyDescent="0.35">
      <c r="BA1405" s="824" t="s">
        <v>54</v>
      </c>
      <c r="BB1405" s="1225">
        <v>2023</v>
      </c>
      <c r="BC1405" s="824" t="s">
        <v>285</v>
      </c>
      <c r="BD1405" s="824">
        <v>2</v>
      </c>
      <c r="BE1405" s="1226">
        <v>150260509.50999999</v>
      </c>
      <c r="BF1405" s="1227">
        <v>8.5866053517339017E-2</v>
      </c>
      <c r="BH1405" s="824" t="s">
        <v>40</v>
      </c>
      <c r="BI1405" s="824" t="s">
        <v>369</v>
      </c>
      <c r="BJ1405" s="824" t="s">
        <v>291</v>
      </c>
      <c r="BL1405" s="1226">
        <v>1307674000</v>
      </c>
      <c r="BM1405" s="1227">
        <v>1.0672359444834974E-2</v>
      </c>
      <c r="BN1405" s="824">
        <v>2022</v>
      </c>
    </row>
    <row r="1406" spans="53:66" ht="15" customHeight="1" x14ac:dyDescent="0.35">
      <c r="BA1406" s="824" t="s">
        <v>54</v>
      </c>
      <c r="BB1406" s="1225">
        <v>2023</v>
      </c>
      <c r="BC1406" s="824" t="s">
        <v>367</v>
      </c>
      <c r="BD1406" s="824">
        <v>3</v>
      </c>
      <c r="BE1406" s="1226">
        <v>122750216.63999999</v>
      </c>
      <c r="BF1406" s="1227">
        <v>7.0145354262716272E-2</v>
      </c>
      <c r="BH1406" s="824" t="s">
        <v>40</v>
      </c>
      <c r="BI1406" s="824" t="s">
        <v>369</v>
      </c>
      <c r="BJ1406" s="824" t="s">
        <v>292</v>
      </c>
      <c r="BL1406" s="1226">
        <v>122529044000</v>
      </c>
      <c r="BN1406" s="824">
        <v>2022</v>
      </c>
    </row>
    <row r="1407" spans="53:66" ht="15" customHeight="1" x14ac:dyDescent="0.35">
      <c r="BA1407" s="824" t="s">
        <v>54</v>
      </c>
      <c r="BB1407" s="1225">
        <v>2023</v>
      </c>
      <c r="BC1407" s="824" t="s">
        <v>324</v>
      </c>
      <c r="BD1407" s="824">
        <v>4</v>
      </c>
      <c r="BE1407" s="1226">
        <v>113175697.00000001</v>
      </c>
      <c r="BF1407" s="1227">
        <v>6.4674015063268545E-2</v>
      </c>
      <c r="BH1407" s="824" t="s">
        <v>32</v>
      </c>
      <c r="BI1407" s="824" t="s">
        <v>369</v>
      </c>
      <c r="BJ1407" s="824" t="s">
        <v>281</v>
      </c>
      <c r="BK1407" s="824">
        <v>1</v>
      </c>
      <c r="BL1407" s="1226">
        <v>8054556000</v>
      </c>
      <c r="BM1407" s="1227">
        <v>0.40263889733146924</v>
      </c>
      <c r="BN1407" s="824">
        <v>2022</v>
      </c>
    </row>
    <row r="1408" spans="53:66" ht="15" customHeight="1" x14ac:dyDescent="0.35">
      <c r="BA1408" s="824" t="s">
        <v>54</v>
      </c>
      <c r="BB1408" s="1225">
        <v>2023</v>
      </c>
      <c r="BC1408" s="824" t="s">
        <v>322</v>
      </c>
      <c r="BD1408" s="824">
        <v>5</v>
      </c>
      <c r="BE1408" s="1226">
        <v>98447179.769999996</v>
      </c>
      <c r="BF1408" s="1227">
        <v>5.6257434733371123E-2</v>
      </c>
      <c r="BH1408" s="824" t="s">
        <v>32</v>
      </c>
      <c r="BI1408" s="824" t="s">
        <v>369</v>
      </c>
      <c r="BJ1408" s="824" t="s">
        <v>327</v>
      </c>
      <c r="BK1408" s="824">
        <v>2</v>
      </c>
      <c r="BL1408" s="1226">
        <v>3442996000</v>
      </c>
      <c r="BM1408" s="1227">
        <v>0.17211179771506452</v>
      </c>
      <c r="BN1408" s="824">
        <v>2022</v>
      </c>
    </row>
    <row r="1409" spans="53:66" ht="15" customHeight="1" x14ac:dyDescent="0.35">
      <c r="BA1409" s="824" t="s">
        <v>54</v>
      </c>
      <c r="BB1409" s="1225">
        <v>2023</v>
      </c>
      <c r="BC1409" s="824" t="s">
        <v>314</v>
      </c>
      <c r="BD1409" s="824">
        <v>6</v>
      </c>
      <c r="BE1409" s="1226">
        <v>95542571.940000013</v>
      </c>
      <c r="BF1409" s="1227">
        <v>5.4597602671101544E-2</v>
      </c>
      <c r="BH1409" s="824" t="s">
        <v>32</v>
      </c>
      <c r="BI1409" s="824" t="s">
        <v>369</v>
      </c>
      <c r="BJ1409" s="824" t="s">
        <v>306</v>
      </c>
      <c r="BK1409" s="824">
        <v>3</v>
      </c>
      <c r="BL1409" s="1226">
        <v>3109698000</v>
      </c>
      <c r="BM1409" s="1227">
        <v>0.155450576512706</v>
      </c>
      <c r="BN1409" s="824">
        <v>2022</v>
      </c>
    </row>
    <row r="1410" spans="53:66" ht="15" customHeight="1" x14ac:dyDescent="0.35">
      <c r="BA1410" s="824" t="s">
        <v>54</v>
      </c>
      <c r="BB1410" s="1225">
        <v>2023</v>
      </c>
      <c r="BC1410" s="824" t="s">
        <v>319</v>
      </c>
      <c r="BD1410" s="824">
        <v>7</v>
      </c>
      <c r="BE1410" s="1226">
        <v>91623482.680000007</v>
      </c>
      <c r="BF1410" s="1227">
        <v>5.2358047319959911E-2</v>
      </c>
      <c r="BH1410" s="824" t="s">
        <v>32</v>
      </c>
      <c r="BI1410" s="824" t="s">
        <v>369</v>
      </c>
      <c r="BJ1410" s="824" t="s">
        <v>287</v>
      </c>
      <c r="BK1410" s="824">
        <v>4</v>
      </c>
      <c r="BL1410" s="1226">
        <v>1438610000</v>
      </c>
      <c r="BM1410" s="1227">
        <v>7.1914621251627647E-2</v>
      </c>
      <c r="BN1410" s="824">
        <v>2022</v>
      </c>
    </row>
    <row r="1411" spans="53:66" ht="15" customHeight="1" x14ac:dyDescent="0.35">
      <c r="BA1411" s="824" t="s">
        <v>54</v>
      </c>
      <c r="BB1411" s="1225">
        <v>2023</v>
      </c>
      <c r="BC1411" s="824" t="s">
        <v>370</v>
      </c>
      <c r="BD1411" s="824">
        <v>8</v>
      </c>
      <c r="BE1411" s="1226">
        <v>84136649.699999988</v>
      </c>
      <c r="BF1411" s="1227">
        <v>4.8079712290799922E-2</v>
      </c>
      <c r="BH1411" s="824" t="s">
        <v>32</v>
      </c>
      <c r="BI1411" s="824" t="s">
        <v>369</v>
      </c>
      <c r="BJ1411" s="824" t="s">
        <v>298</v>
      </c>
      <c r="BK1411" s="824">
        <v>5</v>
      </c>
      <c r="BL1411" s="1226">
        <v>1247666000</v>
      </c>
      <c r="BM1411" s="1227">
        <v>6.2369528808039185E-2</v>
      </c>
      <c r="BN1411" s="824">
        <v>2022</v>
      </c>
    </row>
    <row r="1412" spans="53:66" ht="15" customHeight="1" x14ac:dyDescent="0.35">
      <c r="BA1412" s="824" t="s">
        <v>54</v>
      </c>
      <c r="BB1412" s="1225">
        <v>2023</v>
      </c>
      <c r="BC1412" s="824" t="s">
        <v>312</v>
      </c>
      <c r="BD1412" s="824">
        <v>9</v>
      </c>
      <c r="BE1412" s="1226">
        <v>74011819.090000018</v>
      </c>
      <c r="BF1412" s="1227">
        <v>4.2293899039884571E-2</v>
      </c>
      <c r="BH1412" s="824" t="s">
        <v>32</v>
      </c>
      <c r="BI1412" s="824" t="s">
        <v>369</v>
      </c>
      <c r="BJ1412" s="824" t="s">
        <v>314</v>
      </c>
      <c r="BK1412" s="824">
        <v>6</v>
      </c>
      <c r="BL1412" s="1226">
        <v>1129002000</v>
      </c>
      <c r="BM1412" s="1227">
        <v>5.6437638569403877E-2</v>
      </c>
      <c r="BN1412" s="824">
        <v>2022</v>
      </c>
    </row>
    <row r="1413" spans="53:66" ht="15" customHeight="1" x14ac:dyDescent="0.35">
      <c r="BA1413" s="824" t="s">
        <v>54</v>
      </c>
      <c r="BB1413" s="1225">
        <v>2023</v>
      </c>
      <c r="BC1413" s="824" t="s">
        <v>290</v>
      </c>
      <c r="BD1413" s="824">
        <v>10</v>
      </c>
      <c r="BE1413" s="1226">
        <v>73552774.230000004</v>
      </c>
      <c r="BF1413" s="1227">
        <v>4.2031578815867249E-2</v>
      </c>
      <c r="BH1413" s="824" t="s">
        <v>32</v>
      </c>
      <c r="BI1413" s="824" t="s">
        <v>369</v>
      </c>
      <c r="BJ1413" s="824" t="s">
        <v>328</v>
      </c>
      <c r="BK1413" s="824">
        <v>7</v>
      </c>
      <c r="BL1413" s="1226">
        <v>543673000</v>
      </c>
      <c r="BM1413" s="1227">
        <v>2.7177649175062147E-2</v>
      </c>
      <c r="BN1413" s="824">
        <v>2022</v>
      </c>
    </row>
    <row r="1414" spans="53:66" ht="15" customHeight="1" x14ac:dyDescent="0.35">
      <c r="BA1414" s="824" t="s">
        <v>54</v>
      </c>
      <c r="BB1414" s="1225">
        <v>2023</v>
      </c>
      <c r="BC1414" s="824" t="s">
        <v>291</v>
      </c>
      <c r="BE1414" s="1226">
        <v>151151467.00999999</v>
      </c>
      <c r="BF1414" s="1227">
        <v>8.637518931506892E-2</v>
      </c>
      <c r="BH1414" s="824" t="s">
        <v>32</v>
      </c>
      <c r="BI1414" s="824" t="s">
        <v>369</v>
      </c>
      <c r="BJ1414" s="824" t="s">
        <v>323</v>
      </c>
      <c r="BK1414" s="824">
        <v>8</v>
      </c>
      <c r="BL1414" s="1226">
        <v>542090000</v>
      </c>
      <c r="BM1414" s="1227">
        <v>2.7098516647524228E-2</v>
      </c>
      <c r="BN1414" s="824">
        <v>2022</v>
      </c>
    </row>
    <row r="1415" spans="53:66" ht="15" customHeight="1" x14ac:dyDescent="0.35">
      <c r="BA1415" s="824" t="s">
        <v>54</v>
      </c>
      <c r="BB1415" s="1225">
        <v>2023</v>
      </c>
      <c r="BC1415" s="824" t="s">
        <v>292</v>
      </c>
      <c r="BE1415" s="1226">
        <v>1749940789.8100002</v>
      </c>
      <c r="BH1415" s="824" t="s">
        <v>32</v>
      </c>
      <c r="BI1415" s="824" t="s">
        <v>369</v>
      </c>
      <c r="BJ1415" s="824" t="s">
        <v>320</v>
      </c>
      <c r="BK1415" s="824">
        <v>9</v>
      </c>
      <c r="BL1415" s="1226">
        <v>298348000</v>
      </c>
      <c r="BM1415" s="1227">
        <v>1.4914106965182089E-2</v>
      </c>
      <c r="BN1415" s="824">
        <v>2022</v>
      </c>
    </row>
    <row r="1416" spans="53:66" ht="15" customHeight="1" x14ac:dyDescent="0.35">
      <c r="BA1416" s="824" t="s">
        <v>61</v>
      </c>
      <c r="BB1416" s="1225">
        <v>2023</v>
      </c>
      <c r="BC1416" s="824" t="s">
        <v>281</v>
      </c>
      <c r="BD1416" s="824">
        <v>1</v>
      </c>
      <c r="BE1416" s="1235" t="s">
        <v>172</v>
      </c>
      <c r="BF1416" s="1318">
        <v>0.31812069234463508</v>
      </c>
      <c r="BH1416" s="824" t="s">
        <v>32</v>
      </c>
      <c r="BI1416" s="824" t="s">
        <v>369</v>
      </c>
      <c r="BJ1416" s="824" t="s">
        <v>279</v>
      </c>
      <c r="BK1416" s="824">
        <v>10</v>
      </c>
      <c r="BL1416" s="1226">
        <v>89436000</v>
      </c>
      <c r="BM1416" s="1227">
        <v>4.4708128445239293E-3</v>
      </c>
      <c r="BN1416" s="824">
        <v>2022</v>
      </c>
    </row>
    <row r="1417" spans="53:66" ht="15" customHeight="1" x14ac:dyDescent="0.35">
      <c r="BA1417" s="824" t="s">
        <v>61</v>
      </c>
      <c r="BB1417" s="1225">
        <v>2023</v>
      </c>
      <c r="BC1417" s="824" t="s">
        <v>308</v>
      </c>
      <c r="BD1417" s="824">
        <v>2</v>
      </c>
      <c r="BE1417" s="1235" t="s">
        <v>172</v>
      </c>
      <c r="BF1417" s="1318">
        <v>0.15735807940759852</v>
      </c>
      <c r="BH1417" s="824" t="s">
        <v>32</v>
      </c>
      <c r="BI1417" s="824" t="s">
        <v>369</v>
      </c>
      <c r="BJ1417" s="824" t="s">
        <v>291</v>
      </c>
      <c r="BL1417" s="1226">
        <v>108341000</v>
      </c>
      <c r="BM1417" s="1227">
        <v>5.4158541793971893E-3</v>
      </c>
      <c r="BN1417" s="824">
        <v>2022</v>
      </c>
    </row>
    <row r="1418" spans="53:66" ht="15" customHeight="1" x14ac:dyDescent="0.35">
      <c r="BA1418" s="824" t="s">
        <v>61</v>
      </c>
      <c r="BB1418" s="1225">
        <v>2023</v>
      </c>
      <c r="BC1418" s="824" t="s">
        <v>360</v>
      </c>
      <c r="BD1418" s="824">
        <v>3</v>
      </c>
      <c r="BE1418" s="1235" t="s">
        <v>172</v>
      </c>
      <c r="BF1418" s="1318">
        <v>0.12594909200058171</v>
      </c>
      <c r="BH1418" s="824" t="s">
        <v>32</v>
      </c>
      <c r="BI1418" s="824" t="s">
        <v>369</v>
      </c>
      <c r="BJ1418" s="824" t="s">
        <v>292</v>
      </c>
      <c r="BL1418" s="1226">
        <v>20004416000</v>
      </c>
      <c r="BN1418" s="824">
        <v>2022</v>
      </c>
    </row>
    <row r="1419" spans="53:66" ht="15" customHeight="1" x14ac:dyDescent="0.35">
      <c r="BA1419" s="824" t="s">
        <v>61</v>
      </c>
      <c r="BB1419" s="1225">
        <v>2023</v>
      </c>
      <c r="BC1419" s="824" t="s">
        <v>310</v>
      </c>
      <c r="BD1419" s="824">
        <v>4</v>
      </c>
      <c r="BE1419" s="1235" t="s">
        <v>172</v>
      </c>
      <c r="BF1419" s="1318">
        <v>0.11539728335016294</v>
      </c>
      <c r="BH1419" s="824" t="s">
        <v>165</v>
      </c>
      <c r="BI1419" s="824" t="s">
        <v>369</v>
      </c>
      <c r="BJ1419" s="824" t="s">
        <v>282</v>
      </c>
      <c r="BK1419" s="824">
        <v>1</v>
      </c>
      <c r="BL1419" s="1226">
        <v>1273506000</v>
      </c>
      <c r="BM1419" s="1227">
        <v>0.20272263090232875</v>
      </c>
      <c r="BN1419" s="824">
        <v>2022</v>
      </c>
    </row>
    <row r="1420" spans="53:66" ht="15" customHeight="1" x14ac:dyDescent="0.35">
      <c r="BA1420" s="824" t="s">
        <v>61</v>
      </c>
      <c r="BB1420" s="1225">
        <v>2023</v>
      </c>
      <c r="BC1420" s="824" t="s">
        <v>312</v>
      </c>
      <c r="BD1420" s="824">
        <v>5</v>
      </c>
      <c r="BE1420" s="1235" t="s">
        <v>172</v>
      </c>
      <c r="BF1420" s="1318">
        <v>9.5426933898526481E-2</v>
      </c>
      <c r="BH1420" s="824" t="s">
        <v>165</v>
      </c>
      <c r="BI1420" s="824" t="s">
        <v>369</v>
      </c>
      <c r="BJ1420" s="824" t="s">
        <v>279</v>
      </c>
      <c r="BK1420" s="824">
        <v>2</v>
      </c>
      <c r="BL1420" s="1226">
        <v>1047865000</v>
      </c>
      <c r="BM1420" s="1227">
        <v>0.16680404303589361</v>
      </c>
      <c r="BN1420" s="824">
        <v>2022</v>
      </c>
    </row>
    <row r="1421" spans="53:66" ht="15" customHeight="1" x14ac:dyDescent="0.35">
      <c r="BA1421" s="824" t="s">
        <v>61</v>
      </c>
      <c r="BB1421" s="1225">
        <v>2023</v>
      </c>
      <c r="BC1421" s="824" t="s">
        <v>305</v>
      </c>
      <c r="BD1421" s="824">
        <v>6</v>
      </c>
      <c r="BE1421" s="1235" t="s">
        <v>172</v>
      </c>
      <c r="BF1421" s="1318">
        <v>7.0257914107737351E-2</v>
      </c>
      <c r="BH1421" s="824" t="s">
        <v>165</v>
      </c>
      <c r="BI1421" s="824" t="s">
        <v>369</v>
      </c>
      <c r="BJ1421" s="824" t="s">
        <v>283</v>
      </c>
      <c r="BK1421" s="824">
        <v>3</v>
      </c>
      <c r="BL1421" s="1226">
        <v>659720000</v>
      </c>
      <c r="BM1421" s="1227">
        <v>0.10501730974089193</v>
      </c>
      <c r="BN1421" s="824">
        <v>2022</v>
      </c>
    </row>
    <row r="1422" spans="53:66" ht="15" customHeight="1" x14ac:dyDescent="0.35">
      <c r="BA1422" s="824" t="s">
        <v>61</v>
      </c>
      <c r="BB1422" s="1225">
        <v>2023</v>
      </c>
      <c r="BC1422" s="824" t="s">
        <v>315</v>
      </c>
      <c r="BD1422" s="824">
        <v>7</v>
      </c>
      <c r="BE1422" s="1235" t="s">
        <v>172</v>
      </c>
      <c r="BF1422" s="1318">
        <v>3.5076283841182242E-2</v>
      </c>
      <c r="BH1422" s="824" t="s">
        <v>165</v>
      </c>
      <c r="BI1422" s="824" t="s">
        <v>369</v>
      </c>
      <c r="BJ1422" s="824" t="s">
        <v>284</v>
      </c>
      <c r="BK1422" s="824">
        <v>4</v>
      </c>
      <c r="BL1422" s="1226">
        <v>573002000</v>
      </c>
      <c r="BM1422" s="1227">
        <v>9.1213133626615164E-2</v>
      </c>
      <c r="BN1422" s="824">
        <v>2022</v>
      </c>
    </row>
    <row r="1423" spans="53:66" ht="15" customHeight="1" x14ac:dyDescent="0.35">
      <c r="BA1423" s="824" t="s">
        <v>61</v>
      </c>
      <c r="BB1423" s="1225">
        <v>2023</v>
      </c>
      <c r="BC1423" s="824" t="s">
        <v>352</v>
      </c>
      <c r="BD1423" s="824">
        <v>8</v>
      </c>
      <c r="BE1423" s="1235" t="s">
        <v>172</v>
      </c>
      <c r="BF1423" s="1318">
        <v>2.8001534011993973E-2</v>
      </c>
      <c r="BH1423" s="824" t="s">
        <v>165</v>
      </c>
      <c r="BI1423" s="824" t="s">
        <v>369</v>
      </c>
      <c r="BJ1423" s="824" t="s">
        <v>288</v>
      </c>
      <c r="BK1423" s="824">
        <v>5</v>
      </c>
      <c r="BL1423" s="1226">
        <v>548154000</v>
      </c>
      <c r="BM1423" s="1227">
        <v>8.7257712974760315E-2</v>
      </c>
      <c r="BN1423" s="824">
        <v>2022</v>
      </c>
    </row>
    <row r="1424" spans="53:66" ht="15" customHeight="1" x14ac:dyDescent="0.35">
      <c r="BA1424" s="824" t="s">
        <v>61</v>
      </c>
      <c r="BB1424" s="1225">
        <v>2023</v>
      </c>
      <c r="BC1424" s="824" t="s">
        <v>306</v>
      </c>
      <c r="BD1424" s="824">
        <v>9</v>
      </c>
      <c r="BE1424" s="1235" t="s">
        <v>172</v>
      </c>
      <c r="BF1424" s="1318">
        <v>1.3087963497130855E-2</v>
      </c>
      <c r="BH1424" s="824" t="s">
        <v>165</v>
      </c>
      <c r="BI1424" s="824" t="s">
        <v>369</v>
      </c>
      <c r="BJ1424" s="824" t="s">
        <v>285</v>
      </c>
      <c r="BK1424" s="824">
        <v>6</v>
      </c>
      <c r="BL1424" s="1226">
        <v>362413000</v>
      </c>
      <c r="BM1424" s="1227">
        <v>5.7690593395873804E-2</v>
      </c>
      <c r="BN1424" s="824">
        <v>2022</v>
      </c>
    </row>
    <row r="1425" spans="53:66" ht="15" customHeight="1" x14ac:dyDescent="0.35">
      <c r="BA1425" s="824" t="s">
        <v>61</v>
      </c>
      <c r="BB1425" s="1225">
        <v>2023</v>
      </c>
      <c r="BC1425" s="824" t="s">
        <v>367</v>
      </c>
      <c r="BD1425" s="824">
        <v>10</v>
      </c>
      <c r="BE1425" s="1235" t="s">
        <v>172</v>
      </c>
      <c r="BF1425" s="1318">
        <v>1.0015955844046475E-2</v>
      </c>
      <c r="BH1425" s="824" t="s">
        <v>165</v>
      </c>
      <c r="BI1425" s="824" t="s">
        <v>369</v>
      </c>
      <c r="BJ1425" s="824" t="s">
        <v>627</v>
      </c>
      <c r="BK1425" s="824">
        <v>7</v>
      </c>
      <c r="BL1425" s="1226">
        <v>333343000</v>
      </c>
      <c r="BM1425" s="1227">
        <v>5.3063095072088368E-2</v>
      </c>
      <c r="BN1425" s="824">
        <v>2022</v>
      </c>
    </row>
    <row r="1426" spans="53:66" ht="15" customHeight="1" x14ac:dyDescent="0.35">
      <c r="BA1426" s="824" t="s">
        <v>61</v>
      </c>
      <c r="BB1426" s="1225">
        <v>2023</v>
      </c>
      <c r="BC1426" s="824" t="s">
        <v>291</v>
      </c>
      <c r="BE1426" s="1235" t="s">
        <v>172</v>
      </c>
      <c r="BF1426" s="1318">
        <v>3.1308267696404372E-2</v>
      </c>
      <c r="BH1426" s="824" t="s">
        <v>165</v>
      </c>
      <c r="BI1426" s="824" t="s">
        <v>369</v>
      </c>
      <c r="BJ1426" s="824" t="s">
        <v>304</v>
      </c>
      <c r="BK1426" s="824">
        <v>8</v>
      </c>
      <c r="BL1426" s="1226">
        <v>314864000</v>
      </c>
      <c r="BM1426" s="1227">
        <v>5.0121521576208389E-2</v>
      </c>
      <c r="BN1426" s="824">
        <v>2022</v>
      </c>
    </row>
    <row r="1427" spans="53:66" ht="15" customHeight="1" x14ac:dyDescent="0.35">
      <c r="BA1427" s="824" t="s">
        <v>61</v>
      </c>
      <c r="BB1427" s="1225">
        <v>2023</v>
      </c>
      <c r="BC1427" s="824" t="s">
        <v>292</v>
      </c>
      <c r="BE1427" s="1235" t="s">
        <v>172</v>
      </c>
      <c r="BH1427" s="824" t="s">
        <v>165</v>
      </c>
      <c r="BI1427" s="824" t="s">
        <v>369</v>
      </c>
      <c r="BJ1427" s="824" t="s">
        <v>287</v>
      </c>
      <c r="BK1427" s="824">
        <v>9</v>
      </c>
      <c r="BL1427" s="1226">
        <v>268703000</v>
      </c>
      <c r="BM1427" s="1227">
        <v>4.2773398076921855E-2</v>
      </c>
      <c r="BN1427" s="824">
        <v>2022</v>
      </c>
    </row>
    <row r="1428" spans="53:66" ht="15" customHeight="1" x14ac:dyDescent="0.35">
      <c r="BA1428" s="824" t="s">
        <v>71</v>
      </c>
      <c r="BB1428" s="1225">
        <v>2023</v>
      </c>
      <c r="BC1428" s="824" t="s">
        <v>308</v>
      </c>
      <c r="BD1428" s="824">
        <v>1</v>
      </c>
      <c r="BE1428" s="1235" t="s">
        <v>172</v>
      </c>
      <c r="BF1428" s="1318">
        <v>0.38838311710299356</v>
      </c>
      <c r="BH1428" s="824" t="s">
        <v>165</v>
      </c>
      <c r="BI1428" s="824" t="s">
        <v>369</v>
      </c>
      <c r="BJ1428" s="824" t="s">
        <v>296</v>
      </c>
      <c r="BK1428" s="824">
        <v>10</v>
      </c>
      <c r="BL1428" s="1226">
        <v>260592000</v>
      </c>
      <c r="BM1428" s="1227">
        <v>4.1482251227791353E-2</v>
      </c>
      <c r="BN1428" s="824">
        <v>2022</v>
      </c>
    </row>
    <row r="1429" spans="53:66" ht="15" customHeight="1" x14ac:dyDescent="0.35">
      <c r="BA1429" s="824" t="s">
        <v>71</v>
      </c>
      <c r="BB1429" s="1225">
        <v>2023</v>
      </c>
      <c r="BC1429" s="824" t="s">
        <v>281</v>
      </c>
      <c r="BD1429" s="824">
        <v>2</v>
      </c>
      <c r="BE1429" s="1235" t="s">
        <v>172</v>
      </c>
      <c r="BF1429" s="1318">
        <v>0.13646686644164946</v>
      </c>
      <c r="BH1429" s="824" t="s">
        <v>165</v>
      </c>
      <c r="BI1429" s="824" t="s">
        <v>369</v>
      </c>
      <c r="BJ1429" s="824" t="s">
        <v>291</v>
      </c>
      <c r="BL1429" s="1226">
        <v>639850000</v>
      </c>
      <c r="BM1429" s="1227">
        <v>0.10185431037062648</v>
      </c>
      <c r="BN1429" s="824">
        <v>2022</v>
      </c>
    </row>
    <row r="1430" spans="53:66" ht="15" customHeight="1" x14ac:dyDescent="0.35">
      <c r="BA1430" s="824" t="s">
        <v>71</v>
      </c>
      <c r="BB1430" s="1225">
        <v>2023</v>
      </c>
      <c r="BC1430" s="824" t="s">
        <v>306</v>
      </c>
      <c r="BD1430" s="824">
        <v>3</v>
      </c>
      <c r="BE1430" s="1235" t="s">
        <v>172</v>
      </c>
      <c r="BF1430" s="1318">
        <v>0.12920414970187566</v>
      </c>
      <c r="BH1430" s="824" t="s">
        <v>165</v>
      </c>
      <c r="BI1430" s="824" t="s">
        <v>369</v>
      </c>
      <c r="BJ1430" s="824" t="s">
        <v>292</v>
      </c>
      <c r="BL1430" s="1226">
        <v>6282012000</v>
      </c>
      <c r="BM1430" s="1227">
        <v>1</v>
      </c>
      <c r="BN1430" s="824">
        <v>2022</v>
      </c>
    </row>
    <row r="1431" spans="53:66" ht="15" customHeight="1" x14ac:dyDescent="0.35">
      <c r="BA1431" s="824" t="s">
        <v>71</v>
      </c>
      <c r="BB1431" s="1225">
        <v>2023</v>
      </c>
      <c r="BC1431" s="824" t="s">
        <v>371</v>
      </c>
      <c r="BD1431" s="824">
        <v>4</v>
      </c>
      <c r="BE1431" s="1235" t="s">
        <v>172</v>
      </c>
      <c r="BF1431" s="1318">
        <v>0.11611948976282785</v>
      </c>
      <c r="BH1431" s="824" t="s">
        <v>54</v>
      </c>
      <c r="BI1431" s="824" t="s">
        <v>369</v>
      </c>
      <c r="BJ1431" s="824" t="s">
        <v>281</v>
      </c>
      <c r="BK1431" s="824">
        <v>1</v>
      </c>
      <c r="BL1431" s="1226">
        <v>897773011.90999985</v>
      </c>
      <c r="BM1431" s="1227">
        <v>0.40464477934761361</v>
      </c>
      <c r="BN1431" s="824">
        <v>2022</v>
      </c>
    </row>
    <row r="1432" spans="53:66" ht="15" customHeight="1" x14ac:dyDescent="0.35">
      <c r="BA1432" s="824" t="s">
        <v>71</v>
      </c>
      <c r="BB1432" s="1225">
        <v>2023</v>
      </c>
      <c r="BC1432" s="824" t="s">
        <v>370</v>
      </c>
      <c r="BD1432" s="824">
        <v>5</v>
      </c>
      <c r="BE1432" s="1235" t="s">
        <v>172</v>
      </c>
      <c r="BF1432" s="1318">
        <v>9.94513504667002E-2</v>
      </c>
      <c r="BH1432" s="824" t="s">
        <v>54</v>
      </c>
      <c r="BI1432" s="824" t="s">
        <v>369</v>
      </c>
      <c r="BJ1432" s="824" t="s">
        <v>285</v>
      </c>
      <c r="BK1432" s="824">
        <v>2</v>
      </c>
      <c r="BL1432" s="1226">
        <v>230095913.56999999</v>
      </c>
      <c r="BM1432" s="1227">
        <v>0.10370896533995393</v>
      </c>
      <c r="BN1432" s="824">
        <v>2022</v>
      </c>
    </row>
    <row r="1433" spans="53:66" ht="15" customHeight="1" x14ac:dyDescent="0.35">
      <c r="BA1433" s="824" t="s">
        <v>71</v>
      </c>
      <c r="BB1433" s="1225">
        <v>2023</v>
      </c>
      <c r="BC1433" s="824" t="s">
        <v>323</v>
      </c>
      <c r="BD1433" s="824">
        <v>6</v>
      </c>
      <c r="BE1433" s="1235" t="s">
        <v>172</v>
      </c>
      <c r="BF1433" s="1318">
        <v>5.9475147885704328E-2</v>
      </c>
      <c r="BH1433" s="824" t="s">
        <v>54</v>
      </c>
      <c r="BI1433" s="824" t="s">
        <v>369</v>
      </c>
      <c r="BJ1433" s="824" t="s">
        <v>322</v>
      </c>
      <c r="BK1433" s="824">
        <v>3</v>
      </c>
      <c r="BL1433" s="1226">
        <v>196437513.31999999</v>
      </c>
      <c r="BM1433" s="1227">
        <v>8.8538431405792553E-2</v>
      </c>
      <c r="BN1433" s="824">
        <v>2022</v>
      </c>
    </row>
    <row r="1434" spans="53:66" ht="15" customHeight="1" x14ac:dyDescent="0.35">
      <c r="BA1434" s="824" t="s">
        <v>71</v>
      </c>
      <c r="BB1434" s="1225">
        <v>2023</v>
      </c>
      <c r="BC1434" s="824" t="s">
        <v>285</v>
      </c>
      <c r="BD1434" s="824">
        <v>7</v>
      </c>
      <c r="BE1434" s="1235" t="s">
        <v>172</v>
      </c>
      <c r="BF1434" s="1318">
        <v>2.7288636594375231E-2</v>
      </c>
      <c r="BH1434" s="824" t="s">
        <v>54</v>
      </c>
      <c r="BI1434" s="824" t="s">
        <v>369</v>
      </c>
      <c r="BJ1434" s="824" t="s">
        <v>298</v>
      </c>
      <c r="BK1434" s="824">
        <v>4</v>
      </c>
      <c r="BL1434" s="1226">
        <v>133033387.12</v>
      </c>
      <c r="BM1434" s="1227">
        <v>5.9960886396565626E-2</v>
      </c>
      <c r="BN1434" s="824">
        <v>2022</v>
      </c>
    </row>
    <row r="1435" spans="53:66" ht="15" customHeight="1" x14ac:dyDescent="0.35">
      <c r="BA1435" s="824" t="s">
        <v>71</v>
      </c>
      <c r="BB1435" s="1225">
        <v>2023</v>
      </c>
      <c r="BC1435" s="824" t="s">
        <v>289</v>
      </c>
      <c r="BD1435" s="824">
        <v>8</v>
      </c>
      <c r="BE1435" s="1235" t="s">
        <v>172</v>
      </c>
      <c r="BF1435" s="1318">
        <v>2.166938502390971E-2</v>
      </c>
      <c r="BH1435" s="824" t="s">
        <v>54</v>
      </c>
      <c r="BI1435" s="824" t="s">
        <v>369</v>
      </c>
      <c r="BJ1435" s="824" t="s">
        <v>324</v>
      </c>
      <c r="BK1435" s="824">
        <v>5</v>
      </c>
      <c r="BL1435" s="1226">
        <v>111645687.25</v>
      </c>
      <c r="BM1435" s="1227">
        <v>5.0321009746412189E-2</v>
      </c>
      <c r="BN1435" s="824">
        <v>2022</v>
      </c>
    </row>
    <row r="1436" spans="53:66" ht="15" customHeight="1" x14ac:dyDescent="0.35">
      <c r="BA1436" s="824" t="s">
        <v>71</v>
      </c>
      <c r="BB1436" s="1225">
        <v>2023</v>
      </c>
      <c r="BC1436" s="824" t="s">
        <v>362</v>
      </c>
      <c r="BD1436" s="824">
        <v>9</v>
      </c>
      <c r="BE1436" s="1235" t="s">
        <v>172</v>
      </c>
      <c r="BF1436" s="1318">
        <v>1.0560995345139381E-2</v>
      </c>
      <c r="BH1436" s="824" t="s">
        <v>54</v>
      </c>
      <c r="BI1436" s="824" t="s">
        <v>369</v>
      </c>
      <c r="BJ1436" s="824" t="s">
        <v>290</v>
      </c>
      <c r="BK1436" s="824">
        <v>6</v>
      </c>
      <c r="BL1436" s="1226">
        <v>100599718.70999999</v>
      </c>
      <c r="BM1436" s="1227">
        <v>4.5342364316828851E-2</v>
      </c>
      <c r="BN1436" s="824">
        <v>2022</v>
      </c>
    </row>
    <row r="1437" spans="53:66" ht="15" customHeight="1" x14ac:dyDescent="0.35">
      <c r="BA1437" s="824" t="s">
        <v>71</v>
      </c>
      <c r="BB1437" s="1225">
        <v>2023</v>
      </c>
      <c r="BC1437" s="824" t="s">
        <v>287</v>
      </c>
      <c r="BD1437" s="824">
        <v>10</v>
      </c>
      <c r="BE1437" s="1235" t="s">
        <v>172</v>
      </c>
      <c r="BF1437" s="1318">
        <v>3.6705741683558707E-3</v>
      </c>
      <c r="BH1437" s="824" t="s">
        <v>54</v>
      </c>
      <c r="BI1437" s="824" t="s">
        <v>369</v>
      </c>
      <c r="BJ1437" s="824" t="s">
        <v>314</v>
      </c>
      <c r="BK1437" s="824">
        <v>7</v>
      </c>
      <c r="BL1437" s="1226">
        <v>99812236.790000007</v>
      </c>
      <c r="BM1437" s="1227">
        <v>4.4987430003220225E-2</v>
      </c>
      <c r="BN1437" s="824">
        <v>2022</v>
      </c>
    </row>
    <row r="1438" spans="53:66" ht="15" customHeight="1" x14ac:dyDescent="0.35">
      <c r="BA1438" s="824" t="s">
        <v>71</v>
      </c>
      <c r="BB1438" s="1225">
        <v>2023</v>
      </c>
      <c r="BC1438" s="824" t="s">
        <v>291</v>
      </c>
      <c r="BE1438" s="1235" t="s">
        <v>172</v>
      </c>
      <c r="BF1438" s="1318">
        <v>7.710287506468903E-3</v>
      </c>
      <c r="BH1438" s="824" t="s">
        <v>54</v>
      </c>
      <c r="BI1438" s="824" t="s">
        <v>369</v>
      </c>
      <c r="BJ1438" s="824" t="s">
        <v>315</v>
      </c>
      <c r="BK1438" s="824">
        <v>8</v>
      </c>
      <c r="BL1438" s="1226">
        <v>97615106.269999996</v>
      </c>
      <c r="BM1438" s="1227">
        <v>4.399713804448574E-2</v>
      </c>
      <c r="BN1438" s="824">
        <v>2022</v>
      </c>
    </row>
    <row r="1439" spans="53:66" ht="15" customHeight="1" x14ac:dyDescent="0.35">
      <c r="BA1439" s="824" t="s">
        <v>71</v>
      </c>
      <c r="BB1439" s="1225">
        <v>2023</v>
      </c>
      <c r="BC1439" s="824" t="s">
        <v>292</v>
      </c>
      <c r="BE1439" s="1235" t="s">
        <v>172</v>
      </c>
      <c r="BH1439" s="824" t="s">
        <v>54</v>
      </c>
      <c r="BI1439" s="824" t="s">
        <v>369</v>
      </c>
      <c r="BJ1439" s="824" t="s">
        <v>319</v>
      </c>
      <c r="BK1439" s="824">
        <v>9</v>
      </c>
      <c r="BL1439" s="1226">
        <v>89547591.079999983</v>
      </c>
      <c r="BM1439" s="1227">
        <v>4.0360942858582403E-2</v>
      </c>
      <c r="BN1439" s="824">
        <v>2022</v>
      </c>
    </row>
    <row r="1440" spans="53:66" ht="15" customHeight="1" x14ac:dyDescent="0.35">
      <c r="BA1440" s="824" t="s">
        <v>165</v>
      </c>
      <c r="BB1440" s="1225">
        <v>2024</v>
      </c>
      <c r="BC1440" s="824" t="s">
        <v>282</v>
      </c>
      <c r="BD1440" s="824">
        <v>1</v>
      </c>
      <c r="BE1440" s="1226">
        <v>1635702000</v>
      </c>
      <c r="BF1440" s="1227">
        <v>0.20848133191329471</v>
      </c>
      <c r="BH1440" s="824" t="s">
        <v>54</v>
      </c>
      <c r="BI1440" s="824" t="s">
        <v>369</v>
      </c>
      <c r="BJ1440" s="824" t="s">
        <v>312</v>
      </c>
      <c r="BK1440" s="824">
        <v>10</v>
      </c>
      <c r="BL1440" s="1226">
        <v>76675280.950000003</v>
      </c>
      <c r="BM1440" s="1227">
        <v>3.4559127674623567E-2</v>
      </c>
      <c r="BN1440" s="824">
        <v>2022</v>
      </c>
    </row>
    <row r="1441" spans="53:66" ht="15" customHeight="1" x14ac:dyDescent="0.35">
      <c r="BA1441" s="824" t="s">
        <v>165</v>
      </c>
      <c r="BB1441" s="1225">
        <v>2024</v>
      </c>
      <c r="BC1441" s="824" t="s">
        <v>279</v>
      </c>
      <c r="BD1441" s="824">
        <v>2</v>
      </c>
      <c r="BE1441" s="1226">
        <v>1535335000</v>
      </c>
      <c r="BF1441" s="1227">
        <v>0.19568887592794917</v>
      </c>
      <c r="BH1441" s="824" t="s">
        <v>54</v>
      </c>
      <c r="BI1441" s="824" t="s">
        <v>369</v>
      </c>
      <c r="BJ1441" s="824" t="s">
        <v>291</v>
      </c>
      <c r="BL1441" s="1226">
        <v>185434007.64999986</v>
      </c>
      <c r="BM1441" s="1227">
        <v>8.3578924865921458E-2</v>
      </c>
      <c r="BN1441" s="824">
        <v>2022</v>
      </c>
    </row>
    <row r="1442" spans="53:66" ht="15" customHeight="1" x14ac:dyDescent="0.35">
      <c r="BA1442" s="824" t="s">
        <v>165</v>
      </c>
      <c r="BB1442" s="1225">
        <v>2024</v>
      </c>
      <c r="BC1442" s="824" t="s">
        <v>283</v>
      </c>
      <c r="BD1442" s="824">
        <v>3</v>
      </c>
      <c r="BE1442" s="1226">
        <v>977995000</v>
      </c>
      <c r="BF1442" s="1227">
        <v>0.12465210668235575</v>
      </c>
      <c r="BH1442" s="824" t="s">
        <v>54</v>
      </c>
      <c r="BI1442" s="824" t="s">
        <v>369</v>
      </c>
      <c r="BJ1442" s="824" t="s">
        <v>292</v>
      </c>
      <c r="BL1442" s="1226">
        <v>2218669454.6199994</v>
      </c>
      <c r="BN1442" s="824">
        <v>2022</v>
      </c>
    </row>
    <row r="1443" spans="53:66" ht="15" customHeight="1" x14ac:dyDescent="0.35">
      <c r="BA1443" s="824" t="s">
        <v>165</v>
      </c>
      <c r="BB1443" s="1225">
        <v>2024</v>
      </c>
      <c r="BC1443" s="824" t="s">
        <v>284</v>
      </c>
      <c r="BD1443" s="824">
        <v>4</v>
      </c>
      <c r="BE1443" s="1226">
        <v>721250000</v>
      </c>
      <c r="BF1443" s="1227">
        <v>9.192821225532756E-2</v>
      </c>
      <c r="BH1443" s="824" t="s">
        <v>345</v>
      </c>
      <c r="BI1443" s="824" t="s">
        <v>369</v>
      </c>
      <c r="BJ1443" s="824" t="s">
        <v>346</v>
      </c>
      <c r="BK1443" s="824">
        <v>1</v>
      </c>
      <c r="BL1443" s="1235" t="s">
        <v>172</v>
      </c>
      <c r="BM1443" s="1227">
        <v>0.24532905146583139</v>
      </c>
      <c r="BN1443" s="824">
        <v>2022</v>
      </c>
    </row>
    <row r="1444" spans="53:66" ht="15" customHeight="1" x14ac:dyDescent="0.35">
      <c r="BA1444" s="824" t="s">
        <v>165</v>
      </c>
      <c r="BB1444" s="1225">
        <v>2024</v>
      </c>
      <c r="BC1444" s="824" t="s">
        <v>288</v>
      </c>
      <c r="BD1444" s="824">
        <v>5</v>
      </c>
      <c r="BE1444" s="1226">
        <v>682483000</v>
      </c>
      <c r="BF1444" s="1227">
        <v>8.6987094744752483E-2</v>
      </c>
      <c r="BH1444" s="824" t="s">
        <v>345</v>
      </c>
      <c r="BI1444" s="824" t="s">
        <v>369</v>
      </c>
      <c r="BJ1444" s="824" t="s">
        <v>360</v>
      </c>
      <c r="BK1444" s="824">
        <v>2</v>
      </c>
      <c r="BL1444" s="1235" t="s">
        <v>172</v>
      </c>
      <c r="BM1444" s="1227">
        <v>0.19303220379103109</v>
      </c>
      <c r="BN1444" s="824">
        <v>2022</v>
      </c>
    </row>
    <row r="1445" spans="53:66" ht="15" customHeight="1" x14ac:dyDescent="0.35">
      <c r="BA1445" s="824" t="s">
        <v>165</v>
      </c>
      <c r="BB1445" s="1225">
        <v>2024</v>
      </c>
      <c r="BC1445" s="824" t="s">
        <v>368</v>
      </c>
      <c r="BD1445" s="824">
        <v>6</v>
      </c>
      <c r="BE1445" s="1226">
        <v>479078000</v>
      </c>
      <c r="BF1445" s="1227">
        <v>6.1061745678832331E-2</v>
      </c>
      <c r="BH1445" s="824" t="s">
        <v>345</v>
      </c>
      <c r="BI1445" s="824" t="s">
        <v>369</v>
      </c>
      <c r="BJ1445" s="824" t="s">
        <v>308</v>
      </c>
      <c r="BK1445" s="824">
        <v>3</v>
      </c>
      <c r="BL1445" s="1235" t="s">
        <v>172</v>
      </c>
      <c r="BM1445" s="1227">
        <v>0.14967269963278801</v>
      </c>
      <c r="BN1445" s="824">
        <v>2022</v>
      </c>
    </row>
    <row r="1446" spans="53:66" ht="15" customHeight="1" x14ac:dyDescent="0.35">
      <c r="BA1446" s="824" t="s">
        <v>165</v>
      </c>
      <c r="BB1446" s="1225">
        <v>2024</v>
      </c>
      <c r="BC1446" s="824" t="s">
        <v>296</v>
      </c>
      <c r="BD1446" s="824">
        <v>7</v>
      </c>
      <c r="BE1446" s="1226">
        <v>455351000</v>
      </c>
      <c r="BF1446" s="1227">
        <v>5.8037578341318077E-2</v>
      </c>
      <c r="BH1446" s="824" t="s">
        <v>345</v>
      </c>
      <c r="BI1446" s="824" t="s">
        <v>369</v>
      </c>
      <c r="BJ1446" s="824" t="s">
        <v>335</v>
      </c>
      <c r="BK1446" s="824">
        <v>4</v>
      </c>
      <c r="BL1446" s="1235" t="s">
        <v>172</v>
      </c>
      <c r="BM1446" s="1227">
        <v>0.11292379127363691</v>
      </c>
      <c r="BN1446" s="824">
        <v>2022</v>
      </c>
    </row>
    <row r="1447" spans="53:66" ht="15" customHeight="1" x14ac:dyDescent="0.35">
      <c r="BA1447" s="824" t="s">
        <v>165</v>
      </c>
      <c r="BB1447" s="1225">
        <v>2024</v>
      </c>
      <c r="BC1447" s="824" t="s">
        <v>627</v>
      </c>
      <c r="BD1447" s="824">
        <v>8</v>
      </c>
      <c r="BE1447" s="1226">
        <v>365608000</v>
      </c>
      <c r="BF1447" s="1227">
        <v>4.6599223329283609E-2</v>
      </c>
      <c r="BH1447" s="824" t="s">
        <v>345</v>
      </c>
      <c r="BI1447" s="824" t="s">
        <v>369</v>
      </c>
      <c r="BJ1447" s="824" t="s">
        <v>309</v>
      </c>
      <c r="BK1447" s="824">
        <v>5</v>
      </c>
      <c r="BL1447" s="1235" t="s">
        <v>172</v>
      </c>
      <c r="BM1447" s="1227">
        <v>0.10967903672444441</v>
      </c>
      <c r="BN1447" s="824">
        <v>2022</v>
      </c>
    </row>
    <row r="1448" spans="53:66" ht="15" customHeight="1" x14ac:dyDescent="0.35">
      <c r="BA1448" s="824" t="s">
        <v>165</v>
      </c>
      <c r="BB1448" s="1225">
        <v>2024</v>
      </c>
      <c r="BC1448" s="824" t="s">
        <v>304</v>
      </c>
      <c r="BD1448" s="824">
        <v>9</v>
      </c>
      <c r="BE1448" s="1226">
        <v>260174000</v>
      </c>
      <c r="BF1448" s="1227">
        <v>3.3160943771670844E-2</v>
      </c>
      <c r="BH1448" s="824" t="s">
        <v>345</v>
      </c>
      <c r="BI1448" s="824" t="s">
        <v>369</v>
      </c>
      <c r="BJ1448" s="824" t="s">
        <v>352</v>
      </c>
      <c r="BK1448" s="824">
        <v>6</v>
      </c>
      <c r="BL1448" s="1235" t="s">
        <v>172</v>
      </c>
      <c r="BM1448" s="1227">
        <v>7.8597709202052571E-2</v>
      </c>
      <c r="BN1448" s="824">
        <v>2022</v>
      </c>
    </row>
    <row r="1449" spans="53:66" ht="15" customHeight="1" x14ac:dyDescent="0.35">
      <c r="BA1449" s="824" t="s">
        <v>165</v>
      </c>
      <c r="BB1449" s="1225">
        <v>2024</v>
      </c>
      <c r="BC1449" s="824" t="s">
        <v>299</v>
      </c>
      <c r="BD1449" s="824">
        <v>10</v>
      </c>
      <c r="BE1449" s="1226">
        <v>196134000</v>
      </c>
      <c r="BF1449" s="1227">
        <v>2.4998610720951706E-2</v>
      </c>
      <c r="BH1449" s="824" t="s">
        <v>345</v>
      </c>
      <c r="BI1449" s="824" t="s">
        <v>369</v>
      </c>
      <c r="BJ1449" s="824" t="s">
        <v>281</v>
      </c>
      <c r="BK1449" s="824">
        <v>7</v>
      </c>
      <c r="BL1449" s="1235" t="s">
        <v>172</v>
      </c>
      <c r="BM1449" s="1227">
        <v>7.4452148005326665E-2</v>
      </c>
      <c r="BN1449" s="824">
        <v>2022</v>
      </c>
    </row>
    <row r="1450" spans="53:66" ht="15" customHeight="1" x14ac:dyDescent="0.35">
      <c r="BA1450" s="824" t="s">
        <v>165</v>
      </c>
      <c r="BB1450" s="1225">
        <v>2024</v>
      </c>
      <c r="BC1450" s="824" t="s">
        <v>291</v>
      </c>
      <c r="BE1450" s="1226">
        <v>536686000</v>
      </c>
      <c r="BF1450" s="1227">
        <v>6.8404276634263753E-2</v>
      </c>
      <c r="BH1450" s="824" t="s">
        <v>345</v>
      </c>
      <c r="BI1450" s="824" t="s">
        <v>369</v>
      </c>
      <c r="BJ1450" s="824" t="s">
        <v>315</v>
      </c>
      <c r="BK1450" s="824">
        <v>8</v>
      </c>
      <c r="BL1450" s="1235" t="s">
        <v>172</v>
      </c>
      <c r="BM1450" s="1227">
        <v>1.4936041534466309E-2</v>
      </c>
      <c r="BN1450" s="824">
        <v>2022</v>
      </c>
    </row>
    <row r="1451" spans="53:66" ht="15" customHeight="1" x14ac:dyDescent="0.35">
      <c r="BA1451" s="824" t="s">
        <v>165</v>
      </c>
      <c r="BB1451" s="1225">
        <v>2024</v>
      </c>
      <c r="BC1451" s="824" t="s">
        <v>292</v>
      </c>
      <c r="BE1451" s="1226">
        <v>7845796000</v>
      </c>
      <c r="BH1451" s="824" t="s">
        <v>345</v>
      </c>
      <c r="BI1451" s="824" t="s">
        <v>369</v>
      </c>
      <c r="BJ1451" s="824" t="s">
        <v>322</v>
      </c>
      <c r="BK1451" s="824">
        <v>9</v>
      </c>
      <c r="BL1451" s="1235" t="s">
        <v>172</v>
      </c>
      <c r="BM1451" s="1227">
        <v>1.1929062019706158E-2</v>
      </c>
      <c r="BN1451" s="824">
        <v>2022</v>
      </c>
    </row>
    <row r="1452" spans="53:66" ht="15" customHeight="1" x14ac:dyDescent="0.35">
      <c r="BA1452" s="824" t="s">
        <v>32</v>
      </c>
      <c r="BB1452" s="1225">
        <v>2024</v>
      </c>
      <c r="BC1452" s="824" t="s">
        <v>628</v>
      </c>
      <c r="BD1452" s="824">
        <v>1</v>
      </c>
      <c r="BE1452" s="1226">
        <v>7472618000</v>
      </c>
      <c r="BF1452" s="1227">
        <v>0.2864406119570479</v>
      </c>
      <c r="BH1452" s="824" t="s">
        <v>345</v>
      </c>
      <c r="BI1452" s="824" t="s">
        <v>369</v>
      </c>
      <c r="BJ1452" s="824" t="s">
        <v>287</v>
      </c>
      <c r="BK1452" s="824">
        <v>10</v>
      </c>
      <c r="BL1452" s="1235" t="s">
        <v>172</v>
      </c>
      <c r="BM1452" s="1227">
        <v>9.4482563507165482E-3</v>
      </c>
      <c r="BN1452" s="824">
        <v>2022</v>
      </c>
    </row>
    <row r="1453" spans="53:66" ht="15" customHeight="1" x14ac:dyDescent="0.35">
      <c r="BA1453" s="824" t="s">
        <v>32</v>
      </c>
      <c r="BB1453" s="1225">
        <v>2024</v>
      </c>
      <c r="BC1453" s="824" t="s">
        <v>630</v>
      </c>
      <c r="BD1453" s="824">
        <v>2</v>
      </c>
      <c r="BE1453" s="1226">
        <v>5380943000</v>
      </c>
      <c r="BF1453" s="1227">
        <v>0.20626246461762038</v>
      </c>
      <c r="BH1453" s="824" t="s">
        <v>345</v>
      </c>
      <c r="BI1453" s="824" t="s">
        <v>369</v>
      </c>
      <c r="BJ1453" s="824" t="s">
        <v>291</v>
      </c>
      <c r="BL1453" s="1235" t="s">
        <v>172</v>
      </c>
      <c r="BM1453" s="1227">
        <v>0</v>
      </c>
      <c r="BN1453" s="824">
        <v>2022</v>
      </c>
    </row>
    <row r="1454" spans="53:66" ht="15" customHeight="1" x14ac:dyDescent="0.35">
      <c r="BA1454" s="824" t="s">
        <v>32</v>
      </c>
      <c r="BB1454" s="1225">
        <v>2024</v>
      </c>
      <c r="BC1454" s="824" t="s">
        <v>287</v>
      </c>
      <c r="BD1454" s="824">
        <v>3</v>
      </c>
      <c r="BE1454" s="1226">
        <v>4824117000</v>
      </c>
      <c r="BF1454" s="1227">
        <v>0.18491819408303731</v>
      </c>
      <c r="BH1454" s="824" t="s">
        <v>345</v>
      </c>
      <c r="BI1454" s="824" t="s">
        <v>369</v>
      </c>
      <c r="BJ1454" s="824" t="s">
        <v>361</v>
      </c>
      <c r="BL1454" s="1235" t="s">
        <v>172</v>
      </c>
      <c r="BN1454" s="824">
        <v>2022</v>
      </c>
    </row>
    <row r="1455" spans="53:66" ht="15" customHeight="1" x14ac:dyDescent="0.35">
      <c r="BA1455" s="824" t="s">
        <v>32</v>
      </c>
      <c r="BB1455" s="1225">
        <v>2024</v>
      </c>
      <c r="BC1455" s="824" t="s">
        <v>627</v>
      </c>
      <c r="BD1455" s="824">
        <v>4</v>
      </c>
      <c r="BE1455" s="1226">
        <v>2931090000</v>
      </c>
      <c r="BF1455" s="1227">
        <v>0.1123546276955658</v>
      </c>
      <c r="BH1455" s="824" t="s">
        <v>61</v>
      </c>
      <c r="BI1455" s="824" t="s">
        <v>369</v>
      </c>
      <c r="BJ1455" s="824" t="s">
        <v>281</v>
      </c>
      <c r="BK1455" s="824">
        <v>1</v>
      </c>
      <c r="BL1455" s="1235" t="s">
        <v>172</v>
      </c>
      <c r="BM1455" s="1227">
        <v>0.4631091688301156</v>
      </c>
      <c r="BN1455" s="824">
        <v>2022</v>
      </c>
    </row>
    <row r="1456" spans="53:66" ht="15" customHeight="1" x14ac:dyDescent="0.35">
      <c r="BA1456" s="824" t="s">
        <v>32</v>
      </c>
      <c r="BB1456" s="1225">
        <v>2024</v>
      </c>
      <c r="BC1456" s="824" t="s">
        <v>306</v>
      </c>
      <c r="BD1456" s="824">
        <v>5</v>
      </c>
      <c r="BE1456" s="1226">
        <v>2366189000</v>
      </c>
      <c r="BF1456" s="1227">
        <v>9.0700826024565306E-2</v>
      </c>
      <c r="BH1456" s="824" t="s">
        <v>61</v>
      </c>
      <c r="BI1456" s="824" t="s">
        <v>369</v>
      </c>
      <c r="BJ1456" s="824" t="s">
        <v>308</v>
      </c>
      <c r="BK1456" s="824">
        <v>2</v>
      </c>
      <c r="BL1456" s="1235" t="s">
        <v>172</v>
      </c>
      <c r="BM1456" s="1227">
        <v>0.13910200514599041</v>
      </c>
      <c r="BN1456" s="824">
        <v>2022</v>
      </c>
    </row>
    <row r="1457" spans="53:66" ht="15" customHeight="1" x14ac:dyDescent="0.35">
      <c r="BA1457" s="824" t="s">
        <v>32</v>
      </c>
      <c r="BB1457" s="1225">
        <v>2024</v>
      </c>
      <c r="BC1457" s="824" t="s">
        <v>298</v>
      </c>
      <c r="BD1457" s="824">
        <v>6</v>
      </c>
      <c r="BE1457" s="1226">
        <v>1849564000</v>
      </c>
      <c r="BF1457" s="1227">
        <v>7.0897541398974945E-2</v>
      </c>
      <c r="BH1457" s="824" t="s">
        <v>61</v>
      </c>
      <c r="BI1457" s="824" t="s">
        <v>369</v>
      </c>
      <c r="BJ1457" s="824" t="s">
        <v>360</v>
      </c>
      <c r="BK1457" s="824">
        <v>3</v>
      </c>
      <c r="BL1457" s="1235" t="s">
        <v>172</v>
      </c>
      <c r="BM1457" s="1227">
        <v>0.11483980860828613</v>
      </c>
      <c r="BN1457" s="824">
        <v>2022</v>
      </c>
    </row>
    <row r="1458" spans="53:66" ht="15" customHeight="1" x14ac:dyDescent="0.35">
      <c r="BA1458" s="824" t="s">
        <v>32</v>
      </c>
      <c r="BB1458" s="1225">
        <v>2024</v>
      </c>
      <c r="BC1458" s="824" t="s">
        <v>320</v>
      </c>
      <c r="BD1458" s="824">
        <v>7</v>
      </c>
      <c r="BE1458" s="1226">
        <v>940045000</v>
      </c>
      <c r="BF1458" s="1227">
        <v>3.6033832462352963E-2</v>
      </c>
      <c r="BH1458" s="824" t="s">
        <v>61</v>
      </c>
      <c r="BI1458" s="824" t="s">
        <v>369</v>
      </c>
      <c r="BJ1458" s="824" t="s">
        <v>312</v>
      </c>
      <c r="BK1458" s="824">
        <v>4</v>
      </c>
      <c r="BL1458" s="1235" t="s">
        <v>172</v>
      </c>
      <c r="BM1458" s="1227">
        <v>9.2479498400683965E-2</v>
      </c>
      <c r="BN1458" s="824">
        <v>2022</v>
      </c>
    </row>
    <row r="1459" spans="53:66" ht="15" customHeight="1" x14ac:dyDescent="0.35">
      <c r="BA1459" s="824" t="s">
        <v>32</v>
      </c>
      <c r="BB1459" s="1225">
        <v>2024</v>
      </c>
      <c r="BC1459" s="824" t="s">
        <v>279</v>
      </c>
      <c r="BD1459" s="824">
        <v>8</v>
      </c>
      <c r="BE1459" s="1226">
        <v>215431000</v>
      </c>
      <c r="BF1459" s="1227">
        <v>8.257907399323609E-3</v>
      </c>
      <c r="BH1459" s="824" t="s">
        <v>61</v>
      </c>
      <c r="BI1459" s="824" t="s">
        <v>369</v>
      </c>
      <c r="BJ1459" s="824" t="s">
        <v>310</v>
      </c>
      <c r="BK1459" s="824">
        <v>5</v>
      </c>
      <c r="BL1459" s="1235" t="s">
        <v>172</v>
      </c>
      <c r="BM1459" s="1227">
        <v>7.2901627839940933E-2</v>
      </c>
      <c r="BN1459" s="824">
        <v>2022</v>
      </c>
    </row>
    <row r="1460" spans="53:66" ht="15" customHeight="1" x14ac:dyDescent="0.35">
      <c r="BA1460" s="824" t="s">
        <v>32</v>
      </c>
      <c r="BB1460" s="1225">
        <v>2024</v>
      </c>
      <c r="BC1460" s="824" t="s">
        <v>299</v>
      </c>
      <c r="BD1460" s="824">
        <v>9</v>
      </c>
      <c r="BE1460" s="1226">
        <v>46721000</v>
      </c>
      <c r="BF1460" s="1227">
        <v>1.7909107398832958E-3</v>
      </c>
      <c r="BH1460" s="824" t="s">
        <v>61</v>
      </c>
      <c r="BI1460" s="824" t="s">
        <v>369</v>
      </c>
      <c r="BJ1460" s="824" t="s">
        <v>305</v>
      </c>
      <c r="BK1460" s="824">
        <v>6</v>
      </c>
      <c r="BL1460" s="1235" t="s">
        <v>172</v>
      </c>
      <c r="BM1460" s="1227">
        <v>6.2098630263969674E-2</v>
      </c>
      <c r="BN1460" s="824">
        <v>2022</v>
      </c>
    </row>
    <row r="1461" spans="53:66" ht="15" customHeight="1" x14ac:dyDescent="0.35">
      <c r="BA1461" s="824" t="s">
        <v>32</v>
      </c>
      <c r="BB1461" s="1225">
        <v>2024</v>
      </c>
      <c r="BC1461" s="824" t="s">
        <v>335</v>
      </c>
      <c r="BD1461" s="824">
        <v>10</v>
      </c>
      <c r="BE1461" s="1226">
        <v>40411000</v>
      </c>
      <c r="BF1461" s="1227">
        <v>1.5490356351410257E-3</v>
      </c>
      <c r="BH1461" s="824" t="s">
        <v>61</v>
      </c>
      <c r="BI1461" s="824" t="s">
        <v>369</v>
      </c>
      <c r="BJ1461" s="824" t="s">
        <v>287</v>
      </c>
      <c r="BK1461" s="824">
        <v>7</v>
      </c>
      <c r="BL1461" s="1235" t="s">
        <v>172</v>
      </c>
      <c r="BM1461" s="1227">
        <v>1.4199716156403594E-2</v>
      </c>
      <c r="BN1461" s="824">
        <v>2022</v>
      </c>
    </row>
    <row r="1462" spans="53:66" ht="15" customHeight="1" x14ac:dyDescent="0.35">
      <c r="BA1462" s="824" t="s">
        <v>32</v>
      </c>
      <c r="BB1462" s="1225">
        <v>2024</v>
      </c>
      <c r="BC1462" s="824" t="s">
        <v>291</v>
      </c>
      <c r="BE1462" s="1226">
        <v>20715000</v>
      </c>
      <c r="BF1462" s="1227">
        <v>7.9404798648749974E-4</v>
      </c>
      <c r="BH1462" s="824" t="s">
        <v>61</v>
      </c>
      <c r="BI1462" s="824" t="s">
        <v>369</v>
      </c>
      <c r="BJ1462" s="824" t="s">
        <v>352</v>
      </c>
      <c r="BK1462" s="824">
        <v>8</v>
      </c>
      <c r="BL1462" s="1235" t="s">
        <v>172</v>
      </c>
      <c r="BM1462" s="1227">
        <v>1.1856651594163924E-2</v>
      </c>
      <c r="BN1462" s="824">
        <v>2022</v>
      </c>
    </row>
    <row r="1463" spans="53:66" ht="15" customHeight="1" x14ac:dyDescent="0.35">
      <c r="BA1463" s="824" t="s">
        <v>32</v>
      </c>
      <c r="BB1463" s="1225">
        <v>2024</v>
      </c>
      <c r="BC1463" s="824" t="s">
        <v>292</v>
      </c>
      <c r="BE1463" s="1226">
        <v>26087844000</v>
      </c>
      <c r="BH1463" s="824" t="s">
        <v>61</v>
      </c>
      <c r="BI1463" s="824" t="s">
        <v>369</v>
      </c>
      <c r="BJ1463" s="824" t="s">
        <v>298</v>
      </c>
      <c r="BK1463" s="824">
        <v>9</v>
      </c>
      <c r="BL1463" s="1235" t="s">
        <v>172</v>
      </c>
      <c r="BM1463" s="1227">
        <v>9.7339104920909861E-3</v>
      </c>
      <c r="BN1463" s="824">
        <v>2022</v>
      </c>
    </row>
    <row r="1464" spans="53:66" ht="15" customHeight="1" x14ac:dyDescent="0.35">
      <c r="BA1464" s="824" t="s">
        <v>40</v>
      </c>
      <c r="BB1464" s="1225">
        <v>2024</v>
      </c>
      <c r="BC1464" s="824" t="s">
        <v>627</v>
      </c>
      <c r="BD1464" s="824">
        <v>1</v>
      </c>
      <c r="BE1464" s="1226">
        <v>103668539000</v>
      </c>
      <c r="BF1464" s="1227">
        <v>0.84293351404200501</v>
      </c>
      <c r="BH1464" s="824" t="s">
        <v>61</v>
      </c>
      <c r="BI1464" s="824" t="s">
        <v>369</v>
      </c>
      <c r="BJ1464" s="824" t="s">
        <v>315</v>
      </c>
      <c r="BK1464" s="824">
        <v>10</v>
      </c>
      <c r="BL1464" s="1235" t="s">
        <v>172</v>
      </c>
      <c r="BM1464" s="1227">
        <v>6.6647787336051537E-3</v>
      </c>
      <c r="BN1464" s="824">
        <v>2022</v>
      </c>
    </row>
    <row r="1465" spans="53:66" ht="15" customHeight="1" x14ac:dyDescent="0.35">
      <c r="BA1465" s="824" t="s">
        <v>40</v>
      </c>
      <c r="BB1465" s="1225">
        <v>2024</v>
      </c>
      <c r="BC1465" s="824" t="s">
        <v>308</v>
      </c>
      <c r="BD1465" s="824">
        <v>2</v>
      </c>
      <c r="BE1465" s="1226">
        <v>7312802000</v>
      </c>
      <c r="BF1465" s="1227">
        <v>5.9460719200001483E-2</v>
      </c>
      <c r="BH1465" s="824" t="s">
        <v>61</v>
      </c>
      <c r="BI1465" s="824" t="s">
        <v>369</v>
      </c>
      <c r="BJ1465" s="824" t="s">
        <v>291</v>
      </c>
      <c r="BL1465" s="1235" t="s">
        <v>172</v>
      </c>
      <c r="BM1465" s="1227">
        <v>1.3014203934749564E-2</v>
      </c>
      <c r="BN1465" s="824">
        <v>2022</v>
      </c>
    </row>
    <row r="1466" spans="53:66" ht="15" customHeight="1" x14ac:dyDescent="0.35">
      <c r="BA1466" s="824" t="s">
        <v>40</v>
      </c>
      <c r="BB1466" s="1225">
        <v>2024</v>
      </c>
      <c r="BC1466" s="824" t="s">
        <v>320</v>
      </c>
      <c r="BD1466" s="824">
        <v>3</v>
      </c>
      <c r="BE1466" s="1226">
        <v>7025428000</v>
      </c>
      <c r="BF1466" s="1227">
        <v>5.7124068389630682E-2</v>
      </c>
      <c r="BH1466" s="824" t="s">
        <v>61</v>
      </c>
      <c r="BI1466" s="824" t="s">
        <v>369</v>
      </c>
      <c r="BJ1466" s="824" t="s">
        <v>292</v>
      </c>
      <c r="BL1466" s="1235" t="s">
        <v>172</v>
      </c>
      <c r="BN1466" s="824">
        <v>2022</v>
      </c>
    </row>
    <row r="1467" spans="53:66" ht="15" customHeight="1" x14ac:dyDescent="0.35">
      <c r="BA1467" s="824" t="s">
        <v>40</v>
      </c>
      <c r="BB1467" s="1225">
        <v>2024</v>
      </c>
      <c r="BC1467" s="824" t="s">
        <v>315</v>
      </c>
      <c r="BD1467" s="824">
        <v>4</v>
      </c>
      <c r="BE1467" s="1226">
        <v>1959175000</v>
      </c>
      <c r="BF1467" s="1227">
        <v>1.5930139300730815E-2</v>
      </c>
      <c r="BH1467" s="824" t="s">
        <v>71</v>
      </c>
      <c r="BI1467" s="824" t="s">
        <v>369</v>
      </c>
      <c r="BJ1467" s="824" t="s">
        <v>308</v>
      </c>
      <c r="BK1467" s="824">
        <v>1</v>
      </c>
      <c r="BL1467" s="1235" t="s">
        <v>172</v>
      </c>
      <c r="BM1467" s="1227">
        <v>0.36308152289908224</v>
      </c>
      <c r="BN1467" s="824">
        <v>2022</v>
      </c>
    </row>
    <row r="1468" spans="53:66" ht="15" customHeight="1" x14ac:dyDescent="0.35">
      <c r="BA1468" s="824" t="s">
        <v>40</v>
      </c>
      <c r="BB1468" s="1225">
        <v>2024</v>
      </c>
      <c r="BC1468" s="824" t="s">
        <v>330</v>
      </c>
      <c r="BD1468" s="824">
        <v>5</v>
      </c>
      <c r="BE1468" s="1226">
        <v>1289409000</v>
      </c>
      <c r="BF1468" s="1227">
        <v>1.0484242084354905E-2</v>
      </c>
      <c r="BH1468" s="824" t="s">
        <v>71</v>
      </c>
      <c r="BI1468" s="824" t="s">
        <v>369</v>
      </c>
      <c r="BJ1468" s="824" t="s">
        <v>360</v>
      </c>
      <c r="BK1468" s="824">
        <v>2</v>
      </c>
      <c r="BL1468" s="1235" t="s">
        <v>172</v>
      </c>
      <c r="BM1468" s="1227">
        <v>0.13769985431556217</v>
      </c>
      <c r="BN1468" s="824">
        <v>2022</v>
      </c>
    </row>
    <row r="1469" spans="53:66" ht="15" customHeight="1" x14ac:dyDescent="0.35">
      <c r="BA1469" s="824" t="s">
        <v>40</v>
      </c>
      <c r="BB1469" s="1225">
        <v>2024</v>
      </c>
      <c r="BC1469" s="824" t="s">
        <v>291</v>
      </c>
      <c r="BE1469" s="1226">
        <v>1730075000</v>
      </c>
      <c r="BF1469" s="1227">
        <v>1.4067316983277076E-2</v>
      </c>
      <c r="BH1469" s="824" t="s">
        <v>71</v>
      </c>
      <c r="BI1469" s="824" t="s">
        <v>369</v>
      </c>
      <c r="BJ1469" s="824" t="s">
        <v>281</v>
      </c>
      <c r="BK1469" s="824">
        <v>3</v>
      </c>
      <c r="BL1469" s="1235" t="s">
        <v>172</v>
      </c>
      <c r="BM1469" s="1227">
        <v>0.13328671583328253</v>
      </c>
      <c r="BN1469" s="824">
        <v>2022</v>
      </c>
    </row>
    <row r="1470" spans="53:66" ht="15" customHeight="1" x14ac:dyDescent="0.35">
      <c r="BA1470" s="824" t="s">
        <v>40</v>
      </c>
      <c r="BB1470" s="1225">
        <v>2024</v>
      </c>
      <c r="BC1470" s="824" t="s">
        <v>292</v>
      </c>
      <c r="BE1470" s="1226">
        <v>122985428000</v>
      </c>
      <c r="BH1470" s="824" t="s">
        <v>71</v>
      </c>
      <c r="BI1470" s="824" t="s">
        <v>369</v>
      </c>
      <c r="BJ1470" s="824" t="s">
        <v>315</v>
      </c>
      <c r="BK1470" s="824">
        <v>4</v>
      </c>
      <c r="BL1470" s="1235" t="s">
        <v>172</v>
      </c>
      <c r="BM1470" s="1227">
        <v>0.12771152997670998</v>
      </c>
      <c r="BN1470" s="824">
        <v>2022</v>
      </c>
    </row>
    <row r="1471" spans="53:66" ht="15" customHeight="1" x14ac:dyDescent="0.35">
      <c r="BA1471" s="824" t="s">
        <v>48</v>
      </c>
      <c r="BB1471" s="1225">
        <v>2024</v>
      </c>
      <c r="BC1471" s="824" t="s">
        <v>281</v>
      </c>
      <c r="BD1471" s="824">
        <v>1</v>
      </c>
      <c r="BE1471" s="1226">
        <v>4481820706</v>
      </c>
      <c r="BF1471" s="1227">
        <v>0.94436329078080827</v>
      </c>
      <c r="BH1471" s="824" t="s">
        <v>71</v>
      </c>
      <c r="BI1471" s="824" t="s">
        <v>369</v>
      </c>
      <c r="BJ1471" s="824" t="s">
        <v>306</v>
      </c>
      <c r="BK1471" s="824">
        <v>5</v>
      </c>
      <c r="BL1471" s="1235" t="s">
        <v>172</v>
      </c>
      <c r="BM1471" s="1227">
        <v>0.12721346257522223</v>
      </c>
      <c r="BN1471" s="824">
        <v>2022</v>
      </c>
    </row>
    <row r="1472" spans="53:66" ht="15" customHeight="1" x14ac:dyDescent="0.35">
      <c r="BA1472" s="824" t="s">
        <v>48</v>
      </c>
      <c r="BB1472" s="1225">
        <v>2024</v>
      </c>
      <c r="BC1472" s="824" t="s">
        <v>320</v>
      </c>
      <c r="BD1472" s="824">
        <v>2</v>
      </c>
      <c r="BE1472" s="1226">
        <v>157340096</v>
      </c>
      <c r="BF1472" s="1227">
        <v>3.3153091249591878E-2</v>
      </c>
      <c r="BH1472" s="824" t="s">
        <v>71</v>
      </c>
      <c r="BI1472" s="824" t="s">
        <v>369</v>
      </c>
      <c r="BJ1472" s="824" t="s">
        <v>323</v>
      </c>
      <c r="BK1472" s="824">
        <v>6</v>
      </c>
      <c r="BL1472" s="1235" t="s">
        <v>172</v>
      </c>
      <c r="BM1472" s="1227">
        <v>4.1650959839145713E-2</v>
      </c>
      <c r="BN1472" s="824">
        <v>2022</v>
      </c>
    </row>
    <row r="1473" spans="53:66" ht="15" customHeight="1" x14ac:dyDescent="0.35">
      <c r="BA1473" s="824" t="s">
        <v>48</v>
      </c>
      <c r="BB1473" s="1225">
        <v>2024</v>
      </c>
      <c r="BC1473" s="824" t="s">
        <v>289</v>
      </c>
      <c r="BD1473" s="824">
        <v>3</v>
      </c>
      <c r="BE1473" s="1226">
        <v>77645353</v>
      </c>
      <c r="BF1473" s="1227">
        <v>1.6360632404315886E-2</v>
      </c>
      <c r="BH1473" s="824" t="s">
        <v>71</v>
      </c>
      <c r="BI1473" s="824" t="s">
        <v>369</v>
      </c>
      <c r="BJ1473" s="824" t="s">
        <v>285</v>
      </c>
      <c r="BK1473" s="824">
        <v>7</v>
      </c>
      <c r="BL1473" s="1235" t="s">
        <v>172</v>
      </c>
      <c r="BM1473" s="1227">
        <v>2.259655114768867E-2</v>
      </c>
      <c r="BN1473" s="824">
        <v>2022</v>
      </c>
    </row>
    <row r="1474" spans="53:66" ht="15" customHeight="1" x14ac:dyDescent="0.35">
      <c r="BA1474" s="824" t="s">
        <v>48</v>
      </c>
      <c r="BB1474" s="1225">
        <v>2024</v>
      </c>
      <c r="BC1474" s="824" t="s">
        <v>319</v>
      </c>
      <c r="BD1474" s="824">
        <v>4</v>
      </c>
      <c r="BE1474" s="1226">
        <v>15197919</v>
      </c>
      <c r="BF1474" s="1227">
        <v>3.2023496122114106E-3</v>
      </c>
      <c r="BH1474" s="824" t="s">
        <v>71</v>
      </c>
      <c r="BI1474" s="824" t="s">
        <v>369</v>
      </c>
      <c r="BJ1474" s="824" t="s">
        <v>289</v>
      </c>
      <c r="BK1474" s="824">
        <v>8</v>
      </c>
      <c r="BL1474" s="1235" t="s">
        <v>172</v>
      </c>
      <c r="BM1474" s="1227">
        <v>2.0565609923989953E-2</v>
      </c>
      <c r="BN1474" s="824">
        <v>2022</v>
      </c>
    </row>
    <row r="1475" spans="53:66" ht="15" customHeight="1" x14ac:dyDescent="0.35">
      <c r="BA1475" s="824" t="s">
        <v>48</v>
      </c>
      <c r="BB1475" s="1225">
        <v>2024</v>
      </c>
      <c r="BC1475" s="824" t="s">
        <v>298</v>
      </c>
      <c r="BD1475" s="824">
        <v>5</v>
      </c>
      <c r="BE1475" s="1226">
        <v>12639502</v>
      </c>
      <c r="BF1475" s="1227">
        <v>2.6632662227141328E-3</v>
      </c>
      <c r="BH1475" s="824" t="s">
        <v>71</v>
      </c>
      <c r="BI1475" s="824" t="s">
        <v>369</v>
      </c>
      <c r="BJ1475" s="824" t="s">
        <v>287</v>
      </c>
      <c r="BK1475" s="824">
        <v>9</v>
      </c>
      <c r="BL1475" s="1235" t="s">
        <v>172</v>
      </c>
      <c r="BM1475" s="1227">
        <v>1.2767825106850619E-2</v>
      </c>
      <c r="BN1475" s="824">
        <v>2022</v>
      </c>
    </row>
    <row r="1476" spans="53:66" ht="15" customHeight="1" x14ac:dyDescent="0.35">
      <c r="BA1476" s="824" t="s">
        <v>48</v>
      </c>
      <c r="BB1476" s="1225">
        <v>2024</v>
      </c>
      <c r="BC1476" s="824" t="s">
        <v>291</v>
      </c>
      <c r="BE1476" s="1226">
        <v>1221442</v>
      </c>
      <c r="BF1476" s="1227">
        <v>2.573697303583951E-4</v>
      </c>
      <c r="BH1476" s="824" t="s">
        <v>71</v>
      </c>
      <c r="BI1476" s="824" t="s">
        <v>369</v>
      </c>
      <c r="BJ1476" s="824" t="s">
        <v>372</v>
      </c>
      <c r="BK1476" s="824">
        <v>10</v>
      </c>
      <c r="BL1476" s="1235" t="s">
        <v>172</v>
      </c>
      <c r="BM1476" s="1227">
        <v>5.8181027424528565E-3</v>
      </c>
      <c r="BN1476" s="824">
        <v>2022</v>
      </c>
    </row>
    <row r="1477" spans="53:66" ht="15" customHeight="1" x14ac:dyDescent="0.35">
      <c r="BA1477" s="824" t="s">
        <v>48</v>
      </c>
      <c r="BB1477" s="1225">
        <v>2024</v>
      </c>
      <c r="BC1477" s="824" t="s">
        <v>292</v>
      </c>
      <c r="BE1477" s="1226">
        <v>4745865018</v>
      </c>
      <c r="BH1477" s="824" t="s">
        <v>71</v>
      </c>
      <c r="BI1477" s="824" t="s">
        <v>369</v>
      </c>
      <c r="BJ1477" s="824" t="s">
        <v>291</v>
      </c>
      <c r="BL1477" s="1235" t="s">
        <v>172</v>
      </c>
      <c r="BM1477" s="1227">
        <v>7.6078656400128866E-3</v>
      </c>
      <c r="BN1477" s="824">
        <v>2022</v>
      </c>
    </row>
    <row r="1478" spans="53:66" ht="15" customHeight="1" x14ac:dyDescent="0.35">
      <c r="BA1478" s="824" t="s">
        <v>165</v>
      </c>
      <c r="BB1478" s="1225">
        <v>2025</v>
      </c>
      <c r="BC1478" s="824" t="s">
        <v>282</v>
      </c>
      <c r="BD1478" s="824">
        <v>1</v>
      </c>
      <c r="BE1478" s="1226">
        <v>1637906000</v>
      </c>
      <c r="BF1478" s="1227">
        <v>0.23107991619697943</v>
      </c>
      <c r="BH1478" s="824" t="s">
        <v>71</v>
      </c>
      <c r="BI1478" s="824" t="s">
        <v>369</v>
      </c>
      <c r="BJ1478" s="824" t="s">
        <v>292</v>
      </c>
      <c r="BL1478" s="1235" t="s">
        <v>172</v>
      </c>
      <c r="BN1478" s="824">
        <v>2022</v>
      </c>
    </row>
    <row r="1479" spans="53:66" ht="15" customHeight="1" x14ac:dyDescent="0.35">
      <c r="BA1479" s="824" t="s">
        <v>165</v>
      </c>
      <c r="BB1479" s="1225">
        <v>2025</v>
      </c>
      <c r="BC1479" s="824" t="s">
        <v>279</v>
      </c>
      <c r="BD1479" s="824">
        <v>2</v>
      </c>
      <c r="BE1479" s="1226">
        <v>1442738000</v>
      </c>
      <c r="BF1479" s="1227">
        <v>0.20354512171894951</v>
      </c>
      <c r="BH1479" s="824" t="s">
        <v>165</v>
      </c>
      <c r="BI1479" s="824" t="s">
        <v>615</v>
      </c>
      <c r="BJ1479" s="824" t="s">
        <v>282</v>
      </c>
      <c r="BK1479" s="824">
        <v>1</v>
      </c>
      <c r="BL1479" s="1226">
        <v>1295656000</v>
      </c>
      <c r="BM1479" s="1227">
        <v>0.2022133570851446</v>
      </c>
      <c r="BN1479" s="824">
        <v>2023</v>
      </c>
    </row>
    <row r="1480" spans="53:66" ht="15" customHeight="1" x14ac:dyDescent="0.35">
      <c r="BA1480" s="824" t="s">
        <v>165</v>
      </c>
      <c r="BB1480" s="1225">
        <v>2025</v>
      </c>
      <c r="BC1480" s="824" t="s">
        <v>283</v>
      </c>
      <c r="BD1480" s="824">
        <v>3</v>
      </c>
      <c r="BE1480" s="1226">
        <v>914015000</v>
      </c>
      <c r="BF1480" s="1227">
        <v>0.12895154520636848</v>
      </c>
      <c r="BH1480" s="824" t="s">
        <v>165</v>
      </c>
      <c r="BI1480" s="824" t="s">
        <v>615</v>
      </c>
      <c r="BJ1480" s="824" t="s">
        <v>279</v>
      </c>
      <c r="BK1480" s="824">
        <v>2</v>
      </c>
      <c r="BL1480" s="1226">
        <v>1195837000</v>
      </c>
      <c r="BM1480" s="1227">
        <v>0.18663458070400482</v>
      </c>
      <c r="BN1480" s="824">
        <v>2023</v>
      </c>
    </row>
    <row r="1481" spans="53:66" ht="15" customHeight="1" x14ac:dyDescent="0.35">
      <c r="BA1481" s="824" t="s">
        <v>165</v>
      </c>
      <c r="BB1481" s="1225">
        <v>2025</v>
      </c>
      <c r="BC1481" s="824" t="s">
        <v>284</v>
      </c>
      <c r="BD1481" s="824">
        <v>4</v>
      </c>
      <c r="BE1481" s="1226">
        <v>725985000</v>
      </c>
      <c r="BF1481" s="1227">
        <v>0.10242379780052342</v>
      </c>
      <c r="BH1481" s="824" t="s">
        <v>165</v>
      </c>
      <c r="BI1481" s="824" t="s">
        <v>615</v>
      </c>
      <c r="BJ1481" s="824" t="s">
        <v>283</v>
      </c>
      <c r="BK1481" s="824">
        <v>3</v>
      </c>
      <c r="BL1481" s="1226">
        <v>765988000</v>
      </c>
      <c r="BM1481" s="1227">
        <v>0.11954793939667299</v>
      </c>
      <c r="BN1481" s="824">
        <v>2023</v>
      </c>
    </row>
    <row r="1482" spans="53:66" ht="15" customHeight="1" x14ac:dyDescent="0.35">
      <c r="BA1482" s="824" t="s">
        <v>165</v>
      </c>
      <c r="BB1482" s="1225">
        <v>2025</v>
      </c>
      <c r="BC1482" s="824" t="s">
        <v>368</v>
      </c>
      <c r="BD1482" s="824">
        <v>5</v>
      </c>
      <c r="BE1482" s="1226">
        <v>474752000</v>
      </c>
      <c r="BF1482" s="1227">
        <v>6.6979211489760937E-2</v>
      </c>
      <c r="BH1482" s="824" t="s">
        <v>165</v>
      </c>
      <c r="BI1482" s="824" t="s">
        <v>615</v>
      </c>
      <c r="BJ1482" s="824" t="s">
        <v>288</v>
      </c>
      <c r="BK1482" s="824">
        <v>4</v>
      </c>
      <c r="BL1482" s="1226">
        <v>529796000</v>
      </c>
      <c r="BM1482" s="1227">
        <v>8.2685394680595214E-2</v>
      </c>
      <c r="BN1482" s="824">
        <v>2023</v>
      </c>
    </row>
    <row r="1483" spans="53:66" ht="15" customHeight="1" x14ac:dyDescent="0.35">
      <c r="BA1483" s="824" t="s">
        <v>165</v>
      </c>
      <c r="BB1483" s="1225">
        <v>2025</v>
      </c>
      <c r="BC1483" s="824" t="s">
        <v>296</v>
      </c>
      <c r="BD1483" s="824">
        <v>6</v>
      </c>
      <c r="BE1483" s="1226">
        <v>382521000</v>
      </c>
      <c r="BF1483" s="1227">
        <v>5.396702901362152E-2</v>
      </c>
      <c r="BH1483" s="824" t="s">
        <v>165</v>
      </c>
      <c r="BI1483" s="824" t="s">
        <v>615</v>
      </c>
      <c r="BJ1483" s="824" t="s">
        <v>281</v>
      </c>
      <c r="BK1483" s="824">
        <v>5</v>
      </c>
      <c r="BL1483" s="1226">
        <v>498372000</v>
      </c>
      <c r="BM1483" s="1227">
        <v>7.7781043114250756E-2</v>
      </c>
      <c r="BN1483" s="824">
        <v>2023</v>
      </c>
    </row>
    <row r="1484" spans="53:66" ht="15" customHeight="1" x14ac:dyDescent="0.35">
      <c r="BA1484" s="824" t="s">
        <v>165</v>
      </c>
      <c r="BB1484" s="1225">
        <v>2025</v>
      </c>
      <c r="BC1484" s="824" t="s">
        <v>288</v>
      </c>
      <c r="BD1484" s="824">
        <v>7</v>
      </c>
      <c r="BE1484" s="1226">
        <v>368461000</v>
      </c>
      <c r="BF1484" s="1227">
        <v>5.1983408694916092E-2</v>
      </c>
      <c r="BH1484" s="824" t="s">
        <v>165</v>
      </c>
      <c r="BI1484" s="824" t="s">
        <v>615</v>
      </c>
      <c r="BJ1484" s="824" t="s">
        <v>284</v>
      </c>
      <c r="BK1484" s="824">
        <v>6</v>
      </c>
      <c r="BL1484" s="1226">
        <v>493005000</v>
      </c>
      <c r="BM1484" s="1227">
        <v>7.694341407731814E-2</v>
      </c>
      <c r="BN1484" s="824">
        <v>2023</v>
      </c>
    </row>
    <row r="1485" spans="53:66" ht="15" customHeight="1" x14ac:dyDescent="0.35">
      <c r="BA1485" s="824" t="s">
        <v>165</v>
      </c>
      <c r="BB1485" s="1225">
        <v>2025</v>
      </c>
      <c r="BC1485" s="824" t="s">
        <v>627</v>
      </c>
      <c r="BD1485" s="824">
        <v>8</v>
      </c>
      <c r="BE1485" s="1226">
        <v>295217000</v>
      </c>
      <c r="BF1485" s="1227">
        <v>4.1649960144186343E-2</v>
      </c>
      <c r="BH1485" s="824" t="s">
        <v>165</v>
      </c>
      <c r="BI1485" s="824" t="s">
        <v>615</v>
      </c>
      <c r="BJ1485" s="824" t="s">
        <v>368</v>
      </c>
      <c r="BK1485" s="824">
        <v>7</v>
      </c>
      <c r="BL1485" s="1226">
        <v>369998000</v>
      </c>
      <c r="BM1485" s="1227">
        <v>5.7745680716786964E-2</v>
      </c>
      <c r="BN1485" s="824">
        <v>2023</v>
      </c>
    </row>
    <row r="1486" spans="53:66" ht="15" customHeight="1" x14ac:dyDescent="0.35">
      <c r="BA1486" s="824" t="s">
        <v>165</v>
      </c>
      <c r="BB1486" s="1225">
        <v>2025</v>
      </c>
      <c r="BC1486" s="824" t="s">
        <v>304</v>
      </c>
      <c r="BD1486" s="824">
        <v>9</v>
      </c>
      <c r="BE1486" s="1226">
        <v>278368000</v>
      </c>
      <c r="BF1486" s="1227">
        <v>3.9272860659842979E-2</v>
      </c>
      <c r="BH1486" s="824" t="s">
        <v>165</v>
      </c>
      <c r="BI1486" s="824" t="s">
        <v>615</v>
      </c>
      <c r="BJ1486" s="824" t="s">
        <v>296</v>
      </c>
      <c r="BK1486" s="824">
        <v>8</v>
      </c>
      <c r="BL1486" s="1226">
        <v>305344000</v>
      </c>
      <c r="BM1486" s="1227">
        <v>4.765511471085411E-2</v>
      </c>
      <c r="BN1486" s="824">
        <v>2023</v>
      </c>
    </row>
    <row r="1487" spans="53:66" ht="15" customHeight="1" x14ac:dyDescent="0.35">
      <c r="BA1487" s="824" t="s">
        <v>165</v>
      </c>
      <c r="BB1487" s="1225">
        <v>2025</v>
      </c>
      <c r="BC1487" s="824" t="s">
        <v>289</v>
      </c>
      <c r="BD1487" s="824">
        <v>10</v>
      </c>
      <c r="BE1487" s="1226">
        <v>172931000</v>
      </c>
      <c r="BF1487" s="1227">
        <v>2.4397542342393184E-2</v>
      </c>
      <c r="BH1487" s="824" t="s">
        <v>165</v>
      </c>
      <c r="BI1487" s="824" t="s">
        <v>615</v>
      </c>
      <c r="BJ1487" s="824" t="s">
        <v>304</v>
      </c>
      <c r="BK1487" s="824">
        <v>9</v>
      </c>
      <c r="BL1487" s="1226">
        <v>305213000</v>
      </c>
      <c r="BM1487" s="1227">
        <v>4.7634669507977609E-2</v>
      </c>
      <c r="BN1487" s="824">
        <v>2023</v>
      </c>
    </row>
    <row r="1488" spans="53:66" ht="15" customHeight="1" x14ac:dyDescent="0.35">
      <c r="BA1488" s="824" t="s">
        <v>165</v>
      </c>
      <c r="BB1488" s="1225">
        <v>2025</v>
      </c>
      <c r="BC1488" s="824" t="s">
        <v>291</v>
      </c>
      <c r="BE1488" s="1226">
        <v>395156000</v>
      </c>
      <c r="BF1488" s="1227">
        <v>5.574960673245815E-2</v>
      </c>
      <c r="BH1488" s="824" t="s">
        <v>165</v>
      </c>
      <c r="BI1488" s="824" t="s">
        <v>615</v>
      </c>
      <c r="BJ1488" s="824" t="s">
        <v>299</v>
      </c>
      <c r="BK1488" s="824">
        <v>10</v>
      </c>
      <c r="BL1488" s="1226">
        <v>152596000</v>
      </c>
      <c r="BM1488" s="1227">
        <v>2.3815696016353666E-2</v>
      </c>
      <c r="BN1488" s="824">
        <v>2023</v>
      </c>
    </row>
    <row r="1489" spans="53:66" ht="15" customHeight="1" x14ac:dyDescent="0.35">
      <c r="BA1489" s="824" t="s">
        <v>165</v>
      </c>
      <c r="BB1489" s="1225">
        <v>2025</v>
      </c>
      <c r="BC1489" s="824" t="s">
        <v>292</v>
      </c>
      <c r="BE1489" s="1226">
        <v>7088050000</v>
      </c>
      <c r="BH1489" s="824" t="s">
        <v>165</v>
      </c>
      <c r="BI1489" s="824" t="s">
        <v>615</v>
      </c>
      <c r="BJ1489" s="824" t="s">
        <v>291</v>
      </c>
      <c r="BL1489" s="1226">
        <v>495566000</v>
      </c>
      <c r="BM1489" s="1227">
        <v>7.7343109990041153E-2</v>
      </c>
      <c r="BN1489" s="824">
        <v>2023</v>
      </c>
    </row>
    <row r="1490" spans="53:66" ht="15" customHeight="1" x14ac:dyDescent="0.35">
      <c r="BA1490" s="824" t="s">
        <v>32</v>
      </c>
      <c r="BB1490" s="1225">
        <v>2025</v>
      </c>
      <c r="BC1490" s="824" t="s">
        <v>298</v>
      </c>
      <c r="BD1490" s="824">
        <v>1</v>
      </c>
      <c r="BE1490" s="1226">
        <v>13137670000</v>
      </c>
      <c r="BF1490" s="1227">
        <v>0.38643154127700213</v>
      </c>
      <c r="BH1490" s="824" t="s">
        <v>165</v>
      </c>
      <c r="BI1490" s="824" t="s">
        <v>615</v>
      </c>
      <c r="BJ1490" s="824" t="s">
        <v>292</v>
      </c>
      <c r="BL1490" s="1226">
        <v>6407371000</v>
      </c>
      <c r="BN1490" s="824">
        <v>2023</v>
      </c>
    </row>
    <row r="1491" spans="53:66" ht="15" customHeight="1" x14ac:dyDescent="0.35">
      <c r="BA1491" s="824" t="s">
        <v>32</v>
      </c>
      <c r="BB1491" s="1225">
        <v>2025</v>
      </c>
      <c r="BC1491" s="824" t="s">
        <v>628</v>
      </c>
      <c r="BD1491" s="824">
        <v>2</v>
      </c>
      <c r="BE1491" s="1226">
        <v>7779084000</v>
      </c>
      <c r="BF1491" s="1227">
        <v>0.22881404540099323</v>
      </c>
      <c r="BH1491" s="824" t="s">
        <v>32</v>
      </c>
      <c r="BI1491" s="824" t="s">
        <v>615</v>
      </c>
      <c r="BJ1491" s="824" t="s">
        <v>327</v>
      </c>
      <c r="BK1491" s="824">
        <v>1</v>
      </c>
      <c r="BL1491" s="1226">
        <v>9051683000</v>
      </c>
      <c r="BM1491" s="1227">
        <v>0.36306283830262581</v>
      </c>
      <c r="BN1491" s="824">
        <v>2023</v>
      </c>
    </row>
    <row r="1492" spans="53:66" ht="15" customHeight="1" x14ac:dyDescent="0.35">
      <c r="BA1492" s="824" t="s">
        <v>32</v>
      </c>
      <c r="BB1492" s="1225">
        <v>2025</v>
      </c>
      <c r="BC1492" s="824" t="s">
        <v>630</v>
      </c>
      <c r="BD1492" s="824">
        <v>3</v>
      </c>
      <c r="BE1492" s="1226">
        <v>3355619000</v>
      </c>
      <c r="BF1492" s="1227">
        <v>9.870220686837107E-2</v>
      </c>
      <c r="BH1492" s="824" t="s">
        <v>32</v>
      </c>
      <c r="BI1492" s="824" t="s">
        <v>615</v>
      </c>
      <c r="BJ1492" s="824" t="s">
        <v>281</v>
      </c>
      <c r="BK1492" s="824">
        <v>2</v>
      </c>
      <c r="BL1492" s="1226">
        <v>5117651000</v>
      </c>
      <c r="BM1492" s="1227">
        <v>0.20526888728894629</v>
      </c>
      <c r="BN1492" s="824">
        <v>2023</v>
      </c>
    </row>
    <row r="1493" spans="53:66" ht="15" customHeight="1" x14ac:dyDescent="0.35">
      <c r="BA1493" s="824" t="s">
        <v>32</v>
      </c>
      <c r="BB1493" s="1225">
        <v>2025</v>
      </c>
      <c r="BC1493" s="824" t="s">
        <v>287</v>
      </c>
      <c r="BD1493" s="824">
        <v>4</v>
      </c>
      <c r="BE1493" s="1226">
        <v>3173124000</v>
      </c>
      <c r="BF1493" s="1227">
        <v>9.3334297328449112E-2</v>
      </c>
      <c r="BH1493" s="824" t="s">
        <v>32</v>
      </c>
      <c r="BI1493" s="824" t="s">
        <v>615</v>
      </c>
      <c r="BJ1493" s="824" t="s">
        <v>314</v>
      </c>
      <c r="BK1493" s="824">
        <v>3</v>
      </c>
      <c r="BL1493" s="1226">
        <v>3178754000</v>
      </c>
      <c r="BM1493" s="1227">
        <v>0.12749976435385829</v>
      </c>
      <c r="BN1493" s="824">
        <v>2023</v>
      </c>
    </row>
    <row r="1494" spans="53:66" ht="15" customHeight="1" x14ac:dyDescent="0.35">
      <c r="BA1494" s="824" t="s">
        <v>32</v>
      </c>
      <c r="BB1494" s="1225">
        <v>2025</v>
      </c>
      <c r="BC1494" s="824" t="s">
        <v>627</v>
      </c>
      <c r="BD1494" s="824">
        <v>5</v>
      </c>
      <c r="BE1494" s="1226">
        <v>3162014000</v>
      </c>
      <c r="BF1494" s="1227">
        <v>9.3007507690439681E-2</v>
      </c>
      <c r="BH1494" s="824" t="s">
        <v>32</v>
      </c>
      <c r="BI1494" s="824" t="s">
        <v>615</v>
      </c>
      <c r="BJ1494" s="824" t="s">
        <v>287</v>
      </c>
      <c r="BK1494" s="824">
        <v>4</v>
      </c>
      <c r="BL1494" s="1226">
        <v>2812402000</v>
      </c>
      <c r="BM1494" s="1227">
        <v>0.1128053923859222</v>
      </c>
      <c r="BN1494" s="824">
        <v>2023</v>
      </c>
    </row>
    <row r="1495" spans="53:66" ht="15" customHeight="1" x14ac:dyDescent="0.35">
      <c r="BA1495" s="824" t="s">
        <v>32</v>
      </c>
      <c r="BB1495" s="1225">
        <v>2025</v>
      </c>
      <c r="BC1495" s="824" t="s">
        <v>320</v>
      </c>
      <c r="BD1495" s="824">
        <v>6</v>
      </c>
      <c r="BE1495" s="1226">
        <v>1919547000</v>
      </c>
      <c r="BF1495" s="1227">
        <v>5.6461572391728942E-2</v>
      </c>
      <c r="BH1495" s="824" t="s">
        <v>32</v>
      </c>
      <c r="BI1495" s="824" t="s">
        <v>615</v>
      </c>
      <c r="BJ1495" s="824" t="s">
        <v>306</v>
      </c>
      <c r="BK1495" s="824">
        <v>5</v>
      </c>
      <c r="BL1495" s="1226">
        <v>1952822000</v>
      </c>
      <c r="BM1495" s="1227">
        <v>7.8327654428442792E-2</v>
      </c>
      <c r="BN1495" s="824">
        <v>2023</v>
      </c>
    </row>
    <row r="1496" spans="53:66" ht="15" customHeight="1" x14ac:dyDescent="0.35">
      <c r="BA1496" s="824" t="s">
        <v>32</v>
      </c>
      <c r="BB1496" s="1225">
        <v>2025</v>
      </c>
      <c r="BC1496" s="824" t="s">
        <v>306</v>
      </c>
      <c r="BD1496" s="824">
        <v>7</v>
      </c>
      <c r="BE1496" s="1226">
        <v>1034137000</v>
      </c>
      <c r="BF1496" s="1227">
        <v>3.0418114840879331E-2</v>
      </c>
      <c r="BH1496" s="824" t="s">
        <v>32</v>
      </c>
      <c r="BI1496" s="824" t="s">
        <v>615</v>
      </c>
      <c r="BJ1496" s="824" t="s">
        <v>298</v>
      </c>
      <c r="BK1496" s="824">
        <v>6</v>
      </c>
      <c r="BL1496" s="1226">
        <v>1705817000</v>
      </c>
      <c r="BM1496" s="1227">
        <v>6.8420288430877468E-2</v>
      </c>
      <c r="BN1496" s="824">
        <v>2023</v>
      </c>
    </row>
    <row r="1497" spans="53:66" ht="15" customHeight="1" x14ac:dyDescent="0.35">
      <c r="BA1497" s="824" t="s">
        <v>32</v>
      </c>
      <c r="BB1497" s="1225">
        <v>2025</v>
      </c>
      <c r="BC1497" s="824" t="s">
        <v>279</v>
      </c>
      <c r="BD1497" s="824">
        <v>8</v>
      </c>
      <c r="BE1497" s="1226">
        <v>175737000</v>
      </c>
      <c r="BF1497" s="1227">
        <v>5.1691296683046934E-3</v>
      </c>
      <c r="BH1497" s="824" t="s">
        <v>32</v>
      </c>
      <c r="BI1497" s="824" t="s">
        <v>615</v>
      </c>
      <c r="BJ1497" s="824" t="s">
        <v>320</v>
      </c>
      <c r="BK1497" s="824">
        <v>7</v>
      </c>
      <c r="BL1497" s="1226">
        <v>864724000</v>
      </c>
      <c r="BM1497" s="1227">
        <v>3.4684063702672727E-2</v>
      </c>
      <c r="BN1497" s="824">
        <v>2023</v>
      </c>
    </row>
    <row r="1498" spans="53:66" ht="15" customHeight="1" x14ac:dyDescent="0.35">
      <c r="BA1498" s="824" t="s">
        <v>32</v>
      </c>
      <c r="BB1498" s="1225">
        <v>2025</v>
      </c>
      <c r="BC1498" s="824" t="s">
        <v>335</v>
      </c>
      <c r="BD1498" s="824">
        <v>9</v>
      </c>
      <c r="BE1498" s="1226">
        <v>136070000</v>
      </c>
      <c r="BF1498" s="1227">
        <v>4.0023641803730555E-3</v>
      </c>
      <c r="BH1498" s="824" t="s">
        <v>32</v>
      </c>
      <c r="BI1498" s="824" t="s">
        <v>615</v>
      </c>
      <c r="BJ1498" s="824" t="s">
        <v>279</v>
      </c>
      <c r="BK1498" s="824">
        <v>8</v>
      </c>
      <c r="BL1498" s="1226">
        <v>197243000</v>
      </c>
      <c r="BM1498" s="1227">
        <v>7.9114130947056834E-3</v>
      </c>
      <c r="BN1498" s="824">
        <v>2023</v>
      </c>
    </row>
    <row r="1499" spans="53:66" ht="15" customHeight="1" x14ac:dyDescent="0.35">
      <c r="BA1499" s="824" t="s">
        <v>32</v>
      </c>
      <c r="BB1499" s="1225">
        <v>2025</v>
      </c>
      <c r="BC1499" s="824" t="s">
        <v>299</v>
      </c>
      <c r="BD1499" s="824">
        <v>10</v>
      </c>
      <c r="BE1499" s="1226">
        <v>83310000</v>
      </c>
      <c r="BF1499" s="1227">
        <v>2.4504810749384821E-3</v>
      </c>
      <c r="BH1499" s="824" t="s">
        <v>32</v>
      </c>
      <c r="BI1499" s="824" t="s">
        <v>615</v>
      </c>
      <c r="BJ1499" s="824" t="s">
        <v>335</v>
      </c>
      <c r="BK1499" s="824">
        <v>9</v>
      </c>
      <c r="BL1499" s="1226">
        <v>30732000</v>
      </c>
      <c r="BM1499" s="1227">
        <v>1.2326599535927513E-3</v>
      </c>
      <c r="BN1499" s="824">
        <v>2023</v>
      </c>
    </row>
    <row r="1500" spans="53:66" ht="15" customHeight="1" x14ac:dyDescent="0.35">
      <c r="BA1500" s="824" t="s">
        <v>32</v>
      </c>
      <c r="BB1500" s="1225">
        <v>2025</v>
      </c>
      <c r="BC1500" s="824" t="s">
        <v>291</v>
      </c>
      <c r="BE1500" s="1226">
        <v>41094000</v>
      </c>
      <c r="BF1500" s="1227">
        <v>1.2087392785202495E-3</v>
      </c>
      <c r="BH1500" s="824" t="s">
        <v>32</v>
      </c>
      <c r="BI1500" s="824" t="s">
        <v>615</v>
      </c>
      <c r="BJ1500" s="824" t="s">
        <v>299</v>
      </c>
      <c r="BK1500" s="824">
        <v>10</v>
      </c>
      <c r="BL1500" s="1226">
        <v>16220000</v>
      </c>
      <c r="BM1500" s="1227">
        <v>6.5058390105669751E-4</v>
      </c>
      <c r="BN1500" s="824">
        <v>2023</v>
      </c>
    </row>
    <row r="1501" spans="53:66" ht="15" customHeight="1" x14ac:dyDescent="0.35">
      <c r="BA1501" s="824" t="s">
        <v>32</v>
      </c>
      <c r="BB1501" s="1225">
        <v>2025</v>
      </c>
      <c r="BC1501" s="824" t="s">
        <v>292</v>
      </c>
      <c r="BE1501" s="1226">
        <v>33997406000</v>
      </c>
      <c r="BH1501" s="824" t="s">
        <v>32</v>
      </c>
      <c r="BI1501" s="824" t="s">
        <v>615</v>
      </c>
      <c r="BJ1501" s="824" t="s">
        <v>291</v>
      </c>
      <c r="BL1501" s="1226">
        <v>3402000</v>
      </c>
      <c r="BM1501" s="1227">
        <v>1.3645415729931473E-4</v>
      </c>
      <c r="BN1501" s="824">
        <v>2023</v>
      </c>
    </row>
    <row r="1502" spans="53:66" ht="15" customHeight="1" x14ac:dyDescent="0.35">
      <c r="BA1502" s="824" t="s">
        <v>40</v>
      </c>
      <c r="BB1502" s="1225">
        <v>2025</v>
      </c>
      <c r="BC1502" s="824" t="s">
        <v>627</v>
      </c>
      <c r="BD1502" s="824">
        <v>1</v>
      </c>
      <c r="BE1502" s="1226">
        <v>102663988000</v>
      </c>
      <c r="BF1502" s="1227">
        <v>0.85798070193383058</v>
      </c>
      <c r="BH1502" s="824" t="s">
        <v>32</v>
      </c>
      <c r="BI1502" s="824" t="s">
        <v>615</v>
      </c>
      <c r="BJ1502" s="824" t="s">
        <v>292</v>
      </c>
      <c r="BL1502" s="1226">
        <v>24931450000</v>
      </c>
      <c r="BN1502" s="824">
        <v>2023</v>
      </c>
    </row>
    <row r="1503" spans="53:66" ht="15" customHeight="1" x14ac:dyDescent="0.35">
      <c r="BA1503" s="824" t="s">
        <v>40</v>
      </c>
      <c r="BB1503" s="1225">
        <v>2025</v>
      </c>
      <c r="BC1503" s="824" t="s">
        <v>308</v>
      </c>
      <c r="BD1503" s="824">
        <v>2</v>
      </c>
      <c r="BE1503" s="1226">
        <v>6485662000</v>
      </c>
      <c r="BF1503" s="1227">
        <v>5.4201798933288775E-2</v>
      </c>
      <c r="BH1503" s="824" t="s">
        <v>40</v>
      </c>
      <c r="BI1503" s="824" t="s">
        <v>615</v>
      </c>
      <c r="BJ1503" s="824" t="s">
        <v>281</v>
      </c>
      <c r="BK1503" s="824">
        <v>1</v>
      </c>
      <c r="BL1503" s="1226">
        <v>114954258000</v>
      </c>
      <c r="BM1503" s="1227">
        <v>0.8448925754288954</v>
      </c>
      <c r="BN1503" s="824">
        <v>2023</v>
      </c>
    </row>
    <row r="1504" spans="53:66" ht="15" customHeight="1" x14ac:dyDescent="0.35">
      <c r="BA1504" s="824" t="s">
        <v>40</v>
      </c>
      <c r="BB1504" s="1225">
        <v>2025</v>
      </c>
      <c r="BC1504" s="824" t="s">
        <v>320</v>
      </c>
      <c r="BD1504" s="824">
        <v>3</v>
      </c>
      <c r="BE1504" s="1226">
        <v>6190683000</v>
      </c>
      <c r="BF1504" s="1227">
        <v>5.1736608418034881E-2</v>
      </c>
      <c r="BH1504" s="824" t="s">
        <v>40</v>
      </c>
      <c r="BI1504" s="824" t="s">
        <v>615</v>
      </c>
      <c r="BJ1504" s="824" t="s">
        <v>308</v>
      </c>
      <c r="BK1504" s="824">
        <v>2</v>
      </c>
      <c r="BL1504" s="1226">
        <v>8191001000</v>
      </c>
      <c r="BM1504" s="1227">
        <v>6.0202345268764702E-2</v>
      </c>
      <c r="BN1504" s="824">
        <v>2023</v>
      </c>
    </row>
    <row r="1505" spans="53:66" ht="15" customHeight="1" x14ac:dyDescent="0.35">
      <c r="BA1505" s="824" t="s">
        <v>40</v>
      </c>
      <c r="BB1505" s="1225">
        <v>2025</v>
      </c>
      <c r="BC1505" s="824" t="s">
        <v>315</v>
      </c>
      <c r="BD1505" s="824">
        <v>4</v>
      </c>
      <c r="BE1505" s="1226">
        <v>1672002000</v>
      </c>
      <c r="BF1505" s="1227">
        <v>1.3973209862008951E-2</v>
      </c>
      <c r="BH1505" s="824" t="s">
        <v>40</v>
      </c>
      <c r="BI1505" s="824" t="s">
        <v>615</v>
      </c>
      <c r="BJ1505" s="824" t="s">
        <v>320</v>
      </c>
      <c r="BK1505" s="824">
        <v>3</v>
      </c>
      <c r="BL1505" s="1226">
        <v>7491153000</v>
      </c>
      <c r="BM1505" s="1227">
        <v>5.5058591662623717E-2</v>
      </c>
      <c r="BN1505" s="824">
        <v>2023</v>
      </c>
    </row>
    <row r="1506" spans="53:66" ht="15" customHeight="1" x14ac:dyDescent="0.35">
      <c r="BA1506" s="824" t="s">
        <v>40</v>
      </c>
      <c r="BB1506" s="1225">
        <v>2025</v>
      </c>
      <c r="BC1506" s="824" t="s">
        <v>330</v>
      </c>
      <c r="BD1506" s="824">
        <v>5</v>
      </c>
      <c r="BE1506" s="1226">
        <v>1389331000</v>
      </c>
      <c r="BF1506" s="1227">
        <v>1.1610879431241564E-2</v>
      </c>
      <c r="BH1506" s="824" t="s">
        <v>40</v>
      </c>
      <c r="BI1506" s="824" t="s">
        <v>615</v>
      </c>
      <c r="BJ1506" s="824" t="s">
        <v>315</v>
      </c>
      <c r="BK1506" s="824">
        <v>4</v>
      </c>
      <c r="BL1506" s="1226">
        <v>2234534000</v>
      </c>
      <c r="BM1506" s="1227">
        <v>1.6423412398898971E-2</v>
      </c>
      <c r="BN1506" s="824">
        <v>2023</v>
      </c>
    </row>
    <row r="1507" spans="53:66" ht="15" customHeight="1" x14ac:dyDescent="0.35">
      <c r="BA1507" s="824" t="s">
        <v>40</v>
      </c>
      <c r="BB1507" s="1225">
        <v>2025</v>
      </c>
      <c r="BC1507" s="824" t="s">
        <v>291</v>
      </c>
      <c r="BE1507" s="1226">
        <v>1256023000</v>
      </c>
      <c r="BF1507" s="1227">
        <v>1.0496801421595231E-2</v>
      </c>
      <c r="BH1507" s="824" t="s">
        <v>40</v>
      </c>
      <c r="BI1507" s="824" t="s">
        <v>615</v>
      </c>
      <c r="BJ1507" s="824" t="s">
        <v>330</v>
      </c>
      <c r="BK1507" s="824">
        <v>5</v>
      </c>
      <c r="BL1507" s="1226">
        <v>1284677000</v>
      </c>
      <c r="BM1507" s="1227">
        <v>9.4421387951046324E-3</v>
      </c>
      <c r="BN1507" s="824">
        <v>2023</v>
      </c>
    </row>
    <row r="1508" spans="53:66" ht="15" customHeight="1" x14ac:dyDescent="0.35">
      <c r="BA1508" s="824" t="s">
        <v>40</v>
      </c>
      <c r="BB1508" s="1225">
        <v>2025</v>
      </c>
      <c r="BC1508" s="824" t="s">
        <v>292</v>
      </c>
      <c r="BE1508" s="1226">
        <v>119657689000</v>
      </c>
      <c r="BH1508" s="824" t="s">
        <v>40</v>
      </c>
      <c r="BI1508" s="824" t="s">
        <v>615</v>
      </c>
      <c r="BJ1508" s="824" t="s">
        <v>291</v>
      </c>
      <c r="BL1508" s="1226">
        <v>1902216000</v>
      </c>
      <c r="BM1508" s="1227">
        <v>1.3980936445712621E-2</v>
      </c>
      <c r="BN1508" s="824">
        <v>2023</v>
      </c>
    </row>
    <row r="1509" spans="53:66" ht="15" customHeight="1" x14ac:dyDescent="0.35">
      <c r="BA1509" s="824" t="s">
        <v>48</v>
      </c>
      <c r="BB1509" s="1225">
        <v>2025</v>
      </c>
      <c r="BC1509" s="824" t="s">
        <v>281</v>
      </c>
      <c r="BD1509" s="824">
        <v>1</v>
      </c>
      <c r="BE1509" s="1226">
        <v>4440968465</v>
      </c>
      <c r="BF1509" s="1227">
        <v>0.94669951796583296</v>
      </c>
      <c r="BH1509" s="824" t="s">
        <v>40</v>
      </c>
      <c r="BI1509" s="824" t="s">
        <v>615</v>
      </c>
      <c r="BJ1509" s="824" t="s">
        <v>292</v>
      </c>
      <c r="BL1509" s="1226">
        <v>136057839000</v>
      </c>
      <c r="BN1509" s="824">
        <v>2023</v>
      </c>
    </row>
    <row r="1510" spans="53:66" ht="15" customHeight="1" x14ac:dyDescent="0.35">
      <c r="BA1510" s="824" t="s">
        <v>48</v>
      </c>
      <c r="BB1510" s="1225">
        <v>2025</v>
      </c>
      <c r="BC1510" s="824" t="s">
        <v>289</v>
      </c>
      <c r="BD1510" s="824">
        <v>2</v>
      </c>
      <c r="BE1510" s="1226">
        <v>121493920</v>
      </c>
      <c r="BF1510" s="1227">
        <v>2.5899358756149033E-2</v>
      </c>
      <c r="BH1510" s="824" t="s">
        <v>48</v>
      </c>
      <c r="BI1510" s="824" t="s">
        <v>615</v>
      </c>
      <c r="BJ1510" s="824" t="s">
        <v>281</v>
      </c>
      <c r="BK1510" s="824">
        <v>1</v>
      </c>
      <c r="BL1510" s="1226">
        <v>8994727717</v>
      </c>
      <c r="BM1510" s="1227">
        <v>0.97255497060580731</v>
      </c>
      <c r="BN1510" s="824">
        <v>2023</v>
      </c>
    </row>
    <row r="1511" spans="53:66" ht="15" customHeight="1" x14ac:dyDescent="0.35">
      <c r="BA1511" s="824" t="s">
        <v>48</v>
      </c>
      <c r="BB1511" s="1225">
        <v>2025</v>
      </c>
      <c r="BC1511" s="824" t="s">
        <v>320</v>
      </c>
      <c r="BD1511" s="824">
        <v>3</v>
      </c>
      <c r="BE1511" s="1226">
        <v>100307781</v>
      </c>
      <c r="BF1511" s="1227">
        <v>2.1383022345087141E-2</v>
      </c>
      <c r="BH1511" s="824" t="s">
        <v>48</v>
      </c>
      <c r="BI1511" s="824" t="s">
        <v>615</v>
      </c>
      <c r="BJ1511" s="824" t="s">
        <v>320</v>
      </c>
      <c r="BK1511" s="824">
        <v>2</v>
      </c>
      <c r="BL1511" s="1226">
        <v>130304451</v>
      </c>
      <c r="BM1511" s="1227">
        <v>1.4089169288870744E-2</v>
      </c>
      <c r="BN1511" s="824">
        <v>2023</v>
      </c>
    </row>
    <row r="1512" spans="53:66" ht="15" customHeight="1" x14ac:dyDescent="0.35">
      <c r="BA1512" s="824" t="s">
        <v>48</v>
      </c>
      <c r="BB1512" s="1225">
        <v>2025</v>
      </c>
      <c r="BC1512" s="824" t="s">
        <v>319</v>
      </c>
      <c r="BD1512" s="824">
        <v>4</v>
      </c>
      <c r="BE1512" s="1226">
        <v>24423508</v>
      </c>
      <c r="BF1512" s="1227">
        <v>5.2064596794282048E-3</v>
      </c>
      <c r="BH1512" s="824" t="s">
        <v>48</v>
      </c>
      <c r="BI1512" s="824" t="s">
        <v>615</v>
      </c>
      <c r="BJ1512" s="824" t="s">
        <v>319</v>
      </c>
      <c r="BK1512" s="824">
        <v>3</v>
      </c>
      <c r="BL1512" s="1226">
        <v>72174354</v>
      </c>
      <c r="BM1512" s="1227">
        <v>7.8038523167630351E-3</v>
      </c>
      <c r="BN1512" s="824">
        <v>2023</v>
      </c>
    </row>
    <row r="1513" spans="53:66" ht="15" customHeight="1" x14ac:dyDescent="0.35">
      <c r="BA1513" s="824" t="s">
        <v>48</v>
      </c>
      <c r="BB1513" s="1225">
        <v>2025</v>
      </c>
      <c r="BC1513" s="824" t="s">
        <v>298</v>
      </c>
      <c r="BD1513" s="824">
        <v>5</v>
      </c>
      <c r="BE1513" s="1226">
        <v>2713558</v>
      </c>
      <c r="BF1513" s="1227">
        <v>5.7846032252163943E-4</v>
      </c>
      <c r="BH1513" s="824" t="s">
        <v>48</v>
      </c>
      <c r="BI1513" s="824" t="s">
        <v>615</v>
      </c>
      <c r="BJ1513" s="824" t="s">
        <v>289</v>
      </c>
      <c r="BK1513" s="824">
        <v>4</v>
      </c>
      <c r="BL1513" s="1226">
        <v>30433722</v>
      </c>
      <c r="BM1513" s="1227">
        <v>3.2906463137504791E-3</v>
      </c>
      <c r="BN1513" s="824">
        <v>2023</v>
      </c>
    </row>
    <row r="1514" spans="53:66" ht="15" customHeight="1" x14ac:dyDescent="0.35">
      <c r="BA1514" s="824" t="s">
        <v>48</v>
      </c>
      <c r="BB1514" s="1225">
        <v>2025</v>
      </c>
      <c r="BC1514" s="824" t="s">
        <v>291</v>
      </c>
      <c r="BE1514" s="1226">
        <v>1093852</v>
      </c>
      <c r="BF1514" s="1227">
        <v>2.3318093098099996E-4</v>
      </c>
      <c r="BH1514" s="824" t="s">
        <v>48</v>
      </c>
      <c r="BI1514" s="824" t="s">
        <v>615</v>
      </c>
      <c r="BJ1514" s="824" t="s">
        <v>298</v>
      </c>
      <c r="BK1514" s="824">
        <v>5</v>
      </c>
      <c r="BL1514" s="1226">
        <v>18892519</v>
      </c>
      <c r="BM1514" s="1227">
        <v>2.0427536929203366E-3</v>
      </c>
      <c r="BN1514" s="824">
        <v>2023</v>
      </c>
    </row>
    <row r="1515" spans="53:66" ht="15" customHeight="1" x14ac:dyDescent="0.35">
      <c r="BA1515" s="824" t="s">
        <v>48</v>
      </c>
      <c r="BB1515" s="1225">
        <v>2025</v>
      </c>
      <c r="BC1515" s="824" t="s">
        <v>292</v>
      </c>
      <c r="BE1515" s="1226">
        <v>4691001084</v>
      </c>
      <c r="BH1515" s="824" t="s">
        <v>48</v>
      </c>
      <c r="BI1515" s="824" t="s">
        <v>615</v>
      </c>
      <c r="BJ1515" s="824" t="s">
        <v>291</v>
      </c>
      <c r="BL1515" s="1226">
        <v>2021806</v>
      </c>
      <c r="BM1515" s="1227">
        <v>2.1860778188808458E-4</v>
      </c>
      <c r="BN1515" s="824">
        <v>2023</v>
      </c>
    </row>
    <row r="1516" spans="53:66" ht="15" customHeight="1" x14ac:dyDescent="0.35">
      <c r="BH1516" s="824" t="s">
        <v>48</v>
      </c>
      <c r="BI1516" s="824" t="s">
        <v>615</v>
      </c>
      <c r="BJ1516" s="824" t="s">
        <v>292</v>
      </c>
      <c r="BL1516" s="1226">
        <v>9248554569</v>
      </c>
      <c r="BN1516" s="824">
        <v>2023</v>
      </c>
    </row>
    <row r="1517" spans="53:66" ht="15" customHeight="1" x14ac:dyDescent="0.35">
      <c r="BH1517" s="824" t="s">
        <v>165</v>
      </c>
      <c r="BI1517" s="824" t="s">
        <v>626</v>
      </c>
      <c r="BJ1517" s="824" t="s">
        <v>282</v>
      </c>
      <c r="BK1517" s="824">
        <v>1</v>
      </c>
      <c r="BL1517" s="1226">
        <v>1952181000</v>
      </c>
      <c r="BM1517" s="1227">
        <v>0.22260433182986716</v>
      </c>
      <c r="BN1517" s="824">
        <v>2024</v>
      </c>
    </row>
    <row r="1518" spans="53:66" ht="15" customHeight="1" x14ac:dyDescent="0.35">
      <c r="BH1518" s="824" t="s">
        <v>165</v>
      </c>
      <c r="BI1518" s="824" t="s">
        <v>626</v>
      </c>
      <c r="BJ1518" s="824" t="s">
        <v>279</v>
      </c>
      <c r="BK1518" s="824">
        <v>2</v>
      </c>
      <c r="BL1518" s="1226">
        <v>1700033000</v>
      </c>
      <c r="BM1518" s="1227">
        <v>0.19385226577541967</v>
      </c>
      <c r="BN1518" s="824">
        <v>2024</v>
      </c>
    </row>
    <row r="1519" spans="53:66" ht="15" customHeight="1" x14ac:dyDescent="0.35">
      <c r="BH1519" s="824" t="s">
        <v>165</v>
      </c>
      <c r="BI1519" s="824" t="s">
        <v>626</v>
      </c>
      <c r="BJ1519" s="824" t="s">
        <v>283</v>
      </c>
      <c r="BK1519" s="824">
        <v>3</v>
      </c>
      <c r="BL1519" s="1226">
        <v>1171228000</v>
      </c>
      <c r="BM1519" s="1227">
        <v>0.13355340839831534</v>
      </c>
      <c r="BN1519" s="824">
        <v>2024</v>
      </c>
    </row>
    <row r="1520" spans="53:66" ht="15" customHeight="1" x14ac:dyDescent="0.35">
      <c r="BH1520" s="824" t="s">
        <v>165</v>
      </c>
      <c r="BI1520" s="824" t="s">
        <v>626</v>
      </c>
      <c r="BJ1520" s="824" t="s">
        <v>284</v>
      </c>
      <c r="BK1520" s="824">
        <v>4</v>
      </c>
      <c r="BL1520" s="1226">
        <v>937535000</v>
      </c>
      <c r="BM1520" s="1227">
        <v>0.1069057388849264</v>
      </c>
      <c r="BN1520" s="824">
        <v>2024</v>
      </c>
    </row>
    <row r="1521" spans="60:66" ht="15" customHeight="1" x14ac:dyDescent="0.35">
      <c r="BH1521" s="824" t="s">
        <v>165</v>
      </c>
      <c r="BI1521" s="824" t="s">
        <v>626</v>
      </c>
      <c r="BJ1521" s="824" t="s">
        <v>368</v>
      </c>
      <c r="BK1521" s="824">
        <v>5</v>
      </c>
      <c r="BL1521" s="1226">
        <v>595569000</v>
      </c>
      <c r="BM1521" s="1227">
        <v>6.7911858226046742E-2</v>
      </c>
      <c r="BN1521" s="824">
        <v>2024</v>
      </c>
    </row>
    <row r="1522" spans="60:66" ht="15" customHeight="1" x14ac:dyDescent="0.35">
      <c r="BH1522" s="824" t="s">
        <v>165</v>
      </c>
      <c r="BI1522" s="824" t="s">
        <v>626</v>
      </c>
      <c r="BJ1522" s="824" t="s">
        <v>288</v>
      </c>
      <c r="BK1522" s="824">
        <v>6</v>
      </c>
      <c r="BL1522" s="1226">
        <v>586393000</v>
      </c>
      <c r="BM1522" s="1227">
        <v>6.6865532424868021E-2</v>
      </c>
      <c r="BN1522" s="824">
        <v>2024</v>
      </c>
    </row>
    <row r="1523" spans="60:66" ht="15" customHeight="1" x14ac:dyDescent="0.35">
      <c r="BH1523" s="824" t="s">
        <v>165</v>
      </c>
      <c r="BI1523" s="824" t="s">
        <v>626</v>
      </c>
      <c r="BJ1523" s="824" t="s">
        <v>296</v>
      </c>
      <c r="BK1523" s="824">
        <v>7</v>
      </c>
      <c r="BL1523" s="1226">
        <v>496937000</v>
      </c>
      <c r="BM1523" s="1227">
        <v>5.6664996148686364E-2</v>
      </c>
      <c r="BN1523" s="824">
        <v>2024</v>
      </c>
    </row>
    <row r="1524" spans="60:66" ht="15" customHeight="1" x14ac:dyDescent="0.35">
      <c r="BH1524" s="824" t="s">
        <v>165</v>
      </c>
      <c r="BI1524" s="824" t="s">
        <v>626</v>
      </c>
      <c r="BJ1524" s="824" t="s">
        <v>304</v>
      </c>
      <c r="BK1524" s="824">
        <v>8</v>
      </c>
      <c r="BL1524" s="1226">
        <v>307471000</v>
      </c>
      <c r="BM1524" s="1227">
        <v>3.5060466479317792E-2</v>
      </c>
      <c r="BN1524" s="824">
        <v>2024</v>
      </c>
    </row>
    <row r="1525" spans="60:66" ht="15" customHeight="1" x14ac:dyDescent="0.35">
      <c r="BH1525" s="824" t="s">
        <v>165</v>
      </c>
      <c r="BI1525" s="824" t="s">
        <v>626</v>
      </c>
      <c r="BJ1525" s="824" t="s">
        <v>285</v>
      </c>
      <c r="BK1525" s="824">
        <v>9</v>
      </c>
      <c r="BL1525" s="1226">
        <v>193246000</v>
      </c>
      <c r="BM1525" s="1227">
        <v>2.2035557516846289E-2</v>
      </c>
      <c r="BN1525" s="824">
        <v>2024</v>
      </c>
    </row>
    <row r="1526" spans="60:66" ht="15" customHeight="1" x14ac:dyDescent="0.35">
      <c r="BH1526" s="824" t="s">
        <v>165</v>
      </c>
      <c r="BI1526" s="824" t="s">
        <v>626</v>
      </c>
      <c r="BJ1526" s="824" t="s">
        <v>289</v>
      </c>
      <c r="BK1526" s="824">
        <v>10</v>
      </c>
      <c r="BL1526" s="1226">
        <v>187117000</v>
      </c>
      <c r="BM1526" s="1227">
        <v>2.1336676649864564E-2</v>
      </c>
      <c r="BN1526" s="824">
        <v>2024</v>
      </c>
    </row>
    <row r="1527" spans="60:66" ht="15" customHeight="1" x14ac:dyDescent="0.35">
      <c r="BH1527" s="824" t="s">
        <v>165</v>
      </c>
      <c r="BI1527" s="824" t="s">
        <v>626</v>
      </c>
      <c r="BJ1527" s="824" t="s">
        <v>291</v>
      </c>
      <c r="BL1527" s="1226">
        <v>642025000</v>
      </c>
      <c r="BM1527" s="1227">
        <v>7.3209167665841665E-2</v>
      </c>
      <c r="BN1527" s="824">
        <v>2024</v>
      </c>
    </row>
    <row r="1528" spans="60:66" ht="15" customHeight="1" x14ac:dyDescent="0.35">
      <c r="BH1528" s="824" t="s">
        <v>165</v>
      </c>
      <c r="BI1528" s="824" t="s">
        <v>626</v>
      </c>
      <c r="BJ1528" s="824" t="s">
        <v>292</v>
      </c>
      <c r="BL1528" s="1226">
        <v>8769735000</v>
      </c>
      <c r="BM1528" s="1227">
        <v>1</v>
      </c>
      <c r="BN1528" s="824">
        <v>2024</v>
      </c>
    </row>
    <row r="1529" spans="60:66" ht="15" customHeight="1" x14ac:dyDescent="0.35">
      <c r="BH1529" s="824" t="s">
        <v>32</v>
      </c>
      <c r="BI1529" s="824" t="s">
        <v>626</v>
      </c>
      <c r="BJ1529" s="824" t="s">
        <v>298</v>
      </c>
      <c r="BK1529" s="824">
        <v>1</v>
      </c>
      <c r="BL1529" s="1226">
        <v>10124000000</v>
      </c>
      <c r="BM1529" s="1227">
        <v>0.33306769725962332</v>
      </c>
      <c r="BN1529" s="824">
        <v>2024</v>
      </c>
    </row>
    <row r="1530" spans="60:66" ht="15" customHeight="1" x14ac:dyDescent="0.35">
      <c r="BH1530" s="824" t="s">
        <v>32</v>
      </c>
      <c r="BI1530" s="824" t="s">
        <v>626</v>
      </c>
      <c r="BJ1530" s="824" t="s">
        <v>630</v>
      </c>
      <c r="BK1530" s="824">
        <v>2</v>
      </c>
      <c r="BL1530" s="1226">
        <v>5332257000</v>
      </c>
      <c r="BM1530" s="1227">
        <v>0.17542498618989602</v>
      </c>
      <c r="BN1530" s="824">
        <v>2024</v>
      </c>
    </row>
    <row r="1531" spans="60:66" ht="15" customHeight="1" x14ac:dyDescent="0.35">
      <c r="BH1531" s="824" t="s">
        <v>32</v>
      </c>
      <c r="BI1531" s="824" t="s">
        <v>626</v>
      </c>
      <c r="BJ1531" s="824" t="s">
        <v>287</v>
      </c>
      <c r="BK1531" s="824">
        <v>3</v>
      </c>
      <c r="BL1531" s="1226">
        <v>5283721000</v>
      </c>
      <c r="BM1531" s="1227">
        <v>0.17382820885344866</v>
      </c>
      <c r="BN1531" s="824">
        <v>2024</v>
      </c>
    </row>
    <row r="1532" spans="60:66" ht="15" customHeight="1" x14ac:dyDescent="0.35">
      <c r="BH1532" s="824" t="s">
        <v>32</v>
      </c>
      <c r="BI1532" s="824" t="s">
        <v>626</v>
      </c>
      <c r="BJ1532" s="824" t="s">
        <v>628</v>
      </c>
      <c r="BK1532" s="824">
        <v>4</v>
      </c>
      <c r="BL1532" s="1226">
        <v>4452807000</v>
      </c>
      <c r="BM1532" s="1227">
        <v>0.14649211515522834</v>
      </c>
      <c r="BN1532" s="824">
        <v>2024</v>
      </c>
    </row>
    <row r="1533" spans="60:66" ht="15" customHeight="1" x14ac:dyDescent="0.35">
      <c r="BH1533" s="824" t="s">
        <v>32</v>
      </c>
      <c r="BI1533" s="824" t="s">
        <v>626</v>
      </c>
      <c r="BJ1533" s="824" t="s">
        <v>627</v>
      </c>
      <c r="BK1533" s="824">
        <v>5</v>
      </c>
      <c r="BL1533" s="1226">
        <v>1983567000</v>
      </c>
      <c r="BM1533" s="1227">
        <v>6.5257022229373698E-2</v>
      </c>
      <c r="BN1533" s="824">
        <v>2024</v>
      </c>
    </row>
    <row r="1534" spans="60:66" ht="15" customHeight="1" x14ac:dyDescent="0.35">
      <c r="BH1534" s="824" t="s">
        <v>32</v>
      </c>
      <c r="BI1534" s="824" t="s">
        <v>626</v>
      </c>
      <c r="BJ1534" s="824" t="s">
        <v>306</v>
      </c>
      <c r="BK1534" s="824">
        <v>6</v>
      </c>
      <c r="BL1534" s="1226">
        <v>1849509000</v>
      </c>
      <c r="BM1534" s="1227">
        <v>6.0846671640749576E-2</v>
      </c>
      <c r="BN1534" s="824">
        <v>2024</v>
      </c>
    </row>
    <row r="1535" spans="60:66" ht="15" customHeight="1" x14ac:dyDescent="0.35">
      <c r="BH1535" s="824" t="s">
        <v>32</v>
      </c>
      <c r="BI1535" s="824" t="s">
        <v>626</v>
      </c>
      <c r="BJ1535" s="824" t="s">
        <v>320</v>
      </c>
      <c r="BK1535" s="824">
        <v>7</v>
      </c>
      <c r="BL1535" s="1226">
        <v>1113594000</v>
      </c>
      <c r="BM1535" s="1227">
        <v>3.6635933352640558E-2</v>
      </c>
      <c r="BN1535" s="824">
        <v>2024</v>
      </c>
    </row>
    <row r="1536" spans="60:66" ht="15" customHeight="1" x14ac:dyDescent="0.35">
      <c r="BH1536" s="824" t="s">
        <v>32</v>
      </c>
      <c r="BI1536" s="824" t="s">
        <v>626</v>
      </c>
      <c r="BJ1536" s="824" t="s">
        <v>279</v>
      </c>
      <c r="BK1536" s="824">
        <v>8</v>
      </c>
      <c r="BL1536" s="1226">
        <v>89298000</v>
      </c>
      <c r="BM1536" s="1227">
        <v>2.9377992127508738E-3</v>
      </c>
      <c r="BN1536" s="824">
        <v>2024</v>
      </c>
    </row>
    <row r="1537" spans="60:66" ht="15" customHeight="1" x14ac:dyDescent="0.35">
      <c r="BH1537" s="824" t="s">
        <v>32</v>
      </c>
      <c r="BI1537" s="824" t="s">
        <v>626</v>
      </c>
      <c r="BJ1537" s="824" t="s">
        <v>335</v>
      </c>
      <c r="BK1537" s="824">
        <v>9</v>
      </c>
      <c r="BL1537" s="1226">
        <v>73812000</v>
      </c>
      <c r="BM1537" s="1227">
        <v>2.428328019570063E-3</v>
      </c>
      <c r="BN1537" s="824">
        <v>2024</v>
      </c>
    </row>
    <row r="1538" spans="60:66" ht="15" customHeight="1" x14ac:dyDescent="0.35">
      <c r="BH1538" s="824" t="s">
        <v>32</v>
      </c>
      <c r="BI1538" s="824" t="s">
        <v>626</v>
      </c>
      <c r="BJ1538" s="824" t="s">
        <v>299</v>
      </c>
      <c r="BK1538" s="824">
        <v>10</v>
      </c>
      <c r="BL1538" s="1226">
        <v>71465000</v>
      </c>
      <c r="BM1538" s="1227">
        <v>2.3511144789272009E-3</v>
      </c>
      <c r="BN1538" s="824">
        <v>2024</v>
      </c>
    </row>
    <row r="1539" spans="60:66" ht="15" customHeight="1" x14ac:dyDescent="0.35">
      <c r="BH1539" s="824" t="s">
        <v>32</v>
      </c>
      <c r="BI1539" s="824" t="s">
        <v>626</v>
      </c>
      <c r="BJ1539" s="824" t="s">
        <v>291</v>
      </c>
      <c r="BL1539" s="1226">
        <v>22193000</v>
      </c>
      <c r="BM1539" s="1227">
        <v>7.3012360779166547E-4</v>
      </c>
      <c r="BN1539" s="824">
        <v>2024</v>
      </c>
    </row>
    <row r="1540" spans="60:66" ht="15" customHeight="1" x14ac:dyDescent="0.35">
      <c r="BH1540" s="824" t="s">
        <v>32</v>
      </c>
      <c r="BI1540" s="824" t="s">
        <v>626</v>
      </c>
      <c r="BJ1540" s="824" t="s">
        <v>292</v>
      </c>
      <c r="BL1540" s="1226">
        <v>30396223000</v>
      </c>
      <c r="BN1540" s="824">
        <v>2024</v>
      </c>
    </row>
    <row r="1541" spans="60:66" ht="15" customHeight="1" x14ac:dyDescent="0.35">
      <c r="BH1541" s="824" t="s">
        <v>40</v>
      </c>
      <c r="BI1541" s="824" t="s">
        <v>626</v>
      </c>
      <c r="BJ1541" s="824" t="s">
        <v>627</v>
      </c>
      <c r="BK1541" s="824">
        <v>1</v>
      </c>
      <c r="BL1541" s="1226">
        <v>97714955000</v>
      </c>
      <c r="BM1541" s="1227">
        <v>0.8493608785702923</v>
      </c>
      <c r="BN1541" s="824">
        <v>2024</v>
      </c>
    </row>
    <row r="1542" spans="60:66" ht="15" customHeight="1" x14ac:dyDescent="0.35">
      <c r="BH1542" s="824" t="s">
        <v>40</v>
      </c>
      <c r="BI1542" s="824" t="s">
        <v>626</v>
      </c>
      <c r="BJ1542" s="824" t="s">
        <v>320</v>
      </c>
      <c r="BK1542" s="824">
        <v>2</v>
      </c>
      <c r="BL1542" s="1226">
        <v>6436916000</v>
      </c>
      <c r="BM1542" s="1227">
        <v>5.5951155368624703E-2</v>
      </c>
      <c r="BN1542" s="824">
        <v>2024</v>
      </c>
    </row>
    <row r="1543" spans="60:66" ht="15" customHeight="1" x14ac:dyDescent="0.35">
      <c r="BH1543" s="824" t="s">
        <v>40</v>
      </c>
      <c r="BI1543" s="824" t="s">
        <v>626</v>
      </c>
      <c r="BJ1543" s="824" t="s">
        <v>308</v>
      </c>
      <c r="BK1543" s="824">
        <v>3</v>
      </c>
      <c r="BL1543" s="1226">
        <v>6419732000</v>
      </c>
      <c r="BM1543" s="1227">
        <v>5.5801788085619232E-2</v>
      </c>
      <c r="BN1543" s="824">
        <v>2024</v>
      </c>
    </row>
    <row r="1544" spans="60:66" ht="15" customHeight="1" x14ac:dyDescent="0.35">
      <c r="BH1544" s="824" t="s">
        <v>40</v>
      </c>
      <c r="BI1544" s="824" t="s">
        <v>626</v>
      </c>
      <c r="BJ1544" s="824" t="s">
        <v>315</v>
      </c>
      <c r="BK1544" s="824">
        <v>4</v>
      </c>
      <c r="BL1544" s="1226">
        <v>1633046000</v>
      </c>
      <c r="BM1544" s="1227">
        <v>1.4194811687788236E-2</v>
      </c>
      <c r="BN1544" s="824">
        <v>2024</v>
      </c>
    </row>
    <row r="1545" spans="60:66" ht="15" customHeight="1" x14ac:dyDescent="0.35">
      <c r="BH1545" s="824" t="s">
        <v>40</v>
      </c>
      <c r="BI1545" s="824" t="s">
        <v>626</v>
      </c>
      <c r="BJ1545" s="824" t="s">
        <v>330</v>
      </c>
      <c r="BK1545" s="824">
        <v>5</v>
      </c>
      <c r="BL1545" s="1226">
        <v>1392515000</v>
      </c>
      <c r="BM1545" s="1227">
        <v>1.2104060876068669E-2</v>
      </c>
      <c r="BN1545" s="824">
        <v>2024</v>
      </c>
    </row>
    <row r="1546" spans="60:66" ht="15" customHeight="1" x14ac:dyDescent="0.35">
      <c r="BH1546" s="824" t="s">
        <v>40</v>
      </c>
      <c r="BI1546" s="824" t="s">
        <v>626</v>
      </c>
      <c r="BJ1546" s="824" t="s">
        <v>291</v>
      </c>
      <c r="BL1546" s="1226">
        <v>1448110000</v>
      </c>
      <c r="BM1546" s="1227">
        <v>1.2587305411606912E-2</v>
      </c>
      <c r="BN1546" s="824">
        <v>2024</v>
      </c>
    </row>
    <row r="1547" spans="60:66" ht="15" customHeight="1" x14ac:dyDescent="0.35">
      <c r="BH1547" s="824" t="s">
        <v>40</v>
      </c>
      <c r="BI1547" s="824" t="s">
        <v>626</v>
      </c>
      <c r="BJ1547" s="824" t="s">
        <v>292</v>
      </c>
      <c r="BL1547" s="1226">
        <v>115045274000</v>
      </c>
      <c r="BN1547" s="824">
        <v>2024</v>
      </c>
    </row>
    <row r="1548" spans="60:66" ht="15" customHeight="1" x14ac:dyDescent="0.35">
      <c r="BH1548" s="824" t="s">
        <v>48</v>
      </c>
      <c r="BI1548" s="824" t="s">
        <v>626</v>
      </c>
      <c r="BJ1548" s="824" t="s">
        <v>627</v>
      </c>
      <c r="BK1548" s="824">
        <v>1</v>
      </c>
      <c r="BL1548" s="1226">
        <v>4066202717</v>
      </c>
      <c r="BM1548" s="1227">
        <v>0.94479667722233784</v>
      </c>
      <c r="BN1548" s="824">
        <v>2024</v>
      </c>
    </row>
    <row r="1549" spans="60:66" ht="15" customHeight="1" x14ac:dyDescent="0.35">
      <c r="BH1549" s="824" t="s">
        <v>48</v>
      </c>
      <c r="BI1549" s="824" t="s">
        <v>626</v>
      </c>
      <c r="BJ1549" s="824" t="s">
        <v>320</v>
      </c>
      <c r="BK1549" s="824">
        <v>2</v>
      </c>
      <c r="BL1549" s="1226">
        <v>110877659</v>
      </c>
      <c r="BM1549" s="1227">
        <v>2.5762818799816234E-2</v>
      </c>
      <c r="BN1549" s="824">
        <v>2024</v>
      </c>
    </row>
    <row r="1550" spans="60:66" ht="15" customHeight="1" x14ac:dyDescent="0.35">
      <c r="BH1550" s="824" t="s">
        <v>48</v>
      </c>
      <c r="BI1550" s="824" t="s">
        <v>626</v>
      </c>
      <c r="BJ1550" s="824" t="s">
        <v>289</v>
      </c>
      <c r="BK1550" s="824">
        <v>3</v>
      </c>
      <c r="BL1550" s="1226">
        <v>106902181</v>
      </c>
      <c r="BM1550" s="1227">
        <v>2.4839102333574319E-2</v>
      </c>
      <c r="BN1550" s="824">
        <v>2024</v>
      </c>
    </row>
    <row r="1551" spans="60:66" ht="15" customHeight="1" x14ac:dyDescent="0.35">
      <c r="BH1551" s="824" t="s">
        <v>48</v>
      </c>
      <c r="BI1551" s="824" t="s">
        <v>626</v>
      </c>
      <c r="BJ1551" s="824" t="s">
        <v>319</v>
      </c>
      <c r="BK1551" s="824">
        <v>4</v>
      </c>
      <c r="BL1551" s="1226">
        <v>14920275</v>
      </c>
      <c r="BM1551" s="1227">
        <v>3.4667790133306128E-3</v>
      </c>
      <c r="BN1551" s="824">
        <v>2024</v>
      </c>
    </row>
    <row r="1552" spans="60:66" ht="15" customHeight="1" x14ac:dyDescent="0.35">
      <c r="BH1552" s="824" t="s">
        <v>48</v>
      </c>
      <c r="BI1552" s="824" t="s">
        <v>626</v>
      </c>
      <c r="BJ1552" s="824" t="s">
        <v>298</v>
      </c>
      <c r="BK1552" s="824">
        <v>5</v>
      </c>
      <c r="BL1552" s="1226">
        <v>3798275</v>
      </c>
      <c r="BM1552" s="1227">
        <v>8.8254271833852478E-4</v>
      </c>
      <c r="BN1552" s="824">
        <v>2024</v>
      </c>
    </row>
    <row r="1553" spans="60:66" ht="15" customHeight="1" x14ac:dyDescent="0.35">
      <c r="BH1553" s="824" t="s">
        <v>48</v>
      </c>
      <c r="BI1553" s="824" t="s">
        <v>626</v>
      </c>
      <c r="BJ1553" s="824" t="s">
        <v>291</v>
      </c>
      <c r="BL1553" s="1226">
        <v>1084898</v>
      </c>
      <c r="BM1553" s="1227">
        <v>2.5207991260243898E-4</v>
      </c>
      <c r="BN1553" s="824">
        <v>2024</v>
      </c>
    </row>
    <row r="1554" spans="60:66" ht="15" customHeight="1" x14ac:dyDescent="0.35">
      <c r="BH1554" s="824" t="s">
        <v>48</v>
      </c>
      <c r="BI1554" s="824" t="s">
        <v>626</v>
      </c>
      <c r="BJ1554" s="824" t="s">
        <v>292</v>
      </c>
      <c r="BL1554" s="1226">
        <v>4303786005</v>
      </c>
      <c r="BN1554" s="824">
        <v>2024</v>
      </c>
    </row>
  </sheetData>
  <mergeCells count="2">
    <mergeCell ref="BA7:BF7"/>
    <mergeCell ref="BH7:BN7"/>
  </mergeCells>
  <hyperlinks>
    <hyperlink ref="AW548" location="'Calendar Commodity Summary'!AP10:BX50" display="Click for Summary Table" xr:uid="{4B84EFA4-F480-49AD-91C5-1D36830E7DAD}"/>
    <hyperlink ref="AV549" location="'Calendar Commodity Summary'!AP10:BX50" display="Click for Summary Table" xr:uid="{C8B69E3B-ABBF-4DBE-863F-D03CBE952F42}"/>
    <hyperlink ref="BI120" location="'Calendar Commodity Summary'!AP10:BX50" display="Click for Summary Table" xr:uid="{78D7688A-EB01-4C07-AE1C-4F4A9A54DCA8}"/>
    <hyperlink ref="BA535" location="'Calendar Commodity Summary'!AP10:BX50" display="Click for Summary Table" xr:uid="{ED36C821-3591-4917-98AC-E75591BC4950}"/>
    <hyperlink ref="AR552" location="'Calendar Commodity Summary'!AP10:BX50" display="Click for Summary Table" xr:uid="{8E65A57A-60DC-4278-9E5E-F5E75BC194CE}"/>
    <hyperlink ref="AS551" location="'Calendar Commodity Summary'!AP10:BX50" display="Click for Summary Table" xr:uid="{33E41F9B-0245-46EB-BEC5-41DE97D55AA2}"/>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7CC2F-44FB-41BA-991E-708490B04DF0}">
  <dimension ref="A7:BI230"/>
  <sheetViews>
    <sheetView showGridLines="0" zoomScale="85" zoomScaleNormal="85" workbookViewId="0">
      <pane xSplit="2" ySplit="10" topLeftCell="C11" activePane="bottomRight" state="frozen"/>
      <selection pane="topRight"/>
      <selection pane="bottomLeft"/>
      <selection pane="bottomRight"/>
    </sheetView>
  </sheetViews>
  <sheetFormatPr defaultColWidth="9.140625" defaultRowHeight="15" x14ac:dyDescent="0.25"/>
  <cols>
    <col min="1" max="1" width="40.7109375" style="29" customWidth="1"/>
    <col min="2" max="2" width="6.85546875" style="29" customWidth="1"/>
    <col min="3" max="3" width="21.7109375" style="200" bestFit="1" customWidth="1"/>
    <col min="4" max="4" width="20.42578125" style="200" bestFit="1" customWidth="1"/>
    <col min="5" max="5" width="14.85546875" style="29" bestFit="1" customWidth="1"/>
    <col min="6" max="6" width="12.7109375" style="29" bestFit="1" customWidth="1"/>
    <col min="7" max="7" width="14.85546875" style="29" bestFit="1" customWidth="1"/>
    <col min="8" max="8" width="12.7109375" style="29" bestFit="1" customWidth="1"/>
    <col min="9" max="9" width="14.85546875" style="29" bestFit="1" customWidth="1"/>
    <col min="10" max="10" width="12.7109375" style="29" bestFit="1" customWidth="1"/>
    <col min="11" max="11" width="14.85546875" style="29" bestFit="1" customWidth="1"/>
    <col min="12" max="12" width="12.7109375" style="29" bestFit="1" customWidth="1"/>
    <col min="13" max="13" width="14.85546875" style="29" bestFit="1" customWidth="1"/>
    <col min="14" max="14" width="12.7109375" style="29" bestFit="1" customWidth="1"/>
    <col min="15" max="15" width="14.85546875" style="29" bestFit="1" customWidth="1"/>
    <col min="16" max="16" width="12.7109375" style="29" bestFit="1" customWidth="1"/>
    <col min="17" max="17" width="14.85546875" style="29" bestFit="1" customWidth="1"/>
    <col min="18" max="18" width="12.7109375" style="29" bestFit="1" customWidth="1"/>
    <col min="19" max="19" width="14.85546875" style="29" bestFit="1" customWidth="1"/>
    <col min="20" max="20" width="12.7109375" style="29" bestFit="1" customWidth="1"/>
    <col min="21" max="21" width="14.85546875" style="29" bestFit="1" customWidth="1"/>
    <col min="22" max="22" width="12.7109375" style="29" bestFit="1" customWidth="1"/>
    <col min="23" max="23" width="14.85546875" style="29" bestFit="1" customWidth="1"/>
    <col min="24" max="24" width="12.7109375" style="29" bestFit="1" customWidth="1"/>
    <col min="25" max="25" width="14.85546875" style="29" bestFit="1" customWidth="1"/>
    <col min="26" max="26" width="13.85546875" style="29" bestFit="1" customWidth="1"/>
    <col min="27" max="27" width="14.85546875" style="29" bestFit="1" customWidth="1"/>
    <col min="28" max="28" width="13.85546875" style="29" bestFit="1" customWidth="1"/>
    <col min="29" max="29" width="14.85546875" style="29" bestFit="1" customWidth="1"/>
    <col min="30" max="30" width="13.85546875" style="29" bestFit="1" customWidth="1"/>
    <col min="31" max="31" width="14.85546875" style="201" bestFit="1" customWidth="1"/>
    <col min="32" max="32" width="13.85546875" style="201" bestFit="1" customWidth="1"/>
    <col min="33" max="33" width="14.85546875" style="29" bestFit="1" customWidth="1"/>
    <col min="34" max="34" width="13.85546875" style="29" bestFit="1" customWidth="1"/>
    <col min="35" max="35" width="14.85546875" style="29" bestFit="1" customWidth="1"/>
    <col min="36" max="36" width="13.85546875" style="29" bestFit="1" customWidth="1"/>
    <col min="37" max="37" width="14.85546875" style="29" bestFit="1" customWidth="1"/>
    <col min="38" max="38" width="13.85546875" style="29" bestFit="1" customWidth="1"/>
    <col min="39" max="39" width="14.85546875" style="29" bestFit="1" customWidth="1"/>
    <col min="40" max="40" width="13.85546875" style="29" bestFit="1" customWidth="1"/>
    <col min="41" max="41" width="14.85546875" style="202" bestFit="1" customWidth="1"/>
    <col min="42" max="42" width="13.85546875" style="202" bestFit="1" customWidth="1"/>
    <col min="43" max="43" width="14.85546875" style="29" bestFit="1" customWidth="1"/>
    <col min="44" max="44" width="13.85546875" style="29" bestFit="1" customWidth="1"/>
    <col min="45" max="45" width="14.85546875" style="29" bestFit="1" customWidth="1"/>
    <col min="46" max="46" width="13.85546875" style="29" bestFit="1" customWidth="1"/>
    <col min="47" max="47" width="14.85546875" style="29" bestFit="1" customWidth="1"/>
    <col min="48" max="48" width="13.85546875" style="29" bestFit="1" customWidth="1"/>
    <col min="49" max="49" width="14.85546875" style="29" bestFit="1" customWidth="1"/>
    <col min="50" max="50" width="13.85546875" style="29" bestFit="1" customWidth="1"/>
    <col min="51" max="51" width="14.85546875" style="203" bestFit="1" customWidth="1"/>
    <col min="52" max="52" width="13.85546875" style="203" bestFit="1" customWidth="1"/>
    <col min="53" max="53" width="3" style="29" hidden="1" customWidth="1"/>
    <col min="54" max="54" width="11.140625" style="29" hidden="1" customWidth="1"/>
    <col min="55" max="55" width="3.140625" style="29" hidden="1" customWidth="1"/>
    <col min="56" max="56" width="13.85546875" style="29" hidden="1" customWidth="1"/>
    <col min="57" max="57" width="3.140625" style="29" hidden="1" customWidth="1"/>
    <col min="58" max="58" width="11.140625" style="29" hidden="1" customWidth="1"/>
    <col min="59" max="59" width="3.140625" style="29" hidden="1" customWidth="1"/>
    <col min="60" max="60" width="13.85546875" style="29" hidden="1" customWidth="1"/>
    <col min="61" max="61" width="3.140625" style="29" hidden="1" customWidth="1"/>
    <col min="62" max="16384" width="9.140625" style="29"/>
  </cols>
  <sheetData>
    <row r="7" spans="1:60" x14ac:dyDescent="0.25">
      <c r="A7" s="28" t="s">
        <v>373</v>
      </c>
      <c r="O7" s="204"/>
    </row>
    <row r="9" spans="1:60" x14ac:dyDescent="0.25">
      <c r="A9" s="43"/>
      <c r="B9" s="43"/>
      <c r="C9" s="1387" t="s">
        <v>374</v>
      </c>
      <c r="D9" s="1387"/>
      <c r="E9" s="1388">
        <v>1980</v>
      </c>
      <c r="F9" s="1388"/>
      <c r="G9" s="1386">
        <v>1981</v>
      </c>
      <c r="H9" s="1386"/>
      <c r="I9" s="1386">
        <v>1982</v>
      </c>
      <c r="J9" s="1386"/>
      <c r="K9" s="1386">
        <v>1983</v>
      </c>
      <c r="L9" s="1386"/>
      <c r="M9" s="1386">
        <v>1984</v>
      </c>
      <c r="N9" s="1386"/>
      <c r="O9" s="1386">
        <v>1985</v>
      </c>
      <c r="P9" s="1386"/>
      <c r="Q9" s="1386">
        <v>1986</v>
      </c>
      <c r="R9" s="1386"/>
      <c r="S9" s="1386">
        <v>1987</v>
      </c>
      <c r="T9" s="1386"/>
      <c r="U9" s="1386">
        <v>1988</v>
      </c>
      <c r="V9" s="1386"/>
      <c r="W9" s="1386">
        <v>1989</v>
      </c>
      <c r="X9" s="1386"/>
      <c r="Y9" s="1386">
        <v>1990</v>
      </c>
      <c r="Z9" s="1386"/>
      <c r="AA9" s="1386">
        <v>1991</v>
      </c>
      <c r="AB9" s="1386"/>
      <c r="AC9" s="1386">
        <v>1992</v>
      </c>
      <c r="AD9" s="1386"/>
      <c r="AE9" s="1386">
        <v>1993</v>
      </c>
      <c r="AF9" s="1386"/>
      <c r="AG9" s="1388">
        <v>1994</v>
      </c>
      <c r="AH9" s="1388"/>
      <c r="AI9" s="1388">
        <v>1995</v>
      </c>
      <c r="AJ9" s="1388"/>
      <c r="AK9" s="1388">
        <v>1996</v>
      </c>
      <c r="AL9" s="1388"/>
      <c r="AM9" s="1388">
        <v>1997</v>
      </c>
      <c r="AN9" s="1388"/>
      <c r="AO9" s="1386">
        <v>1998</v>
      </c>
      <c r="AP9" s="1386"/>
      <c r="AQ9" s="205">
        <v>1999</v>
      </c>
      <c r="AR9" s="206"/>
      <c r="AS9" s="1388">
        <v>2000</v>
      </c>
      <c r="AT9" s="1388"/>
      <c r="AU9" s="1388">
        <v>2001</v>
      </c>
      <c r="AV9" s="1388"/>
      <c r="AW9" s="1388">
        <v>2002</v>
      </c>
      <c r="AX9" s="1388"/>
      <c r="AY9" s="1388">
        <v>2003</v>
      </c>
      <c r="AZ9" s="1388"/>
      <c r="BA9" s="43"/>
      <c r="BB9" s="1388"/>
      <c r="BC9" s="1388"/>
      <c r="BD9" s="1388"/>
      <c r="BE9" s="205"/>
      <c r="BF9" s="1388"/>
      <c r="BG9" s="1388"/>
      <c r="BH9" s="1388"/>
    </row>
    <row r="10" spans="1:60" x14ac:dyDescent="0.25">
      <c r="A10" s="207" t="s">
        <v>181</v>
      </c>
      <c r="B10" s="205" t="s">
        <v>182</v>
      </c>
      <c r="C10" s="208" t="str">
        <f>CONCATENATE(C9, " Quantity")</f>
        <v>1886 to 1980 Quantity</v>
      </c>
      <c r="D10" s="208" t="str">
        <f>CONCATENATE(C9, " Value $")</f>
        <v>1886 to 1980 Value $</v>
      </c>
      <c r="E10" s="208" t="str">
        <f t="shared" ref="E10" si="0">CONCATENATE(E9, " Quantity")</f>
        <v>1980 Quantity</v>
      </c>
      <c r="F10" s="208" t="str">
        <f t="shared" ref="F10" si="1">CONCATENATE(E9, " Value $")</f>
        <v>1980 Value $</v>
      </c>
      <c r="G10" s="208" t="str">
        <f t="shared" ref="G10" si="2">CONCATENATE(G9, " Quantity")</f>
        <v>1981 Quantity</v>
      </c>
      <c r="H10" s="208" t="str">
        <f t="shared" ref="H10" si="3">CONCATENATE(G9, " Value $")</f>
        <v>1981 Value $</v>
      </c>
      <c r="I10" s="208" t="str">
        <f t="shared" ref="I10" si="4">CONCATENATE(I9, " Quantity")</f>
        <v>1982 Quantity</v>
      </c>
      <c r="J10" s="208" t="str">
        <f t="shared" ref="J10" si="5">CONCATENATE(I9, " Value $")</f>
        <v>1982 Value $</v>
      </c>
      <c r="K10" s="208" t="str">
        <f t="shared" ref="K10" si="6">CONCATENATE(K9, " Quantity")</f>
        <v>1983 Quantity</v>
      </c>
      <c r="L10" s="208" t="str">
        <f t="shared" ref="L10" si="7">CONCATENATE(K9, " Value $")</f>
        <v>1983 Value $</v>
      </c>
      <c r="M10" s="208" t="str">
        <f t="shared" ref="M10" si="8">CONCATENATE(M9, " Quantity")</f>
        <v>1984 Quantity</v>
      </c>
      <c r="N10" s="208" t="str">
        <f t="shared" ref="N10" si="9">CONCATENATE(M9, " Value $")</f>
        <v>1984 Value $</v>
      </c>
      <c r="O10" s="208" t="str">
        <f t="shared" ref="O10" si="10">CONCATENATE(O9, " Quantity")</f>
        <v>1985 Quantity</v>
      </c>
      <c r="P10" s="208" t="str">
        <f t="shared" ref="P10" si="11">CONCATENATE(O9, " Value $")</f>
        <v>1985 Value $</v>
      </c>
      <c r="Q10" s="208" t="str">
        <f t="shared" ref="Q10" si="12">CONCATENATE(Q9, " Quantity")</f>
        <v>1986 Quantity</v>
      </c>
      <c r="R10" s="208" t="str">
        <f t="shared" ref="R10" si="13">CONCATENATE(Q9, " Value $")</f>
        <v>1986 Value $</v>
      </c>
      <c r="S10" s="208" t="str">
        <f t="shared" ref="S10" si="14">CONCATENATE(S9, " Quantity")</f>
        <v>1987 Quantity</v>
      </c>
      <c r="T10" s="208" t="str">
        <f t="shared" ref="T10" si="15">CONCATENATE(S9, " Value $")</f>
        <v>1987 Value $</v>
      </c>
      <c r="U10" s="208" t="str">
        <f t="shared" ref="U10" si="16">CONCATENATE(U9, " Quantity")</f>
        <v>1988 Quantity</v>
      </c>
      <c r="V10" s="208" t="str">
        <f t="shared" ref="V10" si="17">CONCATENATE(U9, " Value $")</f>
        <v>1988 Value $</v>
      </c>
      <c r="W10" s="208" t="str">
        <f t="shared" ref="W10" si="18">CONCATENATE(W9, " Quantity")</f>
        <v>1989 Quantity</v>
      </c>
      <c r="X10" s="208" t="str">
        <f t="shared" ref="X10" si="19">CONCATENATE(W9, " Value $")</f>
        <v>1989 Value $</v>
      </c>
      <c r="Y10" s="208" t="str">
        <f t="shared" ref="Y10" si="20">CONCATENATE(Y9, " Quantity")</f>
        <v>1990 Quantity</v>
      </c>
      <c r="Z10" s="208" t="str">
        <f t="shared" ref="Z10" si="21">CONCATENATE(Y9, " Value $")</f>
        <v>1990 Value $</v>
      </c>
      <c r="AA10" s="208" t="str">
        <f t="shared" ref="AA10" si="22">CONCATENATE(AA9, " Quantity")</f>
        <v>1991 Quantity</v>
      </c>
      <c r="AB10" s="208" t="str">
        <f t="shared" ref="AB10" si="23">CONCATENATE(AA9, " Value $")</f>
        <v>1991 Value $</v>
      </c>
      <c r="AC10" s="208" t="str">
        <f t="shared" ref="AC10" si="24">CONCATENATE(AC9, " Quantity")</f>
        <v>1992 Quantity</v>
      </c>
      <c r="AD10" s="208" t="str">
        <f t="shared" ref="AD10" si="25">CONCATENATE(AC9, " Value $")</f>
        <v>1992 Value $</v>
      </c>
      <c r="AE10" s="208" t="str">
        <f t="shared" ref="AE10" si="26">CONCATENATE(AE9, " Quantity")</f>
        <v>1993 Quantity</v>
      </c>
      <c r="AF10" s="208" t="str">
        <f t="shared" ref="AF10" si="27">CONCATENATE(AE9, " Value $")</f>
        <v>1993 Value $</v>
      </c>
      <c r="AG10" s="208" t="str">
        <f t="shared" ref="AG10" si="28">CONCATENATE(AG9, " Quantity")</f>
        <v>1994 Quantity</v>
      </c>
      <c r="AH10" s="208" t="str">
        <f t="shared" ref="AH10" si="29">CONCATENATE(AG9, " Value $")</f>
        <v>1994 Value $</v>
      </c>
      <c r="AI10" s="208" t="str">
        <f t="shared" ref="AI10" si="30">CONCATENATE(AI9, " Quantity")</f>
        <v>1995 Quantity</v>
      </c>
      <c r="AJ10" s="208" t="str">
        <f t="shared" ref="AJ10" si="31">CONCATENATE(AI9, " Value $")</f>
        <v>1995 Value $</v>
      </c>
      <c r="AK10" s="208" t="str">
        <f t="shared" ref="AK10" si="32">CONCATENATE(AK9, " Quantity")</f>
        <v>1996 Quantity</v>
      </c>
      <c r="AL10" s="208" t="str">
        <f t="shared" ref="AL10" si="33">CONCATENATE(AK9, " Value $")</f>
        <v>1996 Value $</v>
      </c>
      <c r="AM10" s="208" t="str">
        <f t="shared" ref="AM10" si="34">CONCATENATE(AM9, " Quantity")</f>
        <v>1997 Quantity</v>
      </c>
      <c r="AN10" s="208" t="str">
        <f t="shared" ref="AN10" si="35">CONCATENATE(AM9, " Value $")</f>
        <v>1997 Value $</v>
      </c>
      <c r="AO10" s="208" t="str">
        <f t="shared" ref="AO10" si="36">CONCATENATE(AO9, " Quantity")</f>
        <v>1998 Quantity</v>
      </c>
      <c r="AP10" s="208" t="str">
        <f t="shared" ref="AP10" si="37">CONCATENATE(AO9, " Value $")</f>
        <v>1998 Value $</v>
      </c>
      <c r="AQ10" s="208" t="str">
        <f t="shared" ref="AQ10" si="38">CONCATENATE(AQ9, " Quantity")</f>
        <v>1999 Quantity</v>
      </c>
      <c r="AR10" s="208" t="str">
        <f t="shared" ref="AR10" si="39">CONCATENATE(AQ9, " Value $")</f>
        <v>1999 Value $</v>
      </c>
      <c r="AS10" s="208" t="str">
        <f t="shared" ref="AS10" si="40">CONCATENATE(AS9, " Quantity")</f>
        <v>2000 Quantity</v>
      </c>
      <c r="AT10" s="208" t="str">
        <f t="shared" ref="AT10" si="41">CONCATENATE(AS9, " Value $")</f>
        <v>2000 Value $</v>
      </c>
      <c r="AU10" s="208" t="str">
        <f t="shared" ref="AU10" si="42">CONCATENATE(AU9, " Quantity")</f>
        <v>2001 Quantity</v>
      </c>
      <c r="AV10" s="208" t="str">
        <f t="shared" ref="AV10" si="43">CONCATENATE(AU9, " Value $")</f>
        <v>2001 Value $</v>
      </c>
      <c r="AW10" s="208" t="str">
        <f t="shared" ref="AW10" si="44">CONCATENATE(AW9, " Quantity")</f>
        <v>2002 Quantity</v>
      </c>
      <c r="AX10" s="208" t="str">
        <f t="shared" ref="AX10" si="45">CONCATENATE(AW9, " Value $")</f>
        <v>2002 Value $</v>
      </c>
      <c r="AY10" s="208" t="str">
        <f t="shared" ref="AY10" si="46">CONCATENATE(AY9, " Quantity")</f>
        <v>2003 Quantity</v>
      </c>
      <c r="AZ10" s="208" t="str">
        <f t="shared" ref="AZ10" si="47">CONCATENATE(AY9, " Value $")</f>
        <v>2003 Value $</v>
      </c>
      <c r="BA10" s="209"/>
      <c r="BB10" s="205"/>
      <c r="BC10" s="206"/>
      <c r="BD10" s="205"/>
      <c r="BE10" s="209"/>
      <c r="BF10" s="205"/>
      <c r="BG10" s="206"/>
      <c r="BH10" s="205"/>
    </row>
    <row r="11" spans="1:60" x14ac:dyDescent="0.25">
      <c r="A11" s="1331"/>
      <c r="B11" s="1331"/>
      <c r="C11" s="1332"/>
      <c r="D11" s="1332"/>
      <c r="E11" s="1331"/>
      <c r="F11" s="1331"/>
      <c r="G11" s="1333"/>
      <c r="H11" s="1333"/>
      <c r="I11" s="1334"/>
      <c r="J11" s="1334"/>
      <c r="K11" s="1334"/>
      <c r="L11" s="1334"/>
      <c r="M11" s="1333"/>
      <c r="N11" s="1333"/>
      <c r="O11" s="1333"/>
      <c r="P11" s="1333"/>
      <c r="Q11" s="1333"/>
      <c r="R11" s="1333"/>
      <c r="S11" s="1333"/>
      <c r="T11" s="1333"/>
      <c r="U11" s="1333"/>
      <c r="V11" s="1333"/>
      <c r="W11" s="1333"/>
      <c r="X11" s="1333"/>
      <c r="Y11" s="1333"/>
      <c r="Z11" s="1333"/>
      <c r="AA11" s="1333"/>
      <c r="AB11" s="1333"/>
      <c r="AC11" s="1333"/>
      <c r="AD11" s="1333"/>
      <c r="AE11" s="1334"/>
      <c r="AF11" s="1334"/>
      <c r="AG11" s="1333"/>
      <c r="AH11" s="1333"/>
      <c r="AI11" s="1333"/>
      <c r="AJ11" s="1333"/>
      <c r="AK11" s="1333"/>
      <c r="AL11" s="1333"/>
      <c r="AM11" s="1333"/>
      <c r="AN11" s="1333"/>
      <c r="AO11" s="1333"/>
      <c r="AP11" s="1333"/>
      <c r="AQ11" s="1327"/>
      <c r="AR11" s="1333"/>
      <c r="AS11" s="1333"/>
      <c r="AT11" s="1333"/>
      <c r="AU11" s="1333"/>
      <c r="AV11" s="1333"/>
      <c r="AW11" s="1333"/>
      <c r="AX11" s="1333"/>
      <c r="AY11" s="1335"/>
      <c r="AZ11" s="1335"/>
      <c r="BA11" s="1329"/>
      <c r="BB11" s="227"/>
      <c r="BC11" s="227"/>
      <c r="BD11" s="227"/>
      <c r="BE11" s="227"/>
      <c r="BF11" s="227"/>
      <c r="BG11" s="227"/>
      <c r="BH11" s="227"/>
    </row>
    <row r="12" spans="1:60" x14ac:dyDescent="0.25">
      <c r="A12" s="1324" t="s">
        <v>183</v>
      </c>
      <c r="B12" s="1325"/>
      <c r="C12" s="1336"/>
      <c r="D12" s="1336"/>
      <c r="E12" s="1325"/>
      <c r="F12" s="1325"/>
      <c r="G12" s="1326"/>
      <c r="H12" s="1326"/>
      <c r="I12" s="1326"/>
      <c r="J12" s="1326"/>
      <c r="K12" s="1326"/>
      <c r="L12" s="1326"/>
      <c r="M12" s="1326"/>
      <c r="N12" s="1326"/>
      <c r="O12" s="1326"/>
      <c r="P12" s="1326"/>
      <c r="Q12" s="1326"/>
      <c r="R12" s="1326"/>
      <c r="S12" s="1326"/>
      <c r="T12" s="1326"/>
      <c r="U12" s="1337"/>
      <c r="V12" s="1337"/>
      <c r="W12" s="1337"/>
      <c r="X12" s="1337"/>
      <c r="Y12" s="1337"/>
      <c r="Z12" s="1337"/>
      <c r="AA12" s="1337"/>
      <c r="AB12" s="1337"/>
      <c r="AC12" s="1337"/>
      <c r="AD12" s="1337"/>
      <c r="AE12" s="1326"/>
      <c r="AF12" s="1326"/>
      <c r="AG12" s="1337"/>
      <c r="AH12" s="1337"/>
      <c r="AI12" s="1337"/>
      <c r="AJ12" s="1337"/>
      <c r="AK12" s="1337"/>
      <c r="AL12" s="1337"/>
      <c r="AM12" s="1333"/>
      <c r="AN12" s="1333"/>
      <c r="AO12" s="1333"/>
      <c r="AP12" s="1333"/>
      <c r="AQ12" s="1327"/>
      <c r="AR12" s="1333"/>
      <c r="AS12" s="1338"/>
      <c r="AT12" s="1333"/>
      <c r="AU12" s="1338"/>
      <c r="AV12" s="1333"/>
      <c r="AW12" s="1338"/>
      <c r="AX12" s="1338"/>
      <c r="AY12" s="1335"/>
      <c r="AZ12" s="1335"/>
      <c r="BA12" s="1329"/>
      <c r="BB12" s="227"/>
      <c r="BC12" s="227"/>
      <c r="BD12" s="227"/>
      <c r="BE12" s="227"/>
      <c r="BF12" s="227"/>
      <c r="BG12" s="227"/>
      <c r="BH12" s="227"/>
    </row>
    <row r="13" spans="1:60" x14ac:dyDescent="0.25">
      <c r="A13" s="1339" t="s">
        <v>165</v>
      </c>
      <c r="B13" s="1325" t="s">
        <v>166</v>
      </c>
      <c r="C13" s="1326">
        <v>25517415</v>
      </c>
      <c r="D13" s="1326">
        <v>2422962046</v>
      </c>
      <c r="E13" s="1326">
        <v>3663689</v>
      </c>
      <c r="F13" s="1326">
        <v>436014691</v>
      </c>
      <c r="G13" s="1326">
        <v>3678480</v>
      </c>
      <c r="H13" s="1326">
        <v>548093520</v>
      </c>
      <c r="I13" s="1326">
        <v>3676385</v>
      </c>
      <c r="J13" s="1326">
        <v>647822717</v>
      </c>
      <c r="K13" s="1326">
        <v>3983098</v>
      </c>
      <c r="L13" s="1326">
        <v>745084355</v>
      </c>
      <c r="M13" s="1326">
        <v>5004998</v>
      </c>
      <c r="N13" s="1326">
        <v>940855670</v>
      </c>
      <c r="O13" s="1326">
        <v>5419623</v>
      </c>
      <c r="P13" s="1326">
        <v>1098152135</v>
      </c>
      <c r="Q13" s="1326">
        <v>5442790</v>
      </c>
      <c r="R13" s="1326">
        <v>1015172246</v>
      </c>
      <c r="S13" s="1326">
        <v>5928763</v>
      </c>
      <c r="T13" s="1326">
        <v>1104313745</v>
      </c>
      <c r="U13" s="1326">
        <v>6176414</v>
      </c>
      <c r="V13" s="1326">
        <v>1301425700</v>
      </c>
      <c r="W13" s="1326">
        <v>6384796</v>
      </c>
      <c r="X13" s="1326">
        <v>2096790010</v>
      </c>
      <c r="Y13" s="1326">
        <v>6722292</v>
      </c>
      <c r="Z13" s="1326">
        <v>2358954531</v>
      </c>
      <c r="AA13" s="1327">
        <v>7009184</v>
      </c>
      <c r="AB13" s="1327">
        <v>1844032647</v>
      </c>
      <c r="AC13" s="1337">
        <v>7082757</v>
      </c>
      <c r="AD13" s="1337">
        <v>1689720803</v>
      </c>
      <c r="AE13" s="1326">
        <v>7801274</v>
      </c>
      <c r="AF13" s="1326">
        <v>1891855796</v>
      </c>
      <c r="AG13" s="1327">
        <v>7933321</v>
      </c>
      <c r="AH13" s="1327">
        <v>1684580839</v>
      </c>
      <c r="AI13" s="1327">
        <v>8067380</v>
      </c>
      <c r="AJ13" s="1327">
        <v>1757356480</v>
      </c>
      <c r="AK13" s="1327">
        <v>8249660</v>
      </c>
      <c r="AL13" s="1327">
        <v>1967808060.25</v>
      </c>
      <c r="AM13" s="1328">
        <v>8481895</v>
      </c>
      <c r="AN13" s="1328">
        <v>2084713647</v>
      </c>
      <c r="AO13" s="1327">
        <v>8748182</v>
      </c>
      <c r="AP13" s="1327">
        <v>2429704528</v>
      </c>
      <c r="AQ13" s="1327">
        <v>8930010</v>
      </c>
      <c r="AR13" s="1327">
        <v>2311377164.5799999</v>
      </c>
      <c r="AS13" s="1327">
        <v>10003058</v>
      </c>
      <c r="AT13" s="1327">
        <v>3187472430</v>
      </c>
      <c r="AU13" s="1327">
        <v>10748039</v>
      </c>
      <c r="AV13" s="1327">
        <v>3766551734</v>
      </c>
      <c r="AW13" s="1327">
        <v>11000041</v>
      </c>
      <c r="AX13" s="1327">
        <v>3339247705</v>
      </c>
      <c r="AY13" s="1326">
        <v>11228615</v>
      </c>
      <c r="AZ13" s="1326">
        <v>3140479497</v>
      </c>
      <c r="BA13" s="1330"/>
      <c r="BB13" s="201"/>
      <c r="BC13" s="201"/>
      <c r="BD13" s="201"/>
      <c r="BE13" s="201"/>
      <c r="BF13" s="201"/>
      <c r="BG13" s="201"/>
      <c r="BH13" s="201"/>
    </row>
    <row r="14" spans="1:60" x14ac:dyDescent="0.25">
      <c r="A14" s="1339" t="s">
        <v>375</v>
      </c>
      <c r="B14" s="1325" t="s">
        <v>166</v>
      </c>
      <c r="C14" s="1326">
        <v>37331</v>
      </c>
      <c r="D14" s="1326">
        <v>187070</v>
      </c>
      <c r="E14" s="1326">
        <v>0</v>
      </c>
      <c r="F14" s="1326">
        <v>0</v>
      </c>
      <c r="G14" s="1326">
        <v>0</v>
      </c>
      <c r="H14" s="1326">
        <v>0</v>
      </c>
      <c r="I14" s="1326">
        <v>0</v>
      </c>
      <c r="J14" s="1326">
        <v>0</v>
      </c>
      <c r="K14" s="1326">
        <v>0</v>
      </c>
      <c r="L14" s="1326">
        <v>0</v>
      </c>
      <c r="M14" s="1326">
        <v>0</v>
      </c>
      <c r="N14" s="1326">
        <v>0</v>
      </c>
      <c r="O14" s="1326">
        <v>0</v>
      </c>
      <c r="P14" s="1326">
        <v>0</v>
      </c>
      <c r="Q14" s="1326">
        <v>0</v>
      </c>
      <c r="R14" s="1326">
        <v>0</v>
      </c>
      <c r="S14" s="1326">
        <v>0</v>
      </c>
      <c r="T14" s="1326">
        <v>0</v>
      </c>
      <c r="U14" s="1326">
        <v>0</v>
      </c>
      <c r="V14" s="1326">
        <v>0</v>
      </c>
      <c r="W14" s="1326">
        <v>0</v>
      </c>
      <c r="X14" s="1326">
        <v>0</v>
      </c>
      <c r="Y14" s="1326">
        <v>0</v>
      </c>
      <c r="Z14" s="1326">
        <v>0</v>
      </c>
      <c r="AA14" s="1326">
        <v>0</v>
      </c>
      <c r="AB14" s="1326">
        <v>0</v>
      </c>
      <c r="AC14" s="1326">
        <v>0</v>
      </c>
      <c r="AD14" s="1326">
        <v>0</v>
      </c>
      <c r="AE14" s="1326">
        <v>0</v>
      </c>
      <c r="AF14" s="1326">
        <v>0</v>
      </c>
      <c r="AG14" s="1326">
        <v>0</v>
      </c>
      <c r="AH14" s="1326">
        <v>0</v>
      </c>
      <c r="AI14" s="1326">
        <v>0</v>
      </c>
      <c r="AJ14" s="1326">
        <v>0</v>
      </c>
      <c r="AK14" s="1326">
        <v>0</v>
      </c>
      <c r="AL14" s="1326">
        <v>0</v>
      </c>
      <c r="AM14" s="1326">
        <v>0</v>
      </c>
      <c r="AN14" s="1326">
        <v>0</v>
      </c>
      <c r="AO14" s="1326">
        <v>0</v>
      </c>
      <c r="AP14" s="1326">
        <v>0</v>
      </c>
      <c r="AQ14" s="1326">
        <v>0</v>
      </c>
      <c r="AR14" s="1326">
        <v>0</v>
      </c>
      <c r="AS14" s="1326">
        <v>0</v>
      </c>
      <c r="AT14" s="1326">
        <v>0</v>
      </c>
      <c r="AU14" s="1326">
        <v>0</v>
      </c>
      <c r="AV14" s="1326">
        <v>0</v>
      </c>
      <c r="AW14" s="1326">
        <v>0</v>
      </c>
      <c r="AX14" s="1326">
        <v>0</v>
      </c>
      <c r="AY14" s="1326">
        <v>0</v>
      </c>
      <c r="AZ14" s="1326">
        <v>0</v>
      </c>
      <c r="BA14" s="225"/>
      <c r="BB14" s="201"/>
      <c r="BC14" s="201"/>
      <c r="BD14" s="201"/>
      <c r="BE14" s="201"/>
      <c r="BF14" s="201"/>
      <c r="BG14" s="201"/>
      <c r="BH14" s="201"/>
    </row>
    <row r="15" spans="1:60" x14ac:dyDescent="0.25">
      <c r="A15" s="1339" t="s">
        <v>376</v>
      </c>
      <c r="B15" s="1325" t="s">
        <v>214</v>
      </c>
      <c r="C15" s="1326">
        <v>0</v>
      </c>
      <c r="D15" s="1326">
        <v>0</v>
      </c>
      <c r="E15" s="1326">
        <v>0</v>
      </c>
      <c r="F15" s="1326">
        <v>0</v>
      </c>
      <c r="G15" s="1326">
        <v>0</v>
      </c>
      <c r="H15" s="1326">
        <v>0</v>
      </c>
      <c r="I15" s="1326">
        <v>0</v>
      </c>
      <c r="J15" s="1326">
        <v>0</v>
      </c>
      <c r="K15" s="1326">
        <v>0</v>
      </c>
      <c r="L15" s="1326">
        <v>0</v>
      </c>
      <c r="M15" s="1326">
        <v>0</v>
      </c>
      <c r="N15" s="1326">
        <v>0</v>
      </c>
      <c r="O15" s="1326">
        <v>0</v>
      </c>
      <c r="P15" s="1326">
        <v>0</v>
      </c>
      <c r="Q15" s="1326">
        <v>0</v>
      </c>
      <c r="R15" s="1326">
        <v>0</v>
      </c>
      <c r="S15" s="1326">
        <v>0</v>
      </c>
      <c r="T15" s="1326">
        <v>0</v>
      </c>
      <c r="U15" s="1326">
        <v>0</v>
      </c>
      <c r="V15" s="1326">
        <v>0</v>
      </c>
      <c r="W15" s="1326">
        <v>21859</v>
      </c>
      <c r="X15" s="1326">
        <v>757820</v>
      </c>
      <c r="Y15" s="1326">
        <v>31375</v>
      </c>
      <c r="Z15" s="1326">
        <v>1025196</v>
      </c>
      <c r="AA15" s="1327">
        <v>0</v>
      </c>
      <c r="AB15" s="1327">
        <v>0</v>
      </c>
      <c r="AC15" s="1326">
        <v>0</v>
      </c>
      <c r="AD15" s="1326">
        <v>0</v>
      </c>
      <c r="AE15" s="1326">
        <v>0</v>
      </c>
      <c r="AF15" s="1326">
        <v>0</v>
      </c>
      <c r="AG15" s="1327">
        <v>0</v>
      </c>
      <c r="AH15" s="1327">
        <v>0</v>
      </c>
      <c r="AI15" s="1327">
        <v>0</v>
      </c>
      <c r="AJ15" s="1327">
        <v>0</v>
      </c>
      <c r="AK15" s="1327">
        <v>24834.768</v>
      </c>
      <c r="AL15" s="1327">
        <v>9841724</v>
      </c>
      <c r="AM15" s="1328">
        <v>7299.1380000000008</v>
      </c>
      <c r="AN15" s="1328">
        <v>2335724</v>
      </c>
      <c r="AO15" s="1327">
        <v>0</v>
      </c>
      <c r="AP15" s="1327">
        <v>0</v>
      </c>
      <c r="AQ15" s="1327">
        <v>0</v>
      </c>
      <c r="AR15" s="1327">
        <v>0</v>
      </c>
      <c r="AS15" s="1327">
        <v>0</v>
      </c>
      <c r="AT15" s="1327">
        <v>0</v>
      </c>
      <c r="AU15" s="1327">
        <v>0</v>
      </c>
      <c r="AV15" s="1327">
        <v>0</v>
      </c>
      <c r="AW15" s="1327">
        <v>0</v>
      </c>
      <c r="AX15" s="1327">
        <v>0</v>
      </c>
      <c r="AY15" s="1326">
        <v>0</v>
      </c>
      <c r="AZ15" s="1326">
        <v>0</v>
      </c>
      <c r="BA15" s="202"/>
      <c r="BB15" s="201"/>
      <c r="BC15" s="201"/>
      <c r="BD15" s="201"/>
      <c r="BE15" s="201"/>
      <c r="BF15" s="201"/>
      <c r="BG15" s="201"/>
      <c r="BH15" s="201"/>
    </row>
    <row r="16" spans="1:60" x14ac:dyDescent="0.25">
      <c r="A16" s="1340" t="s">
        <v>187</v>
      </c>
      <c r="B16" s="1325"/>
      <c r="C16" s="1326">
        <f>SUM(C13:C15)</f>
        <v>25554746</v>
      </c>
      <c r="D16" s="1326">
        <f>SUM(D13:D15)</f>
        <v>2423149116</v>
      </c>
      <c r="E16" s="1326"/>
      <c r="F16" s="1326">
        <f>SUM(F13:F15)</f>
        <v>436014691</v>
      </c>
      <c r="G16" s="1326"/>
      <c r="H16" s="1326">
        <f>SUM(H13:H15)</f>
        <v>548093520</v>
      </c>
      <c r="I16" s="1326"/>
      <c r="J16" s="1326">
        <f>SUM(J13:J15)</f>
        <v>647822717</v>
      </c>
      <c r="K16" s="1326"/>
      <c r="L16" s="1326">
        <f>SUM(L13:L15)</f>
        <v>745084355</v>
      </c>
      <c r="M16" s="1326"/>
      <c r="N16" s="1326">
        <f>SUM(N13:N15)</f>
        <v>940855670</v>
      </c>
      <c r="O16" s="1326"/>
      <c r="P16" s="1326">
        <f>SUM(P13:P15)</f>
        <v>1098152135</v>
      </c>
      <c r="Q16" s="1326"/>
      <c r="R16" s="1326">
        <f>SUM(R13:R15)</f>
        <v>1015172246</v>
      </c>
      <c r="S16" s="1326"/>
      <c r="T16" s="1326">
        <f>SUM(T13:T15)</f>
        <v>1104313745</v>
      </c>
      <c r="U16" s="1337"/>
      <c r="V16" s="1326">
        <f>SUM(V13:V15)</f>
        <v>1301425700</v>
      </c>
      <c r="W16" s="1337"/>
      <c r="X16" s="1326">
        <f>SUM(X13:X15)</f>
        <v>2097547830</v>
      </c>
      <c r="Y16" s="1337"/>
      <c r="Z16" s="1326">
        <f>SUM(Z13:Z15)</f>
        <v>2359979727</v>
      </c>
      <c r="AA16" s="1326"/>
      <c r="AB16" s="1326">
        <f>SUM(AB13:AB15)</f>
        <v>1844032647</v>
      </c>
      <c r="AC16" s="1326"/>
      <c r="AD16" s="1326">
        <f>SUM(AD13:AD15)</f>
        <v>1689720803</v>
      </c>
      <c r="AE16" s="1326"/>
      <c r="AF16" s="1326">
        <f>SUM(AF13:AF15)</f>
        <v>1891855796</v>
      </c>
      <c r="AG16" s="1326"/>
      <c r="AH16" s="1326">
        <f>SUM(AH13:AH15)</f>
        <v>1684580839</v>
      </c>
      <c r="AI16" s="1326"/>
      <c r="AJ16" s="1326">
        <f>SUM(AJ13:AJ15)</f>
        <v>1757356480</v>
      </c>
      <c r="AK16" s="1327"/>
      <c r="AL16" s="1327">
        <v>1977649784.25</v>
      </c>
      <c r="AM16" s="1341"/>
      <c r="AN16" s="1328">
        <f>SUM(AN13:AN15)</f>
        <v>2087049371</v>
      </c>
      <c r="AO16" s="1326"/>
      <c r="AP16" s="1326">
        <f>SUM(AP13:AP15)</f>
        <v>2429704528</v>
      </c>
      <c r="AQ16" s="1326"/>
      <c r="AR16" s="1326">
        <f>SUM(AR13:AR15)</f>
        <v>2311377164.5799999</v>
      </c>
      <c r="AS16" s="1326"/>
      <c r="AT16" s="1326">
        <f>SUM(AT13:AT15)</f>
        <v>3187472430</v>
      </c>
      <c r="AU16" s="1326"/>
      <c r="AV16" s="1326">
        <f>SUM(AV13:AV15)</f>
        <v>3766551734</v>
      </c>
      <c r="AW16" s="1337"/>
      <c r="AX16" s="1326">
        <f>SUM(AX13:AX15)</f>
        <v>3339247705</v>
      </c>
      <c r="AY16" s="1326">
        <f>SUM(AY13:AY15)</f>
        <v>11228615</v>
      </c>
      <c r="AZ16" s="1326">
        <f>SUM(AZ13:AZ15)</f>
        <v>3140479497</v>
      </c>
      <c r="BA16" s="222"/>
      <c r="BB16" s="201"/>
      <c r="BC16" s="201"/>
      <c r="BD16" s="201"/>
      <c r="BE16" s="201"/>
      <c r="BF16" s="201"/>
      <c r="BG16" s="201"/>
      <c r="BH16" s="201"/>
    </row>
    <row r="17" spans="1:60" x14ac:dyDescent="0.25">
      <c r="A17" s="1340"/>
      <c r="B17" s="1325"/>
      <c r="C17" s="1326"/>
      <c r="D17" s="1326"/>
      <c r="E17" s="1326"/>
      <c r="F17" s="1326"/>
      <c r="G17" s="1326"/>
      <c r="H17" s="1326"/>
      <c r="I17" s="1326"/>
      <c r="J17" s="1326"/>
      <c r="K17" s="1326"/>
      <c r="L17" s="1326"/>
      <c r="M17" s="1326"/>
      <c r="N17" s="1326"/>
      <c r="O17" s="1326"/>
      <c r="P17" s="1326"/>
      <c r="Q17" s="1326"/>
      <c r="R17" s="1326"/>
      <c r="S17" s="1326"/>
      <c r="T17" s="1326"/>
      <c r="U17" s="1337"/>
      <c r="V17" s="1326"/>
      <c r="W17" s="1337"/>
      <c r="X17" s="1326"/>
      <c r="Y17" s="1337"/>
      <c r="Z17" s="1326"/>
      <c r="AA17" s="1326"/>
      <c r="AB17" s="1326"/>
      <c r="AC17" s="1326"/>
      <c r="AD17" s="1326"/>
      <c r="AE17" s="1326"/>
      <c r="AF17" s="1326"/>
      <c r="AG17" s="1326"/>
      <c r="AH17" s="1326"/>
      <c r="AI17" s="1326"/>
      <c r="AJ17" s="1326"/>
      <c r="AK17" s="1327"/>
      <c r="AL17" s="1327"/>
      <c r="AM17" s="1341"/>
      <c r="AN17" s="1328"/>
      <c r="AO17" s="1326"/>
      <c r="AP17" s="1326"/>
      <c r="AQ17" s="1326"/>
      <c r="AR17" s="1326"/>
      <c r="AS17" s="1326"/>
      <c r="AT17" s="1326"/>
      <c r="AU17" s="1326"/>
      <c r="AV17" s="1326"/>
      <c r="AW17" s="1326"/>
      <c r="AX17" s="1326"/>
      <c r="AY17" s="1342"/>
      <c r="AZ17" s="1342"/>
      <c r="BA17" s="219"/>
      <c r="BB17" s="201"/>
      <c r="BC17" s="201"/>
      <c r="BD17" s="201"/>
      <c r="BE17" s="201"/>
      <c r="BF17" s="201"/>
      <c r="BG17" s="201"/>
      <c r="BH17" s="201"/>
    </row>
    <row r="18" spans="1:60" x14ac:dyDescent="0.25">
      <c r="A18" s="215" t="s">
        <v>377</v>
      </c>
      <c r="B18" s="216" t="s">
        <v>166</v>
      </c>
      <c r="C18" s="201">
        <v>9219</v>
      </c>
      <c r="D18" s="201">
        <v>431729</v>
      </c>
      <c r="E18" s="201">
        <v>0</v>
      </c>
      <c r="F18" s="201">
        <v>0</v>
      </c>
      <c r="G18" s="201">
        <v>0</v>
      </c>
      <c r="H18" s="201">
        <v>0</v>
      </c>
      <c r="I18" s="201">
        <v>0</v>
      </c>
      <c r="J18" s="201">
        <v>0</v>
      </c>
      <c r="K18" s="201">
        <v>0</v>
      </c>
      <c r="L18" s="201">
        <v>0</v>
      </c>
      <c r="M18" s="201">
        <v>0</v>
      </c>
      <c r="N18" s="201">
        <v>0</v>
      </c>
      <c r="O18" s="201">
        <v>0</v>
      </c>
      <c r="P18" s="201">
        <v>0</v>
      </c>
      <c r="Q18" s="201">
        <v>0</v>
      </c>
      <c r="R18" s="201">
        <v>0</v>
      </c>
      <c r="S18" s="201">
        <v>0</v>
      </c>
      <c r="T18" s="201">
        <v>0</v>
      </c>
      <c r="U18" s="201">
        <v>0</v>
      </c>
      <c r="V18" s="201">
        <v>0</v>
      </c>
      <c r="W18" s="201">
        <v>0</v>
      </c>
      <c r="X18" s="201">
        <v>0</v>
      </c>
      <c r="Y18" s="201">
        <v>0</v>
      </c>
      <c r="Z18" s="201">
        <v>0</v>
      </c>
      <c r="AA18" s="201">
        <v>0</v>
      </c>
      <c r="AB18" s="201">
        <v>0</v>
      </c>
      <c r="AC18" s="201">
        <v>0</v>
      </c>
      <c r="AD18" s="201">
        <v>0</v>
      </c>
      <c r="AE18" s="201">
        <v>0</v>
      </c>
      <c r="AF18" s="201">
        <v>0</v>
      </c>
      <c r="AG18" s="201">
        <v>0</v>
      </c>
      <c r="AH18" s="201">
        <v>0</v>
      </c>
      <c r="AI18" s="201">
        <v>0</v>
      </c>
      <c r="AJ18" s="201">
        <v>0</v>
      </c>
      <c r="AK18" s="201">
        <v>0</v>
      </c>
      <c r="AL18" s="201">
        <v>0</v>
      </c>
      <c r="AM18" s="201">
        <v>0</v>
      </c>
      <c r="AN18" s="201">
        <v>0</v>
      </c>
      <c r="AO18" s="201">
        <v>0</v>
      </c>
      <c r="AP18" s="201">
        <v>0</v>
      </c>
      <c r="AQ18" s="201">
        <v>0</v>
      </c>
      <c r="AR18" s="201">
        <v>0</v>
      </c>
      <c r="AS18" s="201">
        <v>0</v>
      </c>
      <c r="AT18" s="201">
        <v>0</v>
      </c>
      <c r="AU18" s="201">
        <v>0</v>
      </c>
      <c r="AV18" s="201">
        <v>0</v>
      </c>
      <c r="AW18" s="201">
        <v>0</v>
      </c>
      <c r="AX18" s="201">
        <v>0</v>
      </c>
      <c r="AY18" s="217">
        <v>0</v>
      </c>
      <c r="AZ18" s="217">
        <v>0</v>
      </c>
      <c r="BA18" s="217"/>
      <c r="BB18" s="217"/>
      <c r="BC18" s="217"/>
      <c r="BD18" s="217"/>
      <c r="BE18" s="217"/>
      <c r="BF18" s="217"/>
      <c r="BG18" s="217"/>
      <c r="BH18" s="217"/>
    </row>
    <row r="20" spans="1:60" x14ac:dyDescent="0.25">
      <c r="A20" s="1324" t="s">
        <v>378</v>
      </c>
      <c r="B20" s="1325" t="s">
        <v>166</v>
      </c>
      <c r="C20" s="1326">
        <v>39295</v>
      </c>
      <c r="D20" s="1326">
        <v>1494410</v>
      </c>
      <c r="E20" s="1326">
        <v>0</v>
      </c>
      <c r="F20" s="1326">
        <v>0</v>
      </c>
      <c r="G20" s="1326">
        <v>0</v>
      </c>
      <c r="H20" s="1326">
        <v>0</v>
      </c>
      <c r="I20" s="1326">
        <v>0</v>
      </c>
      <c r="J20" s="1326">
        <v>0</v>
      </c>
      <c r="K20" s="1326">
        <v>0</v>
      </c>
      <c r="L20" s="1326">
        <v>0</v>
      </c>
      <c r="M20" s="1326">
        <v>0</v>
      </c>
      <c r="N20" s="1326">
        <v>0</v>
      </c>
      <c r="O20" s="1326">
        <v>0</v>
      </c>
      <c r="P20" s="1326">
        <v>0</v>
      </c>
      <c r="Q20" s="1326">
        <v>0</v>
      </c>
      <c r="R20" s="1326">
        <v>0</v>
      </c>
      <c r="S20" s="1326">
        <v>0</v>
      </c>
      <c r="T20" s="1326">
        <v>0</v>
      </c>
      <c r="U20" s="1326">
        <v>0</v>
      </c>
      <c r="V20" s="1326">
        <v>0</v>
      </c>
      <c r="W20" s="1326">
        <v>0</v>
      </c>
      <c r="X20" s="1326">
        <v>0</v>
      </c>
      <c r="Y20" s="1326">
        <v>0</v>
      </c>
      <c r="Z20" s="1326">
        <v>0</v>
      </c>
      <c r="AA20" s="1326">
        <v>0</v>
      </c>
      <c r="AB20" s="1326">
        <v>0</v>
      </c>
      <c r="AC20" s="1326">
        <v>0</v>
      </c>
      <c r="AD20" s="1326">
        <v>0</v>
      </c>
      <c r="AE20" s="1326">
        <v>0</v>
      </c>
      <c r="AF20" s="1326">
        <v>0</v>
      </c>
      <c r="AG20" s="1326">
        <v>0</v>
      </c>
      <c r="AH20" s="1326">
        <v>0</v>
      </c>
      <c r="AI20" s="1326">
        <v>0</v>
      </c>
      <c r="AJ20" s="1326">
        <v>0</v>
      </c>
      <c r="AK20" s="1326">
        <v>0</v>
      </c>
      <c r="AL20" s="1326">
        <v>0</v>
      </c>
      <c r="AM20" s="1326">
        <v>0</v>
      </c>
      <c r="AN20" s="1326">
        <v>0</v>
      </c>
      <c r="AO20" s="1326">
        <v>0</v>
      </c>
      <c r="AP20" s="1326">
        <v>0</v>
      </c>
      <c r="AQ20" s="1326">
        <v>0</v>
      </c>
      <c r="AR20" s="1326">
        <v>0</v>
      </c>
      <c r="AS20" s="1326">
        <v>0</v>
      </c>
      <c r="AT20" s="1326">
        <v>0</v>
      </c>
      <c r="AU20" s="1326">
        <v>0</v>
      </c>
      <c r="AV20" s="1326">
        <v>0</v>
      </c>
      <c r="AW20" s="1326">
        <v>0</v>
      </c>
      <c r="AX20" s="1326">
        <v>0</v>
      </c>
      <c r="AY20" s="1343">
        <v>0</v>
      </c>
      <c r="AZ20" s="1343">
        <v>0</v>
      </c>
    </row>
    <row r="21" spans="1:60" x14ac:dyDescent="0.25">
      <c r="A21" s="1324"/>
      <c r="B21" s="1325"/>
      <c r="C21" s="1326"/>
      <c r="D21" s="1326"/>
      <c r="E21" s="1326"/>
      <c r="F21" s="1326"/>
      <c r="G21" s="1326"/>
      <c r="H21" s="1326"/>
      <c r="I21" s="1326"/>
      <c r="J21" s="1326"/>
      <c r="K21" s="1326"/>
      <c r="L21" s="1326"/>
      <c r="M21" s="1326"/>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6"/>
      <c r="AJ21" s="1326"/>
      <c r="AK21" s="1326"/>
      <c r="AL21" s="1326"/>
      <c r="AM21" s="1326"/>
      <c r="AN21" s="1326"/>
      <c r="AO21" s="1326"/>
      <c r="AP21" s="1326"/>
      <c r="AQ21" s="1326"/>
      <c r="AR21" s="1326"/>
      <c r="AS21" s="1326"/>
      <c r="AT21" s="1326"/>
      <c r="AU21" s="1326"/>
      <c r="AV21" s="1326"/>
      <c r="AW21" s="1326"/>
      <c r="AX21" s="1326"/>
      <c r="AY21" s="1344"/>
      <c r="AZ21" s="1344"/>
    </row>
    <row r="22" spans="1:60" x14ac:dyDescent="0.25">
      <c r="A22" s="215" t="s">
        <v>379</v>
      </c>
      <c r="B22" s="216" t="s">
        <v>166</v>
      </c>
      <c r="C22" s="201">
        <v>11132</v>
      </c>
      <c r="D22" s="201">
        <v>1863882</v>
      </c>
      <c r="E22" s="201">
        <v>0</v>
      </c>
      <c r="F22" s="201">
        <v>0</v>
      </c>
      <c r="G22" s="201">
        <v>0</v>
      </c>
      <c r="H22" s="201">
        <v>0</v>
      </c>
      <c r="I22" s="201">
        <v>0</v>
      </c>
      <c r="J22" s="201">
        <v>0</v>
      </c>
      <c r="K22" s="201">
        <v>0</v>
      </c>
      <c r="L22" s="201">
        <v>0</v>
      </c>
      <c r="M22" s="201">
        <v>0</v>
      </c>
      <c r="N22" s="201">
        <v>0</v>
      </c>
      <c r="O22" s="201">
        <v>0</v>
      </c>
      <c r="P22" s="201">
        <v>0</v>
      </c>
      <c r="Q22" s="201">
        <v>0</v>
      </c>
      <c r="R22" s="201">
        <v>0</v>
      </c>
      <c r="S22" s="201">
        <v>0</v>
      </c>
      <c r="T22" s="201">
        <v>0</v>
      </c>
      <c r="U22" s="201">
        <v>0</v>
      </c>
      <c r="V22" s="201">
        <v>0</v>
      </c>
      <c r="W22" s="201">
        <v>0</v>
      </c>
      <c r="X22" s="201">
        <v>0</v>
      </c>
      <c r="Y22" s="201">
        <v>0</v>
      </c>
      <c r="Z22" s="201">
        <v>0</v>
      </c>
      <c r="AA22" s="201">
        <v>0</v>
      </c>
      <c r="AB22" s="201">
        <v>0</v>
      </c>
      <c r="AC22" s="201">
        <v>0</v>
      </c>
      <c r="AD22" s="201">
        <v>0</v>
      </c>
      <c r="AE22" s="201">
        <v>0</v>
      </c>
      <c r="AF22" s="201">
        <v>0</v>
      </c>
      <c r="AG22" s="201">
        <v>0</v>
      </c>
      <c r="AH22" s="201">
        <v>0</v>
      </c>
      <c r="AI22" s="201">
        <v>0</v>
      </c>
      <c r="AJ22" s="201">
        <v>0</v>
      </c>
      <c r="AK22" s="201">
        <v>0</v>
      </c>
      <c r="AL22" s="201">
        <v>0</v>
      </c>
      <c r="AM22" s="201">
        <v>0</v>
      </c>
      <c r="AN22" s="201">
        <v>0</v>
      </c>
      <c r="AO22" s="201">
        <v>0</v>
      </c>
      <c r="AP22" s="201">
        <v>0</v>
      </c>
      <c r="AQ22" s="201">
        <v>0</v>
      </c>
      <c r="AR22" s="201">
        <v>0</v>
      </c>
      <c r="AS22" s="201">
        <v>0</v>
      </c>
      <c r="AT22" s="201">
        <v>0</v>
      </c>
      <c r="AU22" s="201">
        <v>0</v>
      </c>
      <c r="AV22" s="201">
        <v>0</v>
      </c>
      <c r="AW22" s="201">
        <v>0</v>
      </c>
      <c r="AX22" s="201">
        <v>0</v>
      </c>
      <c r="AY22" s="217">
        <v>0</v>
      </c>
      <c r="AZ22" s="217">
        <v>0</v>
      </c>
    </row>
    <row r="23" spans="1:60" x14ac:dyDescent="0.25">
      <c r="A23" s="218"/>
      <c r="B23" s="216"/>
      <c r="C23" s="201"/>
      <c r="D23" s="201"/>
      <c r="E23" s="201"/>
      <c r="F23" s="201"/>
      <c r="G23" s="201"/>
      <c r="H23" s="201"/>
      <c r="I23" s="201"/>
      <c r="J23" s="201"/>
      <c r="K23" s="201"/>
      <c r="L23" s="201"/>
      <c r="M23" s="201"/>
      <c r="N23" s="201"/>
      <c r="O23" s="201"/>
      <c r="P23" s="201"/>
      <c r="Q23" s="201"/>
      <c r="R23" s="201"/>
      <c r="S23" s="201"/>
      <c r="T23" s="201"/>
      <c r="U23" s="219"/>
      <c r="V23" s="201"/>
      <c r="W23" s="219"/>
      <c r="X23" s="201"/>
      <c r="Y23" s="219"/>
      <c r="Z23" s="201"/>
      <c r="AA23" s="201"/>
      <c r="AB23" s="201"/>
      <c r="AC23" s="201"/>
      <c r="AD23" s="201"/>
      <c r="AG23" s="201"/>
      <c r="AH23" s="201"/>
      <c r="AI23" s="201"/>
      <c r="AJ23" s="201"/>
      <c r="AK23" s="202"/>
      <c r="AL23" s="202"/>
      <c r="AM23" s="220"/>
      <c r="AN23" s="221"/>
      <c r="AO23" s="201"/>
      <c r="AP23" s="201"/>
      <c r="AQ23" s="201"/>
      <c r="AR23" s="201"/>
      <c r="AS23" s="201"/>
      <c r="AT23" s="201"/>
      <c r="AU23" s="201"/>
      <c r="AV23" s="201"/>
      <c r="AW23" s="201"/>
      <c r="AX23" s="201"/>
      <c r="AY23" s="222"/>
      <c r="AZ23" s="222"/>
    </row>
    <row r="24" spans="1:60" x14ac:dyDescent="0.25">
      <c r="A24" s="1324" t="s">
        <v>380</v>
      </c>
      <c r="B24" s="1325"/>
      <c r="C24" s="1326"/>
      <c r="D24" s="1326"/>
      <c r="E24" s="1326"/>
      <c r="F24" s="1326"/>
      <c r="G24" s="1326"/>
      <c r="H24" s="1326"/>
      <c r="I24" s="1326"/>
      <c r="J24" s="1326"/>
      <c r="K24" s="1326"/>
      <c r="L24" s="1326"/>
      <c r="M24" s="1326"/>
      <c r="N24" s="1326"/>
      <c r="O24" s="1326"/>
      <c r="P24" s="1326"/>
      <c r="Q24" s="1326"/>
      <c r="R24" s="1326"/>
      <c r="S24" s="1326"/>
      <c r="T24" s="1326"/>
      <c r="U24" s="1337"/>
      <c r="V24" s="1326"/>
      <c r="W24" s="1337"/>
      <c r="X24" s="1326"/>
      <c r="Y24" s="1337"/>
      <c r="Z24" s="1326"/>
      <c r="AA24" s="1326"/>
      <c r="AB24" s="1326"/>
      <c r="AC24" s="1326"/>
      <c r="AD24" s="1326"/>
      <c r="AE24" s="1326"/>
      <c r="AF24" s="1326"/>
      <c r="AG24" s="1326"/>
      <c r="AH24" s="1326"/>
      <c r="AI24" s="1326"/>
      <c r="AJ24" s="1326"/>
      <c r="AK24" s="1327"/>
      <c r="AL24" s="1327"/>
      <c r="AM24" s="1341"/>
      <c r="AN24" s="1328"/>
      <c r="AO24" s="1326"/>
      <c r="AP24" s="1326"/>
      <c r="AQ24" s="1326"/>
      <c r="AR24" s="1326"/>
      <c r="AS24" s="1326"/>
      <c r="AT24" s="1326"/>
      <c r="AU24" s="1326"/>
      <c r="AV24" s="1326"/>
      <c r="AW24" s="1326"/>
      <c r="AX24" s="1326"/>
      <c r="AY24" s="1342"/>
      <c r="AZ24" s="1342"/>
    </row>
    <row r="25" spans="1:60" x14ac:dyDescent="0.25">
      <c r="A25" s="1339" t="s">
        <v>381</v>
      </c>
      <c r="B25" s="1325" t="s">
        <v>166</v>
      </c>
      <c r="C25" s="1326">
        <v>518</v>
      </c>
      <c r="D25" s="1326">
        <v>13547</v>
      </c>
      <c r="E25" s="1326">
        <v>0</v>
      </c>
      <c r="F25" s="1326">
        <v>0</v>
      </c>
      <c r="G25" s="1326">
        <v>0</v>
      </c>
      <c r="H25" s="1326">
        <v>0</v>
      </c>
      <c r="I25" s="1326">
        <v>0</v>
      </c>
      <c r="J25" s="1326">
        <v>0</v>
      </c>
      <c r="K25" s="1326">
        <v>0</v>
      </c>
      <c r="L25" s="1326">
        <v>0</v>
      </c>
      <c r="M25" s="1326">
        <v>0</v>
      </c>
      <c r="N25" s="1326">
        <v>0</v>
      </c>
      <c r="O25" s="1326">
        <v>0</v>
      </c>
      <c r="P25" s="1326">
        <v>0</v>
      </c>
      <c r="Q25" s="1326">
        <v>0</v>
      </c>
      <c r="R25" s="1326">
        <v>0</v>
      </c>
      <c r="S25" s="1326">
        <v>0</v>
      </c>
      <c r="T25" s="1326">
        <v>0</v>
      </c>
      <c r="U25" s="1326">
        <v>0</v>
      </c>
      <c r="V25" s="1326">
        <v>0</v>
      </c>
      <c r="W25" s="1326">
        <v>0</v>
      </c>
      <c r="X25" s="1326">
        <v>0</v>
      </c>
      <c r="Y25" s="1326">
        <v>0</v>
      </c>
      <c r="Z25" s="1326">
        <v>0</v>
      </c>
      <c r="AA25" s="1326">
        <v>0</v>
      </c>
      <c r="AB25" s="1326">
        <v>0</v>
      </c>
      <c r="AC25" s="1326">
        <v>0</v>
      </c>
      <c r="AD25" s="1326">
        <v>0</v>
      </c>
      <c r="AE25" s="1326">
        <v>0</v>
      </c>
      <c r="AF25" s="1326">
        <v>0</v>
      </c>
      <c r="AG25" s="1326">
        <v>0</v>
      </c>
      <c r="AH25" s="1326">
        <v>0</v>
      </c>
      <c r="AI25" s="1326">
        <v>0</v>
      </c>
      <c r="AJ25" s="1326">
        <v>0</v>
      </c>
      <c r="AK25" s="1326">
        <v>0</v>
      </c>
      <c r="AL25" s="1326">
        <v>0</v>
      </c>
      <c r="AM25" s="1326">
        <v>0</v>
      </c>
      <c r="AN25" s="1326">
        <v>0</v>
      </c>
      <c r="AO25" s="1326">
        <v>0</v>
      </c>
      <c r="AP25" s="1326">
        <v>0</v>
      </c>
      <c r="AQ25" s="1326">
        <v>0</v>
      </c>
      <c r="AR25" s="1326">
        <v>0</v>
      </c>
      <c r="AS25" s="1326">
        <v>0</v>
      </c>
      <c r="AT25" s="1326">
        <v>0</v>
      </c>
      <c r="AU25" s="1326">
        <v>0</v>
      </c>
      <c r="AV25" s="1326">
        <v>0</v>
      </c>
      <c r="AW25" s="1326">
        <v>0</v>
      </c>
      <c r="AX25" s="1326">
        <v>0</v>
      </c>
      <c r="AY25" s="1343">
        <v>0</v>
      </c>
      <c r="AZ25" s="1343">
        <v>0</v>
      </c>
    </row>
    <row r="26" spans="1:60" x14ac:dyDescent="0.25">
      <c r="A26" s="1339" t="s">
        <v>382</v>
      </c>
      <c r="B26" s="1325" t="s">
        <v>166</v>
      </c>
      <c r="C26" s="1326">
        <v>11420</v>
      </c>
      <c r="D26" s="1326">
        <v>989397</v>
      </c>
      <c r="E26" s="1326">
        <v>0</v>
      </c>
      <c r="F26" s="1326">
        <v>0</v>
      </c>
      <c r="G26" s="1326">
        <v>0</v>
      </c>
      <c r="H26" s="1326">
        <v>0</v>
      </c>
      <c r="I26" s="1326">
        <v>0</v>
      </c>
      <c r="J26" s="1326">
        <v>0</v>
      </c>
      <c r="K26" s="1326">
        <v>0</v>
      </c>
      <c r="L26" s="1326">
        <v>0</v>
      </c>
      <c r="M26" s="1326">
        <v>0</v>
      </c>
      <c r="N26" s="1326">
        <v>0</v>
      </c>
      <c r="O26" s="1326">
        <v>0</v>
      </c>
      <c r="P26" s="1326">
        <v>0</v>
      </c>
      <c r="Q26" s="1326">
        <v>0</v>
      </c>
      <c r="R26" s="1326">
        <v>0</v>
      </c>
      <c r="S26" s="1326">
        <v>0</v>
      </c>
      <c r="T26" s="1326">
        <v>0</v>
      </c>
      <c r="U26" s="1326">
        <v>0</v>
      </c>
      <c r="V26" s="1326">
        <v>0</v>
      </c>
      <c r="W26" s="1326">
        <v>0</v>
      </c>
      <c r="X26" s="1326">
        <v>0</v>
      </c>
      <c r="Y26" s="1326">
        <v>0</v>
      </c>
      <c r="Z26" s="1326">
        <v>0</v>
      </c>
      <c r="AA26" s="1326">
        <v>0</v>
      </c>
      <c r="AB26" s="1326">
        <v>0</v>
      </c>
      <c r="AC26" s="1326">
        <v>0</v>
      </c>
      <c r="AD26" s="1326">
        <v>0</v>
      </c>
      <c r="AE26" s="1326">
        <v>0</v>
      </c>
      <c r="AF26" s="1326">
        <v>0</v>
      </c>
      <c r="AG26" s="1326">
        <v>0</v>
      </c>
      <c r="AH26" s="1326">
        <v>0</v>
      </c>
      <c r="AI26" s="1326">
        <v>0</v>
      </c>
      <c r="AJ26" s="1326">
        <v>0</v>
      </c>
      <c r="AK26" s="1326">
        <v>0</v>
      </c>
      <c r="AL26" s="1326">
        <v>0</v>
      </c>
      <c r="AM26" s="1326">
        <v>0</v>
      </c>
      <c r="AN26" s="1326">
        <v>0</v>
      </c>
      <c r="AO26" s="1326">
        <v>0</v>
      </c>
      <c r="AP26" s="1326">
        <v>0</v>
      </c>
      <c r="AQ26" s="1326">
        <v>0</v>
      </c>
      <c r="AR26" s="1326">
        <v>0</v>
      </c>
      <c r="AS26" s="1326">
        <v>0</v>
      </c>
      <c r="AT26" s="1326">
        <v>0</v>
      </c>
      <c r="AU26" s="1326">
        <v>0</v>
      </c>
      <c r="AV26" s="1326">
        <v>0</v>
      </c>
      <c r="AW26" s="1326">
        <v>0</v>
      </c>
      <c r="AX26" s="1326">
        <v>0</v>
      </c>
      <c r="AY26" s="1343">
        <v>0</v>
      </c>
      <c r="AZ26" s="1343">
        <v>0</v>
      </c>
    </row>
    <row r="27" spans="1:60" x14ac:dyDescent="0.25">
      <c r="A27" s="1339" t="s">
        <v>383</v>
      </c>
      <c r="B27" s="1325" t="s">
        <v>166</v>
      </c>
      <c r="C27" s="1326">
        <v>154913</v>
      </c>
      <c r="D27" s="1326">
        <v>33496645</v>
      </c>
      <c r="E27" s="1326">
        <v>0</v>
      </c>
      <c r="F27" s="1326">
        <v>0</v>
      </c>
      <c r="G27" s="1326">
        <v>0</v>
      </c>
      <c r="H27" s="1326">
        <v>0</v>
      </c>
      <c r="I27" s="1326">
        <v>0</v>
      </c>
      <c r="J27" s="1326">
        <v>0</v>
      </c>
      <c r="K27" s="1326">
        <v>0</v>
      </c>
      <c r="L27" s="1326">
        <v>0</v>
      </c>
      <c r="M27" s="1326">
        <v>0</v>
      </c>
      <c r="N27" s="1326">
        <v>0</v>
      </c>
      <c r="O27" s="1326">
        <v>0</v>
      </c>
      <c r="P27" s="1326">
        <v>0</v>
      </c>
      <c r="Q27" s="1326">
        <v>0</v>
      </c>
      <c r="R27" s="1326">
        <v>0</v>
      </c>
      <c r="S27" s="1326">
        <v>0</v>
      </c>
      <c r="T27" s="1326">
        <v>0</v>
      </c>
      <c r="U27" s="1326">
        <v>0</v>
      </c>
      <c r="V27" s="1326">
        <v>0</v>
      </c>
      <c r="W27" s="1326">
        <v>0</v>
      </c>
      <c r="X27" s="1326">
        <v>0</v>
      </c>
      <c r="Y27" s="1326">
        <v>0</v>
      </c>
      <c r="Z27" s="1326">
        <v>0</v>
      </c>
      <c r="AA27" s="1326">
        <v>0</v>
      </c>
      <c r="AB27" s="1326">
        <v>0</v>
      </c>
      <c r="AC27" s="1326">
        <v>0</v>
      </c>
      <c r="AD27" s="1326">
        <v>0</v>
      </c>
      <c r="AE27" s="1326">
        <v>0</v>
      </c>
      <c r="AF27" s="1326">
        <v>0</v>
      </c>
      <c r="AG27" s="1326">
        <v>0</v>
      </c>
      <c r="AH27" s="1326">
        <v>0</v>
      </c>
      <c r="AI27" s="1326">
        <v>0</v>
      </c>
      <c r="AJ27" s="1326">
        <v>0</v>
      </c>
      <c r="AK27" s="1326">
        <v>0</v>
      </c>
      <c r="AL27" s="1326">
        <v>0</v>
      </c>
      <c r="AM27" s="1326">
        <v>0</v>
      </c>
      <c r="AN27" s="1326">
        <v>0</v>
      </c>
      <c r="AO27" s="1326">
        <v>0</v>
      </c>
      <c r="AP27" s="1326">
        <v>0</v>
      </c>
      <c r="AQ27" s="1326">
        <v>0</v>
      </c>
      <c r="AR27" s="1326">
        <v>0</v>
      </c>
      <c r="AS27" s="1326">
        <v>0</v>
      </c>
      <c r="AT27" s="1326">
        <v>0</v>
      </c>
      <c r="AU27" s="1326">
        <v>0</v>
      </c>
      <c r="AV27" s="1326">
        <v>0</v>
      </c>
      <c r="AW27" s="1326">
        <v>0</v>
      </c>
      <c r="AX27" s="1326">
        <v>0</v>
      </c>
      <c r="AY27" s="1343">
        <v>0</v>
      </c>
      <c r="AZ27" s="1343">
        <v>0</v>
      </c>
    </row>
    <row r="28" spans="1:60" x14ac:dyDescent="0.25">
      <c r="A28" s="1339" t="s">
        <v>384</v>
      </c>
      <c r="B28" s="1325" t="s">
        <v>166</v>
      </c>
      <c r="C28" s="1326">
        <v>1</v>
      </c>
      <c r="D28" s="1326">
        <v>50</v>
      </c>
      <c r="E28" s="1326">
        <v>0</v>
      </c>
      <c r="F28" s="1326">
        <v>0</v>
      </c>
      <c r="G28" s="1326">
        <v>0</v>
      </c>
      <c r="H28" s="1326">
        <v>0</v>
      </c>
      <c r="I28" s="1326">
        <v>0</v>
      </c>
      <c r="J28" s="1326">
        <v>0</v>
      </c>
      <c r="K28" s="1326">
        <v>0</v>
      </c>
      <c r="L28" s="1326">
        <v>0</v>
      </c>
      <c r="M28" s="1326">
        <v>0</v>
      </c>
      <c r="N28" s="1326">
        <v>0</v>
      </c>
      <c r="O28" s="1326">
        <v>0</v>
      </c>
      <c r="P28" s="1326">
        <v>0</v>
      </c>
      <c r="Q28" s="1326">
        <v>0</v>
      </c>
      <c r="R28" s="1326">
        <v>0</v>
      </c>
      <c r="S28" s="1326">
        <v>0</v>
      </c>
      <c r="T28" s="1326">
        <v>0</v>
      </c>
      <c r="U28" s="1326">
        <v>0</v>
      </c>
      <c r="V28" s="1326">
        <v>0</v>
      </c>
      <c r="W28" s="1326">
        <v>0</v>
      </c>
      <c r="X28" s="1326">
        <v>0</v>
      </c>
      <c r="Y28" s="1326">
        <v>0</v>
      </c>
      <c r="Z28" s="1326">
        <v>0</v>
      </c>
      <c r="AA28" s="1326">
        <v>0</v>
      </c>
      <c r="AB28" s="1326">
        <v>0</v>
      </c>
      <c r="AC28" s="1326">
        <v>0</v>
      </c>
      <c r="AD28" s="1326">
        <v>0</v>
      </c>
      <c r="AE28" s="1326">
        <v>0</v>
      </c>
      <c r="AF28" s="1326">
        <v>0</v>
      </c>
      <c r="AG28" s="1326">
        <v>0</v>
      </c>
      <c r="AH28" s="1326">
        <v>0</v>
      </c>
      <c r="AI28" s="1326">
        <v>0</v>
      </c>
      <c r="AJ28" s="1326">
        <v>0</v>
      </c>
      <c r="AK28" s="1326">
        <v>0</v>
      </c>
      <c r="AL28" s="1326">
        <v>0</v>
      </c>
      <c r="AM28" s="1326">
        <v>0</v>
      </c>
      <c r="AN28" s="1326">
        <v>0</v>
      </c>
      <c r="AO28" s="1326">
        <v>0</v>
      </c>
      <c r="AP28" s="1326">
        <v>0</v>
      </c>
      <c r="AQ28" s="1326">
        <v>0</v>
      </c>
      <c r="AR28" s="1326">
        <v>0</v>
      </c>
      <c r="AS28" s="1326">
        <v>0</v>
      </c>
      <c r="AT28" s="1326">
        <v>0</v>
      </c>
      <c r="AU28" s="1326">
        <v>0</v>
      </c>
      <c r="AV28" s="1326">
        <v>0</v>
      </c>
      <c r="AW28" s="1326">
        <v>0</v>
      </c>
      <c r="AX28" s="1326">
        <v>0</v>
      </c>
      <c r="AY28" s="1343">
        <v>0</v>
      </c>
      <c r="AZ28" s="1343">
        <v>0</v>
      </c>
    </row>
    <row r="29" spans="1:60" x14ac:dyDescent="0.25">
      <c r="A29" s="1340" t="s">
        <v>385</v>
      </c>
      <c r="B29" s="1325"/>
      <c r="C29" s="1326">
        <f>SUM(C25:C28)</f>
        <v>166852</v>
      </c>
      <c r="D29" s="1326">
        <f>SUM(D25:D28)</f>
        <v>34499639</v>
      </c>
      <c r="E29" s="1326">
        <v>0</v>
      </c>
      <c r="F29" s="1326">
        <v>0</v>
      </c>
      <c r="G29" s="1326">
        <v>0</v>
      </c>
      <c r="H29" s="1326">
        <v>0</v>
      </c>
      <c r="I29" s="1326">
        <v>0</v>
      </c>
      <c r="J29" s="1326">
        <v>0</v>
      </c>
      <c r="K29" s="1326">
        <v>0</v>
      </c>
      <c r="L29" s="1326">
        <v>0</v>
      </c>
      <c r="M29" s="1326">
        <v>0</v>
      </c>
      <c r="N29" s="1326">
        <v>0</v>
      </c>
      <c r="O29" s="1326">
        <v>0</v>
      </c>
      <c r="P29" s="1326">
        <v>0</v>
      </c>
      <c r="Q29" s="1326">
        <v>0</v>
      </c>
      <c r="R29" s="1326">
        <v>0</v>
      </c>
      <c r="S29" s="1326">
        <v>0</v>
      </c>
      <c r="T29" s="1326">
        <v>0</v>
      </c>
      <c r="U29" s="1326">
        <v>0</v>
      </c>
      <c r="V29" s="1326">
        <v>0</v>
      </c>
      <c r="W29" s="1326">
        <v>0</v>
      </c>
      <c r="X29" s="1326">
        <v>0</v>
      </c>
      <c r="Y29" s="1326">
        <v>0</v>
      </c>
      <c r="Z29" s="1326">
        <v>0</v>
      </c>
      <c r="AA29" s="1326">
        <v>0</v>
      </c>
      <c r="AB29" s="1326">
        <v>0</v>
      </c>
      <c r="AC29" s="1326">
        <v>0</v>
      </c>
      <c r="AD29" s="1326">
        <v>0</v>
      </c>
      <c r="AE29" s="1326">
        <v>0</v>
      </c>
      <c r="AF29" s="1326">
        <v>0</v>
      </c>
      <c r="AG29" s="1326">
        <v>0</v>
      </c>
      <c r="AH29" s="1326">
        <v>0</v>
      </c>
      <c r="AI29" s="1326">
        <v>0</v>
      </c>
      <c r="AJ29" s="1326">
        <v>0</v>
      </c>
      <c r="AK29" s="1326">
        <v>0</v>
      </c>
      <c r="AL29" s="1326">
        <v>0</v>
      </c>
      <c r="AM29" s="1326">
        <v>0</v>
      </c>
      <c r="AN29" s="1326">
        <v>0</v>
      </c>
      <c r="AO29" s="1326">
        <v>0</v>
      </c>
      <c r="AP29" s="1326">
        <v>0</v>
      </c>
      <c r="AQ29" s="1326">
        <v>0</v>
      </c>
      <c r="AR29" s="1326">
        <v>0</v>
      </c>
      <c r="AS29" s="1326">
        <v>0</v>
      </c>
      <c r="AT29" s="1326">
        <v>0</v>
      </c>
      <c r="AU29" s="1326">
        <v>0</v>
      </c>
      <c r="AV29" s="1326">
        <v>0</v>
      </c>
      <c r="AW29" s="1326">
        <v>0</v>
      </c>
      <c r="AX29" s="1326">
        <v>0</v>
      </c>
      <c r="AY29" s="1343">
        <v>0</v>
      </c>
      <c r="AZ29" s="1343">
        <v>0</v>
      </c>
    </row>
    <row r="30" spans="1:60" x14ac:dyDescent="0.25">
      <c r="A30" s="1340"/>
      <c r="B30" s="1325"/>
      <c r="C30" s="1326"/>
      <c r="D30" s="1326"/>
      <c r="E30" s="1326"/>
      <c r="F30" s="1326"/>
      <c r="G30" s="1326"/>
      <c r="H30" s="1326"/>
      <c r="I30" s="1326"/>
      <c r="J30" s="1326"/>
      <c r="K30" s="1326"/>
      <c r="L30" s="1326"/>
      <c r="M30" s="1326"/>
      <c r="N30" s="1326"/>
      <c r="O30" s="1326"/>
      <c r="P30" s="1326"/>
      <c r="Q30" s="1326"/>
      <c r="R30" s="1326"/>
      <c r="S30" s="1326"/>
      <c r="T30" s="1326"/>
      <c r="U30" s="1337"/>
      <c r="V30" s="1337"/>
      <c r="W30" s="1337"/>
      <c r="X30" s="1337"/>
      <c r="Y30" s="1337"/>
      <c r="Z30" s="1337"/>
      <c r="AA30" s="1337"/>
      <c r="AB30" s="1337"/>
      <c r="AC30" s="1337"/>
      <c r="AD30" s="1337"/>
      <c r="AE30" s="1326"/>
      <c r="AF30" s="1326"/>
      <c r="AG30" s="1337"/>
      <c r="AH30" s="1327"/>
      <c r="AI30" s="1327"/>
      <c r="AJ30" s="1327"/>
      <c r="AK30" s="1327"/>
      <c r="AL30" s="1327"/>
      <c r="AM30" s="1327"/>
      <c r="AN30" s="1327"/>
      <c r="AO30" s="1327"/>
      <c r="AP30" s="1327"/>
      <c r="AQ30" s="1327"/>
      <c r="AR30" s="1327"/>
      <c r="AS30" s="1327"/>
      <c r="AT30" s="1327"/>
      <c r="AU30" s="1327"/>
      <c r="AV30" s="1327"/>
      <c r="AW30" s="1326"/>
      <c r="AX30" s="1326"/>
      <c r="AY30" s="1342"/>
      <c r="AZ30" s="1342"/>
    </row>
    <row r="31" spans="1:60" x14ac:dyDescent="0.25">
      <c r="A31" s="215" t="s">
        <v>386</v>
      </c>
      <c r="B31" s="216" t="s">
        <v>166</v>
      </c>
      <c r="C31" s="201">
        <v>90295</v>
      </c>
      <c r="D31" s="201">
        <v>2690857</v>
      </c>
      <c r="E31" s="201">
        <v>26602</v>
      </c>
      <c r="F31" s="201">
        <v>650042</v>
      </c>
      <c r="G31" s="201">
        <v>24668</v>
      </c>
      <c r="H31" s="201">
        <v>1109904</v>
      </c>
      <c r="I31" s="201">
        <v>6643</v>
      </c>
      <c r="J31" s="201">
        <v>281749</v>
      </c>
      <c r="K31" s="201">
        <v>0</v>
      </c>
      <c r="L31" s="201">
        <v>0</v>
      </c>
      <c r="M31" s="201">
        <v>0</v>
      </c>
      <c r="N31" s="201">
        <v>0</v>
      </c>
      <c r="O31" s="201">
        <v>0</v>
      </c>
      <c r="P31" s="201">
        <v>0</v>
      </c>
      <c r="Q31" s="201">
        <v>0</v>
      </c>
      <c r="R31" s="201">
        <v>0</v>
      </c>
      <c r="S31" s="201">
        <v>0</v>
      </c>
      <c r="T31" s="201">
        <v>0</v>
      </c>
      <c r="U31" s="201">
        <v>9669</v>
      </c>
      <c r="V31" s="201">
        <v>1160280</v>
      </c>
      <c r="W31" s="201">
        <v>0</v>
      </c>
      <c r="X31" s="201">
        <v>0</v>
      </c>
      <c r="Y31" s="201">
        <v>7521</v>
      </c>
      <c r="Z31" s="201">
        <v>1006603</v>
      </c>
      <c r="AA31" s="201">
        <v>0</v>
      </c>
      <c r="AB31" s="201">
        <v>0</v>
      </c>
      <c r="AC31" s="201">
        <v>0</v>
      </c>
      <c r="AD31" s="201">
        <v>0</v>
      </c>
      <c r="AE31" s="201">
        <v>0</v>
      </c>
      <c r="AF31" s="201">
        <v>0</v>
      </c>
      <c r="AG31" s="201">
        <v>0</v>
      </c>
      <c r="AH31" s="201">
        <v>0</v>
      </c>
      <c r="AI31" s="201">
        <v>0</v>
      </c>
      <c r="AJ31" s="201">
        <v>0</v>
      </c>
      <c r="AK31" s="201">
        <v>0</v>
      </c>
      <c r="AL31" s="201">
        <v>0</v>
      </c>
      <c r="AM31" s="201">
        <v>0</v>
      </c>
      <c r="AN31" s="201">
        <v>0</v>
      </c>
      <c r="AO31" s="201">
        <v>0</v>
      </c>
      <c r="AP31" s="201">
        <v>0</v>
      </c>
      <c r="AQ31" s="201">
        <v>0</v>
      </c>
      <c r="AR31" s="201">
        <v>0</v>
      </c>
      <c r="AS31" s="201">
        <v>0</v>
      </c>
      <c r="AT31" s="201">
        <v>0</v>
      </c>
      <c r="AU31" s="201">
        <v>0</v>
      </c>
      <c r="AV31" s="201">
        <v>0</v>
      </c>
      <c r="AW31" s="201">
        <v>0</v>
      </c>
      <c r="AX31" s="201">
        <v>0</v>
      </c>
      <c r="AY31" s="217">
        <v>0</v>
      </c>
      <c r="AZ31" s="217">
        <v>0</v>
      </c>
    </row>
    <row r="32" spans="1:60" x14ac:dyDescent="0.25">
      <c r="A32" s="224"/>
      <c r="C32" s="201"/>
      <c r="D32" s="201"/>
      <c r="E32" s="201"/>
      <c r="F32" s="201"/>
      <c r="G32" s="201"/>
      <c r="H32" s="201"/>
      <c r="I32" s="201"/>
      <c r="J32" s="201"/>
      <c r="K32" s="201"/>
      <c r="L32" s="201"/>
      <c r="M32" s="201"/>
      <c r="N32" s="201"/>
      <c r="O32" s="201"/>
      <c r="P32" s="201"/>
      <c r="Q32" s="201"/>
      <c r="R32" s="201"/>
      <c r="S32" s="201"/>
      <c r="T32" s="201"/>
      <c r="U32" s="202"/>
      <c r="V32" s="202"/>
      <c r="W32" s="202"/>
      <c r="X32" s="202"/>
      <c r="Y32" s="202"/>
      <c r="Z32" s="202"/>
      <c r="AA32" s="202"/>
      <c r="AB32" s="202"/>
      <c r="AC32" s="202"/>
      <c r="AD32" s="202"/>
      <c r="AG32" s="202"/>
      <c r="AH32" s="202"/>
      <c r="AI32" s="202"/>
      <c r="AJ32" s="202"/>
      <c r="AK32" s="202"/>
      <c r="AL32" s="202"/>
      <c r="AM32" s="202"/>
      <c r="AN32" s="202"/>
      <c r="AQ32" s="202"/>
      <c r="AR32" s="202"/>
      <c r="AS32" s="225"/>
      <c r="AT32" s="226"/>
      <c r="AU32" s="225"/>
      <c r="AV32" s="226"/>
      <c r="AW32" s="227"/>
      <c r="AX32" s="227"/>
      <c r="AY32" s="217"/>
      <c r="AZ32" s="217"/>
    </row>
    <row r="33" spans="1:52" x14ac:dyDescent="0.25">
      <c r="A33" s="1324" t="s">
        <v>190</v>
      </c>
      <c r="B33" s="1345"/>
      <c r="C33" s="1326"/>
      <c r="D33" s="1326"/>
      <c r="E33" s="1326"/>
      <c r="F33" s="1326"/>
      <c r="G33" s="1326"/>
      <c r="H33" s="1326"/>
      <c r="I33" s="1326"/>
      <c r="J33" s="1326"/>
      <c r="K33" s="1326"/>
      <c r="L33" s="1326"/>
      <c r="M33" s="1326"/>
      <c r="N33" s="1326"/>
      <c r="O33" s="1326"/>
      <c r="P33" s="1326"/>
      <c r="Q33" s="1326"/>
      <c r="R33" s="1326"/>
      <c r="S33" s="1326"/>
      <c r="T33" s="1326"/>
      <c r="U33" s="1327"/>
      <c r="V33" s="1327"/>
      <c r="W33" s="1327"/>
      <c r="X33" s="1327"/>
      <c r="Y33" s="1327"/>
      <c r="Z33" s="1327"/>
      <c r="AA33" s="1327"/>
      <c r="AB33" s="1327"/>
      <c r="AC33" s="1327"/>
      <c r="AD33" s="1327"/>
      <c r="AE33" s="1326"/>
      <c r="AF33" s="1326"/>
      <c r="AG33" s="1327"/>
      <c r="AH33" s="1327"/>
      <c r="AI33" s="1327"/>
      <c r="AJ33" s="1327"/>
      <c r="AK33" s="1327"/>
      <c r="AL33" s="1327"/>
      <c r="AM33" s="1327"/>
      <c r="AN33" s="1327"/>
      <c r="AO33" s="1327"/>
      <c r="AP33" s="1327"/>
      <c r="AQ33" s="1327"/>
      <c r="AR33" s="1327"/>
      <c r="AS33" s="1327"/>
      <c r="AT33" s="1327"/>
      <c r="AU33" s="1346"/>
      <c r="AV33" s="1346"/>
      <c r="AW33" s="1334"/>
      <c r="AX33" s="1334"/>
      <c r="AY33" s="1335"/>
      <c r="AZ33" s="1335"/>
    </row>
    <row r="34" spans="1:52" x14ac:dyDescent="0.25">
      <c r="A34" s="1339" t="s">
        <v>387</v>
      </c>
      <c r="B34" s="1325" t="s">
        <v>166</v>
      </c>
      <c r="C34" s="1326">
        <f>16415+195</f>
        <v>16610</v>
      </c>
      <c r="D34" s="1326">
        <f>17364485+65375</f>
        <v>17429860</v>
      </c>
      <c r="E34" s="1326">
        <v>3132</v>
      </c>
      <c r="F34" s="1326">
        <v>4751650</v>
      </c>
      <c r="G34" s="1326">
        <f>2858+783</f>
        <v>3641</v>
      </c>
      <c r="H34" s="1326">
        <f>3240056</f>
        <v>3240056</v>
      </c>
      <c r="I34" s="1326">
        <v>3390</v>
      </c>
      <c r="J34" s="1326">
        <v>2899106</v>
      </c>
      <c r="K34" s="1326">
        <f>3456</f>
        <v>3456</v>
      </c>
      <c r="L34" s="1326">
        <f>4228393</f>
        <v>4228393</v>
      </c>
      <c r="M34" s="1326">
        <f>3608</f>
        <v>3608</v>
      </c>
      <c r="N34" s="1326">
        <f>3348810</f>
        <v>3348810</v>
      </c>
      <c r="O34" s="1326">
        <f>3813</f>
        <v>3813</v>
      </c>
      <c r="P34" s="1326">
        <f>4152769</f>
        <v>4152769</v>
      </c>
      <c r="Q34" s="1326">
        <f>3592</f>
        <v>3592</v>
      </c>
      <c r="R34" s="1326">
        <v>4054126</v>
      </c>
      <c r="S34" s="1326">
        <v>2910</v>
      </c>
      <c r="T34" s="1326">
        <v>4218249</v>
      </c>
      <c r="U34" s="1326">
        <v>2679</v>
      </c>
      <c r="V34" s="1326">
        <v>6961118</v>
      </c>
      <c r="W34" s="1326">
        <v>2279</v>
      </c>
      <c r="X34" s="1326">
        <v>5800205</v>
      </c>
      <c r="Y34" s="1326">
        <v>5332</v>
      </c>
      <c r="Z34" s="1326">
        <v>6165855</v>
      </c>
      <c r="AA34" s="1327">
        <v>4540</v>
      </c>
      <c r="AB34" s="1327">
        <v>5840246</v>
      </c>
      <c r="AC34" s="1326">
        <v>4860</v>
      </c>
      <c r="AD34" s="1326">
        <v>5750484</v>
      </c>
      <c r="AE34" s="1326">
        <v>4953</v>
      </c>
      <c r="AF34" s="1326">
        <v>5870240</v>
      </c>
      <c r="AG34" s="1327">
        <v>4341</v>
      </c>
      <c r="AH34" s="1327">
        <v>5869879</v>
      </c>
      <c r="AI34" s="1327">
        <v>4994</v>
      </c>
      <c r="AJ34" s="1327">
        <v>10456176</v>
      </c>
      <c r="AK34" s="1327">
        <v>4721</v>
      </c>
      <c r="AL34" s="1327">
        <v>7452720</v>
      </c>
      <c r="AM34" s="1328">
        <v>4047</v>
      </c>
      <c r="AN34" s="1328">
        <v>6874346</v>
      </c>
      <c r="AO34" s="1327">
        <v>5805</v>
      </c>
      <c r="AP34" s="1327">
        <v>9091853</v>
      </c>
      <c r="AQ34" s="1327">
        <v>6451</v>
      </c>
      <c r="AR34" s="1327">
        <v>8751183</v>
      </c>
      <c r="AS34" s="1327">
        <v>10004</v>
      </c>
      <c r="AT34" s="1327">
        <v>21425421</v>
      </c>
      <c r="AU34" s="1327">
        <v>10492</v>
      </c>
      <c r="AV34" s="1327">
        <v>22290522</v>
      </c>
      <c r="AW34" s="1326">
        <v>9870</v>
      </c>
      <c r="AX34" s="1326">
        <v>23674725</v>
      </c>
      <c r="AY34" s="1326">
        <v>3341</v>
      </c>
      <c r="AZ34" s="1326">
        <v>8508256</v>
      </c>
    </row>
    <row r="35" spans="1:52" x14ac:dyDescent="0.25">
      <c r="A35" s="1339" t="s">
        <v>388</v>
      </c>
      <c r="B35" s="1325" t="s">
        <v>166</v>
      </c>
      <c r="C35" s="1326">
        <v>0</v>
      </c>
      <c r="D35" s="1326">
        <v>0</v>
      </c>
      <c r="E35" s="1326">
        <v>0</v>
      </c>
      <c r="F35" s="1326">
        <v>0</v>
      </c>
      <c r="G35" s="1326">
        <v>0</v>
      </c>
      <c r="H35" s="1326">
        <v>0</v>
      </c>
      <c r="I35" s="1326">
        <v>0</v>
      </c>
      <c r="J35" s="1326">
        <v>0</v>
      </c>
      <c r="K35" s="1326">
        <v>0</v>
      </c>
      <c r="L35" s="1326">
        <v>0</v>
      </c>
      <c r="M35" s="1326">
        <v>0</v>
      </c>
      <c r="N35" s="1326">
        <v>0</v>
      </c>
      <c r="O35" s="1326">
        <v>0</v>
      </c>
      <c r="P35" s="1326">
        <v>0</v>
      </c>
      <c r="Q35" s="1326">
        <v>0</v>
      </c>
      <c r="R35" s="1326">
        <v>0</v>
      </c>
      <c r="S35" s="1326">
        <v>0</v>
      </c>
      <c r="T35" s="1326">
        <v>0</v>
      </c>
      <c r="U35" s="1326">
        <v>0</v>
      </c>
      <c r="V35" s="1326">
        <v>0</v>
      </c>
      <c r="W35" s="1326">
        <v>0</v>
      </c>
      <c r="X35" s="1326">
        <v>0</v>
      </c>
      <c r="Y35" s="1326">
        <v>0</v>
      </c>
      <c r="Z35" s="1326">
        <v>0</v>
      </c>
      <c r="AA35" s="1326">
        <v>0</v>
      </c>
      <c r="AB35" s="1326">
        <v>0</v>
      </c>
      <c r="AC35" s="1326">
        <v>0</v>
      </c>
      <c r="AD35" s="1326">
        <v>0</v>
      </c>
      <c r="AE35" s="1326">
        <v>0</v>
      </c>
      <c r="AF35" s="1326">
        <v>0</v>
      </c>
      <c r="AG35" s="1327">
        <v>7141</v>
      </c>
      <c r="AH35" s="1327">
        <v>21959501</v>
      </c>
      <c r="AI35" s="1327">
        <v>9256</v>
      </c>
      <c r="AJ35" s="1327">
        <v>36278940</v>
      </c>
      <c r="AK35" s="1327">
        <v>10471</v>
      </c>
      <c r="AL35" s="1327">
        <v>30099601</v>
      </c>
      <c r="AM35" s="1328">
        <v>8662</v>
      </c>
      <c r="AN35" s="1328">
        <v>29743489</v>
      </c>
      <c r="AO35" s="1327">
        <v>15060</v>
      </c>
      <c r="AP35" s="1327">
        <v>38846037</v>
      </c>
      <c r="AQ35" s="1327">
        <v>14369</v>
      </c>
      <c r="AR35" s="1327">
        <v>33449342</v>
      </c>
      <c r="AS35" s="1327">
        <v>18296</v>
      </c>
      <c r="AT35" s="1327">
        <v>52591394</v>
      </c>
      <c r="AU35" s="1327">
        <v>22461</v>
      </c>
      <c r="AV35" s="1327">
        <v>65585497</v>
      </c>
      <c r="AW35" s="1326">
        <v>22436</v>
      </c>
      <c r="AX35" s="1326">
        <v>59262305</v>
      </c>
      <c r="AY35" s="1326">
        <v>25130</v>
      </c>
      <c r="AZ35" s="1326">
        <v>62908995</v>
      </c>
    </row>
    <row r="36" spans="1:52" x14ac:dyDescent="0.25">
      <c r="A36" s="1339" t="s">
        <v>389</v>
      </c>
      <c r="B36" s="1325" t="s">
        <v>166</v>
      </c>
      <c r="C36" s="1326">
        <v>41740</v>
      </c>
      <c r="D36" s="1326">
        <v>11701660</v>
      </c>
      <c r="E36" s="1326"/>
      <c r="F36" s="1326"/>
      <c r="G36" s="1326">
        <v>783</v>
      </c>
      <c r="H36" s="1326">
        <v>1154174</v>
      </c>
      <c r="I36" s="1326">
        <v>14214</v>
      </c>
      <c r="J36" s="1326">
        <v>12491102</v>
      </c>
      <c r="K36" s="1326">
        <v>7993</v>
      </c>
      <c r="L36" s="1326">
        <v>7284445</v>
      </c>
      <c r="M36" s="1326">
        <v>8397</v>
      </c>
      <c r="N36" s="1326">
        <v>11145646</v>
      </c>
      <c r="O36" s="1326">
        <v>6590</v>
      </c>
      <c r="P36" s="1326">
        <v>6971035</v>
      </c>
      <c r="Q36" s="1326">
        <v>4182</v>
      </c>
      <c r="R36" s="1326">
        <v>4387234</v>
      </c>
      <c r="S36" s="1326">
        <v>0</v>
      </c>
      <c r="T36" s="1326">
        <v>0</v>
      </c>
      <c r="U36" s="1326">
        <f>1504+3243</f>
        <v>4747</v>
      </c>
      <c r="V36" s="1326">
        <f>2751837+8042745</f>
        <v>10794582</v>
      </c>
      <c r="W36" s="1326">
        <v>16759</v>
      </c>
      <c r="X36" s="1326">
        <v>34895268</v>
      </c>
      <c r="Y36" s="1326">
        <f>8699+928</f>
        <v>9627</v>
      </c>
      <c r="Z36" s="1326">
        <f>14883855+1498160</f>
        <v>16382015</v>
      </c>
      <c r="AA36" s="1327">
        <v>7253</v>
      </c>
      <c r="AB36" s="1327">
        <v>12078374</v>
      </c>
      <c r="AC36" s="1326">
        <f>2865.95+1621.07+2746.6</f>
        <v>7233.619999999999</v>
      </c>
      <c r="AD36" s="1326">
        <v>12926731</v>
      </c>
      <c r="AE36" s="1326">
        <v>24027</v>
      </c>
      <c r="AF36" s="1326">
        <v>24340005</v>
      </c>
      <c r="AG36" s="1327">
        <v>23627</v>
      </c>
      <c r="AH36" s="1327">
        <v>40304405</v>
      </c>
      <c r="AI36" s="1327">
        <v>10062</v>
      </c>
      <c r="AJ36" s="1327">
        <v>26559116</v>
      </c>
      <c r="AK36" s="1327">
        <v>7880</v>
      </c>
      <c r="AL36" s="1327">
        <v>13728391</v>
      </c>
      <c r="AM36" s="1328">
        <v>15609</v>
      </c>
      <c r="AN36" s="1328">
        <v>25839453</v>
      </c>
      <c r="AO36" s="1327">
        <v>7375</v>
      </c>
      <c r="AP36" s="1327">
        <v>9193387</v>
      </c>
      <c r="AQ36" s="1327">
        <v>5408</v>
      </c>
      <c r="AR36" s="1327">
        <v>4054018</v>
      </c>
      <c r="AS36" s="1327">
        <v>5739</v>
      </c>
      <c r="AT36" s="1327">
        <v>852046</v>
      </c>
      <c r="AU36" s="1327">
        <v>17324</v>
      </c>
      <c r="AV36" s="1327">
        <v>32834522</v>
      </c>
      <c r="AW36" s="1326">
        <v>31981</v>
      </c>
      <c r="AX36" s="1326">
        <v>62552810</v>
      </c>
      <c r="AY36" s="1326">
        <v>30306</v>
      </c>
      <c r="AZ36" s="1326">
        <v>73677668</v>
      </c>
    </row>
    <row r="37" spans="1:52" x14ac:dyDescent="0.25">
      <c r="A37" s="1339" t="s">
        <v>390</v>
      </c>
      <c r="B37" s="1325" t="s">
        <v>166</v>
      </c>
      <c r="C37" s="1326"/>
      <c r="D37" s="1326"/>
      <c r="E37" s="1326"/>
      <c r="F37" s="1326"/>
      <c r="G37" s="1326"/>
      <c r="H37" s="1326"/>
      <c r="I37" s="1326"/>
      <c r="J37" s="1326"/>
      <c r="K37" s="1326"/>
      <c r="L37" s="1326"/>
      <c r="M37" s="1326"/>
      <c r="N37" s="1326"/>
      <c r="O37" s="1326"/>
      <c r="P37" s="1326"/>
      <c r="Q37" s="1326"/>
      <c r="R37" s="1326"/>
      <c r="S37" s="1326"/>
      <c r="T37" s="1326"/>
      <c r="U37" s="1326"/>
      <c r="V37" s="1326"/>
      <c r="W37" s="1326"/>
      <c r="X37" s="1326"/>
      <c r="Y37" s="1326"/>
      <c r="Z37" s="1326"/>
      <c r="AA37" s="1327"/>
      <c r="AB37" s="1327"/>
      <c r="AC37" s="1326"/>
      <c r="AD37" s="1326"/>
      <c r="AE37" s="1326"/>
      <c r="AF37" s="1326"/>
      <c r="AG37" s="1327"/>
      <c r="AH37" s="1327"/>
      <c r="AI37" s="1327"/>
      <c r="AJ37" s="1327"/>
      <c r="AK37" s="1327"/>
      <c r="AL37" s="1327"/>
      <c r="AM37" s="1328"/>
      <c r="AN37" s="1328"/>
      <c r="AO37" s="1327"/>
      <c r="AP37" s="1327"/>
      <c r="AQ37" s="1327"/>
      <c r="AR37" s="1327"/>
      <c r="AS37" s="1327"/>
      <c r="AT37" s="1327"/>
      <c r="AU37" s="1327"/>
      <c r="AV37" s="1327"/>
      <c r="AW37" s="1326"/>
      <c r="AX37" s="1326"/>
      <c r="AY37" s="1326"/>
      <c r="AZ37" s="1326"/>
    </row>
    <row r="38" spans="1:52" x14ac:dyDescent="0.25">
      <c r="A38" s="1339" t="s">
        <v>391</v>
      </c>
      <c r="B38" s="1325" t="s">
        <v>166</v>
      </c>
      <c r="C38" s="1326">
        <v>88519</v>
      </c>
      <c r="D38" s="1326">
        <v>3311561</v>
      </c>
      <c r="E38" s="1326"/>
      <c r="F38" s="1326"/>
      <c r="G38" s="1326">
        <v>0</v>
      </c>
      <c r="H38" s="1326">
        <v>0</v>
      </c>
      <c r="I38" s="1326">
        <v>0</v>
      </c>
      <c r="J38" s="1326">
        <v>0</v>
      </c>
      <c r="K38" s="1326">
        <v>0</v>
      </c>
      <c r="L38" s="1326">
        <v>0</v>
      </c>
      <c r="M38" s="1326">
        <v>0</v>
      </c>
      <c r="N38" s="1326">
        <v>0</v>
      </c>
      <c r="O38" s="1326">
        <v>42</v>
      </c>
      <c r="P38" s="1326">
        <v>6748</v>
      </c>
      <c r="Q38" s="1326">
        <v>0</v>
      </c>
      <c r="R38" s="1326">
        <v>0</v>
      </c>
      <c r="S38" s="1326">
        <v>0</v>
      </c>
      <c r="T38" s="1326">
        <v>0</v>
      </c>
      <c r="U38" s="1326">
        <v>0</v>
      </c>
      <c r="V38" s="1326">
        <v>0</v>
      </c>
      <c r="W38" s="1326">
        <v>0</v>
      </c>
      <c r="X38" s="1326">
        <v>0</v>
      </c>
      <c r="Y38" s="1326">
        <v>0</v>
      </c>
      <c r="Z38" s="1326">
        <v>0</v>
      </c>
      <c r="AA38" s="1326">
        <v>0</v>
      </c>
      <c r="AB38" s="1326">
        <v>0</v>
      </c>
      <c r="AC38" s="1326">
        <v>0</v>
      </c>
      <c r="AD38" s="1326">
        <v>0</v>
      </c>
      <c r="AE38" s="1326">
        <v>0</v>
      </c>
      <c r="AF38" s="1326">
        <v>0</v>
      </c>
      <c r="AG38" s="1326">
        <v>0</v>
      </c>
      <c r="AH38" s="1326">
        <v>0</v>
      </c>
      <c r="AI38" s="1326">
        <v>0</v>
      </c>
      <c r="AJ38" s="1326">
        <v>0</v>
      </c>
      <c r="AK38" s="1326">
        <v>0</v>
      </c>
      <c r="AL38" s="1326">
        <v>0</v>
      </c>
      <c r="AM38" s="1326">
        <v>0</v>
      </c>
      <c r="AN38" s="1326">
        <v>0</v>
      </c>
      <c r="AO38" s="1326">
        <v>0</v>
      </c>
      <c r="AP38" s="1326">
        <v>0</v>
      </c>
      <c r="AQ38" s="1326">
        <v>0</v>
      </c>
      <c r="AR38" s="1326">
        <v>0</v>
      </c>
      <c r="AS38" s="1326">
        <v>0</v>
      </c>
      <c r="AT38" s="1326">
        <v>0</v>
      </c>
      <c r="AU38" s="1326">
        <v>0</v>
      </c>
      <c r="AV38" s="1326">
        <v>0</v>
      </c>
      <c r="AW38" s="1326">
        <v>0</v>
      </c>
      <c r="AX38" s="1326">
        <v>0</v>
      </c>
      <c r="AY38" s="1326">
        <v>0</v>
      </c>
      <c r="AZ38" s="1326">
        <v>0</v>
      </c>
    </row>
    <row r="39" spans="1:52" x14ac:dyDescent="0.25">
      <c r="A39" s="1339" t="s">
        <v>392</v>
      </c>
      <c r="B39" s="1325" t="s">
        <v>166</v>
      </c>
      <c r="C39" s="1326">
        <v>489720</v>
      </c>
      <c r="D39" s="1326">
        <v>10636394</v>
      </c>
      <c r="E39" s="1326">
        <v>0</v>
      </c>
      <c r="F39" s="1326">
        <v>0</v>
      </c>
      <c r="G39" s="1326">
        <v>0</v>
      </c>
      <c r="H39" s="1326">
        <v>0</v>
      </c>
      <c r="I39" s="1326">
        <v>0</v>
      </c>
      <c r="J39" s="1326">
        <v>0</v>
      </c>
      <c r="K39" s="1326">
        <v>0</v>
      </c>
      <c r="L39" s="1326">
        <v>0</v>
      </c>
      <c r="M39" s="1326">
        <v>0</v>
      </c>
      <c r="N39" s="1326">
        <v>0</v>
      </c>
      <c r="O39" s="1326">
        <v>0</v>
      </c>
      <c r="P39" s="1326">
        <v>0</v>
      </c>
      <c r="Q39" s="1326">
        <v>0</v>
      </c>
      <c r="R39" s="1326">
        <v>0</v>
      </c>
      <c r="S39" s="1326">
        <v>0</v>
      </c>
      <c r="T39" s="1326">
        <v>0</v>
      </c>
      <c r="U39" s="1326">
        <v>0</v>
      </c>
      <c r="V39" s="1326">
        <v>0</v>
      </c>
      <c r="W39" s="1326">
        <v>7846</v>
      </c>
      <c r="X39" s="1326">
        <v>4422848</v>
      </c>
      <c r="Y39" s="1326">
        <v>13606</v>
      </c>
      <c r="Z39" s="1326">
        <v>7176456</v>
      </c>
      <c r="AA39" s="1327">
        <v>10698</v>
      </c>
      <c r="AB39" s="1327">
        <v>4348109</v>
      </c>
      <c r="AC39" s="1326">
        <v>20964</v>
      </c>
      <c r="AD39" s="1326">
        <v>7429363</v>
      </c>
      <c r="AE39" s="1326">
        <v>32276</v>
      </c>
      <c r="AF39" s="1326">
        <v>7835561</v>
      </c>
      <c r="AG39" s="1327">
        <v>20287</v>
      </c>
      <c r="AH39" s="1327">
        <v>7320564</v>
      </c>
      <c r="AI39" s="1327">
        <v>15642</v>
      </c>
      <c r="AJ39" s="1327">
        <v>8253256</v>
      </c>
      <c r="AK39" s="1327">
        <v>17080.275999999998</v>
      </c>
      <c r="AL39" s="1327">
        <v>9901951</v>
      </c>
      <c r="AM39" s="1328">
        <v>23201.462</v>
      </c>
      <c r="AN39" s="1328">
        <v>9914174</v>
      </c>
      <c r="AO39" s="1327">
        <v>39518</v>
      </c>
      <c r="AP39" s="1327">
        <v>15085665</v>
      </c>
      <c r="AQ39" s="1327">
        <v>55280.813999999998</v>
      </c>
      <c r="AR39" s="1327">
        <v>17225445.539999999</v>
      </c>
      <c r="AS39" s="1327">
        <v>73081</v>
      </c>
      <c r="AT39" s="1327">
        <v>25761448</v>
      </c>
      <c r="AU39" s="1327">
        <v>91383</v>
      </c>
      <c r="AV39" s="1327">
        <v>44902919</v>
      </c>
      <c r="AW39" s="1326">
        <v>70397</v>
      </c>
      <c r="AX39" s="1326">
        <v>32690023</v>
      </c>
      <c r="AY39" s="1326">
        <v>56492</v>
      </c>
      <c r="AZ39" s="1326">
        <v>24317218</v>
      </c>
    </row>
    <row r="40" spans="1:52" x14ac:dyDescent="0.25">
      <c r="A40" s="1339" t="s">
        <v>254</v>
      </c>
      <c r="B40" s="1325" t="s">
        <v>166</v>
      </c>
      <c r="C40" s="1326">
        <v>2934</v>
      </c>
      <c r="D40" s="1326"/>
      <c r="E40" s="1326">
        <v>0</v>
      </c>
      <c r="F40" s="1326">
        <v>0</v>
      </c>
      <c r="G40" s="1326">
        <v>3613</v>
      </c>
      <c r="H40" s="1326">
        <v>2899744</v>
      </c>
      <c r="I40" s="1326">
        <v>48018</v>
      </c>
      <c r="J40" s="1326">
        <v>18709900</v>
      </c>
      <c r="K40" s="1326">
        <v>13158</v>
      </c>
      <c r="L40" s="1326">
        <v>5373969</v>
      </c>
      <c r="M40" s="1326">
        <v>35640</v>
      </c>
      <c r="N40" s="1326">
        <v>17318707</v>
      </c>
      <c r="O40" s="1326">
        <v>51977</v>
      </c>
      <c r="P40" s="1326">
        <v>14815986</v>
      </c>
      <c r="Q40" s="1326">
        <v>23969</v>
      </c>
      <c r="R40" s="1326">
        <v>5228455</v>
      </c>
      <c r="S40" s="1326">
        <v>0</v>
      </c>
      <c r="T40" s="1326">
        <v>0</v>
      </c>
      <c r="U40" s="1326">
        <v>20250</v>
      </c>
      <c r="V40" s="1326">
        <v>14698390</v>
      </c>
      <c r="W40" s="1326">
        <v>38064</v>
      </c>
      <c r="X40" s="1326">
        <v>48153946</v>
      </c>
      <c r="Y40" s="1326">
        <v>51704</v>
      </c>
      <c r="Z40" s="1326">
        <v>61546194</v>
      </c>
      <c r="AA40" s="1327">
        <v>112015</v>
      </c>
      <c r="AB40" s="1327">
        <v>94691818</v>
      </c>
      <c r="AC40" s="1326">
        <v>141385</v>
      </c>
      <c r="AD40" s="1326">
        <v>132984006</v>
      </c>
      <c r="AE40" s="1326">
        <v>141096</v>
      </c>
      <c r="AF40" s="1326">
        <v>87020276</v>
      </c>
      <c r="AG40" s="1327">
        <v>123621</v>
      </c>
      <c r="AH40" s="1327">
        <v>85143904</v>
      </c>
      <c r="AI40" s="1327">
        <v>126336</v>
      </c>
      <c r="AJ40" s="1327">
        <v>87733173</v>
      </c>
      <c r="AK40" s="1327">
        <v>106855.298521</v>
      </c>
      <c r="AL40" s="1327">
        <v>71282609</v>
      </c>
      <c r="AM40" s="1328">
        <v>117198.171</v>
      </c>
      <c r="AN40" s="1328">
        <v>118102298</v>
      </c>
      <c r="AO40" s="1327">
        <v>149330</v>
      </c>
      <c r="AP40" s="1327">
        <v>127850728</v>
      </c>
      <c r="AQ40" s="1327">
        <v>222539.85500000001</v>
      </c>
      <c r="AR40" s="1327">
        <v>219593277.06999999</v>
      </c>
      <c r="AS40" s="1327">
        <v>257712.46</v>
      </c>
      <c r="AT40" s="1327">
        <v>290114283</v>
      </c>
      <c r="AU40" s="1327">
        <v>210837</v>
      </c>
      <c r="AV40" s="1327">
        <v>208717514</v>
      </c>
      <c r="AW40" s="1326">
        <v>218803</v>
      </c>
      <c r="AX40" s="1326">
        <v>173064117</v>
      </c>
      <c r="AY40" s="1326">
        <v>174550</v>
      </c>
      <c r="AZ40" s="1326">
        <v>139734516</v>
      </c>
    </row>
    <row r="41" spans="1:52" x14ac:dyDescent="0.25">
      <c r="A41" s="1339" t="s">
        <v>393</v>
      </c>
      <c r="B41" s="1325" t="s">
        <v>166</v>
      </c>
      <c r="C41" s="1326">
        <v>20</v>
      </c>
      <c r="D41" s="1326">
        <v>200</v>
      </c>
      <c r="E41" s="1326">
        <v>0</v>
      </c>
      <c r="F41" s="1326">
        <v>0</v>
      </c>
      <c r="G41" s="1326">
        <v>0</v>
      </c>
      <c r="H41" s="1326">
        <v>0</v>
      </c>
      <c r="I41" s="1326">
        <v>0</v>
      </c>
      <c r="J41" s="1326">
        <v>0</v>
      </c>
      <c r="K41" s="1326">
        <v>0</v>
      </c>
      <c r="L41" s="1326">
        <v>0</v>
      </c>
      <c r="M41" s="1326">
        <v>0</v>
      </c>
      <c r="N41" s="1326">
        <v>0</v>
      </c>
      <c r="O41" s="1326">
        <v>0</v>
      </c>
      <c r="P41" s="1326">
        <v>0</v>
      </c>
      <c r="Q41" s="1326">
        <v>0</v>
      </c>
      <c r="R41" s="1326">
        <v>0</v>
      </c>
      <c r="S41" s="1326">
        <v>0</v>
      </c>
      <c r="T41" s="1326">
        <v>0</v>
      </c>
      <c r="U41" s="1326">
        <v>0</v>
      </c>
      <c r="V41" s="1326">
        <v>0</v>
      </c>
      <c r="W41" s="1326">
        <v>0</v>
      </c>
      <c r="X41" s="1326">
        <v>0</v>
      </c>
      <c r="Y41" s="1326">
        <v>0</v>
      </c>
      <c r="Z41" s="1326">
        <v>0</v>
      </c>
      <c r="AA41" s="1326">
        <v>0</v>
      </c>
      <c r="AB41" s="1326">
        <v>0</v>
      </c>
      <c r="AC41" s="1326">
        <v>0</v>
      </c>
      <c r="AD41" s="1326">
        <v>0</v>
      </c>
      <c r="AE41" s="1326">
        <v>0</v>
      </c>
      <c r="AF41" s="1326">
        <v>0</v>
      </c>
      <c r="AG41" s="1326">
        <v>0</v>
      </c>
      <c r="AH41" s="1326">
        <v>0</v>
      </c>
      <c r="AI41" s="1326">
        <v>0</v>
      </c>
      <c r="AJ41" s="1326">
        <v>0</v>
      </c>
      <c r="AK41" s="1326">
        <v>0</v>
      </c>
      <c r="AL41" s="1326">
        <v>0</v>
      </c>
      <c r="AM41" s="1326">
        <v>0</v>
      </c>
      <c r="AN41" s="1326">
        <v>0</v>
      </c>
      <c r="AO41" s="1326">
        <v>0</v>
      </c>
      <c r="AP41" s="1326">
        <v>0</v>
      </c>
      <c r="AQ41" s="1326">
        <v>0</v>
      </c>
      <c r="AR41" s="1326">
        <v>0</v>
      </c>
      <c r="AS41" s="1326">
        <v>0</v>
      </c>
      <c r="AT41" s="1326">
        <v>0</v>
      </c>
      <c r="AU41" s="1326">
        <v>0</v>
      </c>
      <c r="AV41" s="1326">
        <v>0</v>
      </c>
      <c r="AW41" s="1326">
        <v>0</v>
      </c>
      <c r="AX41" s="1326">
        <v>0</v>
      </c>
      <c r="AY41" s="1326">
        <v>0</v>
      </c>
      <c r="AZ41" s="1326">
        <v>0</v>
      </c>
    </row>
    <row r="42" spans="1:52" x14ac:dyDescent="0.25">
      <c r="A42" s="1340" t="s">
        <v>195</v>
      </c>
      <c r="B42" s="1345"/>
      <c r="C42" s="1326"/>
      <c r="D42" s="1326">
        <f>SUM(D34:D41)</f>
        <v>43079675</v>
      </c>
      <c r="E42" s="1326"/>
      <c r="F42" s="1326">
        <f>SUM(F34:F41)</f>
        <v>4751650</v>
      </c>
      <c r="G42" s="1326"/>
      <c r="H42" s="1326">
        <f>SUM(H34:H41)</f>
        <v>7293974</v>
      </c>
      <c r="I42" s="1326"/>
      <c r="J42" s="1326">
        <f>SUM(J34:J41)</f>
        <v>34100108</v>
      </c>
      <c r="K42" s="1326"/>
      <c r="L42" s="1326">
        <f>SUM(L34:L41)</f>
        <v>16886807</v>
      </c>
      <c r="M42" s="1326"/>
      <c r="N42" s="1326">
        <f>SUM(N34:N41)</f>
        <v>31813163</v>
      </c>
      <c r="O42" s="1326"/>
      <c r="P42" s="1326">
        <f>SUM(P34:P41)</f>
        <v>25946538</v>
      </c>
      <c r="Q42" s="1326"/>
      <c r="R42" s="1326">
        <f>SUM(R34:R41)</f>
        <v>13669815</v>
      </c>
      <c r="S42" s="1326"/>
      <c r="T42" s="1326">
        <f>SUM(T34:T41)</f>
        <v>4218249</v>
      </c>
      <c r="U42" s="1327"/>
      <c r="V42" s="1326">
        <f>SUM(V34:V41)</f>
        <v>32454090</v>
      </c>
      <c r="W42" s="1327"/>
      <c r="X42" s="1326">
        <f>SUM(X34:X41)</f>
        <v>93272267</v>
      </c>
      <c r="Y42" s="1327"/>
      <c r="Z42" s="1326">
        <f>SUM(Z34:Z41)</f>
        <v>91270520</v>
      </c>
      <c r="AA42" s="1327"/>
      <c r="AB42" s="1326">
        <f>SUM(AB34:AB41)</f>
        <v>116958547</v>
      </c>
      <c r="AC42" s="1326"/>
      <c r="AD42" s="1326">
        <f>SUM(AD34:AD41)</f>
        <v>159090584</v>
      </c>
      <c r="AE42" s="1326"/>
      <c r="AF42" s="1326">
        <f>SUM(AF34:AF41)</f>
        <v>125066082</v>
      </c>
      <c r="AG42" s="1327"/>
      <c r="AH42" s="1326">
        <f>SUM(AH34:AH41)</f>
        <v>160598253</v>
      </c>
      <c r="AI42" s="1327"/>
      <c r="AJ42" s="1326">
        <f>SUM(AJ34:AJ41)</f>
        <v>169280661</v>
      </c>
      <c r="AK42" s="1327"/>
      <c r="AL42" s="1326">
        <f>SUM(AL34:AL41)</f>
        <v>132465272</v>
      </c>
      <c r="AM42" s="1341"/>
      <c r="AN42" s="1326">
        <f>SUM(AN34:AN41)</f>
        <v>190473760</v>
      </c>
      <c r="AO42" s="1327"/>
      <c r="AP42" s="1326">
        <f>SUM(AP34:AP41)</f>
        <v>200067670</v>
      </c>
      <c r="AQ42" s="1327"/>
      <c r="AR42" s="1326">
        <f>SUM(AR34:AR41)</f>
        <v>283073265.61000001</v>
      </c>
      <c r="AS42" s="1327"/>
      <c r="AT42" s="1326">
        <f>SUM(AT34:AT41)</f>
        <v>390744592</v>
      </c>
      <c r="AU42" s="1327"/>
      <c r="AV42" s="1326">
        <f>SUM(AV34:AV41)</f>
        <v>374330974</v>
      </c>
      <c r="AW42" s="1326"/>
      <c r="AX42" s="1326">
        <f>SUM(AX34:AX41)</f>
        <v>351243980</v>
      </c>
      <c r="AY42" s="1326"/>
      <c r="AZ42" s="1326">
        <f>SUM(AZ34:AZ41)</f>
        <v>309146653</v>
      </c>
    </row>
    <row r="43" spans="1:52" x14ac:dyDescent="0.25">
      <c r="A43" s="1340"/>
      <c r="B43" s="1345"/>
      <c r="C43" s="1326"/>
      <c r="D43" s="1326"/>
      <c r="E43" s="1326"/>
      <c r="F43" s="1326"/>
      <c r="G43" s="1326"/>
      <c r="H43" s="1326"/>
      <c r="I43" s="1326"/>
      <c r="J43" s="1326"/>
      <c r="K43" s="1326"/>
      <c r="L43" s="1326"/>
      <c r="M43" s="1326"/>
      <c r="N43" s="1326"/>
      <c r="O43" s="1326"/>
      <c r="P43" s="1326"/>
      <c r="Q43" s="1326"/>
      <c r="R43" s="1326"/>
      <c r="S43" s="1326"/>
      <c r="T43" s="1326"/>
      <c r="U43" s="1327"/>
      <c r="V43" s="1327"/>
      <c r="W43" s="1327"/>
      <c r="X43" s="1326"/>
      <c r="Y43" s="1327"/>
      <c r="Z43" s="1326"/>
      <c r="AA43" s="1327"/>
      <c r="AB43" s="1327"/>
      <c r="AC43" s="1326"/>
      <c r="AD43" s="1326"/>
      <c r="AE43" s="1326"/>
      <c r="AF43" s="1326"/>
      <c r="AG43" s="1327"/>
      <c r="AH43" s="1327"/>
      <c r="AI43" s="1327"/>
      <c r="AJ43" s="1327"/>
      <c r="AK43" s="1327"/>
      <c r="AL43" s="1327"/>
      <c r="AM43" s="1341"/>
      <c r="AN43" s="1328"/>
      <c r="AO43" s="1327"/>
      <c r="AP43" s="1327"/>
      <c r="AQ43" s="1327"/>
      <c r="AR43" s="1327"/>
      <c r="AS43" s="1327"/>
      <c r="AT43" s="1327"/>
      <c r="AU43" s="1327"/>
      <c r="AV43" s="1327"/>
      <c r="AW43" s="1334"/>
      <c r="AX43" s="1334"/>
      <c r="AY43" s="1335"/>
      <c r="AZ43" s="1335"/>
    </row>
    <row r="44" spans="1:52" x14ac:dyDescent="0.25">
      <c r="A44" s="215" t="s">
        <v>394</v>
      </c>
      <c r="B44" s="216" t="s">
        <v>214</v>
      </c>
      <c r="C44" s="201">
        <v>7375</v>
      </c>
      <c r="D44" s="201">
        <v>14496</v>
      </c>
      <c r="E44" s="201">
        <v>0</v>
      </c>
      <c r="F44" s="201">
        <v>0</v>
      </c>
      <c r="G44" s="201">
        <v>0</v>
      </c>
      <c r="H44" s="201">
        <v>0</v>
      </c>
      <c r="I44" s="201">
        <v>0</v>
      </c>
      <c r="J44" s="201">
        <v>0</v>
      </c>
      <c r="K44" s="201">
        <v>0</v>
      </c>
      <c r="L44" s="201">
        <v>0</v>
      </c>
      <c r="M44" s="201">
        <v>0</v>
      </c>
      <c r="N44" s="201">
        <v>0</v>
      </c>
      <c r="O44" s="201">
        <v>0</v>
      </c>
      <c r="P44" s="201">
        <v>0</v>
      </c>
      <c r="Q44" s="201">
        <v>0</v>
      </c>
      <c r="R44" s="201">
        <v>0</v>
      </c>
      <c r="S44" s="201">
        <v>0</v>
      </c>
      <c r="T44" s="201">
        <v>0</v>
      </c>
      <c r="U44" s="201">
        <v>0</v>
      </c>
      <c r="V44" s="201">
        <v>0</v>
      </c>
      <c r="W44" s="201">
        <v>0</v>
      </c>
      <c r="X44" s="201">
        <v>0</v>
      </c>
      <c r="Y44" s="201">
        <v>0</v>
      </c>
      <c r="Z44" s="201">
        <v>0</v>
      </c>
      <c r="AA44" s="201">
        <v>0</v>
      </c>
      <c r="AB44" s="201">
        <v>0</v>
      </c>
      <c r="AC44" s="201">
        <v>0</v>
      </c>
      <c r="AD44" s="201">
        <v>0</v>
      </c>
      <c r="AE44" s="201">
        <v>0</v>
      </c>
      <c r="AF44" s="201">
        <v>0</v>
      </c>
      <c r="AG44" s="201">
        <v>0</v>
      </c>
      <c r="AH44" s="201">
        <v>0</v>
      </c>
      <c r="AI44" s="201">
        <v>0</v>
      </c>
      <c r="AJ44" s="201">
        <v>0</v>
      </c>
      <c r="AK44" s="201">
        <v>0</v>
      </c>
      <c r="AL44" s="201">
        <v>0</v>
      </c>
      <c r="AM44" s="201">
        <v>0</v>
      </c>
      <c r="AN44" s="201">
        <v>0</v>
      </c>
      <c r="AO44" s="201">
        <v>0</v>
      </c>
      <c r="AP44" s="201">
        <v>0</v>
      </c>
      <c r="AQ44" s="201">
        <v>0</v>
      </c>
      <c r="AR44" s="201">
        <v>0</v>
      </c>
      <c r="AS44" s="201">
        <v>0</v>
      </c>
      <c r="AT44" s="201">
        <v>0</v>
      </c>
      <c r="AU44" s="201">
        <v>0</v>
      </c>
      <c r="AV44" s="201">
        <v>0</v>
      </c>
      <c r="AW44" s="201">
        <v>0</v>
      </c>
      <c r="AX44" s="201">
        <v>0</v>
      </c>
      <c r="AY44" s="201">
        <v>0</v>
      </c>
      <c r="AZ44" s="201">
        <v>0</v>
      </c>
    </row>
    <row r="45" spans="1:52" x14ac:dyDescent="0.25">
      <c r="A45" s="218"/>
      <c r="C45" s="201"/>
      <c r="D45" s="201"/>
      <c r="E45" s="201"/>
      <c r="F45" s="201"/>
      <c r="G45" s="201"/>
      <c r="H45" s="201"/>
      <c r="I45" s="201"/>
      <c r="J45" s="201"/>
      <c r="K45" s="201"/>
      <c r="L45" s="201"/>
      <c r="M45" s="201"/>
      <c r="N45" s="201"/>
      <c r="O45" s="201"/>
      <c r="P45" s="201"/>
      <c r="Q45" s="201"/>
      <c r="R45" s="201"/>
      <c r="S45" s="201"/>
      <c r="T45" s="201"/>
      <c r="U45" s="202"/>
      <c r="V45" s="202"/>
      <c r="W45" s="202"/>
      <c r="X45" s="202"/>
      <c r="Y45" s="202"/>
      <c r="Z45" s="202"/>
      <c r="AA45" s="202"/>
      <c r="AB45" s="202"/>
      <c r="AC45" s="202"/>
      <c r="AD45" s="202"/>
      <c r="AG45" s="202"/>
      <c r="AH45" s="202"/>
      <c r="AI45" s="202"/>
      <c r="AJ45" s="202"/>
      <c r="AK45" s="202"/>
      <c r="AL45" s="202"/>
      <c r="AM45" s="202"/>
      <c r="AN45" s="202"/>
      <c r="AQ45" s="225"/>
      <c r="AR45" s="225"/>
      <c r="AS45" s="202"/>
      <c r="AT45" s="202"/>
      <c r="AU45" s="202"/>
      <c r="AV45" s="202"/>
      <c r="AW45" s="227"/>
      <c r="AX45" s="227"/>
      <c r="AY45" s="228"/>
      <c r="AZ45" s="228"/>
    </row>
    <row r="46" spans="1:52" x14ac:dyDescent="0.25">
      <c r="A46" s="1324" t="s">
        <v>197</v>
      </c>
      <c r="B46" s="1325" t="s">
        <v>166</v>
      </c>
      <c r="C46" s="1326">
        <v>14650</v>
      </c>
      <c r="D46" s="1326">
        <v>416593</v>
      </c>
      <c r="E46" s="1326">
        <v>0</v>
      </c>
      <c r="F46" s="1326">
        <v>0</v>
      </c>
      <c r="G46" s="1326">
        <v>0</v>
      </c>
      <c r="H46" s="1326">
        <v>0</v>
      </c>
      <c r="I46" s="1326">
        <v>0</v>
      </c>
      <c r="J46" s="1326">
        <v>0</v>
      </c>
      <c r="K46" s="1326">
        <v>0</v>
      </c>
      <c r="L46" s="1326">
        <v>0</v>
      </c>
      <c r="M46" s="1326">
        <v>0</v>
      </c>
      <c r="N46" s="1326">
        <v>0</v>
      </c>
      <c r="O46" s="1326">
        <v>0</v>
      </c>
      <c r="P46" s="1326">
        <v>0</v>
      </c>
      <c r="Q46" s="1326">
        <v>0</v>
      </c>
      <c r="R46" s="1326">
        <v>0</v>
      </c>
      <c r="S46" s="1326">
        <v>0</v>
      </c>
      <c r="T46" s="1326">
        <v>0</v>
      </c>
      <c r="U46" s="1326">
        <v>0</v>
      </c>
      <c r="V46" s="1326">
        <v>0</v>
      </c>
      <c r="W46" s="1326">
        <v>0</v>
      </c>
      <c r="X46" s="1326">
        <v>0</v>
      </c>
      <c r="Y46" s="1326">
        <v>0</v>
      </c>
      <c r="Z46" s="1326">
        <v>0</v>
      </c>
      <c r="AA46" s="1326">
        <v>0</v>
      </c>
      <c r="AB46" s="1326">
        <v>0</v>
      </c>
      <c r="AC46" s="1326">
        <v>0</v>
      </c>
      <c r="AD46" s="1326">
        <v>0</v>
      </c>
      <c r="AE46" s="1326">
        <v>0</v>
      </c>
      <c r="AF46" s="1326">
        <v>0</v>
      </c>
      <c r="AG46" s="1326">
        <v>0</v>
      </c>
      <c r="AH46" s="1326">
        <v>0</v>
      </c>
      <c r="AI46" s="1326">
        <v>0</v>
      </c>
      <c r="AJ46" s="1326">
        <v>0</v>
      </c>
      <c r="AK46" s="1327">
        <v>2277</v>
      </c>
      <c r="AL46" s="1327">
        <v>676222</v>
      </c>
      <c r="AM46" s="1328">
        <v>7299.1380000000008</v>
      </c>
      <c r="AN46" s="1328">
        <v>1774751.7110904008</v>
      </c>
      <c r="AO46" s="1327">
        <v>29645</v>
      </c>
      <c r="AP46" s="1327">
        <v>7006547</v>
      </c>
      <c r="AQ46" s="1327">
        <v>27478.491000000002</v>
      </c>
      <c r="AR46" s="1327">
        <v>4967521.97</v>
      </c>
      <c r="AS46" s="1327">
        <v>26927</v>
      </c>
      <c r="AT46" s="1327">
        <v>5902204</v>
      </c>
      <c r="AU46" s="1327">
        <v>6087</v>
      </c>
      <c r="AV46" s="1327">
        <v>996294</v>
      </c>
      <c r="AW46" s="1327">
        <v>22668</v>
      </c>
      <c r="AX46" s="1327">
        <v>3952594</v>
      </c>
      <c r="AY46" s="1326">
        <v>67271</v>
      </c>
      <c r="AZ46" s="1326">
        <v>16050607</v>
      </c>
    </row>
    <row r="47" spans="1:52" x14ac:dyDescent="0.25">
      <c r="A47" s="1339"/>
      <c r="B47" s="1345"/>
      <c r="C47" s="1326"/>
      <c r="D47" s="1326"/>
      <c r="E47" s="1326"/>
      <c r="F47" s="1326"/>
      <c r="G47" s="1326"/>
      <c r="H47" s="1326"/>
      <c r="I47" s="1326"/>
      <c r="J47" s="1326"/>
      <c r="K47" s="1326"/>
      <c r="L47" s="1326"/>
      <c r="M47" s="1326"/>
      <c r="N47" s="1326"/>
      <c r="O47" s="1326"/>
      <c r="P47" s="1326"/>
      <c r="Q47" s="1326"/>
      <c r="R47" s="1326"/>
      <c r="S47" s="1326"/>
      <c r="T47" s="1326"/>
      <c r="U47" s="1327"/>
      <c r="V47" s="1327"/>
      <c r="W47" s="1327"/>
      <c r="X47" s="1327"/>
      <c r="Y47" s="1327"/>
      <c r="Z47" s="1327"/>
      <c r="AA47" s="1327"/>
      <c r="AB47" s="1327"/>
      <c r="AC47" s="1327"/>
      <c r="AD47" s="1327"/>
      <c r="AE47" s="1326"/>
      <c r="AF47" s="1326"/>
      <c r="AG47" s="1327"/>
      <c r="AH47" s="1327"/>
      <c r="AI47" s="1327"/>
      <c r="AJ47" s="1327"/>
      <c r="AK47" s="1327"/>
      <c r="AL47" s="1327"/>
      <c r="AM47" s="1327"/>
      <c r="AN47" s="1327"/>
      <c r="AO47" s="1327"/>
      <c r="AP47" s="1327"/>
      <c r="AQ47" s="1327"/>
      <c r="AR47" s="1327"/>
      <c r="AS47" s="1327"/>
      <c r="AT47" s="1327"/>
      <c r="AU47" s="1327"/>
      <c r="AV47" s="1327"/>
      <c r="AW47" s="1326"/>
      <c r="AX47" s="1326"/>
      <c r="AY47" s="1342"/>
      <c r="AZ47" s="1342"/>
    </row>
    <row r="48" spans="1:52" x14ac:dyDescent="0.25">
      <c r="A48" s="215" t="s">
        <v>198</v>
      </c>
      <c r="C48" s="201"/>
      <c r="D48" s="201"/>
      <c r="E48" s="201"/>
      <c r="F48" s="201"/>
      <c r="G48" s="201"/>
      <c r="H48" s="201"/>
      <c r="I48" s="201"/>
      <c r="J48" s="201"/>
      <c r="K48" s="201"/>
      <c r="L48" s="201"/>
      <c r="M48" s="201"/>
      <c r="N48" s="201"/>
      <c r="O48" s="201"/>
      <c r="P48" s="201"/>
      <c r="Q48" s="201"/>
      <c r="R48" s="201"/>
      <c r="S48" s="201"/>
      <c r="T48" s="201"/>
      <c r="U48" s="202"/>
      <c r="V48" s="202"/>
      <c r="W48" s="202"/>
      <c r="X48" s="202"/>
      <c r="Y48" s="202"/>
      <c r="Z48" s="202"/>
      <c r="AA48" s="202"/>
      <c r="AB48" s="202"/>
      <c r="AC48" s="202"/>
      <c r="AD48" s="202"/>
      <c r="AG48" s="202"/>
      <c r="AH48" s="202"/>
      <c r="AI48" s="202"/>
      <c r="AJ48" s="202"/>
      <c r="AK48" s="202"/>
      <c r="AL48" s="202"/>
      <c r="AM48" s="202"/>
      <c r="AN48" s="202"/>
      <c r="AQ48" s="202"/>
      <c r="AR48" s="202"/>
      <c r="AS48" s="202"/>
      <c r="AT48" s="202"/>
      <c r="AU48" s="202"/>
      <c r="AV48" s="202"/>
      <c r="AW48" s="227"/>
      <c r="AX48" s="227"/>
      <c r="AY48" s="201"/>
      <c r="AZ48" s="228"/>
    </row>
    <row r="49" spans="1:52" x14ac:dyDescent="0.25">
      <c r="A49" s="229" t="s">
        <v>395</v>
      </c>
      <c r="B49" s="216" t="s">
        <v>166</v>
      </c>
      <c r="C49" s="201">
        <v>0</v>
      </c>
      <c r="D49" s="201">
        <v>0</v>
      </c>
      <c r="E49" s="201">
        <v>0</v>
      </c>
      <c r="F49" s="201">
        <v>0</v>
      </c>
      <c r="G49" s="201">
        <v>0</v>
      </c>
      <c r="H49" s="201">
        <v>0</v>
      </c>
      <c r="I49" s="201">
        <v>0</v>
      </c>
      <c r="J49" s="201">
        <v>0</v>
      </c>
      <c r="K49" s="201">
        <v>1147</v>
      </c>
      <c r="L49" s="201">
        <v>7003</v>
      </c>
      <c r="M49" s="201">
        <v>0</v>
      </c>
      <c r="N49" s="201">
        <v>0</v>
      </c>
      <c r="O49" s="201">
        <v>0</v>
      </c>
      <c r="P49" s="201">
        <v>0</v>
      </c>
      <c r="Q49" s="201">
        <v>0</v>
      </c>
      <c r="R49" s="201">
        <v>0</v>
      </c>
      <c r="S49" s="201">
        <v>0</v>
      </c>
      <c r="T49" s="201">
        <v>0</v>
      </c>
      <c r="U49" s="201">
        <v>0</v>
      </c>
      <c r="V49" s="201">
        <v>0</v>
      </c>
      <c r="W49" s="201">
        <v>0</v>
      </c>
      <c r="X49" s="201">
        <v>0</v>
      </c>
      <c r="Y49" s="201">
        <v>0</v>
      </c>
      <c r="Z49" s="201">
        <v>0</v>
      </c>
      <c r="AA49" s="201">
        <v>0</v>
      </c>
      <c r="AB49" s="201">
        <v>0</v>
      </c>
      <c r="AC49" s="201">
        <v>0</v>
      </c>
      <c r="AD49" s="201">
        <v>0</v>
      </c>
      <c r="AE49" s="201">
        <v>0</v>
      </c>
      <c r="AF49" s="201">
        <v>0</v>
      </c>
      <c r="AG49" s="201">
        <v>0</v>
      </c>
      <c r="AH49" s="201">
        <v>0</v>
      </c>
      <c r="AI49" s="201">
        <v>0</v>
      </c>
      <c r="AJ49" s="201">
        <v>0</v>
      </c>
      <c r="AK49" s="201">
        <v>0</v>
      </c>
      <c r="AL49" s="201">
        <v>0</v>
      </c>
      <c r="AM49" s="201">
        <v>0</v>
      </c>
      <c r="AN49" s="201">
        <v>0</v>
      </c>
      <c r="AO49" s="201">
        <v>0</v>
      </c>
      <c r="AP49" s="201">
        <v>0</v>
      </c>
      <c r="AQ49" s="201">
        <v>0</v>
      </c>
      <c r="AR49" s="201">
        <v>0</v>
      </c>
      <c r="AS49" s="201">
        <v>0</v>
      </c>
      <c r="AT49" s="201">
        <v>0</v>
      </c>
      <c r="AU49" s="201">
        <v>0</v>
      </c>
      <c r="AV49" s="201">
        <v>0</v>
      </c>
      <c r="AW49" s="201">
        <v>0</v>
      </c>
      <c r="AX49" s="201">
        <v>0</v>
      </c>
      <c r="AY49" s="201">
        <v>0</v>
      </c>
      <c r="AZ49" s="201">
        <v>0</v>
      </c>
    </row>
    <row r="50" spans="1:52" x14ac:dyDescent="0.25">
      <c r="A50" s="229" t="s">
        <v>396</v>
      </c>
      <c r="B50" s="216" t="s">
        <v>166</v>
      </c>
      <c r="C50" s="201">
        <v>0</v>
      </c>
      <c r="D50" s="201">
        <v>0</v>
      </c>
      <c r="E50" s="201">
        <v>4251</v>
      </c>
      <c r="F50" s="201">
        <f>E50*152.52</f>
        <v>648362.52</v>
      </c>
      <c r="G50" s="201">
        <v>6372</v>
      </c>
      <c r="H50" s="201">
        <f>G50*171.41</f>
        <v>1092224.52</v>
      </c>
      <c r="I50" s="201">
        <v>6602</v>
      </c>
      <c r="J50" s="201">
        <v>1034863</v>
      </c>
      <c r="K50" s="201">
        <v>6202</v>
      </c>
      <c r="L50" s="201">
        <f>K50*137.45</f>
        <v>852464.89999999991</v>
      </c>
      <c r="M50" s="201">
        <v>8424</v>
      </c>
      <c r="N50" s="201">
        <f>M50*151.73</f>
        <v>1278173.52</v>
      </c>
      <c r="O50" s="201">
        <v>7097</v>
      </c>
      <c r="P50" s="201">
        <f>O50*168.02</f>
        <v>1192437.9400000002</v>
      </c>
      <c r="Q50" s="201">
        <v>7098</v>
      </c>
      <c r="R50" s="201">
        <f>Q50*176</f>
        <v>1249248</v>
      </c>
      <c r="S50" s="201">
        <v>10960</v>
      </c>
      <c r="T50" s="201">
        <v>2013960</v>
      </c>
      <c r="U50" s="201">
        <v>27221</v>
      </c>
      <c r="V50" s="201">
        <v>2779727</v>
      </c>
      <c r="W50" s="201">
        <v>35985</v>
      </c>
      <c r="X50" s="201">
        <v>3885665</v>
      </c>
      <c r="Y50" s="201">
        <v>27985</v>
      </c>
      <c r="Z50" s="201">
        <v>5062003</v>
      </c>
      <c r="AA50" s="202">
        <v>17245</v>
      </c>
      <c r="AB50" s="202">
        <v>4617226</v>
      </c>
      <c r="AC50" s="201">
        <v>20697</v>
      </c>
      <c r="AD50" s="201">
        <v>6315851</v>
      </c>
      <c r="AE50" s="201">
        <v>20632</v>
      </c>
      <c r="AF50" s="201">
        <v>6099237</v>
      </c>
      <c r="AG50" s="202">
        <v>19412</v>
      </c>
      <c r="AH50" s="202">
        <v>5642890</v>
      </c>
      <c r="AI50" s="202">
        <v>18159</v>
      </c>
      <c r="AJ50" s="202">
        <v>3804561</v>
      </c>
      <c r="AK50" s="202">
        <v>17173</v>
      </c>
      <c r="AL50" s="202">
        <v>4180355</v>
      </c>
      <c r="AM50" s="221">
        <v>28262</v>
      </c>
      <c r="AN50" s="221">
        <v>4203131</v>
      </c>
      <c r="AO50" s="202">
        <v>15670</v>
      </c>
      <c r="AP50" s="202">
        <v>2882617</v>
      </c>
      <c r="AQ50" s="202">
        <v>10240</v>
      </c>
      <c r="AR50" s="202">
        <v>1069318</v>
      </c>
      <c r="AS50" s="202">
        <v>11860.36</v>
      </c>
      <c r="AT50" s="202">
        <v>1238563</v>
      </c>
      <c r="AU50" s="202">
        <v>13194</v>
      </c>
      <c r="AV50" s="202">
        <v>1377850</v>
      </c>
      <c r="AW50" s="202">
        <v>11926</v>
      </c>
      <c r="AX50" s="202">
        <v>1245433</v>
      </c>
      <c r="AY50" s="201">
        <v>11187</v>
      </c>
      <c r="AZ50" s="201">
        <v>1168258</v>
      </c>
    </row>
    <row r="51" spans="1:52" x14ac:dyDescent="0.25">
      <c r="A51" s="229" t="s">
        <v>397</v>
      </c>
      <c r="B51" s="216" t="s">
        <v>166</v>
      </c>
      <c r="C51" s="201">
        <v>15484</v>
      </c>
      <c r="D51" s="201">
        <v>117282</v>
      </c>
      <c r="E51" s="201">
        <v>0</v>
      </c>
      <c r="F51" s="201">
        <v>0</v>
      </c>
      <c r="G51" s="201">
        <v>0</v>
      </c>
      <c r="H51" s="201">
        <v>0</v>
      </c>
      <c r="I51" s="201">
        <v>0</v>
      </c>
      <c r="J51" s="201">
        <v>0</v>
      </c>
      <c r="K51" s="201">
        <v>0</v>
      </c>
      <c r="L51" s="201">
        <v>0</v>
      </c>
      <c r="M51" s="201">
        <v>0</v>
      </c>
      <c r="N51" s="216"/>
      <c r="O51" s="201"/>
      <c r="P51" s="216"/>
      <c r="Q51" s="201">
        <v>0</v>
      </c>
      <c r="R51" s="201">
        <v>0</v>
      </c>
      <c r="S51" s="201">
        <v>0</v>
      </c>
      <c r="T51" s="201">
        <v>0</v>
      </c>
      <c r="U51" s="201">
        <v>0</v>
      </c>
      <c r="V51" s="201">
        <v>0</v>
      </c>
      <c r="W51" s="201">
        <v>0</v>
      </c>
      <c r="X51" s="201">
        <v>0</v>
      </c>
      <c r="Y51" s="201">
        <v>0</v>
      </c>
      <c r="Z51" s="201">
        <v>0</v>
      </c>
      <c r="AA51" s="201">
        <v>0</v>
      </c>
      <c r="AB51" s="201">
        <v>0</v>
      </c>
      <c r="AC51" s="201">
        <v>0</v>
      </c>
      <c r="AD51" s="201">
        <v>0</v>
      </c>
      <c r="AE51" s="201">
        <v>0</v>
      </c>
      <c r="AF51" s="201">
        <v>0</v>
      </c>
      <c r="AG51" s="201">
        <v>0</v>
      </c>
      <c r="AH51" s="201">
        <v>0</v>
      </c>
      <c r="AI51" s="201">
        <v>0</v>
      </c>
      <c r="AJ51" s="201">
        <v>0</v>
      </c>
      <c r="AK51" s="201">
        <v>0</v>
      </c>
      <c r="AL51" s="201">
        <v>0</v>
      </c>
      <c r="AM51" s="201">
        <v>0</v>
      </c>
      <c r="AN51" s="201">
        <v>0</v>
      </c>
      <c r="AO51" s="201">
        <v>0</v>
      </c>
      <c r="AP51" s="201">
        <v>0</v>
      </c>
      <c r="AQ51" s="201">
        <v>0</v>
      </c>
      <c r="AR51" s="201">
        <v>0</v>
      </c>
      <c r="AS51" s="201">
        <v>0</v>
      </c>
      <c r="AT51" s="201">
        <v>0</v>
      </c>
      <c r="AU51" s="201">
        <v>0</v>
      </c>
      <c r="AV51" s="201">
        <v>0</v>
      </c>
      <c r="AW51" s="201">
        <v>0</v>
      </c>
      <c r="AX51" s="201">
        <v>0</v>
      </c>
      <c r="AY51" s="201">
        <v>0</v>
      </c>
      <c r="AZ51" s="201">
        <v>0</v>
      </c>
    </row>
    <row r="52" spans="1:52" x14ac:dyDescent="0.25">
      <c r="A52" s="229" t="s">
        <v>398</v>
      </c>
      <c r="B52" s="216" t="s">
        <v>166</v>
      </c>
      <c r="C52" s="201">
        <v>726030</v>
      </c>
      <c r="D52" s="201">
        <v>1479044</v>
      </c>
      <c r="E52" s="201">
        <v>25328</v>
      </c>
      <c r="F52" s="201">
        <v>63319</v>
      </c>
      <c r="G52" s="201">
        <v>26919</v>
      </c>
      <c r="H52" s="201">
        <v>68046</v>
      </c>
      <c r="I52" s="201">
        <v>25118</v>
      </c>
      <c r="J52" s="201">
        <v>62795</v>
      </c>
      <c r="K52" s="201">
        <v>20082</v>
      </c>
      <c r="L52" s="201">
        <v>50205</v>
      </c>
      <c r="M52" s="201">
        <v>28693</v>
      </c>
      <c r="N52" s="201">
        <v>71734</v>
      </c>
      <c r="O52" s="201">
        <v>22513</v>
      </c>
      <c r="P52" s="201">
        <v>56283</v>
      </c>
      <c r="Q52" s="201">
        <v>23495</v>
      </c>
      <c r="R52" s="201">
        <v>58729</v>
      </c>
      <c r="S52" s="201">
        <v>23217</v>
      </c>
      <c r="T52" s="201">
        <v>58043</v>
      </c>
      <c r="U52" s="201">
        <v>22999</v>
      </c>
      <c r="V52" s="201">
        <v>57499</v>
      </c>
      <c r="W52" s="201">
        <v>23025</v>
      </c>
      <c r="X52" s="201">
        <v>57564</v>
      </c>
      <c r="Y52" s="201">
        <v>11020</v>
      </c>
      <c r="Z52" s="201">
        <v>27550</v>
      </c>
      <c r="AA52" s="202">
        <v>32795</v>
      </c>
      <c r="AB52" s="202">
        <v>234039</v>
      </c>
      <c r="AC52" s="201">
        <v>6970</v>
      </c>
      <c r="AD52" s="201">
        <v>74168</v>
      </c>
      <c r="AE52" s="201">
        <v>0</v>
      </c>
      <c r="AF52" s="201">
        <v>0</v>
      </c>
      <c r="AG52" s="201">
        <v>0</v>
      </c>
      <c r="AH52" s="201">
        <v>0</v>
      </c>
      <c r="AI52" s="201">
        <v>0</v>
      </c>
      <c r="AJ52" s="201">
        <v>0</v>
      </c>
      <c r="AK52" s="29">
        <v>0</v>
      </c>
      <c r="AL52" s="29">
        <v>0</v>
      </c>
      <c r="AM52" s="201">
        <v>0</v>
      </c>
      <c r="AN52" s="201">
        <v>0</v>
      </c>
      <c r="AO52" s="201">
        <v>0</v>
      </c>
      <c r="AP52" s="201">
        <v>0</v>
      </c>
      <c r="AQ52" s="201">
        <v>0</v>
      </c>
      <c r="AR52" s="201">
        <v>0</v>
      </c>
      <c r="AS52" s="201">
        <v>0</v>
      </c>
      <c r="AT52" s="201">
        <v>0</v>
      </c>
      <c r="AU52" s="201">
        <v>0</v>
      </c>
      <c r="AV52" s="201">
        <v>0</v>
      </c>
      <c r="AW52" s="201">
        <v>0</v>
      </c>
      <c r="AX52" s="201">
        <v>0</v>
      </c>
      <c r="AY52" s="201">
        <v>0</v>
      </c>
      <c r="AZ52" s="201">
        <v>0</v>
      </c>
    </row>
    <row r="53" spans="1:52" x14ac:dyDescent="0.25">
      <c r="A53" s="229" t="s">
        <v>399</v>
      </c>
      <c r="B53" s="216" t="s">
        <v>166</v>
      </c>
      <c r="C53" s="201">
        <v>0</v>
      </c>
      <c r="D53" s="201">
        <v>0</v>
      </c>
      <c r="E53" s="201">
        <v>0</v>
      </c>
      <c r="F53" s="201">
        <v>0</v>
      </c>
      <c r="G53" s="201">
        <v>0</v>
      </c>
      <c r="H53" s="201">
        <v>0</v>
      </c>
      <c r="I53" s="201">
        <v>0</v>
      </c>
      <c r="J53" s="201">
        <v>0</v>
      </c>
      <c r="K53" s="201">
        <v>0</v>
      </c>
      <c r="L53" s="201">
        <v>0</v>
      </c>
      <c r="M53" s="201">
        <v>0</v>
      </c>
      <c r="N53" s="201">
        <v>0</v>
      </c>
      <c r="O53" s="201">
        <v>0</v>
      </c>
      <c r="P53" s="201">
        <v>0</v>
      </c>
      <c r="Q53" s="201">
        <v>0</v>
      </c>
      <c r="R53" s="201">
        <v>0</v>
      </c>
      <c r="S53" s="201">
        <v>0</v>
      </c>
      <c r="T53" s="201">
        <v>0</v>
      </c>
      <c r="U53" s="201">
        <v>383</v>
      </c>
      <c r="V53" s="201">
        <v>765</v>
      </c>
      <c r="W53" s="201">
        <v>0</v>
      </c>
      <c r="X53" s="201">
        <v>0</v>
      </c>
      <c r="Y53" s="201">
        <v>0</v>
      </c>
      <c r="Z53" s="201">
        <v>0</v>
      </c>
      <c r="AA53" s="201">
        <v>0</v>
      </c>
      <c r="AB53" s="201">
        <v>0</v>
      </c>
      <c r="AC53" s="201">
        <v>0</v>
      </c>
      <c r="AD53" s="201">
        <v>0</v>
      </c>
      <c r="AE53" s="202">
        <v>0</v>
      </c>
      <c r="AF53" s="202">
        <v>0</v>
      </c>
      <c r="AG53" s="202">
        <v>74351</v>
      </c>
      <c r="AH53" s="202">
        <v>892825</v>
      </c>
      <c r="AI53" s="202">
        <v>19634</v>
      </c>
      <c r="AJ53" s="202">
        <v>240248</v>
      </c>
      <c r="AK53" s="202">
        <v>14559</v>
      </c>
      <c r="AL53" s="202">
        <v>179079</v>
      </c>
      <c r="AM53" s="221">
        <v>45530</v>
      </c>
      <c r="AN53" s="221">
        <v>663502</v>
      </c>
      <c r="AO53" s="202">
        <v>5541</v>
      </c>
      <c r="AP53" s="202">
        <v>55410</v>
      </c>
      <c r="AQ53" s="202">
        <v>26615</v>
      </c>
      <c r="AR53" s="202">
        <v>266150</v>
      </c>
      <c r="AS53" s="202">
        <v>18785</v>
      </c>
      <c r="AT53" s="202">
        <v>187850</v>
      </c>
      <c r="AU53" s="202">
        <v>7194</v>
      </c>
      <c r="AV53" s="202">
        <v>71940</v>
      </c>
      <c r="AW53" s="202">
        <v>18517</v>
      </c>
      <c r="AX53" s="202">
        <v>185170</v>
      </c>
      <c r="AY53" s="201">
        <v>10825</v>
      </c>
      <c r="AZ53" s="201">
        <v>96912</v>
      </c>
    </row>
    <row r="54" spans="1:52" x14ac:dyDescent="0.25">
      <c r="A54" s="229" t="s">
        <v>400</v>
      </c>
      <c r="B54" s="216" t="s">
        <v>166</v>
      </c>
      <c r="C54" s="201">
        <f>3289694+1373449</f>
        <v>4663143</v>
      </c>
      <c r="D54" s="201">
        <f>2397929+1888074</f>
        <v>4286003</v>
      </c>
      <c r="E54" s="201">
        <v>364608</v>
      </c>
      <c r="F54" s="201">
        <v>146990</v>
      </c>
      <c r="G54" s="201">
        <f>174432+4347</f>
        <v>178779</v>
      </c>
      <c r="H54" s="201">
        <f>45723+8694</f>
        <v>54417</v>
      </c>
      <c r="I54" s="201">
        <f>215504+938</f>
        <v>216442</v>
      </c>
      <c r="J54" s="201">
        <f>258607+1876</f>
        <v>260483</v>
      </c>
      <c r="K54" s="201">
        <f>151644+910</f>
        <v>152554</v>
      </c>
      <c r="L54" s="201">
        <f>181971+1820</f>
        <v>183791</v>
      </c>
      <c r="M54" s="201">
        <v>221770</v>
      </c>
      <c r="N54" s="201">
        <v>226326</v>
      </c>
      <c r="O54" s="201">
        <v>256693</v>
      </c>
      <c r="P54" s="201">
        <v>309181</v>
      </c>
      <c r="Q54" s="201">
        <v>203597</v>
      </c>
      <c r="R54" s="201">
        <v>244317</v>
      </c>
      <c r="S54" s="201">
        <v>208631</v>
      </c>
      <c r="T54" s="201">
        <v>252009</v>
      </c>
      <c r="U54" s="201">
        <v>214533</v>
      </c>
      <c r="V54" s="201">
        <v>409289</v>
      </c>
      <c r="W54" s="201">
        <v>119778</v>
      </c>
      <c r="X54" s="201">
        <v>143973</v>
      </c>
      <c r="Y54" s="201">
        <v>234367</v>
      </c>
      <c r="Z54" s="201">
        <v>457335</v>
      </c>
      <c r="AA54" s="202">
        <v>0</v>
      </c>
      <c r="AB54" s="202">
        <v>0</v>
      </c>
      <c r="AC54" s="201">
        <v>65083</v>
      </c>
      <c r="AD54" s="201">
        <v>7810</v>
      </c>
      <c r="AE54" s="201">
        <v>43813</v>
      </c>
      <c r="AF54" s="201">
        <v>52576</v>
      </c>
      <c r="AG54" s="202">
        <v>10812</v>
      </c>
      <c r="AH54" s="202">
        <v>12975</v>
      </c>
      <c r="AI54" s="202">
        <v>67802</v>
      </c>
      <c r="AJ54" s="202">
        <v>81363</v>
      </c>
      <c r="AK54" s="202">
        <v>116850</v>
      </c>
      <c r="AL54" s="202">
        <v>245820</v>
      </c>
      <c r="AM54" s="221">
        <v>84688</v>
      </c>
      <c r="AN54" s="221">
        <v>101626</v>
      </c>
      <c r="AO54" s="202">
        <v>56663</v>
      </c>
      <c r="AP54" s="202">
        <v>67995</v>
      </c>
      <c r="AQ54" s="202">
        <v>72059</v>
      </c>
      <c r="AR54" s="202">
        <v>86471</v>
      </c>
      <c r="AS54" s="202">
        <v>107761</v>
      </c>
      <c r="AT54" s="202">
        <v>186574</v>
      </c>
      <c r="AU54" s="202">
        <v>29371</v>
      </c>
      <c r="AV54" s="202">
        <v>56215</v>
      </c>
      <c r="AW54" s="202">
        <v>2470</v>
      </c>
      <c r="AX54" s="202">
        <v>55104</v>
      </c>
      <c r="AY54" s="201">
        <v>16113</v>
      </c>
      <c r="AZ54" s="201">
        <v>254745</v>
      </c>
    </row>
    <row r="55" spans="1:52" x14ac:dyDescent="0.25">
      <c r="A55" s="229" t="s">
        <v>401</v>
      </c>
      <c r="B55" s="216" t="s">
        <v>166</v>
      </c>
      <c r="C55" s="201">
        <v>21941</v>
      </c>
      <c r="D55" s="201">
        <v>389352</v>
      </c>
      <c r="E55" s="201">
        <v>0</v>
      </c>
      <c r="F55" s="201">
        <v>0</v>
      </c>
      <c r="G55" s="201">
        <v>0</v>
      </c>
      <c r="H55" s="201">
        <v>0</v>
      </c>
      <c r="I55" s="201">
        <v>0</v>
      </c>
      <c r="J55" s="201">
        <v>0</v>
      </c>
      <c r="K55" s="201">
        <v>0</v>
      </c>
      <c r="L55" s="201">
        <v>0</v>
      </c>
      <c r="M55" s="201">
        <v>0</v>
      </c>
      <c r="N55" s="201">
        <v>0</v>
      </c>
      <c r="O55" s="201">
        <v>0</v>
      </c>
      <c r="P55" s="201">
        <v>0</v>
      </c>
      <c r="Q55" s="201">
        <v>0</v>
      </c>
      <c r="R55" s="201">
        <v>0</v>
      </c>
      <c r="S55" s="201">
        <v>0</v>
      </c>
      <c r="T55" s="201">
        <v>0</v>
      </c>
      <c r="U55" s="201">
        <v>0</v>
      </c>
      <c r="V55" s="201">
        <v>0</v>
      </c>
      <c r="W55" s="201">
        <v>0</v>
      </c>
      <c r="X55" s="201">
        <v>0</v>
      </c>
      <c r="Y55" s="201">
        <v>0</v>
      </c>
      <c r="Z55" s="201">
        <v>0</v>
      </c>
      <c r="AA55" s="201">
        <v>0</v>
      </c>
      <c r="AB55" s="201">
        <v>0</v>
      </c>
      <c r="AC55" s="201">
        <v>0</v>
      </c>
      <c r="AD55" s="201">
        <v>0</v>
      </c>
      <c r="AE55" s="201">
        <v>0</v>
      </c>
      <c r="AF55" s="201">
        <v>0</v>
      </c>
      <c r="AG55" s="201">
        <v>0</v>
      </c>
      <c r="AH55" s="201">
        <v>0</v>
      </c>
      <c r="AI55" s="201">
        <v>0</v>
      </c>
      <c r="AJ55" s="201">
        <v>0</v>
      </c>
      <c r="AK55" s="201">
        <v>0</v>
      </c>
      <c r="AL55" s="201">
        <v>0</v>
      </c>
      <c r="AM55" s="201">
        <v>0</v>
      </c>
      <c r="AN55" s="201">
        <v>0</v>
      </c>
      <c r="AO55" s="201">
        <v>0</v>
      </c>
      <c r="AP55" s="201">
        <v>0</v>
      </c>
      <c r="AQ55" s="201">
        <v>0</v>
      </c>
      <c r="AR55" s="201">
        <v>0</v>
      </c>
      <c r="AS55" s="201">
        <v>0</v>
      </c>
      <c r="AT55" s="201">
        <v>0</v>
      </c>
      <c r="AU55" s="201">
        <v>0</v>
      </c>
      <c r="AV55" s="201">
        <v>0</v>
      </c>
      <c r="AW55" s="201">
        <v>0</v>
      </c>
      <c r="AX55" s="201">
        <v>0</v>
      </c>
      <c r="AY55" s="201">
        <v>0</v>
      </c>
      <c r="AZ55" s="201">
        <v>0</v>
      </c>
    </row>
    <row r="56" spans="1:52" x14ac:dyDescent="0.25">
      <c r="A56" s="229" t="s">
        <v>402</v>
      </c>
      <c r="B56" s="216" t="s">
        <v>166</v>
      </c>
      <c r="C56" s="201">
        <v>10695</v>
      </c>
      <c r="D56" s="201">
        <v>53687</v>
      </c>
      <c r="E56" s="201">
        <v>163</v>
      </c>
      <c r="F56" s="201">
        <v>978</v>
      </c>
      <c r="G56" s="201">
        <v>440</v>
      </c>
      <c r="H56" s="201">
        <v>2639</v>
      </c>
      <c r="I56" s="201">
        <v>235</v>
      </c>
      <c r="J56" s="201">
        <v>1412</v>
      </c>
      <c r="K56" s="201">
        <v>169</v>
      </c>
      <c r="L56" s="201">
        <v>1014</v>
      </c>
      <c r="M56" s="201">
        <v>85</v>
      </c>
      <c r="N56" s="201">
        <v>3199</v>
      </c>
      <c r="O56" s="201">
        <v>2685</v>
      </c>
      <c r="P56" s="201">
        <v>85148</v>
      </c>
      <c r="Q56" s="201">
        <v>3540</v>
      </c>
      <c r="R56" s="201">
        <v>131580</v>
      </c>
      <c r="S56" s="201">
        <v>7460</v>
      </c>
      <c r="T56" s="201">
        <v>241564</v>
      </c>
      <c r="U56" s="201">
        <v>3891</v>
      </c>
      <c r="V56" s="201">
        <v>197740</v>
      </c>
      <c r="W56" s="201">
        <v>0</v>
      </c>
      <c r="X56" s="201">
        <v>0</v>
      </c>
      <c r="Y56" s="201">
        <v>7701</v>
      </c>
      <c r="Z56" s="201">
        <v>472291</v>
      </c>
      <c r="AA56" s="201">
        <v>3100</v>
      </c>
      <c r="AB56" s="201">
        <v>204400</v>
      </c>
      <c r="AC56" s="201">
        <v>2692</v>
      </c>
      <c r="AD56" s="201">
        <v>172726</v>
      </c>
      <c r="AE56" s="201">
        <v>3611</v>
      </c>
      <c r="AF56" s="201">
        <v>248699</v>
      </c>
      <c r="AG56" s="202">
        <v>4211</v>
      </c>
      <c r="AH56" s="202">
        <v>227451</v>
      </c>
      <c r="AI56" s="202">
        <v>3297</v>
      </c>
      <c r="AJ56" s="202">
        <v>170422</v>
      </c>
      <c r="AK56" s="202">
        <v>440</v>
      </c>
      <c r="AL56" s="202">
        <v>61527</v>
      </c>
      <c r="AM56" s="221">
        <v>3307</v>
      </c>
      <c r="AN56" s="221">
        <v>215618</v>
      </c>
      <c r="AO56" s="202">
        <v>352</v>
      </c>
      <c r="AP56" s="202">
        <v>41571</v>
      </c>
      <c r="AQ56" s="202">
        <v>1708</v>
      </c>
      <c r="AR56" s="202">
        <v>203314</v>
      </c>
      <c r="AS56" s="202">
        <v>2434</v>
      </c>
      <c r="AT56" s="202">
        <v>203198</v>
      </c>
      <c r="AU56" s="202">
        <v>480</v>
      </c>
      <c r="AV56" s="202">
        <v>50618</v>
      </c>
      <c r="AW56" s="202">
        <v>377</v>
      </c>
      <c r="AX56" s="202">
        <v>36155</v>
      </c>
      <c r="AY56" s="201">
        <v>1891</v>
      </c>
      <c r="AZ56" s="201">
        <v>158266</v>
      </c>
    </row>
    <row r="57" spans="1:52" x14ac:dyDescent="0.25">
      <c r="A57" s="229" t="s">
        <v>403</v>
      </c>
      <c r="B57" s="216" t="s">
        <v>166</v>
      </c>
      <c r="C57" s="201">
        <v>0</v>
      </c>
      <c r="D57" s="201">
        <v>0</v>
      </c>
      <c r="E57" s="201">
        <v>0</v>
      </c>
      <c r="F57" s="201">
        <v>0</v>
      </c>
      <c r="G57" s="201">
        <v>0</v>
      </c>
      <c r="H57" s="201">
        <v>0</v>
      </c>
      <c r="I57" s="201">
        <v>0</v>
      </c>
      <c r="J57" s="201">
        <v>0</v>
      </c>
      <c r="K57" s="201">
        <v>0</v>
      </c>
      <c r="L57" s="201">
        <v>0</v>
      </c>
      <c r="M57" s="201">
        <v>0</v>
      </c>
      <c r="N57" s="201">
        <v>0</v>
      </c>
      <c r="O57" s="201">
        <v>0</v>
      </c>
      <c r="P57" s="201">
        <v>0</v>
      </c>
      <c r="Q57" s="201">
        <v>0</v>
      </c>
      <c r="R57" s="201">
        <v>0</v>
      </c>
      <c r="S57" s="201">
        <v>0</v>
      </c>
      <c r="T57" s="201">
        <v>0</v>
      </c>
      <c r="U57" s="201">
        <v>0</v>
      </c>
      <c r="V57" s="201">
        <v>0</v>
      </c>
      <c r="W57" s="201">
        <v>0</v>
      </c>
      <c r="X57" s="201">
        <v>0</v>
      </c>
      <c r="Y57" s="201">
        <v>0</v>
      </c>
      <c r="Z57" s="201">
        <v>0</v>
      </c>
      <c r="AA57" s="201">
        <v>0</v>
      </c>
      <c r="AB57" s="201">
        <v>0</v>
      </c>
      <c r="AC57" s="201">
        <v>0</v>
      </c>
      <c r="AD57" s="201">
        <v>0</v>
      </c>
      <c r="AE57" s="202">
        <v>0</v>
      </c>
      <c r="AF57" s="202">
        <v>0</v>
      </c>
      <c r="AG57" s="202">
        <v>0</v>
      </c>
      <c r="AH57" s="202">
        <v>0</v>
      </c>
      <c r="AI57" s="202">
        <v>0</v>
      </c>
      <c r="AJ57" s="202">
        <v>0</v>
      </c>
      <c r="AK57" s="29">
        <v>0</v>
      </c>
      <c r="AL57" s="29">
        <v>0</v>
      </c>
      <c r="AM57" s="202">
        <v>0</v>
      </c>
      <c r="AN57" s="202">
        <v>0</v>
      </c>
      <c r="AO57" s="202">
        <v>0</v>
      </c>
      <c r="AP57" s="202">
        <v>0</v>
      </c>
      <c r="AQ57" s="202">
        <v>0</v>
      </c>
      <c r="AR57" s="202">
        <v>0</v>
      </c>
      <c r="AS57" s="202">
        <v>729.37</v>
      </c>
      <c r="AT57" s="202">
        <v>49004</v>
      </c>
      <c r="AU57" s="202">
        <v>1659</v>
      </c>
      <c r="AV57" s="202">
        <v>125641</v>
      </c>
      <c r="AW57" s="202">
        <v>1191</v>
      </c>
      <c r="AX57" s="202">
        <v>75940</v>
      </c>
      <c r="AY57" s="201">
        <v>577.38</v>
      </c>
      <c r="AZ57" s="201">
        <v>49749</v>
      </c>
    </row>
    <row r="58" spans="1:52" x14ac:dyDescent="0.25">
      <c r="A58" s="229" t="s">
        <v>404</v>
      </c>
      <c r="B58" s="216" t="s">
        <v>166</v>
      </c>
      <c r="C58" s="201">
        <v>34436</v>
      </c>
      <c r="D58" s="201">
        <v>252771</v>
      </c>
      <c r="E58" s="201">
        <v>1131</v>
      </c>
      <c r="F58" s="201">
        <v>11094</v>
      </c>
      <c r="G58" s="201">
        <f>946+68046</f>
        <v>68992</v>
      </c>
      <c r="H58" s="201">
        <f>11952+68046</f>
        <v>79998</v>
      </c>
      <c r="I58" s="201">
        <v>1176</v>
      </c>
      <c r="J58" s="201">
        <v>12750</v>
      </c>
      <c r="K58" s="201">
        <f>994+44766</f>
        <v>45760</v>
      </c>
      <c r="L58" s="201">
        <f>11500+134298</f>
        <v>145798</v>
      </c>
      <c r="M58" s="201">
        <v>53134</v>
      </c>
      <c r="N58" s="201">
        <v>157932</v>
      </c>
      <c r="O58" s="201">
        <v>846</v>
      </c>
      <c r="P58" s="201">
        <v>8936</v>
      </c>
      <c r="Q58" s="201">
        <v>126053</v>
      </c>
      <c r="R58" s="201">
        <v>363382</v>
      </c>
      <c r="S58" s="201">
        <v>72176</v>
      </c>
      <c r="T58" s="201">
        <v>209528</v>
      </c>
      <c r="U58" s="201">
        <v>1697</v>
      </c>
      <c r="V58" s="201">
        <v>20364</v>
      </c>
      <c r="W58" s="201">
        <v>1709</v>
      </c>
      <c r="X58" s="201">
        <v>20503</v>
      </c>
      <c r="Y58" s="201">
        <v>171401</v>
      </c>
      <c r="Z58" s="201">
        <v>1853010</v>
      </c>
      <c r="AA58" s="202">
        <v>14611</v>
      </c>
      <c r="AB58" s="202">
        <v>160718</v>
      </c>
      <c r="AC58" s="201">
        <v>22575</v>
      </c>
      <c r="AD58" s="201">
        <v>225745</v>
      </c>
      <c r="AE58" s="201">
        <v>22984</v>
      </c>
      <c r="AF58" s="201">
        <v>249946</v>
      </c>
      <c r="AG58" s="202">
        <v>67077</v>
      </c>
      <c r="AH58" s="202">
        <v>656898</v>
      </c>
      <c r="AI58" s="202">
        <v>38596</v>
      </c>
      <c r="AJ58" s="202">
        <v>385960</v>
      </c>
      <c r="AK58" s="202">
        <v>13003</v>
      </c>
      <c r="AL58" s="202">
        <v>130030</v>
      </c>
      <c r="AM58" s="221">
        <v>2360</v>
      </c>
      <c r="AN58" s="221">
        <v>14160</v>
      </c>
      <c r="AO58" s="202">
        <v>0</v>
      </c>
      <c r="AP58" s="202">
        <v>0</v>
      </c>
      <c r="AQ58" s="202">
        <v>0</v>
      </c>
      <c r="AR58" s="202">
        <v>0</v>
      </c>
      <c r="AS58" s="202">
        <v>0</v>
      </c>
      <c r="AT58" s="202">
        <v>0</v>
      </c>
      <c r="AU58" s="201">
        <v>0</v>
      </c>
      <c r="AV58" s="201">
        <v>0</v>
      </c>
      <c r="AW58" s="201">
        <v>0</v>
      </c>
      <c r="AX58" s="201">
        <v>0</v>
      </c>
      <c r="AY58" s="201">
        <v>0</v>
      </c>
      <c r="AZ58" s="201">
        <v>0</v>
      </c>
    </row>
    <row r="59" spans="1:52" x14ac:dyDescent="0.25">
      <c r="A59" s="218" t="s">
        <v>405</v>
      </c>
      <c r="C59" s="201"/>
      <c r="D59" s="201">
        <f>SUM(D49:D58)</f>
        <v>6578139</v>
      </c>
      <c r="E59" s="201"/>
      <c r="F59" s="201">
        <f>SUM(F49:F58)</f>
        <v>870743.52</v>
      </c>
      <c r="G59" s="201"/>
      <c r="H59" s="201">
        <f>SUM(H49:H58)</f>
        <v>1297324.52</v>
      </c>
      <c r="I59" s="201"/>
      <c r="J59" s="201">
        <f>SUM(J49:J58)</f>
        <v>1372303</v>
      </c>
      <c r="K59" s="201"/>
      <c r="L59" s="201">
        <f>SUM(L49:L58)</f>
        <v>1240275.8999999999</v>
      </c>
      <c r="M59" s="201"/>
      <c r="N59" s="201">
        <f>SUM(N50:N58)</f>
        <v>1737364.52</v>
      </c>
      <c r="O59" s="201"/>
      <c r="P59" s="201">
        <f>SUM(P49:P58)</f>
        <v>1651985.9400000002</v>
      </c>
      <c r="Q59" s="201"/>
      <c r="R59" s="201">
        <f>SUM(R49:R58)</f>
        <v>2047256</v>
      </c>
      <c r="S59" s="201"/>
      <c r="T59" s="201">
        <f>SUM(T49:T58)</f>
        <v>2775104</v>
      </c>
      <c r="U59" s="201"/>
      <c r="V59" s="201">
        <f>SUM(V49:V58)</f>
        <v>3465384</v>
      </c>
      <c r="W59" s="201"/>
      <c r="X59" s="201">
        <f>SUM(X49:X58)</f>
        <v>4107705</v>
      </c>
      <c r="Y59" s="201"/>
      <c r="Z59" s="201">
        <f>SUM(Z49:Z58)</f>
        <v>7872189</v>
      </c>
      <c r="AA59" s="201"/>
      <c r="AB59" s="201">
        <f>SUM(AB49:AB58)</f>
        <v>5216383</v>
      </c>
      <c r="AC59" s="201"/>
      <c r="AD59" s="201">
        <f>SUM(AD49:AD58)</f>
        <v>6796300</v>
      </c>
      <c r="AF59" s="201">
        <f>SUM(AF49:AF58)</f>
        <v>6650458</v>
      </c>
      <c r="AG59" s="201"/>
      <c r="AH59" s="201">
        <f>SUM(AH49:AH58)</f>
        <v>7433039</v>
      </c>
      <c r="AI59" s="201"/>
      <c r="AJ59" s="201">
        <f>SUM(AJ49:AJ58)</f>
        <v>4682554</v>
      </c>
      <c r="AK59" s="202"/>
      <c r="AL59" s="202">
        <v>4796811</v>
      </c>
      <c r="AM59" s="220"/>
      <c r="AN59" s="221">
        <f>SUM(AN49:AN58)</f>
        <v>5198037</v>
      </c>
      <c r="AO59" s="201"/>
      <c r="AP59" s="201">
        <f>SUM(AP49:AP58)</f>
        <v>3047593</v>
      </c>
      <c r="AQ59" s="201"/>
      <c r="AR59" s="201">
        <f>SUM(AR49:AR58)</f>
        <v>1625253</v>
      </c>
      <c r="AS59" s="201"/>
      <c r="AT59" s="201">
        <f>SUM(AT49:AT58)</f>
        <v>1865189</v>
      </c>
      <c r="AU59" s="201"/>
      <c r="AV59" s="201">
        <f>SUM(AV49:AV58)</f>
        <v>1682264</v>
      </c>
      <c r="AW59" s="201"/>
      <c r="AX59" s="202">
        <f>SUM(AX49:AX58)</f>
        <v>1597802</v>
      </c>
      <c r="AY59" s="222"/>
      <c r="AZ59" s="201">
        <f>SUM(AZ49:AZ58)</f>
        <v>1727930</v>
      </c>
    </row>
    <row r="60" spans="1:52" x14ac:dyDescent="0.25">
      <c r="A60" s="231"/>
      <c r="C60" s="201"/>
      <c r="D60" s="201"/>
      <c r="E60" s="201"/>
      <c r="F60" s="201"/>
      <c r="G60" s="201"/>
      <c r="H60" s="201"/>
      <c r="I60" s="201"/>
      <c r="J60" s="201"/>
      <c r="K60" s="201"/>
      <c r="L60" s="201"/>
      <c r="M60" s="201"/>
      <c r="N60" s="201"/>
      <c r="O60" s="201"/>
      <c r="P60" s="201"/>
      <c r="Q60" s="201"/>
      <c r="R60" s="201"/>
      <c r="S60" s="201"/>
      <c r="T60" s="201"/>
      <c r="U60" s="202"/>
      <c r="V60" s="202"/>
      <c r="W60" s="202"/>
      <c r="X60" s="202"/>
      <c r="Y60" s="219"/>
      <c r="Z60" s="219"/>
      <c r="AA60" s="202"/>
      <c r="AB60" s="202"/>
      <c r="AC60" s="201"/>
      <c r="AD60" s="201"/>
      <c r="AG60" s="202"/>
      <c r="AH60" s="202"/>
      <c r="AI60" s="202"/>
      <c r="AJ60" s="202"/>
      <c r="AK60" s="202"/>
      <c r="AL60" s="202"/>
      <c r="AM60" s="202"/>
      <c r="AN60" s="202"/>
      <c r="AQ60" s="202"/>
      <c r="AR60" s="202"/>
      <c r="AS60" s="202"/>
      <c r="AT60" s="202"/>
      <c r="AU60" s="202"/>
      <c r="AV60" s="202"/>
      <c r="AW60" s="227"/>
      <c r="AX60" s="227"/>
      <c r="AY60" s="228"/>
      <c r="AZ60" s="228"/>
    </row>
    <row r="61" spans="1:52" x14ac:dyDescent="0.25">
      <c r="A61" s="1324" t="s">
        <v>201</v>
      </c>
      <c r="B61" s="1325" t="s">
        <v>166</v>
      </c>
      <c r="C61" s="1326">
        <v>60997330</v>
      </c>
      <c r="D61" s="1326">
        <v>352328323</v>
      </c>
      <c r="E61" s="1326">
        <v>3151470</v>
      </c>
      <c r="F61" s="1326">
        <v>60717341</v>
      </c>
      <c r="G61" s="1326">
        <v>3254403</v>
      </c>
      <c r="H61" s="1326">
        <v>68251534</v>
      </c>
      <c r="I61" s="1326">
        <v>3702197</v>
      </c>
      <c r="J61" s="1326">
        <v>87460645</v>
      </c>
      <c r="K61" s="1326">
        <v>3952768</v>
      </c>
      <c r="L61" s="1326">
        <v>99640822</v>
      </c>
      <c r="M61" s="1326">
        <v>3692665</v>
      </c>
      <c r="N61" s="1326">
        <v>105930163</v>
      </c>
      <c r="O61" s="1326">
        <v>3785977</v>
      </c>
      <c r="P61" s="1326">
        <v>119532775</v>
      </c>
      <c r="Q61" s="1326">
        <v>3825535</v>
      </c>
      <c r="R61" s="1326">
        <v>137136740</v>
      </c>
      <c r="S61" s="1326">
        <v>3709806</v>
      </c>
      <c r="T61" s="1326">
        <v>144944239</v>
      </c>
      <c r="U61" s="1326">
        <v>3789743</v>
      </c>
      <c r="V61" s="1326">
        <v>158003510</v>
      </c>
      <c r="W61" s="1326">
        <v>3830472</v>
      </c>
      <c r="X61" s="1326">
        <v>166799208</v>
      </c>
      <c r="Y61" s="1326">
        <v>4831172</v>
      </c>
      <c r="Z61" s="1326">
        <v>214253964</v>
      </c>
      <c r="AA61" s="1327">
        <v>5114267</v>
      </c>
      <c r="AB61" s="1327">
        <v>228561597</v>
      </c>
      <c r="AC61" s="1326">
        <v>5655459</v>
      </c>
      <c r="AD61" s="1326">
        <v>251762799</v>
      </c>
      <c r="AE61" s="1326">
        <v>5470875</v>
      </c>
      <c r="AF61" s="1326">
        <v>248439413</v>
      </c>
      <c r="AG61" s="1327">
        <v>5034977</v>
      </c>
      <c r="AH61" s="1327">
        <v>234017491</v>
      </c>
      <c r="AI61" s="1327">
        <v>6062404</v>
      </c>
      <c r="AJ61" s="1327">
        <v>280656243</v>
      </c>
      <c r="AK61" s="1327">
        <v>5814923</v>
      </c>
      <c r="AL61" s="1327">
        <v>268381210</v>
      </c>
      <c r="AM61" s="1328">
        <v>5692147</v>
      </c>
      <c r="AN61" s="1328">
        <v>260534172</v>
      </c>
      <c r="AO61" s="1327">
        <v>5609555</v>
      </c>
      <c r="AP61" s="1327">
        <v>249348279</v>
      </c>
      <c r="AQ61" s="1327">
        <v>6231483.5099999998</v>
      </c>
      <c r="AR61" s="1327">
        <v>268018086</v>
      </c>
      <c r="AS61" s="1327">
        <v>6204588.1899999995</v>
      </c>
      <c r="AT61" s="1327">
        <v>257838999</v>
      </c>
      <c r="AU61" s="1327">
        <v>6204695</v>
      </c>
      <c r="AV61" s="1327">
        <v>258211794</v>
      </c>
      <c r="AW61" s="1327">
        <v>6262538</v>
      </c>
      <c r="AX61" s="1327">
        <v>266402673</v>
      </c>
      <c r="AY61" s="1326">
        <v>6026581</v>
      </c>
      <c r="AZ61" s="1326">
        <v>266405945</v>
      </c>
    </row>
    <row r="62" spans="1:52" x14ac:dyDescent="0.25">
      <c r="A62" s="1324"/>
      <c r="B62" s="1325"/>
      <c r="C62" s="1326"/>
      <c r="D62" s="1326"/>
      <c r="E62" s="1326"/>
      <c r="F62" s="1326"/>
      <c r="G62" s="1326"/>
      <c r="H62" s="1326"/>
      <c r="I62" s="1326"/>
      <c r="J62" s="1326"/>
      <c r="K62" s="1326"/>
      <c r="L62" s="1326"/>
      <c r="M62" s="1326"/>
      <c r="N62" s="1326"/>
      <c r="O62" s="1326"/>
      <c r="P62" s="1326"/>
      <c r="Q62" s="1326"/>
      <c r="R62" s="1326"/>
      <c r="S62" s="1326"/>
      <c r="T62" s="1326"/>
      <c r="U62" s="1337"/>
      <c r="V62" s="1337"/>
      <c r="W62" s="1327"/>
      <c r="X62" s="1327"/>
      <c r="Y62" s="1327"/>
      <c r="Z62" s="1327"/>
      <c r="AA62" s="1327"/>
      <c r="AB62" s="1327"/>
      <c r="AC62" s="1326"/>
      <c r="AD62" s="1326"/>
      <c r="AE62" s="1326"/>
      <c r="AF62" s="1326"/>
      <c r="AG62" s="1327"/>
      <c r="AH62" s="1327"/>
      <c r="AI62" s="1327"/>
      <c r="AJ62" s="1327"/>
      <c r="AK62" s="1327"/>
      <c r="AL62" s="1327"/>
      <c r="AM62" s="1327"/>
      <c r="AN62" s="1327"/>
      <c r="AO62" s="1327"/>
      <c r="AP62" s="1327"/>
      <c r="AQ62" s="1327"/>
      <c r="AR62" s="1327"/>
      <c r="AS62" s="1327"/>
      <c r="AT62" s="1327"/>
      <c r="AU62" s="1327"/>
      <c r="AV62" s="1327"/>
      <c r="AW62" s="1334"/>
      <c r="AX62" s="1334"/>
      <c r="AY62" s="1335"/>
      <c r="AZ62" s="1335"/>
    </row>
    <row r="63" spans="1:52" x14ac:dyDescent="0.25">
      <c r="A63" s="215" t="s">
        <v>204</v>
      </c>
      <c r="C63" s="201"/>
      <c r="D63" s="201"/>
      <c r="E63" s="201"/>
      <c r="F63" s="201"/>
      <c r="G63" s="201"/>
      <c r="H63" s="201"/>
      <c r="I63" s="201"/>
      <c r="J63" s="201"/>
      <c r="K63" s="201"/>
      <c r="L63" s="201"/>
      <c r="M63" s="201"/>
      <c r="N63" s="201"/>
      <c r="O63" s="201"/>
      <c r="P63" s="201"/>
      <c r="Q63" s="201"/>
      <c r="R63" s="201"/>
      <c r="S63" s="201"/>
      <c r="T63" s="201"/>
      <c r="U63" s="202"/>
      <c r="V63" s="202"/>
      <c r="W63" s="202"/>
      <c r="X63" s="202"/>
      <c r="Y63" s="202"/>
      <c r="Z63" s="202"/>
      <c r="AA63" s="202"/>
      <c r="AB63" s="202"/>
      <c r="AC63" s="201"/>
      <c r="AD63" s="201"/>
      <c r="AG63" s="202"/>
      <c r="AH63" s="202"/>
      <c r="AI63" s="202"/>
      <c r="AJ63" s="202"/>
      <c r="AK63" s="202"/>
      <c r="AL63" s="202"/>
      <c r="AM63" s="202"/>
      <c r="AN63" s="202"/>
      <c r="AQ63" s="202"/>
      <c r="AR63" s="202"/>
      <c r="AS63" s="202"/>
      <c r="AT63" s="202"/>
      <c r="AU63" s="202"/>
      <c r="AV63" s="202"/>
      <c r="AW63" s="227"/>
      <c r="AX63" s="227"/>
      <c r="AY63" s="228"/>
      <c r="AZ63" s="228"/>
    </row>
    <row r="64" spans="1:52" x14ac:dyDescent="0.25">
      <c r="A64" s="229" t="s">
        <v>205</v>
      </c>
      <c r="B64" s="216" t="s">
        <v>166</v>
      </c>
      <c r="C64" s="201">
        <v>0</v>
      </c>
      <c r="D64" s="201">
        <v>0</v>
      </c>
      <c r="E64" s="201">
        <v>0</v>
      </c>
      <c r="F64" s="201">
        <v>0</v>
      </c>
      <c r="G64" s="201">
        <v>0</v>
      </c>
      <c r="H64" s="201">
        <v>0</v>
      </c>
      <c r="I64" s="201">
        <v>7836</v>
      </c>
      <c r="J64" s="201">
        <v>32070</v>
      </c>
      <c r="K64" s="201">
        <v>5033</v>
      </c>
      <c r="L64" s="201">
        <v>17486</v>
      </c>
      <c r="M64" s="201">
        <v>126766</v>
      </c>
      <c r="N64" s="201">
        <v>69696</v>
      </c>
      <c r="O64" s="201">
        <v>142939</v>
      </c>
      <c r="P64" s="201">
        <v>1039428</v>
      </c>
      <c r="Q64" s="201">
        <v>122114</v>
      </c>
      <c r="R64" s="201">
        <v>677247</v>
      </c>
      <c r="S64" s="201">
        <v>175345</v>
      </c>
      <c r="T64" s="201">
        <v>890820</v>
      </c>
      <c r="U64" s="201">
        <v>220304</v>
      </c>
      <c r="V64" s="201">
        <v>1286308</v>
      </c>
      <c r="W64" s="201">
        <v>172316</v>
      </c>
      <c r="X64" s="201">
        <v>1026723</v>
      </c>
      <c r="Y64" s="201">
        <v>78303</v>
      </c>
      <c r="Z64" s="201">
        <v>300542</v>
      </c>
      <c r="AA64" s="202">
        <v>133683</v>
      </c>
      <c r="AB64" s="202">
        <v>719267</v>
      </c>
      <c r="AC64" s="201">
        <v>148082</v>
      </c>
      <c r="AD64" s="201">
        <v>898292</v>
      </c>
      <c r="AE64" s="202">
        <v>256859</v>
      </c>
      <c r="AF64" s="202">
        <v>1435187</v>
      </c>
      <c r="AG64" s="202">
        <v>110173</v>
      </c>
      <c r="AH64" s="202">
        <v>659783</v>
      </c>
      <c r="AI64" s="202">
        <v>426127</v>
      </c>
      <c r="AJ64" s="202">
        <v>2480317</v>
      </c>
      <c r="AK64" s="202">
        <v>505750</v>
      </c>
      <c r="AL64" s="202">
        <v>3292862</v>
      </c>
      <c r="AM64" s="221">
        <v>453971</v>
      </c>
      <c r="AN64" s="221">
        <v>2858956</v>
      </c>
      <c r="AO64" s="202">
        <v>310670</v>
      </c>
      <c r="AP64" s="202">
        <v>2580202</v>
      </c>
      <c r="AQ64" s="202">
        <v>294884.75</v>
      </c>
      <c r="AR64" s="202">
        <v>2029283</v>
      </c>
      <c r="AS64" s="202">
        <v>184080.68</v>
      </c>
      <c r="AT64" s="202">
        <v>2023384</v>
      </c>
      <c r="AU64" s="202">
        <v>519620</v>
      </c>
      <c r="AV64" s="202">
        <v>4190023</v>
      </c>
      <c r="AW64" s="202">
        <v>589339</v>
      </c>
      <c r="AX64" s="202">
        <v>5726287</v>
      </c>
      <c r="AY64" s="201">
        <v>479467.53</v>
      </c>
      <c r="AZ64" s="201">
        <v>3712515.5</v>
      </c>
    </row>
    <row r="65" spans="1:52" x14ac:dyDescent="0.25">
      <c r="A65" s="229" t="s">
        <v>206</v>
      </c>
      <c r="B65" s="216" t="s">
        <v>166</v>
      </c>
      <c r="C65" s="201">
        <v>0</v>
      </c>
      <c r="D65" s="201">
        <v>0</v>
      </c>
      <c r="E65" s="201">
        <v>0</v>
      </c>
      <c r="F65" s="201">
        <v>0</v>
      </c>
      <c r="G65" s="201">
        <v>0</v>
      </c>
      <c r="H65" s="201">
        <v>0</v>
      </c>
      <c r="I65" s="201">
        <v>5470</v>
      </c>
      <c r="J65" s="201">
        <v>30635</v>
      </c>
      <c r="K65" s="201">
        <v>60</v>
      </c>
      <c r="L65" s="201">
        <v>240</v>
      </c>
      <c r="M65" s="201">
        <v>46422</v>
      </c>
      <c r="N65" s="201">
        <v>52966</v>
      </c>
      <c r="O65" s="201">
        <v>11451</v>
      </c>
      <c r="P65" s="201">
        <v>14134</v>
      </c>
      <c r="Q65" s="201">
        <v>5370</v>
      </c>
      <c r="R65" s="201">
        <v>19875</v>
      </c>
      <c r="S65" s="201">
        <v>2025</v>
      </c>
      <c r="T65" s="201">
        <v>36255</v>
      </c>
      <c r="U65" s="201">
        <v>24026</v>
      </c>
      <c r="V65" s="201">
        <v>116680</v>
      </c>
      <c r="W65" s="201">
        <v>31123</v>
      </c>
      <c r="X65" s="201">
        <v>143716</v>
      </c>
      <c r="Y65" s="201">
        <v>32471</v>
      </c>
      <c r="Z65" s="201">
        <v>162435</v>
      </c>
      <c r="AA65" s="202">
        <v>47361</v>
      </c>
      <c r="AB65" s="202">
        <v>244227</v>
      </c>
      <c r="AC65" s="201">
        <v>121884</v>
      </c>
      <c r="AD65" s="201">
        <v>605423</v>
      </c>
      <c r="AE65" s="202">
        <v>88338</v>
      </c>
      <c r="AF65" s="202">
        <v>438168</v>
      </c>
      <c r="AG65" s="202">
        <v>126389</v>
      </c>
      <c r="AH65" s="202">
        <v>635400</v>
      </c>
      <c r="AI65" s="202">
        <v>148469</v>
      </c>
      <c r="AJ65" s="202">
        <v>803927</v>
      </c>
      <c r="AK65" s="202">
        <v>237095</v>
      </c>
      <c r="AL65" s="202">
        <v>1369608</v>
      </c>
      <c r="AM65" s="221">
        <v>176792</v>
      </c>
      <c r="AN65" s="221">
        <v>963578</v>
      </c>
      <c r="AO65" s="202">
        <v>182314</v>
      </c>
      <c r="AP65" s="202">
        <v>1116035</v>
      </c>
      <c r="AQ65" s="202">
        <v>269339.58</v>
      </c>
      <c r="AR65" s="202">
        <v>1763786</v>
      </c>
      <c r="AS65" s="202">
        <v>188796.26</v>
      </c>
      <c r="AT65" s="202">
        <v>1192908</v>
      </c>
      <c r="AU65" s="202">
        <v>177397</v>
      </c>
      <c r="AV65" s="202">
        <v>1177292</v>
      </c>
      <c r="AW65" s="202">
        <v>350885</v>
      </c>
      <c r="AX65" s="202">
        <v>1349499</v>
      </c>
      <c r="AY65" s="201">
        <v>118305</v>
      </c>
      <c r="AZ65" s="201">
        <v>823364</v>
      </c>
    </row>
    <row r="66" spans="1:52" x14ac:dyDescent="0.25">
      <c r="A66" s="229" t="s">
        <v>207</v>
      </c>
      <c r="B66" s="216" t="s">
        <v>166</v>
      </c>
      <c r="C66" s="201">
        <v>0</v>
      </c>
      <c r="D66" s="201">
        <v>0</v>
      </c>
      <c r="E66" s="201">
        <v>0</v>
      </c>
      <c r="F66" s="201">
        <v>0</v>
      </c>
      <c r="G66" s="201">
        <v>0</v>
      </c>
      <c r="H66" s="201">
        <v>0</v>
      </c>
      <c r="I66" s="201">
        <v>109307</v>
      </c>
      <c r="J66" s="201">
        <v>218616</v>
      </c>
      <c r="K66" s="201">
        <v>72474</v>
      </c>
      <c r="L66" s="201">
        <v>144945</v>
      </c>
      <c r="M66" s="201">
        <v>47557</v>
      </c>
      <c r="N66" s="201">
        <v>94712</v>
      </c>
      <c r="O66" s="201">
        <v>63113</v>
      </c>
      <c r="P66" s="201">
        <v>125867</v>
      </c>
      <c r="Q66" s="201">
        <v>89478</v>
      </c>
      <c r="R66" s="201">
        <v>178958</v>
      </c>
      <c r="S66" s="201">
        <v>112599</v>
      </c>
      <c r="T66" s="201">
        <v>1092626</v>
      </c>
      <c r="U66" s="201">
        <v>153364</v>
      </c>
      <c r="V66" s="201">
        <v>1683493</v>
      </c>
      <c r="W66" s="201">
        <v>134927</v>
      </c>
      <c r="X66" s="201">
        <v>1260593</v>
      </c>
      <c r="Y66" s="201">
        <v>84595</v>
      </c>
      <c r="Z66" s="201">
        <v>701259</v>
      </c>
      <c r="AA66" s="202">
        <v>44485</v>
      </c>
      <c r="AB66" s="202">
        <v>469114</v>
      </c>
      <c r="AC66" s="201">
        <v>140597</v>
      </c>
      <c r="AD66" s="201">
        <v>428656</v>
      </c>
      <c r="AE66" s="202">
        <v>94634</v>
      </c>
      <c r="AF66" s="202">
        <v>927877</v>
      </c>
      <c r="AG66" s="202">
        <v>118062</v>
      </c>
      <c r="AH66" s="202">
        <v>1877173</v>
      </c>
      <c r="AI66" s="202">
        <v>50242</v>
      </c>
      <c r="AJ66" s="202">
        <v>633258</v>
      </c>
      <c r="AK66" s="202">
        <v>549600</v>
      </c>
      <c r="AL66" s="202">
        <v>3303495</v>
      </c>
      <c r="AM66" s="221">
        <v>210401</v>
      </c>
      <c r="AN66" s="221">
        <v>1324367</v>
      </c>
      <c r="AO66" s="202">
        <v>416078</v>
      </c>
      <c r="AP66" s="202">
        <v>2715818</v>
      </c>
      <c r="AQ66" s="202">
        <v>273067.73</v>
      </c>
      <c r="AR66" s="202">
        <v>1889434</v>
      </c>
      <c r="AS66" s="202">
        <v>257623.28</v>
      </c>
      <c r="AT66" s="202">
        <v>1864118</v>
      </c>
      <c r="AU66" s="202">
        <v>252791</v>
      </c>
      <c r="AV66" s="202">
        <v>1944452</v>
      </c>
      <c r="AW66" s="202">
        <v>352261</v>
      </c>
      <c r="AX66" s="202">
        <v>3543190</v>
      </c>
      <c r="AY66" s="201">
        <v>299143</v>
      </c>
      <c r="AZ66" s="201">
        <v>2814594</v>
      </c>
    </row>
    <row r="67" spans="1:52" x14ac:dyDescent="0.25">
      <c r="A67" s="229" t="s">
        <v>208</v>
      </c>
      <c r="B67" s="216" t="s">
        <v>166</v>
      </c>
      <c r="C67" s="201">
        <v>0</v>
      </c>
      <c r="D67" s="201">
        <v>0</v>
      </c>
      <c r="E67" s="201">
        <v>0</v>
      </c>
      <c r="F67" s="201">
        <v>0</v>
      </c>
      <c r="G67" s="201">
        <v>0</v>
      </c>
      <c r="H67" s="201">
        <v>0</v>
      </c>
      <c r="I67" s="201">
        <v>21673</v>
      </c>
      <c r="J67" s="201">
        <v>54371</v>
      </c>
      <c r="K67" s="201">
        <v>125405</v>
      </c>
      <c r="L67" s="201">
        <v>343272</v>
      </c>
      <c r="M67" s="201">
        <v>236768</v>
      </c>
      <c r="N67" s="201">
        <v>1146541</v>
      </c>
      <c r="O67" s="201">
        <v>1057832</v>
      </c>
      <c r="P67" s="201">
        <v>1937243</v>
      </c>
      <c r="Q67" s="201">
        <v>1147184</v>
      </c>
      <c r="R67" s="201">
        <v>3300083</v>
      </c>
      <c r="S67" s="201">
        <v>933608</v>
      </c>
      <c r="T67" s="201">
        <v>2435871</v>
      </c>
      <c r="U67" s="201">
        <v>539628</v>
      </c>
      <c r="V67" s="201">
        <v>1586184</v>
      </c>
      <c r="W67" s="201">
        <v>759955</v>
      </c>
      <c r="X67" s="201">
        <v>1928983</v>
      </c>
      <c r="Y67" s="201">
        <v>563731</v>
      </c>
      <c r="Z67" s="201">
        <v>2489603</v>
      </c>
      <c r="AA67" s="202">
        <v>781523</v>
      </c>
      <c r="AB67" s="202">
        <v>4121913</v>
      </c>
      <c r="AC67" s="201">
        <v>1025359</v>
      </c>
      <c r="AD67" s="201">
        <v>5201858</v>
      </c>
      <c r="AE67" s="202">
        <v>2445633</v>
      </c>
      <c r="AF67" s="202">
        <v>10268681</v>
      </c>
      <c r="AG67" s="202">
        <v>1894690</v>
      </c>
      <c r="AH67" s="202">
        <v>8834803</v>
      </c>
      <c r="AI67" s="202">
        <v>1706340</v>
      </c>
      <c r="AJ67" s="202">
        <v>7672398</v>
      </c>
      <c r="AK67" s="202">
        <v>1429967</v>
      </c>
      <c r="AL67" s="202">
        <v>6333052</v>
      </c>
      <c r="AM67" s="221">
        <v>1577080</v>
      </c>
      <c r="AN67" s="221">
        <v>7723332</v>
      </c>
      <c r="AO67" s="202">
        <v>1689533</v>
      </c>
      <c r="AP67" s="202">
        <v>7590537</v>
      </c>
      <c r="AQ67" s="202">
        <v>1903951.02</v>
      </c>
      <c r="AR67" s="202">
        <v>8844934</v>
      </c>
      <c r="AS67" s="202">
        <v>1563907.82</v>
      </c>
      <c r="AT67" s="202">
        <v>7269988.0600000005</v>
      </c>
      <c r="AU67" s="202">
        <v>1175262</v>
      </c>
      <c r="AV67" s="202">
        <v>5756683</v>
      </c>
      <c r="AW67" s="202">
        <v>1682388</v>
      </c>
      <c r="AX67" s="202">
        <v>7831502</v>
      </c>
      <c r="AY67" s="201">
        <v>1648382</v>
      </c>
      <c r="AZ67" s="201">
        <v>8037588</v>
      </c>
    </row>
    <row r="68" spans="1:52" x14ac:dyDescent="0.25">
      <c r="A68" s="229" t="s">
        <v>406</v>
      </c>
      <c r="B68" s="216" t="s">
        <v>166</v>
      </c>
      <c r="C68" s="201">
        <f>681+84</f>
        <v>765</v>
      </c>
      <c r="D68" s="201">
        <f>4020+3486</f>
        <v>7506</v>
      </c>
      <c r="E68" s="201">
        <v>0</v>
      </c>
      <c r="F68" s="201">
        <v>0</v>
      </c>
      <c r="G68" s="201">
        <v>0</v>
      </c>
      <c r="H68" s="201">
        <v>0</v>
      </c>
      <c r="I68" s="201">
        <v>50</v>
      </c>
      <c r="J68" s="201">
        <v>1250</v>
      </c>
      <c r="K68" s="201">
        <v>0</v>
      </c>
      <c r="L68" s="201">
        <v>0</v>
      </c>
      <c r="M68" s="201">
        <v>0</v>
      </c>
      <c r="N68" s="201">
        <v>0</v>
      </c>
      <c r="O68" s="201">
        <v>0</v>
      </c>
      <c r="P68" s="201">
        <v>0</v>
      </c>
      <c r="Q68" s="201">
        <v>20</v>
      </c>
      <c r="R68" s="201">
        <v>40</v>
      </c>
      <c r="S68" s="202">
        <v>0</v>
      </c>
      <c r="T68" s="202">
        <v>0</v>
      </c>
      <c r="U68" s="202">
        <v>0</v>
      </c>
      <c r="V68" s="202">
        <v>0</v>
      </c>
      <c r="W68" s="202">
        <v>0</v>
      </c>
      <c r="X68" s="202">
        <v>0</v>
      </c>
      <c r="Y68" s="202">
        <v>0</v>
      </c>
      <c r="Z68" s="202">
        <v>0</v>
      </c>
      <c r="AA68" s="202">
        <v>0</v>
      </c>
      <c r="AB68" s="202">
        <v>0</v>
      </c>
      <c r="AC68" s="202">
        <v>0</v>
      </c>
      <c r="AD68" s="202">
        <v>0</v>
      </c>
      <c r="AE68" s="202">
        <v>0</v>
      </c>
      <c r="AF68" s="202">
        <v>0</v>
      </c>
      <c r="AG68" s="202">
        <v>0</v>
      </c>
      <c r="AH68" s="202">
        <v>0</v>
      </c>
      <c r="AI68" s="202">
        <v>92</v>
      </c>
      <c r="AJ68" s="202">
        <v>21823</v>
      </c>
      <c r="AK68" s="202">
        <v>0</v>
      </c>
      <c r="AL68" s="29">
        <v>0</v>
      </c>
      <c r="AM68" s="202">
        <v>0</v>
      </c>
      <c r="AN68" s="202">
        <v>0</v>
      </c>
      <c r="AO68" s="202">
        <v>0</v>
      </c>
      <c r="AP68" s="202">
        <v>0</v>
      </c>
      <c r="AQ68" s="202">
        <v>0</v>
      </c>
      <c r="AR68" s="202">
        <v>0</v>
      </c>
      <c r="AS68" s="202">
        <v>1100</v>
      </c>
      <c r="AT68" s="202">
        <v>55000</v>
      </c>
      <c r="AU68" s="202">
        <v>0</v>
      </c>
      <c r="AV68" s="202">
        <v>0</v>
      </c>
      <c r="AW68" s="202">
        <v>868</v>
      </c>
      <c r="AX68" s="202">
        <v>47740</v>
      </c>
      <c r="AY68" s="201">
        <v>0</v>
      </c>
      <c r="AZ68" s="201">
        <v>0</v>
      </c>
    </row>
    <row r="69" spans="1:52" x14ac:dyDescent="0.25">
      <c r="A69" s="218" t="s">
        <v>209</v>
      </c>
      <c r="C69" s="201"/>
      <c r="D69" s="201">
        <f>SUM(D64:D68)</f>
        <v>7506</v>
      </c>
      <c r="E69" s="201"/>
      <c r="F69" s="201">
        <f>SUM(F64:F68)</f>
        <v>0</v>
      </c>
      <c r="G69" s="201"/>
      <c r="H69" s="201">
        <v>0</v>
      </c>
      <c r="I69" s="201"/>
      <c r="J69" s="201">
        <f>SUM(J64:J68)</f>
        <v>336942</v>
      </c>
      <c r="K69" s="201"/>
      <c r="L69" s="201">
        <f>SUM(L64:L68)</f>
        <v>505943</v>
      </c>
      <c r="M69" s="201"/>
      <c r="N69" s="201">
        <f>SUM(N64:N68)</f>
        <v>1363915</v>
      </c>
      <c r="O69" s="201"/>
      <c r="P69" s="201">
        <f>SUM(P64:P68)</f>
        <v>3116672</v>
      </c>
      <c r="Q69" s="201"/>
      <c r="R69" s="201">
        <f>SUM(R64:R68)</f>
        <v>4176203</v>
      </c>
      <c r="S69" s="201"/>
      <c r="T69" s="201">
        <f>SUM(T64:T68)</f>
        <v>4455572</v>
      </c>
      <c r="U69" s="202"/>
      <c r="V69" s="202">
        <f>SUM(V64:V68)</f>
        <v>4672665</v>
      </c>
      <c r="W69" s="202"/>
      <c r="X69" s="201">
        <f>SUM(X64:X68)</f>
        <v>4360015</v>
      </c>
      <c r="Y69" s="202"/>
      <c r="Z69" s="201">
        <f>SUM(Z64:Z68)</f>
        <v>3653839</v>
      </c>
      <c r="AA69" s="202"/>
      <c r="AB69" s="202">
        <f>SUM(AB64:AB68)</f>
        <v>5554521</v>
      </c>
      <c r="AC69" s="201"/>
      <c r="AD69" s="201">
        <f>SUM(AD64:AD68)</f>
        <v>7134229</v>
      </c>
      <c r="AE69" s="202"/>
      <c r="AF69" s="202">
        <f>SUM(AF64:AF68)</f>
        <v>13069913</v>
      </c>
      <c r="AG69" s="202"/>
      <c r="AH69" s="202">
        <f>SUM(AH64:AH68)</f>
        <v>12007159</v>
      </c>
      <c r="AI69" s="202"/>
      <c r="AJ69" s="202">
        <f>SUM(AJ64:AJ68)</f>
        <v>11611723</v>
      </c>
      <c r="AK69" s="202"/>
      <c r="AL69" s="202">
        <v>14299017</v>
      </c>
      <c r="AM69" s="202"/>
      <c r="AN69" s="202">
        <f>SUM(AN64:AN68)</f>
        <v>12870233</v>
      </c>
      <c r="AP69" s="202">
        <f>SUM(AP64:AP68)</f>
        <v>14002592</v>
      </c>
      <c r="AQ69" s="202"/>
      <c r="AR69" s="202">
        <v>14527437</v>
      </c>
      <c r="AS69" s="202"/>
      <c r="AT69" s="202">
        <f>SUM(AT64:AT68)</f>
        <v>12405398.060000001</v>
      </c>
      <c r="AU69" s="202"/>
      <c r="AV69" s="202">
        <v>13068450</v>
      </c>
      <c r="AW69" s="202"/>
      <c r="AX69" s="202">
        <f>SUM(AX64:AX68)</f>
        <v>18498218</v>
      </c>
      <c r="AY69" s="201"/>
      <c r="AZ69" s="201">
        <v>15388061</v>
      </c>
    </row>
    <row r="70" spans="1:52" x14ac:dyDescent="0.25">
      <c r="A70" s="231"/>
      <c r="C70" s="201"/>
      <c r="D70" s="201"/>
      <c r="E70" s="201"/>
      <c r="F70" s="201"/>
      <c r="G70" s="201"/>
      <c r="H70" s="201"/>
      <c r="I70" s="201"/>
      <c r="J70" s="201"/>
      <c r="K70" s="201"/>
      <c r="L70" s="201"/>
      <c r="M70" s="201"/>
      <c r="N70" s="201"/>
      <c r="O70" s="201"/>
      <c r="P70" s="201"/>
      <c r="Q70" s="201"/>
      <c r="R70" s="201"/>
      <c r="S70" s="201"/>
      <c r="T70" s="201"/>
      <c r="U70" s="202"/>
      <c r="V70" s="202"/>
      <c r="W70" s="202"/>
      <c r="X70" s="201"/>
      <c r="Y70" s="202"/>
      <c r="Z70" s="201"/>
      <c r="AA70" s="202"/>
      <c r="AB70" s="202"/>
      <c r="AC70" s="201"/>
      <c r="AD70" s="201"/>
      <c r="AE70" s="202"/>
      <c r="AF70" s="202"/>
      <c r="AG70" s="202"/>
      <c r="AH70" s="202"/>
      <c r="AI70" s="202"/>
      <c r="AJ70" s="202"/>
      <c r="AK70" s="202"/>
      <c r="AL70" s="202"/>
      <c r="AM70" s="202"/>
      <c r="AN70" s="202"/>
      <c r="AQ70" s="202"/>
      <c r="AR70" s="202"/>
      <c r="AS70" s="202"/>
      <c r="AT70" s="202"/>
      <c r="AU70" s="202"/>
      <c r="AV70" s="202"/>
      <c r="AW70" s="227"/>
      <c r="AX70" s="227"/>
      <c r="AY70" s="201"/>
      <c r="AZ70" s="201"/>
    </row>
    <row r="71" spans="1:52" x14ac:dyDescent="0.25">
      <c r="A71" s="1324" t="s">
        <v>210</v>
      </c>
      <c r="B71" s="1325" t="s">
        <v>211</v>
      </c>
      <c r="C71" s="1326"/>
      <c r="D71" s="1326">
        <v>48</v>
      </c>
      <c r="E71" s="1327">
        <v>0</v>
      </c>
      <c r="F71" s="1327">
        <v>0</v>
      </c>
      <c r="G71" s="1327">
        <v>0</v>
      </c>
      <c r="H71" s="1327">
        <v>0</v>
      </c>
      <c r="I71" s="1327">
        <v>0</v>
      </c>
      <c r="J71" s="1327">
        <v>0</v>
      </c>
      <c r="K71" s="1326">
        <v>6539544</v>
      </c>
      <c r="L71" s="1326">
        <v>68978807</v>
      </c>
      <c r="M71" s="1326">
        <v>5692193</v>
      </c>
      <c r="N71" s="1326">
        <v>45155034</v>
      </c>
      <c r="O71" s="1326">
        <v>7070062</v>
      </c>
      <c r="P71" s="1326">
        <v>64367369</v>
      </c>
      <c r="Q71" s="1326">
        <v>29232453</v>
      </c>
      <c r="R71" s="1326">
        <v>256963424</v>
      </c>
      <c r="S71" s="1326">
        <v>30331701</v>
      </c>
      <c r="T71" s="1326">
        <v>246517116</v>
      </c>
      <c r="U71" s="1326">
        <v>35220858</v>
      </c>
      <c r="V71" s="1326">
        <v>302495527</v>
      </c>
      <c r="W71" s="1326">
        <v>37505444</v>
      </c>
      <c r="X71" s="1326">
        <v>427446772</v>
      </c>
      <c r="Y71" s="1326">
        <v>31182964</v>
      </c>
      <c r="Z71" s="1326">
        <v>429928200</v>
      </c>
      <c r="AA71" s="1327">
        <v>33358098</v>
      </c>
      <c r="AB71" s="1327">
        <v>456926660</v>
      </c>
      <c r="AC71" s="1326">
        <v>41453238</v>
      </c>
      <c r="AD71" s="1326">
        <v>565061845</v>
      </c>
      <c r="AE71" s="1327">
        <v>22649491</v>
      </c>
      <c r="AF71" s="1327">
        <v>486770824</v>
      </c>
      <c r="AG71" s="1327">
        <v>27716403</v>
      </c>
      <c r="AH71" s="1327">
        <v>470342571</v>
      </c>
      <c r="AI71" s="1327">
        <v>23451750</v>
      </c>
      <c r="AJ71" s="1327">
        <v>480150004</v>
      </c>
      <c r="AK71" s="1327">
        <v>47425602</v>
      </c>
      <c r="AL71" s="1327">
        <v>442006326</v>
      </c>
      <c r="AM71" s="1328">
        <v>40421889</v>
      </c>
      <c r="AN71" s="1328">
        <v>421193947</v>
      </c>
      <c r="AO71" s="1327">
        <v>52274315</v>
      </c>
      <c r="AP71" s="1327">
        <v>642392647</v>
      </c>
      <c r="AQ71" s="1327">
        <v>51641931</v>
      </c>
      <c r="AR71" s="1327">
        <v>640057980</v>
      </c>
      <c r="AS71" s="1327">
        <v>42300118</v>
      </c>
      <c r="AT71" s="1327">
        <v>713684538</v>
      </c>
      <c r="AU71" s="1327">
        <v>21679930</v>
      </c>
      <c r="AV71" s="1327">
        <v>499534159</v>
      </c>
      <c r="AW71" s="1327">
        <v>34371491</v>
      </c>
      <c r="AX71" s="1327">
        <v>650344132</v>
      </c>
      <c r="AY71" s="1326">
        <v>35478981</v>
      </c>
      <c r="AZ71" s="1326">
        <v>661857630</v>
      </c>
    </row>
    <row r="72" spans="1:52" x14ac:dyDescent="0.25">
      <c r="A72" s="1324"/>
      <c r="B72" s="1325"/>
      <c r="C72" s="1326"/>
      <c r="D72" s="1326"/>
      <c r="E72" s="1326"/>
      <c r="F72" s="1326"/>
      <c r="G72" s="1326"/>
      <c r="H72" s="1326"/>
      <c r="I72" s="1326"/>
      <c r="J72" s="1326"/>
      <c r="K72" s="1326"/>
      <c r="L72" s="1326"/>
      <c r="M72" s="1326"/>
      <c r="N72" s="1326"/>
      <c r="O72" s="1326"/>
      <c r="P72" s="1326"/>
      <c r="Q72" s="1326"/>
      <c r="R72" s="1326"/>
      <c r="S72" s="1326"/>
      <c r="T72" s="1326"/>
      <c r="U72" s="1327"/>
      <c r="V72" s="1327"/>
      <c r="W72" s="1337"/>
      <c r="X72" s="1337"/>
      <c r="Y72" s="1326"/>
      <c r="Z72" s="1326"/>
      <c r="AA72" s="1327"/>
      <c r="AB72" s="1327"/>
      <c r="AC72" s="1326"/>
      <c r="AD72" s="1326"/>
      <c r="AE72" s="1327"/>
      <c r="AF72" s="1327"/>
      <c r="AG72" s="1327"/>
      <c r="AH72" s="1327"/>
      <c r="AI72" s="1327"/>
      <c r="AJ72" s="1327"/>
      <c r="AK72" s="1327"/>
      <c r="AL72" s="1327"/>
      <c r="AM72" s="1327"/>
      <c r="AN72" s="1327"/>
      <c r="AO72" s="1327"/>
      <c r="AP72" s="1327"/>
      <c r="AQ72" s="1327"/>
      <c r="AR72" s="1327"/>
      <c r="AS72" s="1327"/>
      <c r="AT72" s="1327"/>
      <c r="AU72" s="1327"/>
      <c r="AV72" s="1327"/>
      <c r="AW72" s="1334"/>
      <c r="AX72" s="1334"/>
      <c r="AY72" s="1335"/>
      <c r="AZ72" s="1335"/>
    </row>
    <row r="73" spans="1:52" x14ac:dyDescent="0.25">
      <c r="A73" s="215" t="s">
        <v>407</v>
      </c>
      <c r="B73" s="216" t="s">
        <v>166</v>
      </c>
      <c r="C73" s="201">
        <v>548</v>
      </c>
      <c r="D73" s="201">
        <v>16491</v>
      </c>
      <c r="E73" s="201">
        <v>0</v>
      </c>
      <c r="F73" s="201">
        <v>0</v>
      </c>
      <c r="G73" s="201">
        <v>0</v>
      </c>
      <c r="H73" s="201">
        <v>0</v>
      </c>
      <c r="I73" s="201">
        <v>0</v>
      </c>
      <c r="J73" s="201">
        <v>0</v>
      </c>
      <c r="K73" s="201">
        <v>0</v>
      </c>
      <c r="L73" s="201">
        <v>0</v>
      </c>
      <c r="M73" s="201">
        <v>257</v>
      </c>
      <c r="N73" s="201">
        <v>1029</v>
      </c>
      <c r="O73" s="201">
        <v>578</v>
      </c>
      <c r="P73" s="201">
        <v>3149</v>
      </c>
      <c r="Q73" s="201">
        <v>1060</v>
      </c>
      <c r="R73" s="201">
        <v>5301</v>
      </c>
      <c r="S73" s="201">
        <v>521</v>
      </c>
      <c r="T73" s="201">
        <v>2688</v>
      </c>
      <c r="U73" s="201">
        <v>0</v>
      </c>
      <c r="V73" s="201">
        <v>0</v>
      </c>
      <c r="W73" s="201">
        <v>0</v>
      </c>
      <c r="X73" s="201">
        <v>0</v>
      </c>
      <c r="Y73" s="201">
        <v>0</v>
      </c>
      <c r="Z73" s="201">
        <v>0</v>
      </c>
      <c r="AA73" s="202">
        <v>22</v>
      </c>
      <c r="AB73" s="202">
        <v>160</v>
      </c>
      <c r="AC73" s="201">
        <v>169</v>
      </c>
      <c r="AD73" s="201">
        <v>1300</v>
      </c>
      <c r="AE73" s="202">
        <v>445</v>
      </c>
      <c r="AF73" s="202">
        <v>5171</v>
      </c>
      <c r="AG73" s="202">
        <v>2365</v>
      </c>
      <c r="AH73" s="202">
        <v>18897</v>
      </c>
      <c r="AI73" s="202">
        <v>7271</v>
      </c>
      <c r="AJ73" s="202">
        <v>58165</v>
      </c>
      <c r="AK73" s="202">
        <v>0</v>
      </c>
      <c r="AL73" s="202">
        <v>0</v>
      </c>
      <c r="AM73" s="202">
        <v>0</v>
      </c>
      <c r="AN73" s="202">
        <v>0</v>
      </c>
      <c r="AO73" s="202">
        <v>0</v>
      </c>
      <c r="AP73" s="202">
        <v>0</v>
      </c>
      <c r="AQ73" s="202">
        <v>0</v>
      </c>
      <c r="AR73" s="202">
        <v>0</v>
      </c>
      <c r="AS73" s="202">
        <v>0</v>
      </c>
      <c r="AT73" s="202">
        <v>0</v>
      </c>
      <c r="AU73" s="202">
        <v>0</v>
      </c>
      <c r="AV73" s="202">
        <v>0</v>
      </c>
      <c r="AW73" s="202">
        <v>0</v>
      </c>
      <c r="AX73" s="202">
        <v>0</v>
      </c>
      <c r="AY73" s="202">
        <v>0</v>
      </c>
      <c r="AZ73" s="202">
        <v>0</v>
      </c>
    </row>
    <row r="74" spans="1:52" x14ac:dyDescent="0.25">
      <c r="A74" s="231"/>
      <c r="B74" s="216"/>
      <c r="C74" s="201"/>
      <c r="D74" s="201"/>
      <c r="E74" s="201"/>
      <c r="F74" s="201"/>
      <c r="G74" s="201"/>
      <c r="H74" s="201"/>
      <c r="I74" s="201"/>
      <c r="J74" s="201"/>
      <c r="K74" s="201"/>
      <c r="L74" s="201"/>
      <c r="M74" s="201"/>
      <c r="N74" s="201"/>
      <c r="O74" s="201"/>
      <c r="P74" s="201"/>
      <c r="Q74" s="201"/>
      <c r="R74" s="201"/>
      <c r="S74" s="201"/>
      <c r="T74" s="201"/>
      <c r="U74" s="219"/>
      <c r="V74" s="219"/>
      <c r="W74" s="202"/>
      <c r="X74" s="202"/>
      <c r="Y74" s="202"/>
      <c r="Z74" s="202"/>
      <c r="AA74" s="202"/>
      <c r="AB74" s="202"/>
      <c r="AC74" s="201"/>
      <c r="AD74" s="201"/>
      <c r="AE74" s="202"/>
      <c r="AF74" s="202"/>
      <c r="AG74" s="202"/>
      <c r="AH74" s="202"/>
      <c r="AI74" s="202"/>
      <c r="AJ74" s="202"/>
      <c r="AK74" s="202"/>
      <c r="AL74" s="202"/>
      <c r="AM74" s="202"/>
      <c r="AN74" s="202"/>
      <c r="AQ74" s="202"/>
      <c r="AR74" s="202"/>
      <c r="AS74" s="202"/>
      <c r="AT74" s="202"/>
      <c r="AU74" s="202"/>
      <c r="AV74" s="202"/>
      <c r="AW74" s="227"/>
      <c r="AX74" s="227"/>
      <c r="AY74" s="228"/>
      <c r="AZ74" s="228"/>
    </row>
    <row r="75" spans="1:52" x14ac:dyDescent="0.25">
      <c r="A75" s="1324" t="s">
        <v>212</v>
      </c>
      <c r="B75" s="1345"/>
      <c r="C75" s="1326"/>
      <c r="D75" s="1326"/>
      <c r="E75" s="1326"/>
      <c r="F75" s="1326"/>
      <c r="G75" s="1326"/>
      <c r="H75" s="1326"/>
      <c r="I75" s="1326"/>
      <c r="J75" s="1326"/>
      <c r="K75" s="1326"/>
      <c r="L75" s="1326"/>
      <c r="M75" s="1326"/>
      <c r="N75" s="1326"/>
      <c r="O75" s="1326"/>
      <c r="P75" s="1326"/>
      <c r="Q75" s="1326"/>
      <c r="R75" s="1326"/>
      <c r="S75" s="1326"/>
      <c r="T75" s="1326"/>
      <c r="U75" s="1327"/>
      <c r="V75" s="1327"/>
      <c r="W75" s="1337"/>
      <c r="X75" s="1337"/>
      <c r="Y75" s="1327"/>
      <c r="Z75" s="1327"/>
      <c r="AA75" s="1327"/>
      <c r="AB75" s="1327"/>
      <c r="AC75" s="1326"/>
      <c r="AD75" s="1326"/>
      <c r="AE75" s="1327"/>
      <c r="AF75" s="1327"/>
      <c r="AG75" s="1327"/>
      <c r="AH75" s="1327"/>
      <c r="AI75" s="1327"/>
      <c r="AJ75" s="1327"/>
      <c r="AK75" s="1327"/>
      <c r="AL75" s="1327"/>
      <c r="AM75" s="1327"/>
      <c r="AN75" s="1327"/>
      <c r="AO75" s="1327"/>
      <c r="AP75" s="1327"/>
      <c r="AQ75" s="1327"/>
      <c r="AR75" s="1327"/>
      <c r="AS75" s="1327"/>
      <c r="AT75" s="1327"/>
      <c r="AU75" s="1327"/>
      <c r="AV75" s="1327"/>
      <c r="AW75" s="1334"/>
      <c r="AX75" s="1334"/>
      <c r="AY75" s="1326"/>
      <c r="AZ75" s="1326"/>
    </row>
    <row r="76" spans="1:52" x14ac:dyDescent="0.25">
      <c r="A76" s="1339" t="s">
        <v>408</v>
      </c>
      <c r="B76" s="1325" t="s">
        <v>166</v>
      </c>
      <c r="C76" s="1326">
        <v>4099</v>
      </c>
      <c r="D76" s="1326">
        <v>1029757</v>
      </c>
      <c r="E76" s="1327">
        <v>0</v>
      </c>
      <c r="F76" s="1327">
        <v>0</v>
      </c>
      <c r="G76" s="1327">
        <v>0</v>
      </c>
      <c r="H76" s="1327">
        <v>0</v>
      </c>
      <c r="I76" s="1327">
        <v>0</v>
      </c>
      <c r="J76" s="1327">
        <v>0</v>
      </c>
      <c r="K76" s="1327">
        <v>0</v>
      </c>
      <c r="L76" s="1327">
        <v>0</v>
      </c>
      <c r="M76" s="1327">
        <v>0</v>
      </c>
      <c r="N76" s="1327">
        <v>0</v>
      </c>
      <c r="O76" s="1327">
        <v>0</v>
      </c>
      <c r="P76" s="1327">
        <v>0</v>
      </c>
      <c r="Q76" s="1327">
        <v>0</v>
      </c>
      <c r="R76" s="1327">
        <v>0</v>
      </c>
      <c r="S76" s="1327">
        <v>0</v>
      </c>
      <c r="T76" s="1327">
        <v>0</v>
      </c>
      <c r="U76" s="1327">
        <v>0</v>
      </c>
      <c r="V76" s="1327">
        <v>0</v>
      </c>
      <c r="W76" s="1327">
        <v>0</v>
      </c>
      <c r="X76" s="1327">
        <v>0</v>
      </c>
      <c r="Y76" s="1327">
        <v>0</v>
      </c>
      <c r="Z76" s="1327">
        <v>0</v>
      </c>
      <c r="AA76" s="1327">
        <v>0</v>
      </c>
      <c r="AB76" s="1327">
        <v>0</v>
      </c>
      <c r="AC76" s="1327">
        <v>0</v>
      </c>
      <c r="AD76" s="1327">
        <v>0</v>
      </c>
      <c r="AE76" s="1327">
        <v>0</v>
      </c>
      <c r="AF76" s="1327">
        <v>0</v>
      </c>
      <c r="AG76" s="1327">
        <v>0</v>
      </c>
      <c r="AH76" s="1327">
        <v>0</v>
      </c>
      <c r="AI76" s="1327">
        <v>0</v>
      </c>
      <c r="AJ76" s="1327">
        <v>0</v>
      </c>
      <c r="AK76" s="1327">
        <v>0</v>
      </c>
      <c r="AL76" s="1327">
        <v>0</v>
      </c>
      <c r="AM76" s="1327">
        <v>0</v>
      </c>
      <c r="AN76" s="1327">
        <v>0</v>
      </c>
      <c r="AO76" s="1327">
        <v>0</v>
      </c>
      <c r="AP76" s="1327">
        <v>0</v>
      </c>
      <c r="AQ76" s="1327">
        <v>0</v>
      </c>
      <c r="AR76" s="1327">
        <v>0</v>
      </c>
      <c r="AS76" s="1327">
        <v>0</v>
      </c>
      <c r="AT76" s="1327">
        <v>0</v>
      </c>
      <c r="AU76" s="1327">
        <v>0</v>
      </c>
      <c r="AV76" s="1327">
        <v>0</v>
      </c>
      <c r="AW76" s="1326">
        <v>0</v>
      </c>
      <c r="AX76" s="1326">
        <v>0</v>
      </c>
      <c r="AY76" s="1326">
        <v>0</v>
      </c>
      <c r="AZ76" s="1326">
        <v>0</v>
      </c>
    </row>
    <row r="77" spans="1:52" x14ac:dyDescent="0.25">
      <c r="A77" s="1339" t="s">
        <v>409</v>
      </c>
      <c r="B77" s="1325" t="s">
        <v>166</v>
      </c>
      <c r="C77" s="1327">
        <v>0</v>
      </c>
      <c r="D77" s="1327">
        <v>0</v>
      </c>
      <c r="E77" s="1327">
        <v>0</v>
      </c>
      <c r="F77" s="1327">
        <v>0</v>
      </c>
      <c r="G77" s="1327">
        <v>0</v>
      </c>
      <c r="H77" s="1327">
        <v>0</v>
      </c>
      <c r="I77" s="1327">
        <v>0</v>
      </c>
      <c r="J77" s="1327">
        <v>0</v>
      </c>
      <c r="K77" s="1327">
        <v>0</v>
      </c>
      <c r="L77" s="1327">
        <v>0</v>
      </c>
      <c r="M77" s="1327">
        <v>0</v>
      </c>
      <c r="N77" s="1327">
        <v>0</v>
      </c>
      <c r="O77" s="1327">
        <v>145</v>
      </c>
      <c r="P77" s="1327">
        <v>45000</v>
      </c>
      <c r="Q77" s="1326">
        <v>585</v>
      </c>
      <c r="R77" s="1326">
        <v>50000</v>
      </c>
      <c r="S77" s="1326">
        <v>0</v>
      </c>
      <c r="T77" s="1326">
        <v>0</v>
      </c>
      <c r="U77" s="1326">
        <v>0</v>
      </c>
      <c r="V77" s="1326">
        <v>0</v>
      </c>
      <c r="W77" s="1326">
        <v>740</v>
      </c>
      <c r="X77" s="1326">
        <v>1041390</v>
      </c>
      <c r="Y77" s="1326">
        <v>748</v>
      </c>
      <c r="Z77" s="1326">
        <v>824801</v>
      </c>
      <c r="AA77" s="1327">
        <v>1086</v>
      </c>
      <c r="AB77" s="1327">
        <v>399869</v>
      </c>
      <c r="AC77" s="1326">
        <v>5358</v>
      </c>
      <c r="AD77" s="1326">
        <v>1757075</v>
      </c>
      <c r="AE77" s="1327">
        <v>2034</v>
      </c>
      <c r="AF77" s="1327">
        <v>559171</v>
      </c>
      <c r="AG77" s="1327">
        <v>1028</v>
      </c>
      <c r="AH77" s="1327">
        <v>316058</v>
      </c>
      <c r="AI77" s="1327">
        <v>0</v>
      </c>
      <c r="AJ77" s="1327">
        <v>0</v>
      </c>
      <c r="AK77" s="1327">
        <v>946</v>
      </c>
      <c r="AL77" s="1327">
        <v>283695</v>
      </c>
      <c r="AM77" s="1328">
        <v>958</v>
      </c>
      <c r="AN77" s="1328">
        <v>287457</v>
      </c>
      <c r="AO77" s="1327">
        <v>0</v>
      </c>
      <c r="AP77" s="1327">
        <v>0</v>
      </c>
      <c r="AQ77" s="1327">
        <v>0</v>
      </c>
      <c r="AR77" s="1327">
        <v>0</v>
      </c>
      <c r="AS77" s="1327">
        <v>0</v>
      </c>
      <c r="AT77" s="1327">
        <v>0</v>
      </c>
      <c r="AU77" s="1327">
        <v>0</v>
      </c>
      <c r="AV77" s="1327">
        <v>0</v>
      </c>
      <c r="AW77" s="1326">
        <v>0</v>
      </c>
      <c r="AX77" s="1326">
        <v>0</v>
      </c>
      <c r="AY77" s="1326">
        <v>0</v>
      </c>
      <c r="AZ77" s="1326">
        <v>0</v>
      </c>
    </row>
    <row r="78" spans="1:52" x14ac:dyDescent="0.25">
      <c r="A78" s="1339" t="s">
        <v>410</v>
      </c>
      <c r="B78" s="1325" t="s">
        <v>166</v>
      </c>
      <c r="C78" s="1326">
        <v>1059</v>
      </c>
      <c r="D78" s="1326">
        <v>38904</v>
      </c>
      <c r="E78" s="1327">
        <v>0</v>
      </c>
      <c r="F78" s="1327">
        <v>0</v>
      </c>
      <c r="G78" s="1327">
        <v>0</v>
      </c>
      <c r="H78" s="1327">
        <v>0</v>
      </c>
      <c r="I78" s="1327">
        <v>0</v>
      </c>
      <c r="J78" s="1327">
        <v>0</v>
      </c>
      <c r="K78" s="1327">
        <v>0</v>
      </c>
      <c r="L78" s="1327">
        <v>0</v>
      </c>
      <c r="M78" s="1327">
        <v>0</v>
      </c>
      <c r="N78" s="1327">
        <v>0</v>
      </c>
      <c r="O78" s="1327">
        <v>0</v>
      </c>
      <c r="P78" s="1327">
        <v>0</v>
      </c>
      <c r="Q78" s="1327">
        <v>0</v>
      </c>
      <c r="R78" s="1327">
        <v>0</v>
      </c>
      <c r="S78" s="1327">
        <v>0</v>
      </c>
      <c r="T78" s="1327">
        <v>0</v>
      </c>
      <c r="U78" s="1327">
        <v>0</v>
      </c>
      <c r="V78" s="1327">
        <v>0</v>
      </c>
      <c r="W78" s="1327">
        <v>0</v>
      </c>
      <c r="X78" s="1327">
        <v>0</v>
      </c>
      <c r="Y78" s="1327">
        <v>0</v>
      </c>
      <c r="Z78" s="1327">
        <v>0</v>
      </c>
      <c r="AA78" s="1327">
        <v>0</v>
      </c>
      <c r="AB78" s="1327">
        <v>0</v>
      </c>
      <c r="AC78" s="1327">
        <v>0</v>
      </c>
      <c r="AD78" s="1327">
        <v>0</v>
      </c>
      <c r="AE78" s="1327">
        <v>0</v>
      </c>
      <c r="AF78" s="1327">
        <v>0</v>
      </c>
      <c r="AG78" s="1327">
        <v>0</v>
      </c>
      <c r="AH78" s="1327">
        <v>0</v>
      </c>
      <c r="AI78" s="1327">
        <v>40</v>
      </c>
      <c r="AJ78" s="1327">
        <v>12000</v>
      </c>
      <c r="AK78" s="1327">
        <v>220</v>
      </c>
      <c r="AL78" s="1327">
        <v>11000</v>
      </c>
      <c r="AM78" s="1328">
        <v>316</v>
      </c>
      <c r="AN78" s="1328">
        <v>77050</v>
      </c>
      <c r="AO78" s="1327">
        <v>2876</v>
      </c>
      <c r="AP78" s="1327">
        <v>490050</v>
      </c>
      <c r="AQ78" s="1327">
        <v>4732</v>
      </c>
      <c r="AR78" s="1327">
        <v>931700</v>
      </c>
      <c r="AS78" s="1327">
        <v>1585</v>
      </c>
      <c r="AT78" s="1327">
        <v>399970</v>
      </c>
      <c r="AU78" s="1327">
        <v>928</v>
      </c>
      <c r="AV78" s="1327">
        <v>208436</v>
      </c>
      <c r="AW78" s="1326">
        <v>639</v>
      </c>
      <c r="AX78" s="1326">
        <v>171900</v>
      </c>
      <c r="AY78" s="1326">
        <v>1487</v>
      </c>
      <c r="AZ78" s="1326">
        <v>445555</v>
      </c>
    </row>
    <row r="79" spans="1:52" x14ac:dyDescent="0.25">
      <c r="A79" s="1339" t="s">
        <v>411</v>
      </c>
      <c r="B79" s="1325" t="s">
        <v>166</v>
      </c>
      <c r="C79" s="1327">
        <v>0</v>
      </c>
      <c r="D79" s="1327">
        <v>0</v>
      </c>
      <c r="E79" s="1327">
        <v>0</v>
      </c>
      <c r="F79" s="1327">
        <v>0</v>
      </c>
      <c r="G79" s="1327">
        <v>0</v>
      </c>
      <c r="H79" s="1327">
        <v>0</v>
      </c>
      <c r="I79" s="1327">
        <v>0</v>
      </c>
      <c r="J79" s="1327">
        <v>0</v>
      </c>
      <c r="K79" s="1327">
        <v>0</v>
      </c>
      <c r="L79" s="1327">
        <v>0</v>
      </c>
      <c r="M79" s="1327">
        <v>0</v>
      </c>
      <c r="N79" s="1327">
        <v>0</v>
      </c>
      <c r="O79" s="1327">
        <v>0</v>
      </c>
      <c r="P79" s="1327">
        <v>0</v>
      </c>
      <c r="Q79" s="1327">
        <v>0</v>
      </c>
      <c r="R79" s="1327">
        <v>0</v>
      </c>
      <c r="S79" s="1327">
        <v>0</v>
      </c>
      <c r="T79" s="1327">
        <v>0</v>
      </c>
      <c r="U79" s="1327">
        <v>0</v>
      </c>
      <c r="V79" s="1327">
        <v>0</v>
      </c>
      <c r="W79" s="1327">
        <v>0</v>
      </c>
      <c r="X79" s="1327">
        <v>0</v>
      </c>
      <c r="Y79" s="1327">
        <v>0</v>
      </c>
      <c r="Z79" s="1327">
        <v>0</v>
      </c>
      <c r="AA79" s="1327">
        <v>0</v>
      </c>
      <c r="AB79" s="1327">
        <v>0</v>
      </c>
      <c r="AC79" s="1327">
        <v>0</v>
      </c>
      <c r="AD79" s="1327">
        <v>0</v>
      </c>
      <c r="AE79" s="1327">
        <v>0</v>
      </c>
      <c r="AF79" s="1327">
        <v>0</v>
      </c>
      <c r="AG79" s="1327">
        <v>0</v>
      </c>
      <c r="AH79" s="1327">
        <v>0</v>
      </c>
      <c r="AI79" s="1327">
        <v>25</v>
      </c>
      <c r="AJ79" s="1327">
        <v>9016</v>
      </c>
      <c r="AK79" s="1327">
        <v>0</v>
      </c>
      <c r="AL79" s="1327">
        <v>0</v>
      </c>
      <c r="AM79" s="1327">
        <v>0</v>
      </c>
      <c r="AN79" s="1327">
        <v>0</v>
      </c>
      <c r="AO79" s="1327">
        <v>884</v>
      </c>
      <c r="AP79" s="1327">
        <v>544880</v>
      </c>
      <c r="AQ79" s="1327">
        <v>100</v>
      </c>
      <c r="AR79" s="1327">
        <v>50000</v>
      </c>
      <c r="AS79" s="1327">
        <v>0</v>
      </c>
      <c r="AT79" s="1327">
        <v>0</v>
      </c>
      <c r="AU79" s="1327">
        <v>0</v>
      </c>
      <c r="AV79" s="1327">
        <v>0</v>
      </c>
      <c r="AW79" s="1326">
        <v>0</v>
      </c>
      <c r="AX79" s="1326">
        <v>0</v>
      </c>
      <c r="AY79" s="1326">
        <v>0</v>
      </c>
      <c r="AZ79" s="1326">
        <v>0</v>
      </c>
    </row>
    <row r="80" spans="1:52" x14ac:dyDescent="0.25">
      <c r="A80" s="1339" t="s">
        <v>412</v>
      </c>
      <c r="B80" s="1325" t="s">
        <v>166</v>
      </c>
      <c r="C80" s="1326">
        <v>84</v>
      </c>
      <c r="D80" s="1326">
        <v>713</v>
      </c>
      <c r="E80" s="1327">
        <v>0</v>
      </c>
      <c r="F80" s="1327">
        <v>0</v>
      </c>
      <c r="G80" s="1326">
        <v>44</v>
      </c>
      <c r="H80" s="1326">
        <v>661</v>
      </c>
      <c r="I80" s="1327">
        <v>0</v>
      </c>
      <c r="J80" s="1327">
        <v>0</v>
      </c>
      <c r="K80" s="1327">
        <v>0</v>
      </c>
      <c r="L80" s="1327">
        <v>0</v>
      </c>
      <c r="M80" s="1327">
        <v>0</v>
      </c>
      <c r="N80" s="1327">
        <v>0</v>
      </c>
      <c r="O80" s="1327">
        <v>0</v>
      </c>
      <c r="P80" s="1327">
        <v>0</v>
      </c>
      <c r="Q80" s="1327">
        <v>0</v>
      </c>
      <c r="R80" s="1327">
        <v>0</v>
      </c>
      <c r="S80" s="1327">
        <v>0</v>
      </c>
      <c r="T80" s="1327">
        <v>0</v>
      </c>
      <c r="U80" s="1327">
        <v>0</v>
      </c>
      <c r="V80" s="1327">
        <v>0</v>
      </c>
      <c r="W80" s="1327">
        <v>0</v>
      </c>
      <c r="X80" s="1327">
        <v>0</v>
      </c>
      <c r="Y80" s="1327">
        <v>0</v>
      </c>
      <c r="Z80" s="1327">
        <v>0</v>
      </c>
      <c r="AA80" s="1327">
        <v>0</v>
      </c>
      <c r="AB80" s="1327">
        <v>0</v>
      </c>
      <c r="AC80" s="1327">
        <v>0</v>
      </c>
      <c r="AD80" s="1327">
        <v>0</v>
      </c>
      <c r="AE80" s="1327">
        <v>0</v>
      </c>
      <c r="AF80" s="1327">
        <v>0</v>
      </c>
      <c r="AG80" s="1327">
        <v>0</v>
      </c>
      <c r="AH80" s="1327">
        <v>0</v>
      </c>
      <c r="AI80" s="1327">
        <v>0</v>
      </c>
      <c r="AJ80" s="1327">
        <v>0</v>
      </c>
      <c r="AK80" s="1327">
        <v>0</v>
      </c>
      <c r="AL80" s="1327">
        <v>0</v>
      </c>
      <c r="AM80" s="1327">
        <v>0</v>
      </c>
      <c r="AN80" s="1327">
        <v>0</v>
      </c>
      <c r="AO80" s="1327">
        <v>0</v>
      </c>
      <c r="AP80" s="1327">
        <v>0</v>
      </c>
      <c r="AQ80" s="1327">
        <v>0</v>
      </c>
      <c r="AR80" s="1327">
        <v>0</v>
      </c>
      <c r="AS80" s="1327">
        <v>0</v>
      </c>
      <c r="AT80" s="1327">
        <v>0</v>
      </c>
      <c r="AU80" s="1327">
        <v>0</v>
      </c>
      <c r="AV80" s="1327">
        <v>0</v>
      </c>
      <c r="AW80" s="1326">
        <v>0</v>
      </c>
      <c r="AX80" s="1326">
        <v>0</v>
      </c>
      <c r="AY80" s="1326">
        <v>0</v>
      </c>
      <c r="AZ80" s="1326">
        <v>0</v>
      </c>
    </row>
    <row r="81" spans="1:52" x14ac:dyDescent="0.25">
      <c r="A81" s="1339" t="s">
        <v>413</v>
      </c>
      <c r="B81" s="1325" t="s">
        <v>166</v>
      </c>
      <c r="C81" s="1327">
        <v>0</v>
      </c>
      <c r="D81" s="1327">
        <v>0</v>
      </c>
      <c r="E81" s="1327">
        <v>0</v>
      </c>
      <c r="F81" s="1327">
        <v>0</v>
      </c>
      <c r="G81" s="1327">
        <v>0</v>
      </c>
      <c r="H81" s="1327">
        <v>0</v>
      </c>
      <c r="I81" s="1327">
        <v>0</v>
      </c>
      <c r="J81" s="1327">
        <v>0</v>
      </c>
      <c r="K81" s="1327">
        <v>0</v>
      </c>
      <c r="L81" s="1327">
        <v>0</v>
      </c>
      <c r="M81" s="1327">
        <v>0</v>
      </c>
      <c r="N81" s="1327">
        <v>0</v>
      </c>
      <c r="O81" s="1327">
        <v>0</v>
      </c>
      <c r="P81" s="1327">
        <v>0</v>
      </c>
      <c r="Q81" s="1327">
        <v>0</v>
      </c>
      <c r="R81" s="1327">
        <v>0</v>
      </c>
      <c r="S81" s="1327">
        <v>0</v>
      </c>
      <c r="T81" s="1327">
        <v>0</v>
      </c>
      <c r="U81" s="1327">
        <v>0</v>
      </c>
      <c r="V81" s="1327">
        <v>0</v>
      </c>
      <c r="W81" s="1327">
        <v>0</v>
      </c>
      <c r="X81" s="1327">
        <v>0</v>
      </c>
      <c r="Y81" s="1327">
        <v>0</v>
      </c>
      <c r="Z81" s="1327">
        <v>0</v>
      </c>
      <c r="AA81" s="1327">
        <v>0</v>
      </c>
      <c r="AB81" s="1327">
        <v>0</v>
      </c>
      <c r="AC81" s="1327">
        <v>0</v>
      </c>
      <c r="AD81" s="1327">
        <v>0</v>
      </c>
      <c r="AE81" s="1327">
        <v>0</v>
      </c>
      <c r="AF81" s="1327">
        <v>0</v>
      </c>
      <c r="AG81" s="1327">
        <v>0</v>
      </c>
      <c r="AH81" s="1327">
        <v>0</v>
      </c>
      <c r="AI81" s="1327">
        <v>0</v>
      </c>
      <c r="AJ81" s="1327">
        <v>0</v>
      </c>
      <c r="AK81" s="1327">
        <v>0</v>
      </c>
      <c r="AL81" s="1327">
        <v>0</v>
      </c>
      <c r="AM81" s="1327">
        <v>0</v>
      </c>
      <c r="AN81" s="1327">
        <v>0</v>
      </c>
      <c r="AO81" s="1327">
        <v>0</v>
      </c>
      <c r="AP81" s="1327">
        <v>0</v>
      </c>
      <c r="AQ81" s="1327">
        <v>0</v>
      </c>
      <c r="AR81" s="1327">
        <v>0</v>
      </c>
      <c r="AS81" s="1327">
        <v>0</v>
      </c>
      <c r="AT81" s="1327">
        <v>0</v>
      </c>
      <c r="AU81" s="1327">
        <v>226.75</v>
      </c>
      <c r="AV81" s="1327">
        <v>80620</v>
      </c>
      <c r="AW81" s="1326">
        <v>515</v>
      </c>
      <c r="AX81" s="1326">
        <v>183099</v>
      </c>
      <c r="AY81" s="1326">
        <v>463.94</v>
      </c>
      <c r="AZ81" s="1326">
        <v>160461</v>
      </c>
    </row>
    <row r="82" spans="1:52" x14ac:dyDescent="0.25">
      <c r="A82" s="1339" t="s">
        <v>291</v>
      </c>
      <c r="B82" s="1325" t="s">
        <v>166</v>
      </c>
      <c r="C82" s="1327">
        <v>0</v>
      </c>
      <c r="D82" s="1327">
        <v>0</v>
      </c>
      <c r="E82" s="1327">
        <v>0</v>
      </c>
      <c r="F82" s="1327">
        <v>0</v>
      </c>
      <c r="G82" s="1327">
        <v>0</v>
      </c>
      <c r="H82" s="1327">
        <v>0</v>
      </c>
      <c r="I82" s="1327">
        <v>0</v>
      </c>
      <c r="J82" s="1327">
        <v>0</v>
      </c>
      <c r="K82" s="1327">
        <v>0</v>
      </c>
      <c r="L82" s="1327">
        <v>0</v>
      </c>
      <c r="M82" s="1327">
        <v>0</v>
      </c>
      <c r="N82" s="1327">
        <v>0</v>
      </c>
      <c r="O82" s="1327">
        <v>0</v>
      </c>
      <c r="P82" s="1327">
        <v>0</v>
      </c>
      <c r="Q82" s="1327">
        <v>0</v>
      </c>
      <c r="R82" s="1327">
        <v>0</v>
      </c>
      <c r="S82" s="1327">
        <v>0</v>
      </c>
      <c r="T82" s="1327">
        <v>0</v>
      </c>
      <c r="U82" s="1327">
        <v>0</v>
      </c>
      <c r="V82" s="1327">
        <v>0</v>
      </c>
      <c r="W82" s="1327">
        <v>0</v>
      </c>
      <c r="X82" s="1327">
        <v>0</v>
      </c>
      <c r="Y82" s="1327">
        <v>0</v>
      </c>
      <c r="Z82" s="1327">
        <v>0</v>
      </c>
      <c r="AA82" s="1327">
        <v>0</v>
      </c>
      <c r="AB82" s="1327">
        <v>0</v>
      </c>
      <c r="AC82" s="1327">
        <v>0</v>
      </c>
      <c r="AD82" s="1327">
        <v>0</v>
      </c>
      <c r="AE82" s="1327">
        <v>0</v>
      </c>
      <c r="AF82" s="1327">
        <v>0</v>
      </c>
      <c r="AG82" s="1327">
        <v>0</v>
      </c>
      <c r="AH82" s="1327">
        <v>0</v>
      </c>
      <c r="AI82" s="1327">
        <v>0</v>
      </c>
      <c r="AJ82" s="1327">
        <v>0</v>
      </c>
      <c r="AK82" s="1327">
        <v>0</v>
      </c>
      <c r="AL82" s="1327">
        <v>0</v>
      </c>
      <c r="AM82" s="1327">
        <v>0</v>
      </c>
      <c r="AN82" s="1327">
        <v>0</v>
      </c>
      <c r="AO82" s="1327">
        <v>0</v>
      </c>
      <c r="AP82" s="1327">
        <v>0</v>
      </c>
      <c r="AQ82" s="1327">
        <v>0</v>
      </c>
      <c r="AR82" s="1327">
        <v>0</v>
      </c>
      <c r="AS82" s="1327">
        <v>0</v>
      </c>
      <c r="AT82" s="1327">
        <v>0</v>
      </c>
      <c r="AU82" s="1327">
        <v>0</v>
      </c>
      <c r="AV82" s="1327">
        <v>0</v>
      </c>
      <c r="AW82" s="1326">
        <v>435</v>
      </c>
      <c r="AX82" s="1326">
        <v>226690</v>
      </c>
      <c r="AY82" s="1326">
        <v>0</v>
      </c>
      <c r="AZ82" s="1326">
        <v>0</v>
      </c>
    </row>
    <row r="83" spans="1:52" x14ac:dyDescent="0.25">
      <c r="A83" s="1339" t="s">
        <v>414</v>
      </c>
      <c r="B83" s="1325" t="s">
        <v>166</v>
      </c>
      <c r="C83" s="1326">
        <f>1618+1830+46973+843</f>
        <v>51264</v>
      </c>
      <c r="D83" s="1326">
        <f>33914+24967+938066+1401</f>
        <v>998348</v>
      </c>
      <c r="E83" s="1326">
        <v>2448</v>
      </c>
      <c r="F83" s="1326">
        <v>94973</v>
      </c>
      <c r="G83" s="1326">
        <f>3156+150</f>
        <v>3306</v>
      </c>
      <c r="H83" s="1326">
        <f>142020+200</f>
        <v>142220</v>
      </c>
      <c r="I83" s="1326">
        <f>2045+1784</f>
        <v>3829</v>
      </c>
      <c r="J83" s="1326">
        <f>85359+2140</f>
        <v>87499</v>
      </c>
      <c r="K83" s="1326">
        <v>2503</v>
      </c>
      <c r="L83" s="1326">
        <v>112815</v>
      </c>
      <c r="M83" s="1326">
        <v>2272</v>
      </c>
      <c r="N83" s="1326">
        <v>102224</v>
      </c>
      <c r="O83" s="1326">
        <v>2992</v>
      </c>
      <c r="P83" s="1326">
        <v>134640</v>
      </c>
      <c r="Q83" s="1326">
        <v>1117</v>
      </c>
      <c r="R83" s="1326">
        <v>50261</v>
      </c>
      <c r="S83" s="1326">
        <v>1334</v>
      </c>
      <c r="T83" s="1326">
        <v>60035</v>
      </c>
      <c r="U83" s="1327">
        <v>0</v>
      </c>
      <c r="V83" s="1327">
        <v>0</v>
      </c>
      <c r="W83" s="1326">
        <v>1471</v>
      </c>
      <c r="X83" s="1326">
        <v>64842</v>
      </c>
      <c r="Y83" s="1326">
        <v>678</v>
      </c>
      <c r="Z83" s="1326">
        <v>30445</v>
      </c>
      <c r="AA83" s="1327">
        <v>362</v>
      </c>
      <c r="AB83" s="1327">
        <v>16266</v>
      </c>
      <c r="AC83" s="1326">
        <v>974</v>
      </c>
      <c r="AD83" s="1326">
        <v>43791</v>
      </c>
      <c r="AE83" s="1327">
        <v>390</v>
      </c>
      <c r="AF83" s="1327">
        <v>17538</v>
      </c>
      <c r="AG83" s="1327">
        <v>795</v>
      </c>
      <c r="AH83" s="1327">
        <v>35746</v>
      </c>
      <c r="AI83" s="1327">
        <v>0</v>
      </c>
      <c r="AJ83" s="1327">
        <v>0</v>
      </c>
      <c r="AK83" s="1327">
        <v>0</v>
      </c>
      <c r="AL83" s="1327">
        <v>0</v>
      </c>
      <c r="AM83" s="1327">
        <v>0</v>
      </c>
      <c r="AN83" s="1327">
        <v>0</v>
      </c>
      <c r="AO83" s="1327">
        <v>0</v>
      </c>
      <c r="AP83" s="1327">
        <v>0</v>
      </c>
      <c r="AQ83" s="1327">
        <v>0</v>
      </c>
      <c r="AR83" s="1327">
        <v>0</v>
      </c>
      <c r="AS83" s="1327">
        <v>0</v>
      </c>
      <c r="AT83" s="1327">
        <v>0</v>
      </c>
      <c r="AU83" s="1327">
        <v>0</v>
      </c>
      <c r="AV83" s="1327">
        <v>0</v>
      </c>
      <c r="AW83" s="1326">
        <v>0</v>
      </c>
      <c r="AX83" s="1326">
        <v>0</v>
      </c>
      <c r="AY83" s="1326">
        <v>0</v>
      </c>
      <c r="AZ83" s="1326">
        <v>0</v>
      </c>
    </row>
    <row r="84" spans="1:52" x14ac:dyDescent="0.25">
      <c r="A84" s="1339" t="s">
        <v>415</v>
      </c>
      <c r="B84" s="1325" t="s">
        <v>166</v>
      </c>
      <c r="C84" s="1326">
        <v>15681</v>
      </c>
      <c r="D84" s="1326">
        <v>110510</v>
      </c>
      <c r="E84" s="1326">
        <v>1535</v>
      </c>
      <c r="F84" s="1326">
        <v>19230</v>
      </c>
      <c r="G84" s="1326">
        <v>847</v>
      </c>
      <c r="H84" s="1326">
        <v>13600</v>
      </c>
      <c r="I84" s="1326">
        <v>444</v>
      </c>
      <c r="J84" s="1326">
        <v>8805</v>
      </c>
      <c r="K84" s="1326">
        <v>448</v>
      </c>
      <c r="L84" s="1326">
        <v>7958</v>
      </c>
      <c r="M84" s="1326">
        <v>160</v>
      </c>
      <c r="N84" s="1326">
        <v>2880</v>
      </c>
      <c r="O84" s="1327">
        <v>0</v>
      </c>
      <c r="P84" s="1327">
        <v>0</v>
      </c>
      <c r="Q84" s="1326">
        <v>0</v>
      </c>
      <c r="R84" s="1326">
        <v>0</v>
      </c>
      <c r="S84" s="1326">
        <v>0</v>
      </c>
      <c r="T84" s="1326">
        <v>0</v>
      </c>
      <c r="U84" s="1326">
        <v>334</v>
      </c>
      <c r="V84" s="1326">
        <v>15035</v>
      </c>
      <c r="W84" s="1326">
        <v>59</v>
      </c>
      <c r="X84" s="1326">
        <v>2360</v>
      </c>
      <c r="Y84" s="1326">
        <v>0</v>
      </c>
      <c r="Z84" s="1326">
        <v>0</v>
      </c>
      <c r="AA84" s="1327">
        <v>0</v>
      </c>
      <c r="AB84" s="1327">
        <v>0</v>
      </c>
      <c r="AC84" s="1327">
        <v>0</v>
      </c>
      <c r="AD84" s="1327">
        <v>0</v>
      </c>
      <c r="AE84" s="1327">
        <v>0</v>
      </c>
      <c r="AF84" s="1327">
        <v>0</v>
      </c>
      <c r="AG84" s="1327">
        <v>0</v>
      </c>
      <c r="AH84" s="1327">
        <v>0</v>
      </c>
      <c r="AI84" s="1327">
        <v>0</v>
      </c>
      <c r="AJ84" s="1327">
        <v>0</v>
      </c>
      <c r="AK84" s="1327">
        <v>0</v>
      </c>
      <c r="AL84" s="1327">
        <v>0</v>
      </c>
      <c r="AM84" s="1327">
        <v>0</v>
      </c>
      <c r="AN84" s="1327">
        <v>0</v>
      </c>
      <c r="AO84" s="1327">
        <v>0</v>
      </c>
      <c r="AP84" s="1327">
        <v>0</v>
      </c>
      <c r="AQ84" s="1327">
        <v>0</v>
      </c>
      <c r="AR84" s="1327">
        <v>0</v>
      </c>
      <c r="AS84" s="1327">
        <v>0</v>
      </c>
      <c r="AT84" s="1327">
        <v>0</v>
      </c>
      <c r="AU84" s="1327">
        <v>0</v>
      </c>
      <c r="AV84" s="1327">
        <v>0</v>
      </c>
      <c r="AW84" s="1326">
        <v>0</v>
      </c>
      <c r="AX84" s="1326">
        <v>0</v>
      </c>
      <c r="AY84" s="1326">
        <v>0</v>
      </c>
      <c r="AZ84" s="1326">
        <v>0</v>
      </c>
    </row>
    <row r="85" spans="1:52" x14ac:dyDescent="0.25">
      <c r="A85" s="1339" t="s">
        <v>416</v>
      </c>
      <c r="B85" s="1325" t="s">
        <v>166</v>
      </c>
      <c r="C85" s="1326">
        <v>239</v>
      </c>
      <c r="D85" s="1326">
        <v>2115</v>
      </c>
      <c r="E85" s="1326">
        <v>0</v>
      </c>
      <c r="F85" s="1326">
        <v>0</v>
      </c>
      <c r="G85" s="1326">
        <v>0</v>
      </c>
      <c r="H85" s="1326">
        <v>0</v>
      </c>
      <c r="I85" s="1326">
        <v>0</v>
      </c>
      <c r="J85" s="1326">
        <v>0</v>
      </c>
      <c r="K85" s="1326">
        <v>0</v>
      </c>
      <c r="L85" s="1326">
        <v>0</v>
      </c>
      <c r="M85" s="1326">
        <v>0</v>
      </c>
      <c r="N85" s="1326">
        <v>0</v>
      </c>
      <c r="O85" s="1326">
        <v>0</v>
      </c>
      <c r="P85" s="1326">
        <v>0</v>
      </c>
      <c r="Q85" s="1326">
        <v>0</v>
      </c>
      <c r="R85" s="1326">
        <v>0</v>
      </c>
      <c r="S85" s="1326">
        <v>0</v>
      </c>
      <c r="T85" s="1326">
        <v>0</v>
      </c>
      <c r="U85" s="1326">
        <v>0</v>
      </c>
      <c r="V85" s="1326">
        <v>0</v>
      </c>
      <c r="W85" s="1326">
        <v>0</v>
      </c>
      <c r="X85" s="1326">
        <v>0</v>
      </c>
      <c r="Y85" s="1326">
        <v>0</v>
      </c>
      <c r="Z85" s="1326">
        <v>0</v>
      </c>
      <c r="AA85" s="1326">
        <v>0</v>
      </c>
      <c r="AB85" s="1326">
        <v>0</v>
      </c>
      <c r="AC85" s="1326">
        <v>0</v>
      </c>
      <c r="AD85" s="1326">
        <v>0</v>
      </c>
      <c r="AE85" s="1326">
        <v>0</v>
      </c>
      <c r="AF85" s="1326">
        <v>0</v>
      </c>
      <c r="AG85" s="1326">
        <v>0</v>
      </c>
      <c r="AH85" s="1326">
        <v>0</v>
      </c>
      <c r="AI85" s="1326">
        <v>0</v>
      </c>
      <c r="AJ85" s="1326">
        <v>0</v>
      </c>
      <c r="AK85" s="1326">
        <v>0</v>
      </c>
      <c r="AL85" s="1326">
        <v>0</v>
      </c>
      <c r="AM85" s="1326">
        <v>0</v>
      </c>
      <c r="AN85" s="1326">
        <v>0</v>
      </c>
      <c r="AO85" s="1326">
        <v>0</v>
      </c>
      <c r="AP85" s="1326">
        <v>0</v>
      </c>
      <c r="AQ85" s="1326">
        <v>0</v>
      </c>
      <c r="AR85" s="1326">
        <v>0</v>
      </c>
      <c r="AS85" s="1326">
        <v>0</v>
      </c>
      <c r="AT85" s="1326">
        <v>0</v>
      </c>
      <c r="AU85" s="1326">
        <v>0</v>
      </c>
      <c r="AV85" s="1326">
        <v>0</v>
      </c>
      <c r="AW85" s="1326">
        <v>0</v>
      </c>
      <c r="AX85" s="1326">
        <v>0</v>
      </c>
      <c r="AY85" s="1326">
        <v>0</v>
      </c>
      <c r="AZ85" s="1326">
        <v>0</v>
      </c>
    </row>
    <row r="86" spans="1:52" x14ac:dyDescent="0.25">
      <c r="A86" s="1340" t="s">
        <v>417</v>
      </c>
      <c r="B86" s="1345"/>
      <c r="C86" s="1326"/>
      <c r="D86" s="1326">
        <f>SUM(D76:D85)</f>
        <v>2180347</v>
      </c>
      <c r="E86" s="1326"/>
      <c r="F86" s="1326">
        <f>SUM(F76:F85)</f>
        <v>114203</v>
      </c>
      <c r="G86" s="1326"/>
      <c r="H86" s="1326">
        <f>SUM(H76:H85)</f>
        <v>156481</v>
      </c>
      <c r="I86" s="1326"/>
      <c r="J86" s="1326">
        <f>SUM(J76:J85)</f>
        <v>96304</v>
      </c>
      <c r="K86" s="1326"/>
      <c r="L86" s="1326">
        <f>SUM(L76:L85)</f>
        <v>120773</v>
      </c>
      <c r="M86" s="1326"/>
      <c r="N86" s="1326">
        <f>SUM(N76:N85)</f>
        <v>105104</v>
      </c>
      <c r="O86" s="1326"/>
      <c r="P86" s="1326">
        <f>SUM(P76:P85)</f>
        <v>179640</v>
      </c>
      <c r="Q86" s="1326"/>
      <c r="R86" s="1326">
        <f>SUM(R76:R85)</f>
        <v>100261</v>
      </c>
      <c r="S86" s="1326"/>
      <c r="T86" s="1326">
        <f>SUM(T76:T85)</f>
        <v>60035</v>
      </c>
      <c r="U86" s="1327"/>
      <c r="V86" s="1327">
        <f>SUM(V76:V85)</f>
        <v>15035</v>
      </c>
      <c r="W86" s="1327"/>
      <c r="X86" s="1326">
        <f>SUM(X76:X85)</f>
        <v>1108592</v>
      </c>
      <c r="Y86" s="1327"/>
      <c r="Z86" s="1327">
        <f>SUM(Z76:Z85)</f>
        <v>855246</v>
      </c>
      <c r="AA86" s="1327"/>
      <c r="AB86" s="1327">
        <f>SUM(AB76:AB85)</f>
        <v>416135</v>
      </c>
      <c r="AC86" s="1326"/>
      <c r="AD86" s="1327">
        <f>SUM(AD76:AD85)</f>
        <v>1800866</v>
      </c>
      <c r="AE86" s="1327"/>
      <c r="AF86" s="1327">
        <f>SUM(AF76:AF85)</f>
        <v>576709</v>
      </c>
      <c r="AG86" s="1327"/>
      <c r="AH86" s="1327">
        <f>SUM(AH76:AH85)</f>
        <v>351804</v>
      </c>
      <c r="AI86" s="1327"/>
      <c r="AJ86" s="1327">
        <f>SUM(AJ76:AJ85)</f>
        <v>21016</v>
      </c>
      <c r="AK86" s="1327"/>
      <c r="AL86" s="1327">
        <v>294695</v>
      </c>
      <c r="AM86" s="1327"/>
      <c r="AN86" s="1327">
        <f>SUM(AN76:AN85)</f>
        <v>364507</v>
      </c>
      <c r="AO86" s="1327"/>
      <c r="AP86" s="1327">
        <f>SUM(AP76:AP85)</f>
        <v>1034930</v>
      </c>
      <c r="AQ86" s="1346"/>
      <c r="AR86" s="1327">
        <f>SUM(AR76:AR85)</f>
        <v>981700</v>
      </c>
      <c r="AS86" s="1327"/>
      <c r="AT86" s="1327">
        <f>SUM(AT76:AT85)</f>
        <v>399970</v>
      </c>
      <c r="AU86" s="1327"/>
      <c r="AV86" s="1327">
        <f>SUM(AV76:AV85)</f>
        <v>289056</v>
      </c>
      <c r="AW86" s="1326"/>
      <c r="AX86" s="1326">
        <f>SUM(AX76:AX85)</f>
        <v>581689</v>
      </c>
      <c r="AY86" s="1326"/>
      <c r="AZ86" s="1326">
        <f>SUM(AZ76:AZ85)</f>
        <v>606016</v>
      </c>
    </row>
    <row r="87" spans="1:52" x14ac:dyDescent="0.25">
      <c r="A87" s="1340"/>
      <c r="B87" s="1345"/>
      <c r="C87" s="1326"/>
      <c r="D87" s="1326"/>
      <c r="E87" s="1326"/>
      <c r="F87" s="1326"/>
      <c r="G87" s="1326"/>
      <c r="H87" s="1326"/>
      <c r="I87" s="1326"/>
      <c r="J87" s="1326"/>
      <c r="K87" s="1326"/>
      <c r="L87" s="1326"/>
      <c r="M87" s="1326"/>
      <c r="N87" s="1326"/>
      <c r="O87" s="1326"/>
      <c r="P87" s="1326"/>
      <c r="Q87" s="1326"/>
      <c r="R87" s="1326"/>
      <c r="S87" s="1326"/>
      <c r="T87" s="1326"/>
      <c r="U87" s="1327"/>
      <c r="V87" s="1327"/>
      <c r="W87" s="1337"/>
      <c r="X87" s="1337"/>
      <c r="Y87" s="1327"/>
      <c r="Z87" s="1326"/>
      <c r="AA87" s="1327"/>
      <c r="AB87" s="1327"/>
      <c r="AC87" s="1326"/>
      <c r="AD87" s="1326"/>
      <c r="AE87" s="1327"/>
      <c r="AF87" s="1327"/>
      <c r="AG87" s="1327"/>
      <c r="AH87" s="1327"/>
      <c r="AI87" s="1327"/>
      <c r="AJ87" s="1327"/>
      <c r="AK87" s="1327"/>
      <c r="AL87" s="1327"/>
      <c r="AM87" s="1327"/>
      <c r="AN87" s="1327"/>
      <c r="AO87" s="1327"/>
      <c r="AP87" s="1327"/>
      <c r="AQ87" s="1346"/>
      <c r="AR87" s="1346"/>
      <c r="AS87" s="1327"/>
      <c r="AT87" s="1327"/>
      <c r="AU87" s="1327"/>
      <c r="AV87" s="1327"/>
      <c r="AW87" s="1334"/>
      <c r="AX87" s="1334"/>
      <c r="AY87" s="1335"/>
      <c r="AZ87" s="1335"/>
    </row>
    <row r="88" spans="1:52" x14ac:dyDescent="0.25">
      <c r="A88" s="215" t="s">
        <v>213</v>
      </c>
      <c r="C88" s="201"/>
      <c r="D88" s="201"/>
      <c r="E88" s="201"/>
      <c r="F88" s="201"/>
      <c r="G88" s="201"/>
      <c r="H88" s="201"/>
      <c r="I88" s="201"/>
      <c r="J88" s="201"/>
      <c r="K88" s="201"/>
      <c r="L88" s="201"/>
      <c r="M88" s="201"/>
      <c r="N88" s="201"/>
      <c r="O88" s="201"/>
      <c r="P88" s="201"/>
      <c r="Q88" s="201"/>
      <c r="R88" s="201"/>
      <c r="S88" s="201"/>
      <c r="T88" s="201"/>
      <c r="U88" s="202"/>
      <c r="V88" s="202"/>
      <c r="W88" s="219"/>
      <c r="X88" s="219"/>
      <c r="Y88" s="202"/>
      <c r="Z88" s="202"/>
      <c r="AA88" s="202"/>
      <c r="AB88" s="202"/>
      <c r="AC88" s="201"/>
      <c r="AD88" s="201"/>
      <c r="AE88" s="202"/>
      <c r="AF88" s="202"/>
      <c r="AG88" s="202"/>
      <c r="AH88" s="202"/>
      <c r="AI88" s="202"/>
      <c r="AJ88" s="202"/>
      <c r="AK88" s="202"/>
      <c r="AL88" s="202"/>
      <c r="AM88" s="202"/>
      <c r="AN88" s="202"/>
      <c r="AQ88" s="202"/>
      <c r="AR88" s="202"/>
      <c r="AS88" s="202"/>
      <c r="AT88" s="202"/>
      <c r="AU88" s="202"/>
      <c r="AV88" s="202"/>
      <c r="AW88" s="227"/>
      <c r="AX88" s="227"/>
      <c r="AY88" s="228"/>
      <c r="AZ88" s="228"/>
    </row>
    <row r="89" spans="1:52" x14ac:dyDescent="0.25">
      <c r="A89" s="229" t="s">
        <v>418</v>
      </c>
      <c r="B89" s="216" t="s">
        <v>214</v>
      </c>
      <c r="C89" s="201">
        <v>16257</v>
      </c>
      <c r="D89" s="201">
        <v>4800</v>
      </c>
      <c r="E89" s="201">
        <v>0</v>
      </c>
      <c r="F89" s="201">
        <v>0</v>
      </c>
      <c r="G89" s="201">
        <v>0</v>
      </c>
      <c r="H89" s="201">
        <v>0</v>
      </c>
      <c r="I89" s="201">
        <v>0</v>
      </c>
      <c r="J89" s="201">
        <v>0</v>
      </c>
      <c r="K89" s="201">
        <v>0</v>
      </c>
      <c r="L89" s="201">
        <v>0</v>
      </c>
      <c r="M89" s="201">
        <v>0</v>
      </c>
      <c r="N89" s="201">
        <v>0</v>
      </c>
      <c r="O89" s="201">
        <v>0</v>
      </c>
      <c r="P89" s="201">
        <v>0</v>
      </c>
      <c r="Q89" s="201">
        <v>0</v>
      </c>
      <c r="R89" s="201">
        <v>0</v>
      </c>
      <c r="S89" s="201">
        <v>0</v>
      </c>
      <c r="T89" s="201">
        <v>0</v>
      </c>
      <c r="U89" s="201">
        <v>0</v>
      </c>
      <c r="V89" s="201">
        <v>0</v>
      </c>
      <c r="W89" s="201">
        <v>0</v>
      </c>
      <c r="X89" s="201">
        <v>0</v>
      </c>
      <c r="Y89" s="201">
        <v>0</v>
      </c>
      <c r="Z89" s="201">
        <v>0</v>
      </c>
      <c r="AA89" s="201">
        <v>0</v>
      </c>
      <c r="AB89" s="201">
        <v>0</v>
      </c>
      <c r="AC89" s="201">
        <v>10260</v>
      </c>
      <c r="AD89" s="201">
        <v>11286</v>
      </c>
      <c r="AE89" s="202">
        <v>41360</v>
      </c>
      <c r="AF89" s="202">
        <v>27467</v>
      </c>
      <c r="AG89" s="202">
        <v>10280</v>
      </c>
      <c r="AH89" s="202">
        <v>9132</v>
      </c>
      <c r="AI89" s="202">
        <v>7100</v>
      </c>
      <c r="AJ89" s="202">
        <v>5680</v>
      </c>
      <c r="AK89" s="202">
        <v>0</v>
      </c>
      <c r="AL89" s="202">
        <v>0</v>
      </c>
      <c r="AM89" s="221">
        <v>5149</v>
      </c>
      <c r="AN89" s="221">
        <v>3089</v>
      </c>
      <c r="AO89" s="202">
        <v>0</v>
      </c>
      <c r="AP89" s="202">
        <v>0</v>
      </c>
      <c r="AQ89" s="202">
        <v>0</v>
      </c>
      <c r="AR89" s="202">
        <v>0</v>
      </c>
      <c r="AS89" s="202">
        <v>7186</v>
      </c>
      <c r="AT89" s="202">
        <v>4312</v>
      </c>
      <c r="AU89" s="202">
        <v>0</v>
      </c>
      <c r="AV89" s="202">
        <v>0</v>
      </c>
      <c r="AW89" s="201" t="s">
        <v>172</v>
      </c>
      <c r="AX89" s="201" t="s">
        <v>172</v>
      </c>
      <c r="AY89" s="232" t="s">
        <v>172</v>
      </c>
      <c r="AZ89" s="232" t="s">
        <v>172</v>
      </c>
    </row>
    <row r="90" spans="1:52" x14ac:dyDescent="0.25">
      <c r="A90" s="229" t="s">
        <v>419</v>
      </c>
      <c r="B90" s="216" t="s">
        <v>214</v>
      </c>
      <c r="C90" s="201">
        <v>29990</v>
      </c>
      <c r="D90" s="201">
        <v>36495</v>
      </c>
      <c r="E90" s="201">
        <v>1269</v>
      </c>
      <c r="F90" s="201">
        <v>6247</v>
      </c>
      <c r="G90" s="201">
        <v>898</v>
      </c>
      <c r="H90" s="201">
        <v>4490</v>
      </c>
      <c r="I90" s="201">
        <v>5456</v>
      </c>
      <c r="J90" s="201">
        <v>38963</v>
      </c>
      <c r="K90" s="201">
        <v>15463</v>
      </c>
      <c r="L90" s="201">
        <v>73751</v>
      </c>
      <c r="M90" s="201">
        <v>13676</v>
      </c>
      <c r="N90" s="201">
        <v>60193</v>
      </c>
      <c r="O90" s="201">
        <v>59896</v>
      </c>
      <c r="P90" s="201">
        <v>90368</v>
      </c>
      <c r="Q90" s="201">
        <v>8988</v>
      </c>
      <c r="R90" s="201">
        <v>50716</v>
      </c>
      <c r="S90" s="201">
        <v>51000</v>
      </c>
      <c r="T90" s="201">
        <v>195500</v>
      </c>
      <c r="U90" s="201">
        <v>70464</v>
      </c>
      <c r="V90" s="201">
        <v>285926</v>
      </c>
      <c r="W90" s="201">
        <v>34000</v>
      </c>
      <c r="X90" s="201">
        <v>172667</v>
      </c>
      <c r="Y90" s="201">
        <v>2194</v>
      </c>
      <c r="Z90" s="201">
        <v>3291</v>
      </c>
      <c r="AA90" s="202">
        <v>24617</v>
      </c>
      <c r="AB90" s="202">
        <v>131426</v>
      </c>
      <c r="AC90" s="201">
        <v>17659</v>
      </c>
      <c r="AD90" s="201">
        <v>127910</v>
      </c>
      <c r="AE90" s="202">
        <v>25352</v>
      </c>
      <c r="AF90" s="202">
        <v>308045</v>
      </c>
      <c r="AG90" s="202">
        <v>0</v>
      </c>
      <c r="AH90" s="202">
        <v>0</v>
      </c>
      <c r="AI90" s="202">
        <v>0</v>
      </c>
      <c r="AJ90" s="202">
        <v>0</v>
      </c>
      <c r="AK90" s="202">
        <v>0</v>
      </c>
      <c r="AL90" s="202">
        <v>0</v>
      </c>
      <c r="AM90" s="221">
        <v>0</v>
      </c>
      <c r="AN90" s="221">
        <v>0</v>
      </c>
      <c r="AO90" s="202">
        <v>0</v>
      </c>
      <c r="AP90" s="202">
        <v>0</v>
      </c>
      <c r="AQ90" s="202">
        <v>0</v>
      </c>
      <c r="AR90" s="202">
        <v>0</v>
      </c>
      <c r="AS90" s="202">
        <v>0</v>
      </c>
      <c r="AT90" s="202">
        <v>0</v>
      </c>
      <c r="AU90" s="202">
        <v>0</v>
      </c>
      <c r="AV90" s="202">
        <v>0</v>
      </c>
      <c r="AW90" s="201" t="s">
        <v>172</v>
      </c>
      <c r="AX90" s="201" t="s">
        <v>172</v>
      </c>
      <c r="AY90" s="232" t="s">
        <v>172</v>
      </c>
      <c r="AZ90" s="232" t="s">
        <v>172</v>
      </c>
    </row>
    <row r="91" spans="1:52" x14ac:dyDescent="0.25">
      <c r="A91" s="229" t="s">
        <v>408</v>
      </c>
      <c r="B91" s="216" t="s">
        <v>214</v>
      </c>
      <c r="C91" s="201">
        <v>141</v>
      </c>
      <c r="D91" s="201">
        <v>729</v>
      </c>
      <c r="E91" s="201">
        <v>0</v>
      </c>
      <c r="F91" s="201">
        <v>0</v>
      </c>
      <c r="G91" s="201">
        <v>0</v>
      </c>
      <c r="H91" s="201">
        <v>0</v>
      </c>
      <c r="I91" s="201">
        <v>0</v>
      </c>
      <c r="J91" s="201">
        <v>0</v>
      </c>
      <c r="K91" s="201">
        <v>0</v>
      </c>
      <c r="L91" s="201">
        <v>0</v>
      </c>
      <c r="M91" s="201">
        <v>0</v>
      </c>
      <c r="N91" s="201">
        <v>0</v>
      </c>
      <c r="O91" s="201">
        <v>0</v>
      </c>
      <c r="P91" s="201">
        <v>0</v>
      </c>
      <c r="Q91" s="201">
        <v>0</v>
      </c>
      <c r="R91" s="201">
        <v>0</v>
      </c>
      <c r="S91" s="201">
        <v>0</v>
      </c>
      <c r="T91" s="201">
        <v>0</v>
      </c>
      <c r="U91" s="201">
        <v>0</v>
      </c>
      <c r="V91" s="201">
        <v>0</v>
      </c>
      <c r="W91" s="201">
        <v>0</v>
      </c>
      <c r="X91" s="201">
        <v>0</v>
      </c>
      <c r="Y91" s="201">
        <v>0</v>
      </c>
      <c r="Z91" s="201">
        <v>0</v>
      </c>
      <c r="AA91" s="201">
        <v>0</v>
      </c>
      <c r="AB91" s="201">
        <v>0</v>
      </c>
      <c r="AC91" s="201">
        <v>0</v>
      </c>
      <c r="AD91" s="201">
        <v>0</v>
      </c>
      <c r="AE91" s="201">
        <v>0</v>
      </c>
      <c r="AF91" s="201">
        <v>0</v>
      </c>
      <c r="AG91" s="201">
        <v>0</v>
      </c>
      <c r="AH91" s="201">
        <v>0</v>
      </c>
      <c r="AI91" s="201">
        <v>0</v>
      </c>
      <c r="AJ91" s="201">
        <v>0</v>
      </c>
      <c r="AK91" s="201">
        <v>0</v>
      </c>
      <c r="AL91" s="201">
        <v>0</v>
      </c>
      <c r="AM91" s="201">
        <v>0</v>
      </c>
      <c r="AN91" s="201">
        <v>0</v>
      </c>
      <c r="AO91" s="201">
        <v>0</v>
      </c>
      <c r="AP91" s="201">
        <v>0</v>
      </c>
      <c r="AQ91" s="201">
        <v>0</v>
      </c>
      <c r="AR91" s="201">
        <v>0</v>
      </c>
      <c r="AS91" s="201">
        <v>0</v>
      </c>
      <c r="AT91" s="201">
        <v>0</v>
      </c>
      <c r="AU91" s="201">
        <v>0</v>
      </c>
      <c r="AV91" s="201">
        <v>0</v>
      </c>
      <c r="AW91" s="201" t="s">
        <v>172</v>
      </c>
      <c r="AX91" s="201" t="s">
        <v>172</v>
      </c>
      <c r="AY91" s="233" t="s">
        <v>172</v>
      </c>
      <c r="AZ91" s="233" t="s">
        <v>172</v>
      </c>
    </row>
    <row r="92" spans="1:52" x14ac:dyDescent="0.25">
      <c r="A92" s="229" t="s">
        <v>420</v>
      </c>
      <c r="B92" s="216" t="s">
        <v>214</v>
      </c>
      <c r="C92" s="201">
        <v>89135</v>
      </c>
      <c r="D92" s="201">
        <v>39514</v>
      </c>
      <c r="E92" s="201">
        <v>12</v>
      </c>
      <c r="F92" s="201">
        <v>13</v>
      </c>
      <c r="G92" s="201">
        <v>20</v>
      </c>
      <c r="H92" s="201">
        <v>20</v>
      </c>
      <c r="I92" s="201">
        <v>20</v>
      </c>
      <c r="J92" s="201">
        <v>22</v>
      </c>
      <c r="K92" s="201">
        <v>0</v>
      </c>
      <c r="L92" s="201">
        <v>0</v>
      </c>
      <c r="M92" s="201">
        <v>0</v>
      </c>
      <c r="N92" s="201">
        <v>0</v>
      </c>
      <c r="O92" s="201">
        <v>0</v>
      </c>
      <c r="P92" s="201">
        <v>0</v>
      </c>
      <c r="Q92" s="201">
        <v>0</v>
      </c>
      <c r="R92" s="201">
        <v>0</v>
      </c>
      <c r="S92" s="201">
        <v>0</v>
      </c>
      <c r="T92" s="201">
        <v>0</v>
      </c>
      <c r="U92" s="201">
        <v>0</v>
      </c>
      <c r="V92" s="201">
        <v>0</v>
      </c>
      <c r="W92" s="201">
        <v>0</v>
      </c>
      <c r="X92" s="201">
        <v>0</v>
      </c>
      <c r="Y92" s="202">
        <v>0</v>
      </c>
      <c r="Z92" s="202">
        <v>0</v>
      </c>
      <c r="AA92" s="202">
        <v>0</v>
      </c>
      <c r="AB92" s="202">
        <v>0</v>
      </c>
      <c r="AC92" s="201">
        <v>0</v>
      </c>
      <c r="AD92" s="201">
        <v>0</v>
      </c>
      <c r="AE92" s="202">
        <v>36775</v>
      </c>
      <c r="AF92" s="202">
        <v>28137</v>
      </c>
      <c r="AG92" s="202">
        <v>0</v>
      </c>
      <c r="AH92" s="202">
        <v>0</v>
      </c>
      <c r="AI92" s="202">
        <v>0</v>
      </c>
      <c r="AJ92" s="202">
        <v>0</v>
      </c>
      <c r="AK92" s="202">
        <v>41</v>
      </c>
      <c r="AL92" s="202">
        <v>20680</v>
      </c>
      <c r="AM92" s="221">
        <v>0</v>
      </c>
      <c r="AN92" s="221">
        <v>0</v>
      </c>
      <c r="AO92" s="202">
        <v>8053</v>
      </c>
      <c r="AP92" s="202">
        <v>4027</v>
      </c>
      <c r="AQ92" s="202">
        <v>0</v>
      </c>
      <c r="AR92" s="202">
        <v>0</v>
      </c>
      <c r="AS92" s="202">
        <v>0</v>
      </c>
      <c r="AT92" s="202">
        <v>0</v>
      </c>
      <c r="AU92" s="202">
        <v>6344</v>
      </c>
      <c r="AV92" s="202">
        <v>3172</v>
      </c>
      <c r="AW92" s="201" t="s">
        <v>172</v>
      </c>
      <c r="AX92" s="223" t="s">
        <v>172</v>
      </c>
      <c r="AY92" s="234" t="s">
        <v>172</v>
      </c>
      <c r="AZ92" s="234" t="s">
        <v>172</v>
      </c>
    </row>
    <row r="93" spans="1:52" x14ac:dyDescent="0.25">
      <c r="A93" s="229" t="s">
        <v>421</v>
      </c>
      <c r="B93" s="216" t="s">
        <v>214</v>
      </c>
      <c r="C93" s="201">
        <v>123552</v>
      </c>
      <c r="D93" s="201">
        <v>125642</v>
      </c>
      <c r="E93" s="201">
        <v>0</v>
      </c>
      <c r="F93" s="201">
        <v>0</v>
      </c>
      <c r="G93" s="201">
        <v>0</v>
      </c>
      <c r="H93" s="201">
        <v>0</v>
      </c>
      <c r="I93" s="201">
        <v>0</v>
      </c>
      <c r="J93" s="201">
        <v>0</v>
      </c>
      <c r="K93" s="201">
        <v>0</v>
      </c>
      <c r="L93" s="201">
        <v>0</v>
      </c>
      <c r="M93" s="201">
        <v>0</v>
      </c>
      <c r="N93" s="201">
        <v>0</v>
      </c>
      <c r="O93" s="201">
        <v>0</v>
      </c>
      <c r="P93" s="201">
        <v>0</v>
      </c>
      <c r="Q93" s="201">
        <v>0</v>
      </c>
      <c r="R93" s="201">
        <v>0</v>
      </c>
      <c r="S93" s="201">
        <v>0</v>
      </c>
      <c r="T93" s="201">
        <v>0</v>
      </c>
      <c r="U93" s="201">
        <v>0</v>
      </c>
      <c r="V93" s="201">
        <v>0</v>
      </c>
      <c r="W93" s="201">
        <v>0</v>
      </c>
      <c r="X93" s="201">
        <v>0</v>
      </c>
      <c r="Y93" s="202">
        <v>0</v>
      </c>
      <c r="Z93" s="202">
        <v>0</v>
      </c>
      <c r="AA93" s="202">
        <v>1800</v>
      </c>
      <c r="AB93" s="202">
        <v>32500</v>
      </c>
      <c r="AC93" s="201">
        <v>37048</v>
      </c>
      <c r="AD93" s="201">
        <v>1163695</v>
      </c>
      <c r="AE93" s="202">
        <v>27344</v>
      </c>
      <c r="AF93" s="202">
        <v>795872</v>
      </c>
      <c r="AG93" s="202">
        <v>280586</v>
      </c>
      <c r="AH93" s="202">
        <v>1582037</v>
      </c>
      <c r="AI93" s="202">
        <v>92503</v>
      </c>
      <c r="AJ93" s="202">
        <v>660920</v>
      </c>
      <c r="AK93" s="202">
        <v>20</v>
      </c>
      <c r="AL93" s="202">
        <v>4000</v>
      </c>
      <c r="AM93" s="221">
        <v>21536</v>
      </c>
      <c r="AN93" s="221">
        <v>8936</v>
      </c>
      <c r="AO93" s="202">
        <v>0</v>
      </c>
      <c r="AP93" s="202">
        <v>0</v>
      </c>
      <c r="AQ93" s="202">
        <v>53.35</v>
      </c>
      <c r="AR93" s="202">
        <v>3986</v>
      </c>
      <c r="AS93" s="202">
        <v>125</v>
      </c>
      <c r="AT93" s="202">
        <v>383</v>
      </c>
      <c r="AU93" s="202">
        <v>16171</v>
      </c>
      <c r="AV93" s="202">
        <v>36315</v>
      </c>
      <c r="AW93" s="201" t="s">
        <v>172</v>
      </c>
      <c r="AX93" s="201" t="s">
        <v>172</v>
      </c>
      <c r="AY93" s="232" t="s">
        <v>172</v>
      </c>
      <c r="AZ93" s="232" t="s">
        <v>172</v>
      </c>
    </row>
    <row r="94" spans="1:52" x14ac:dyDescent="0.25">
      <c r="A94" s="229" t="s">
        <v>422</v>
      </c>
      <c r="B94" s="216" t="s">
        <v>214</v>
      </c>
      <c r="C94" s="201">
        <v>8640</v>
      </c>
      <c r="D94" s="201">
        <v>15594</v>
      </c>
      <c r="E94" s="201">
        <v>0</v>
      </c>
      <c r="F94" s="201">
        <v>0</v>
      </c>
      <c r="G94" s="201">
        <v>0</v>
      </c>
      <c r="H94" s="201">
        <v>0</v>
      </c>
      <c r="I94" s="201">
        <v>0</v>
      </c>
      <c r="J94" s="201">
        <v>0</v>
      </c>
      <c r="K94" s="201">
        <v>0</v>
      </c>
      <c r="L94" s="201">
        <v>0</v>
      </c>
      <c r="M94" s="201">
        <v>0</v>
      </c>
      <c r="N94" s="201">
        <v>0</v>
      </c>
      <c r="O94" s="201">
        <v>0</v>
      </c>
      <c r="P94" s="201">
        <v>0</v>
      </c>
      <c r="Q94" s="201">
        <v>0</v>
      </c>
      <c r="R94" s="201">
        <v>0</v>
      </c>
      <c r="S94" s="201">
        <v>0</v>
      </c>
      <c r="T94" s="201">
        <v>0</v>
      </c>
      <c r="U94" s="201">
        <v>0</v>
      </c>
      <c r="V94" s="201">
        <v>0</v>
      </c>
      <c r="W94" s="201">
        <v>0</v>
      </c>
      <c r="X94" s="201">
        <v>0</v>
      </c>
      <c r="Y94" s="201">
        <v>0</v>
      </c>
      <c r="Z94" s="201">
        <v>0</v>
      </c>
      <c r="AA94" s="201">
        <v>0</v>
      </c>
      <c r="AB94" s="201">
        <v>0</v>
      </c>
      <c r="AC94" s="201">
        <v>0</v>
      </c>
      <c r="AD94" s="201">
        <v>0</v>
      </c>
      <c r="AE94" s="201">
        <v>0</v>
      </c>
      <c r="AF94" s="201">
        <v>0</v>
      </c>
      <c r="AG94" s="201">
        <v>0</v>
      </c>
      <c r="AH94" s="201">
        <v>0</v>
      </c>
      <c r="AI94" s="201">
        <v>0</v>
      </c>
      <c r="AJ94" s="201">
        <v>0</v>
      </c>
      <c r="AK94" s="201">
        <v>0</v>
      </c>
      <c r="AL94" s="201">
        <v>0</v>
      </c>
      <c r="AM94" s="201">
        <v>0</v>
      </c>
      <c r="AN94" s="201">
        <v>0</v>
      </c>
      <c r="AO94" s="201">
        <v>0</v>
      </c>
      <c r="AP94" s="201">
        <v>0</v>
      </c>
      <c r="AQ94" s="201">
        <v>0</v>
      </c>
      <c r="AR94" s="201">
        <v>0</v>
      </c>
      <c r="AS94" s="201">
        <v>0</v>
      </c>
      <c r="AT94" s="201">
        <v>0</v>
      </c>
      <c r="AU94" s="201">
        <v>0</v>
      </c>
      <c r="AV94" s="201">
        <v>0</v>
      </c>
      <c r="AW94" s="201" t="s">
        <v>172</v>
      </c>
      <c r="AX94" s="201" t="s">
        <v>172</v>
      </c>
      <c r="AY94" s="232" t="s">
        <v>172</v>
      </c>
      <c r="AZ94" s="232" t="s">
        <v>172</v>
      </c>
    </row>
    <row r="95" spans="1:52" x14ac:dyDescent="0.25">
      <c r="A95" s="229" t="s">
        <v>423</v>
      </c>
      <c r="B95" s="216" t="s">
        <v>214</v>
      </c>
      <c r="C95" s="201">
        <v>1.407</v>
      </c>
      <c r="D95" s="201">
        <v>11149</v>
      </c>
      <c r="E95" s="201">
        <v>0</v>
      </c>
      <c r="F95" s="201">
        <v>0</v>
      </c>
      <c r="G95" s="201">
        <v>0</v>
      </c>
      <c r="H95" s="201">
        <v>0</v>
      </c>
      <c r="I95" s="201">
        <v>0</v>
      </c>
      <c r="J95" s="201">
        <v>0</v>
      </c>
      <c r="K95" s="201">
        <v>0</v>
      </c>
      <c r="L95" s="201">
        <v>0</v>
      </c>
      <c r="M95" s="201">
        <v>0</v>
      </c>
      <c r="N95" s="201">
        <v>0</v>
      </c>
      <c r="O95" s="201">
        <v>0</v>
      </c>
      <c r="P95" s="201">
        <v>0</v>
      </c>
      <c r="Q95" s="235">
        <v>0.42499999999999999</v>
      </c>
      <c r="R95" s="201">
        <v>3469</v>
      </c>
      <c r="S95" s="201">
        <v>0</v>
      </c>
      <c r="T95" s="201">
        <v>0</v>
      </c>
      <c r="U95" s="235">
        <v>0.193</v>
      </c>
      <c r="V95" s="201">
        <v>2200</v>
      </c>
      <c r="W95" s="235">
        <v>0.55000000000000004</v>
      </c>
      <c r="X95" s="201">
        <v>2020</v>
      </c>
      <c r="Y95" s="201">
        <v>0</v>
      </c>
      <c r="Z95" s="201">
        <v>0</v>
      </c>
      <c r="AA95" s="202">
        <v>0</v>
      </c>
      <c r="AB95" s="202">
        <v>0</v>
      </c>
      <c r="AC95" s="201">
        <v>0</v>
      </c>
      <c r="AD95" s="201">
        <v>0</v>
      </c>
      <c r="AE95" s="202">
        <v>0</v>
      </c>
      <c r="AF95" s="202">
        <v>0</v>
      </c>
      <c r="AG95" s="202">
        <v>0</v>
      </c>
      <c r="AH95" s="202">
        <v>0</v>
      </c>
      <c r="AI95" s="202">
        <v>0</v>
      </c>
      <c r="AJ95" s="202">
        <v>0</v>
      </c>
      <c r="AK95" s="201">
        <v>0</v>
      </c>
      <c r="AL95" s="201">
        <v>0</v>
      </c>
      <c r="AM95" s="202">
        <v>0</v>
      </c>
      <c r="AN95" s="202">
        <v>0</v>
      </c>
      <c r="AO95" s="202">
        <v>0</v>
      </c>
      <c r="AP95" s="202">
        <v>0</v>
      </c>
      <c r="AQ95" s="236">
        <v>4.1240000000000001E-3</v>
      </c>
      <c r="AR95" s="202">
        <v>10420</v>
      </c>
      <c r="AS95" s="202">
        <v>0</v>
      </c>
      <c r="AT95" s="202">
        <v>0</v>
      </c>
      <c r="AU95" s="237">
        <v>11.5</v>
      </c>
      <c r="AV95" s="202">
        <v>20000</v>
      </c>
      <c r="AW95" s="201" t="s">
        <v>172</v>
      </c>
      <c r="AX95" s="223" t="s">
        <v>172</v>
      </c>
      <c r="AY95" s="234" t="s">
        <v>172</v>
      </c>
      <c r="AZ95" s="234" t="s">
        <v>172</v>
      </c>
    </row>
    <row r="96" spans="1:52" x14ac:dyDescent="0.25">
      <c r="A96" s="229" t="s">
        <v>424</v>
      </c>
      <c r="B96" s="216" t="s">
        <v>211</v>
      </c>
      <c r="C96" s="201">
        <v>48165</v>
      </c>
      <c r="D96" s="201">
        <v>109570</v>
      </c>
      <c r="E96" s="201">
        <v>13001</v>
      </c>
      <c r="F96" s="201">
        <v>78001</v>
      </c>
      <c r="G96" s="201">
        <v>0</v>
      </c>
      <c r="H96" s="201">
        <v>0</v>
      </c>
      <c r="I96" s="201">
        <v>0</v>
      </c>
      <c r="J96" s="201">
        <v>0</v>
      </c>
      <c r="K96" s="201">
        <v>0</v>
      </c>
      <c r="L96" s="201">
        <v>0</v>
      </c>
      <c r="M96" s="201">
        <v>0</v>
      </c>
      <c r="N96" s="201">
        <v>0</v>
      </c>
      <c r="O96" s="201">
        <v>0</v>
      </c>
      <c r="P96" s="201">
        <v>0</v>
      </c>
      <c r="Q96" s="201">
        <v>0</v>
      </c>
      <c r="R96" s="201">
        <v>0</v>
      </c>
      <c r="S96" s="201">
        <v>0</v>
      </c>
      <c r="T96" s="201">
        <v>0</v>
      </c>
      <c r="U96" s="201">
        <v>0</v>
      </c>
      <c r="V96" s="201">
        <v>0</v>
      </c>
      <c r="W96" s="201">
        <v>0</v>
      </c>
      <c r="X96" s="201">
        <v>0</v>
      </c>
      <c r="Y96" s="201">
        <v>0</v>
      </c>
      <c r="Z96" s="201">
        <v>0</v>
      </c>
      <c r="AA96" s="201">
        <v>0</v>
      </c>
      <c r="AB96" s="201">
        <v>0</v>
      </c>
      <c r="AC96" s="201">
        <v>0</v>
      </c>
      <c r="AD96" s="201">
        <v>0</v>
      </c>
      <c r="AE96" s="201">
        <v>0</v>
      </c>
      <c r="AF96" s="201">
        <v>0</v>
      </c>
      <c r="AG96" s="201">
        <v>0</v>
      </c>
      <c r="AH96" s="201">
        <v>0</v>
      </c>
      <c r="AI96" s="201">
        <v>0</v>
      </c>
      <c r="AJ96" s="201">
        <v>0</v>
      </c>
      <c r="AK96" s="201">
        <v>0</v>
      </c>
      <c r="AL96" s="201">
        <v>0</v>
      </c>
      <c r="AM96" s="201">
        <v>0</v>
      </c>
      <c r="AN96" s="201">
        <v>0</v>
      </c>
      <c r="AO96" s="201">
        <v>0</v>
      </c>
      <c r="AP96" s="201">
        <v>0</v>
      </c>
      <c r="AQ96" s="201">
        <v>0</v>
      </c>
      <c r="AR96" s="201">
        <v>0</v>
      </c>
      <c r="AS96" s="201">
        <v>0</v>
      </c>
      <c r="AT96" s="201">
        <v>0</v>
      </c>
      <c r="AU96" s="201">
        <v>0</v>
      </c>
      <c r="AV96" s="201">
        <v>0</v>
      </c>
      <c r="AW96" s="201" t="s">
        <v>172</v>
      </c>
      <c r="AX96" s="201" t="s">
        <v>172</v>
      </c>
      <c r="AY96" s="232" t="s">
        <v>172</v>
      </c>
      <c r="AZ96" s="232" t="s">
        <v>172</v>
      </c>
    </row>
    <row r="97" spans="1:52" x14ac:dyDescent="0.25">
      <c r="A97" s="229" t="s">
        <v>411</v>
      </c>
      <c r="B97" s="216" t="s">
        <v>214</v>
      </c>
      <c r="C97" s="201">
        <v>0</v>
      </c>
      <c r="D97" s="201">
        <v>0</v>
      </c>
      <c r="E97" s="201">
        <v>0</v>
      </c>
      <c r="F97" s="201">
        <v>0</v>
      </c>
      <c r="G97" s="201">
        <v>0</v>
      </c>
      <c r="H97" s="201">
        <v>0</v>
      </c>
      <c r="I97" s="201">
        <v>0</v>
      </c>
      <c r="J97" s="201">
        <v>0</v>
      </c>
      <c r="K97" s="201">
        <v>0</v>
      </c>
      <c r="L97" s="201">
        <v>0</v>
      </c>
      <c r="M97" s="201">
        <v>0</v>
      </c>
      <c r="N97" s="201">
        <v>0</v>
      </c>
      <c r="O97" s="201">
        <v>0</v>
      </c>
      <c r="P97" s="201">
        <v>0</v>
      </c>
      <c r="Q97" s="201">
        <v>0</v>
      </c>
      <c r="R97" s="201">
        <v>0</v>
      </c>
      <c r="S97" s="201">
        <v>0</v>
      </c>
      <c r="T97" s="201">
        <v>0</v>
      </c>
      <c r="U97" s="201">
        <v>0</v>
      </c>
      <c r="V97" s="201">
        <v>0</v>
      </c>
      <c r="W97" s="201">
        <v>0</v>
      </c>
      <c r="X97" s="201">
        <v>0</v>
      </c>
      <c r="Y97" s="202">
        <v>0</v>
      </c>
      <c r="Z97" s="202">
        <v>0</v>
      </c>
      <c r="AA97" s="202">
        <v>0</v>
      </c>
      <c r="AB97" s="202">
        <v>0</v>
      </c>
      <c r="AC97" s="201">
        <v>8844</v>
      </c>
      <c r="AD97" s="201">
        <v>7499</v>
      </c>
      <c r="AE97" s="202">
        <v>70819</v>
      </c>
      <c r="AF97" s="202">
        <v>45116</v>
      </c>
      <c r="AG97" s="202">
        <v>0</v>
      </c>
      <c r="AH97" s="202">
        <v>0</v>
      </c>
      <c r="AI97" s="202">
        <v>39220</v>
      </c>
      <c r="AJ97" s="202">
        <v>47136</v>
      </c>
      <c r="AK97" s="202">
        <v>1155</v>
      </c>
      <c r="AL97" s="202">
        <v>1213</v>
      </c>
      <c r="AM97" s="221">
        <v>38796</v>
      </c>
      <c r="AN97" s="221">
        <v>22585</v>
      </c>
      <c r="AO97" s="202">
        <v>0</v>
      </c>
      <c r="AP97" s="202">
        <v>0</v>
      </c>
      <c r="AQ97" s="202">
        <v>6</v>
      </c>
      <c r="AR97" s="202">
        <v>3600</v>
      </c>
      <c r="AS97" s="202">
        <v>20742</v>
      </c>
      <c r="AT97" s="202">
        <v>12445</v>
      </c>
      <c r="AU97" s="202">
        <v>14430</v>
      </c>
      <c r="AV97" s="202">
        <v>8658</v>
      </c>
      <c r="AW97" s="201" t="s">
        <v>172</v>
      </c>
      <c r="AX97" s="223" t="s">
        <v>172</v>
      </c>
      <c r="AY97" s="234" t="s">
        <v>172</v>
      </c>
      <c r="AZ97" s="234" t="s">
        <v>172</v>
      </c>
    </row>
    <row r="98" spans="1:52" x14ac:dyDescent="0.25">
      <c r="A98" s="229" t="s">
        <v>425</v>
      </c>
      <c r="B98" s="216" t="s">
        <v>214</v>
      </c>
      <c r="C98" s="201">
        <v>5073</v>
      </c>
      <c r="D98" s="201">
        <v>2780</v>
      </c>
      <c r="E98" s="201">
        <v>0</v>
      </c>
      <c r="F98" s="201">
        <v>0</v>
      </c>
      <c r="G98" s="201">
        <v>0</v>
      </c>
      <c r="H98" s="201">
        <v>0</v>
      </c>
      <c r="I98" s="201">
        <v>0</v>
      </c>
      <c r="J98" s="201">
        <v>0</v>
      </c>
      <c r="K98" s="201">
        <v>0</v>
      </c>
      <c r="L98" s="201">
        <v>0</v>
      </c>
      <c r="M98" s="201">
        <v>0</v>
      </c>
      <c r="N98" s="201">
        <v>0</v>
      </c>
      <c r="O98" s="201">
        <v>0</v>
      </c>
      <c r="P98" s="201">
        <v>0</v>
      </c>
      <c r="Q98" s="201">
        <v>0</v>
      </c>
      <c r="R98" s="201">
        <v>0</v>
      </c>
      <c r="S98" s="201">
        <v>0</v>
      </c>
      <c r="T98" s="201">
        <v>0</v>
      </c>
      <c r="U98" s="201">
        <v>0</v>
      </c>
      <c r="V98" s="201">
        <v>0</v>
      </c>
      <c r="W98" s="201">
        <v>0</v>
      </c>
      <c r="X98" s="201">
        <v>0</v>
      </c>
      <c r="Y98" s="201">
        <v>0</v>
      </c>
      <c r="Z98" s="201">
        <v>0</v>
      </c>
      <c r="AA98" s="201">
        <v>0</v>
      </c>
      <c r="AB98" s="201">
        <v>0</v>
      </c>
      <c r="AC98" s="201">
        <v>0</v>
      </c>
      <c r="AD98" s="201">
        <v>0</v>
      </c>
      <c r="AE98" s="201">
        <v>0</v>
      </c>
      <c r="AF98" s="201">
        <v>0</v>
      </c>
      <c r="AG98" s="201">
        <v>0</v>
      </c>
      <c r="AH98" s="201">
        <v>0</v>
      </c>
      <c r="AI98" s="201">
        <v>0</v>
      </c>
      <c r="AJ98" s="201">
        <v>0</v>
      </c>
      <c r="AK98" s="201">
        <v>0</v>
      </c>
      <c r="AL98" s="201">
        <v>0</v>
      </c>
      <c r="AM98" s="201">
        <v>0</v>
      </c>
      <c r="AN98" s="201">
        <v>0</v>
      </c>
      <c r="AO98" s="201">
        <v>0</v>
      </c>
      <c r="AP98" s="201">
        <v>0</v>
      </c>
      <c r="AQ98" s="201">
        <v>0</v>
      </c>
      <c r="AR98" s="201">
        <v>0</v>
      </c>
      <c r="AS98" s="201">
        <v>0</v>
      </c>
      <c r="AT98" s="201">
        <v>0</v>
      </c>
      <c r="AU98" s="201">
        <v>0</v>
      </c>
      <c r="AV98" s="201">
        <v>0</v>
      </c>
      <c r="AW98" s="201" t="s">
        <v>172</v>
      </c>
      <c r="AX98" s="223" t="s">
        <v>172</v>
      </c>
      <c r="AY98" s="234" t="s">
        <v>172</v>
      </c>
      <c r="AZ98" s="234" t="s">
        <v>172</v>
      </c>
    </row>
    <row r="99" spans="1:52" x14ac:dyDescent="0.25">
      <c r="A99" s="229" t="s">
        <v>426</v>
      </c>
      <c r="B99" s="216" t="s">
        <v>214</v>
      </c>
      <c r="C99" s="201">
        <v>0</v>
      </c>
      <c r="D99" s="201">
        <v>0</v>
      </c>
      <c r="E99" s="201">
        <v>0</v>
      </c>
      <c r="F99" s="201">
        <v>0</v>
      </c>
      <c r="G99" s="201">
        <v>0</v>
      </c>
      <c r="H99" s="201">
        <v>0</v>
      </c>
      <c r="I99" s="201">
        <v>0</v>
      </c>
      <c r="J99" s="201">
        <v>0</v>
      </c>
      <c r="K99" s="201">
        <v>0</v>
      </c>
      <c r="L99" s="201">
        <v>0</v>
      </c>
      <c r="M99" s="201">
        <v>0</v>
      </c>
      <c r="N99" s="201">
        <v>0</v>
      </c>
      <c r="O99" s="201">
        <v>0</v>
      </c>
      <c r="P99" s="201">
        <v>0</v>
      </c>
      <c r="Q99" s="201">
        <v>0</v>
      </c>
      <c r="R99" s="201">
        <v>0</v>
      </c>
      <c r="S99" s="201">
        <v>0</v>
      </c>
      <c r="T99" s="201">
        <v>0</v>
      </c>
      <c r="U99" s="201">
        <v>0</v>
      </c>
      <c r="V99" s="201">
        <v>0</v>
      </c>
      <c r="W99" s="201">
        <v>0</v>
      </c>
      <c r="X99" s="201">
        <v>0</v>
      </c>
      <c r="Y99" s="202">
        <v>0</v>
      </c>
      <c r="Z99" s="202">
        <v>0</v>
      </c>
      <c r="AA99" s="202">
        <v>0</v>
      </c>
      <c r="AB99" s="202">
        <v>0</v>
      </c>
      <c r="AC99" s="201">
        <v>0</v>
      </c>
      <c r="AD99" s="201">
        <v>0</v>
      </c>
      <c r="AE99" s="202">
        <v>2245</v>
      </c>
      <c r="AF99" s="202">
        <v>8392</v>
      </c>
      <c r="AG99" s="202">
        <v>5561</v>
      </c>
      <c r="AH99" s="202">
        <v>19639</v>
      </c>
      <c r="AI99" s="202">
        <v>0</v>
      </c>
      <c r="AJ99" s="202">
        <v>0</v>
      </c>
      <c r="AK99" s="201">
        <v>0</v>
      </c>
      <c r="AL99" s="201">
        <v>0</v>
      </c>
      <c r="AM99" s="202">
        <v>0</v>
      </c>
      <c r="AN99" s="202">
        <v>0</v>
      </c>
      <c r="AO99" s="202">
        <v>0</v>
      </c>
      <c r="AP99" s="202">
        <v>0</v>
      </c>
      <c r="AQ99" s="202">
        <v>0</v>
      </c>
      <c r="AR99" s="202">
        <v>0</v>
      </c>
      <c r="AS99" s="201">
        <v>0</v>
      </c>
      <c r="AT99" s="201">
        <v>0</v>
      </c>
      <c r="AU99" s="202">
        <v>0</v>
      </c>
      <c r="AV99" s="202">
        <v>0</v>
      </c>
      <c r="AW99" s="201" t="s">
        <v>172</v>
      </c>
      <c r="AX99" s="201" t="s">
        <v>172</v>
      </c>
      <c r="AY99" s="232" t="s">
        <v>172</v>
      </c>
      <c r="AZ99" s="232" t="s">
        <v>172</v>
      </c>
    </row>
    <row r="100" spans="1:52" x14ac:dyDescent="0.25">
      <c r="A100" s="229" t="s">
        <v>427</v>
      </c>
      <c r="B100" s="216" t="s">
        <v>214</v>
      </c>
      <c r="C100" s="201">
        <v>118117</v>
      </c>
      <c r="D100" s="201">
        <v>50606</v>
      </c>
      <c r="E100" s="201">
        <v>1116</v>
      </c>
      <c r="F100" s="201">
        <v>572</v>
      </c>
      <c r="G100" s="201">
        <v>3040</v>
      </c>
      <c r="H100" s="201">
        <v>1524</v>
      </c>
      <c r="I100" s="201">
        <v>1200</v>
      </c>
      <c r="J100" s="201">
        <v>922</v>
      </c>
      <c r="K100" s="201">
        <v>51</v>
      </c>
      <c r="L100" s="201">
        <v>33</v>
      </c>
      <c r="M100" s="201">
        <v>792</v>
      </c>
      <c r="N100" s="201">
        <v>511</v>
      </c>
      <c r="O100" s="201">
        <v>0</v>
      </c>
      <c r="P100" s="201">
        <v>0</v>
      </c>
      <c r="Q100" s="201">
        <v>21</v>
      </c>
      <c r="R100" s="201">
        <v>14</v>
      </c>
      <c r="S100" s="201">
        <v>0</v>
      </c>
      <c r="T100" s="201">
        <v>0</v>
      </c>
      <c r="U100" s="201">
        <v>0</v>
      </c>
      <c r="V100" s="201">
        <v>0</v>
      </c>
      <c r="W100" s="201">
        <v>0</v>
      </c>
      <c r="X100" s="201">
        <v>0</v>
      </c>
      <c r="Y100" s="201">
        <v>0</v>
      </c>
      <c r="Z100" s="201">
        <v>0</v>
      </c>
      <c r="AA100" s="201">
        <v>0</v>
      </c>
      <c r="AB100" s="201">
        <v>0</v>
      </c>
      <c r="AC100" s="201">
        <v>0</v>
      </c>
      <c r="AD100" s="201">
        <v>0</v>
      </c>
      <c r="AE100" s="201">
        <v>0</v>
      </c>
      <c r="AF100" s="201">
        <v>0</v>
      </c>
      <c r="AG100" s="201">
        <v>0</v>
      </c>
      <c r="AH100" s="201">
        <v>0</v>
      </c>
      <c r="AI100" s="201">
        <v>0</v>
      </c>
      <c r="AJ100" s="201">
        <v>0</v>
      </c>
      <c r="AK100" s="201">
        <v>0</v>
      </c>
      <c r="AL100" s="201">
        <v>0</v>
      </c>
      <c r="AM100" s="201">
        <v>0</v>
      </c>
      <c r="AN100" s="201">
        <v>0</v>
      </c>
      <c r="AO100" s="201">
        <v>0</v>
      </c>
      <c r="AP100" s="201">
        <v>0</v>
      </c>
      <c r="AQ100" s="201">
        <v>0</v>
      </c>
      <c r="AR100" s="201">
        <v>0</v>
      </c>
      <c r="AS100" s="201">
        <v>0</v>
      </c>
      <c r="AT100" s="201">
        <v>0</v>
      </c>
      <c r="AU100" s="201">
        <v>0</v>
      </c>
      <c r="AV100" s="201">
        <v>0</v>
      </c>
      <c r="AW100" s="201" t="s">
        <v>172</v>
      </c>
      <c r="AX100" s="201" t="s">
        <v>172</v>
      </c>
      <c r="AY100" s="232" t="s">
        <v>172</v>
      </c>
      <c r="AZ100" s="232" t="s">
        <v>172</v>
      </c>
    </row>
    <row r="101" spans="1:52" x14ac:dyDescent="0.25">
      <c r="A101" s="229" t="s">
        <v>428</v>
      </c>
      <c r="B101" s="216" t="s">
        <v>214</v>
      </c>
      <c r="C101" s="201">
        <v>4</v>
      </c>
      <c r="D101" s="201">
        <v>16994</v>
      </c>
      <c r="E101" s="201">
        <v>0</v>
      </c>
      <c r="F101" s="201">
        <v>0</v>
      </c>
      <c r="G101" s="201">
        <v>0</v>
      </c>
      <c r="H101" s="201">
        <v>0</v>
      </c>
      <c r="I101" s="201">
        <v>0</v>
      </c>
      <c r="J101" s="201">
        <v>0</v>
      </c>
      <c r="K101" s="201">
        <v>0</v>
      </c>
      <c r="L101" s="201">
        <v>0</v>
      </c>
      <c r="M101" s="201">
        <v>0</v>
      </c>
      <c r="N101" s="201">
        <v>0</v>
      </c>
      <c r="O101" s="201">
        <v>0</v>
      </c>
      <c r="P101" s="201">
        <v>0</v>
      </c>
      <c r="Q101" s="201">
        <v>0</v>
      </c>
      <c r="R101" s="201">
        <v>0</v>
      </c>
      <c r="S101" s="201">
        <v>0</v>
      </c>
      <c r="T101" s="201">
        <v>0</v>
      </c>
      <c r="U101" s="201">
        <v>0</v>
      </c>
      <c r="V101" s="201">
        <v>0</v>
      </c>
      <c r="W101" s="201">
        <v>0</v>
      </c>
      <c r="X101" s="201">
        <v>0</v>
      </c>
      <c r="Y101" s="201">
        <v>0</v>
      </c>
      <c r="Z101" s="201">
        <v>0</v>
      </c>
      <c r="AA101" s="201">
        <v>0</v>
      </c>
      <c r="AB101" s="201">
        <v>0</v>
      </c>
      <c r="AC101" s="201">
        <v>0</v>
      </c>
      <c r="AD101" s="201">
        <v>0</v>
      </c>
      <c r="AE101" s="201">
        <v>0</v>
      </c>
      <c r="AF101" s="201">
        <v>0</v>
      </c>
      <c r="AG101" s="201">
        <v>0</v>
      </c>
      <c r="AH101" s="201">
        <v>0</v>
      </c>
      <c r="AI101" s="201">
        <v>0</v>
      </c>
      <c r="AJ101" s="201">
        <v>0</v>
      </c>
      <c r="AK101" s="201">
        <v>0</v>
      </c>
      <c r="AL101" s="201">
        <v>0</v>
      </c>
      <c r="AM101" s="201">
        <v>0</v>
      </c>
      <c r="AN101" s="201">
        <v>0</v>
      </c>
      <c r="AO101" s="201">
        <v>0</v>
      </c>
      <c r="AP101" s="201">
        <v>0</v>
      </c>
      <c r="AQ101" s="201">
        <v>0</v>
      </c>
      <c r="AR101" s="201">
        <v>0</v>
      </c>
      <c r="AS101" s="201">
        <v>0</v>
      </c>
      <c r="AT101" s="201">
        <v>0</v>
      </c>
      <c r="AU101" s="201">
        <v>0</v>
      </c>
      <c r="AV101" s="201">
        <v>0</v>
      </c>
      <c r="AW101" s="201" t="s">
        <v>172</v>
      </c>
      <c r="AX101" s="201" t="s">
        <v>172</v>
      </c>
      <c r="AY101" s="233" t="s">
        <v>172</v>
      </c>
      <c r="AZ101" s="233" t="s">
        <v>172</v>
      </c>
    </row>
    <row r="102" spans="1:52" x14ac:dyDescent="0.25">
      <c r="A102" s="229" t="s">
        <v>429</v>
      </c>
      <c r="B102" s="216" t="s">
        <v>214</v>
      </c>
      <c r="C102" s="201">
        <v>1020</v>
      </c>
      <c r="D102" s="201">
        <v>400</v>
      </c>
      <c r="E102" s="201">
        <v>0</v>
      </c>
      <c r="F102" s="201">
        <v>0</v>
      </c>
      <c r="G102" s="201">
        <v>0</v>
      </c>
      <c r="H102" s="201">
        <v>0</v>
      </c>
      <c r="I102" s="201">
        <v>0</v>
      </c>
      <c r="J102" s="201">
        <v>0</v>
      </c>
      <c r="K102" s="201">
        <v>0</v>
      </c>
      <c r="L102" s="201">
        <v>0</v>
      </c>
      <c r="M102" s="201">
        <v>0</v>
      </c>
      <c r="N102" s="201">
        <v>0</v>
      </c>
      <c r="O102" s="201">
        <v>0</v>
      </c>
      <c r="P102" s="201">
        <v>0</v>
      </c>
      <c r="Q102" s="201">
        <v>0</v>
      </c>
      <c r="R102" s="201">
        <v>0</v>
      </c>
      <c r="S102" s="201">
        <v>0</v>
      </c>
      <c r="T102" s="201">
        <v>0</v>
      </c>
      <c r="U102" s="201">
        <v>0</v>
      </c>
      <c r="V102" s="201">
        <v>0</v>
      </c>
      <c r="W102" s="201">
        <v>0</v>
      </c>
      <c r="X102" s="201">
        <v>0</v>
      </c>
      <c r="Y102" s="201">
        <v>0</v>
      </c>
      <c r="Z102" s="201">
        <v>0</v>
      </c>
      <c r="AA102" s="201">
        <v>0</v>
      </c>
      <c r="AB102" s="201">
        <v>0</v>
      </c>
      <c r="AC102" s="201">
        <v>0</v>
      </c>
      <c r="AD102" s="201">
        <v>0</v>
      </c>
      <c r="AE102" s="201">
        <v>0</v>
      </c>
      <c r="AF102" s="201">
        <v>0</v>
      </c>
      <c r="AG102" s="201">
        <v>0</v>
      </c>
      <c r="AH102" s="201">
        <v>0</v>
      </c>
      <c r="AI102" s="201">
        <v>0</v>
      </c>
      <c r="AJ102" s="201">
        <v>0</v>
      </c>
      <c r="AK102" s="201">
        <v>0</v>
      </c>
      <c r="AL102" s="201">
        <v>0</v>
      </c>
      <c r="AM102" s="201">
        <v>0</v>
      </c>
      <c r="AN102" s="201">
        <v>0</v>
      </c>
      <c r="AO102" s="201">
        <v>0</v>
      </c>
      <c r="AP102" s="201">
        <v>0</v>
      </c>
      <c r="AQ102" s="201">
        <v>0</v>
      </c>
      <c r="AR102" s="201">
        <v>0</v>
      </c>
      <c r="AS102" s="201">
        <v>0</v>
      </c>
      <c r="AT102" s="201">
        <v>0</v>
      </c>
      <c r="AU102" s="201">
        <v>0</v>
      </c>
      <c r="AV102" s="201">
        <v>0</v>
      </c>
      <c r="AW102" s="201" t="s">
        <v>172</v>
      </c>
      <c r="AX102" s="201" t="s">
        <v>172</v>
      </c>
      <c r="AY102" s="233" t="s">
        <v>172</v>
      </c>
      <c r="AZ102" s="233" t="s">
        <v>172</v>
      </c>
    </row>
    <row r="103" spans="1:52" x14ac:dyDescent="0.25">
      <c r="A103" s="229" t="s">
        <v>430</v>
      </c>
      <c r="B103" s="216" t="s">
        <v>214</v>
      </c>
      <c r="C103" s="201">
        <v>3.9550000000000001</v>
      </c>
      <c r="D103" s="201">
        <v>730</v>
      </c>
      <c r="E103" s="201">
        <v>0</v>
      </c>
      <c r="F103" s="201">
        <v>0</v>
      </c>
      <c r="G103" s="201">
        <v>0</v>
      </c>
      <c r="H103" s="201">
        <v>0</v>
      </c>
      <c r="I103" s="201">
        <v>0</v>
      </c>
      <c r="J103" s="201">
        <v>0</v>
      </c>
      <c r="K103" s="201">
        <v>0</v>
      </c>
      <c r="L103" s="201">
        <v>0</v>
      </c>
      <c r="M103" s="201">
        <v>0</v>
      </c>
      <c r="N103" s="201">
        <v>0</v>
      </c>
      <c r="O103" s="201">
        <v>0</v>
      </c>
      <c r="P103" s="201">
        <v>0</v>
      </c>
      <c r="Q103" s="201">
        <v>0</v>
      </c>
      <c r="R103" s="201">
        <v>0</v>
      </c>
      <c r="S103" s="201">
        <v>0</v>
      </c>
      <c r="T103" s="201">
        <v>0</v>
      </c>
      <c r="U103" s="201">
        <v>0</v>
      </c>
      <c r="V103" s="201">
        <v>0</v>
      </c>
      <c r="W103" s="201">
        <v>0</v>
      </c>
      <c r="X103" s="201">
        <v>0</v>
      </c>
      <c r="Y103" s="201">
        <v>0</v>
      </c>
      <c r="Z103" s="201">
        <v>0</v>
      </c>
      <c r="AA103" s="201">
        <v>0</v>
      </c>
      <c r="AB103" s="201">
        <v>0</v>
      </c>
      <c r="AC103" s="201">
        <v>0</v>
      </c>
      <c r="AD103" s="201">
        <v>0</v>
      </c>
      <c r="AE103" s="201">
        <v>0</v>
      </c>
      <c r="AF103" s="201">
        <v>0</v>
      </c>
      <c r="AG103" s="201">
        <v>0</v>
      </c>
      <c r="AH103" s="201">
        <v>0</v>
      </c>
      <c r="AI103" s="201">
        <v>0</v>
      </c>
      <c r="AJ103" s="201">
        <v>0</v>
      </c>
      <c r="AK103" s="201">
        <v>0</v>
      </c>
      <c r="AL103" s="201">
        <v>0</v>
      </c>
      <c r="AM103" s="201">
        <v>0</v>
      </c>
      <c r="AN103" s="201">
        <v>0</v>
      </c>
      <c r="AO103" s="201">
        <v>0</v>
      </c>
      <c r="AP103" s="201">
        <v>0</v>
      </c>
      <c r="AQ103" s="201">
        <v>0</v>
      </c>
      <c r="AR103" s="201">
        <v>0</v>
      </c>
      <c r="AS103" s="201">
        <v>0</v>
      </c>
      <c r="AT103" s="201">
        <v>0</v>
      </c>
      <c r="AU103" s="201">
        <v>0</v>
      </c>
      <c r="AV103" s="201">
        <v>0</v>
      </c>
      <c r="AW103" s="201" t="s">
        <v>172</v>
      </c>
      <c r="AX103" s="201" t="s">
        <v>172</v>
      </c>
      <c r="AY103" s="233" t="s">
        <v>172</v>
      </c>
      <c r="AZ103" s="233" t="s">
        <v>172</v>
      </c>
    </row>
    <row r="104" spans="1:52" x14ac:dyDescent="0.25">
      <c r="A104" s="229" t="s">
        <v>414</v>
      </c>
      <c r="B104" s="216" t="s">
        <v>214</v>
      </c>
      <c r="C104" s="201">
        <v>33484</v>
      </c>
      <c r="D104" s="201">
        <v>13545</v>
      </c>
      <c r="E104" s="201">
        <v>0</v>
      </c>
      <c r="F104" s="201">
        <v>0</v>
      </c>
      <c r="G104" s="201">
        <v>0</v>
      </c>
      <c r="H104" s="201">
        <v>0</v>
      </c>
      <c r="I104" s="201">
        <v>0</v>
      </c>
      <c r="J104" s="201">
        <v>0</v>
      </c>
      <c r="K104" s="201">
        <v>0</v>
      </c>
      <c r="L104" s="201">
        <v>0</v>
      </c>
      <c r="M104" s="201">
        <v>0</v>
      </c>
      <c r="N104" s="201">
        <v>0</v>
      </c>
      <c r="O104" s="201">
        <v>0</v>
      </c>
      <c r="P104" s="201">
        <v>0</v>
      </c>
      <c r="Q104" s="201">
        <v>0</v>
      </c>
      <c r="R104" s="201">
        <v>0</v>
      </c>
      <c r="S104" s="201">
        <v>0</v>
      </c>
      <c r="T104" s="201">
        <v>0</v>
      </c>
      <c r="U104" s="201">
        <v>0</v>
      </c>
      <c r="V104" s="201">
        <v>0</v>
      </c>
      <c r="W104" s="201">
        <v>0</v>
      </c>
      <c r="X104" s="201">
        <v>0</v>
      </c>
      <c r="Y104" s="201">
        <v>0</v>
      </c>
      <c r="Z104" s="201">
        <v>0</v>
      </c>
      <c r="AA104" s="201">
        <v>0</v>
      </c>
      <c r="AB104" s="201">
        <v>0</v>
      </c>
      <c r="AC104" s="201">
        <v>0</v>
      </c>
      <c r="AD104" s="201">
        <v>0</v>
      </c>
      <c r="AE104" s="201">
        <v>0</v>
      </c>
      <c r="AF104" s="201">
        <v>0</v>
      </c>
      <c r="AG104" s="201">
        <v>0</v>
      </c>
      <c r="AH104" s="201">
        <v>0</v>
      </c>
      <c r="AI104" s="201">
        <v>0</v>
      </c>
      <c r="AJ104" s="201">
        <v>0</v>
      </c>
      <c r="AK104" s="201">
        <v>0</v>
      </c>
      <c r="AL104" s="201">
        <v>0</v>
      </c>
      <c r="AM104" s="201">
        <v>0</v>
      </c>
      <c r="AN104" s="201">
        <v>0</v>
      </c>
      <c r="AO104" s="201">
        <v>0</v>
      </c>
      <c r="AP104" s="201">
        <v>0</v>
      </c>
      <c r="AQ104" s="201">
        <v>0</v>
      </c>
      <c r="AR104" s="201">
        <v>0</v>
      </c>
      <c r="AS104" s="201">
        <v>0</v>
      </c>
      <c r="AT104" s="201">
        <v>0</v>
      </c>
      <c r="AU104" s="201">
        <v>0</v>
      </c>
      <c r="AV104" s="201">
        <v>0</v>
      </c>
      <c r="AW104" s="201" t="s">
        <v>172</v>
      </c>
      <c r="AX104" s="201" t="s">
        <v>172</v>
      </c>
      <c r="AY104" s="233" t="s">
        <v>172</v>
      </c>
      <c r="AZ104" s="233" t="s">
        <v>172</v>
      </c>
    </row>
    <row r="105" spans="1:52" x14ac:dyDescent="0.25">
      <c r="A105" s="229" t="s">
        <v>431</v>
      </c>
      <c r="B105" s="216" t="s">
        <v>214</v>
      </c>
      <c r="C105" s="201">
        <v>1422</v>
      </c>
      <c r="D105" s="201">
        <v>5378</v>
      </c>
      <c r="E105" s="201">
        <v>615</v>
      </c>
      <c r="F105" s="201">
        <v>2150</v>
      </c>
      <c r="G105" s="201">
        <v>270</v>
      </c>
      <c r="H105" s="201">
        <v>1080</v>
      </c>
      <c r="I105" s="201">
        <v>0</v>
      </c>
      <c r="J105" s="201">
        <v>0</v>
      </c>
      <c r="K105" s="201">
        <v>0</v>
      </c>
      <c r="L105" s="201">
        <v>0</v>
      </c>
      <c r="M105" s="201">
        <v>0</v>
      </c>
      <c r="N105" s="201">
        <v>0</v>
      </c>
      <c r="O105" s="201">
        <v>0</v>
      </c>
      <c r="P105" s="201">
        <v>0</v>
      </c>
      <c r="Q105" s="201">
        <v>0</v>
      </c>
      <c r="R105" s="201">
        <v>0</v>
      </c>
      <c r="S105" s="201">
        <v>0</v>
      </c>
      <c r="T105" s="201">
        <v>0</v>
      </c>
      <c r="U105" s="201">
        <v>0</v>
      </c>
      <c r="V105" s="201">
        <v>0</v>
      </c>
      <c r="W105" s="201">
        <v>0</v>
      </c>
      <c r="X105" s="201">
        <v>0</v>
      </c>
      <c r="Y105" s="201">
        <v>0</v>
      </c>
      <c r="Z105" s="201">
        <v>0</v>
      </c>
      <c r="AA105" s="201">
        <v>0</v>
      </c>
      <c r="AB105" s="201">
        <v>0</v>
      </c>
      <c r="AC105" s="201">
        <v>0</v>
      </c>
      <c r="AD105" s="201">
        <v>0</v>
      </c>
      <c r="AE105" s="201">
        <v>0</v>
      </c>
      <c r="AF105" s="201">
        <v>0</v>
      </c>
      <c r="AG105" s="201">
        <v>0</v>
      </c>
      <c r="AH105" s="201">
        <v>0</v>
      </c>
      <c r="AI105" s="201">
        <v>0</v>
      </c>
      <c r="AJ105" s="201">
        <v>0</v>
      </c>
      <c r="AK105" s="201">
        <v>0</v>
      </c>
      <c r="AL105" s="201">
        <v>0</v>
      </c>
      <c r="AM105" s="201">
        <v>0</v>
      </c>
      <c r="AN105" s="201">
        <v>0</v>
      </c>
      <c r="AO105" s="201">
        <v>0</v>
      </c>
      <c r="AP105" s="201">
        <v>0</v>
      </c>
      <c r="AQ105" s="201">
        <v>0</v>
      </c>
      <c r="AR105" s="201">
        <v>0</v>
      </c>
      <c r="AS105" s="201">
        <v>0</v>
      </c>
      <c r="AT105" s="201">
        <v>0</v>
      </c>
      <c r="AU105" s="201">
        <v>0</v>
      </c>
      <c r="AV105" s="201">
        <v>0</v>
      </c>
      <c r="AW105" s="201" t="s">
        <v>172</v>
      </c>
      <c r="AX105" s="201" t="s">
        <v>172</v>
      </c>
      <c r="AY105" s="232" t="s">
        <v>172</v>
      </c>
      <c r="AZ105" s="232" t="s">
        <v>172</v>
      </c>
    </row>
    <row r="106" spans="1:52" x14ac:dyDescent="0.25">
      <c r="A106" s="229" t="s">
        <v>432</v>
      </c>
      <c r="B106" s="216" t="s">
        <v>214</v>
      </c>
      <c r="C106" s="201">
        <v>20447</v>
      </c>
      <c r="D106" s="201">
        <v>14412</v>
      </c>
      <c r="E106" s="201">
        <v>0</v>
      </c>
      <c r="F106" s="201">
        <v>0</v>
      </c>
      <c r="G106" s="201">
        <v>0</v>
      </c>
      <c r="H106" s="201">
        <v>0</v>
      </c>
      <c r="I106" s="201">
        <v>0</v>
      </c>
      <c r="J106" s="201">
        <v>0</v>
      </c>
      <c r="K106" s="201">
        <v>0</v>
      </c>
      <c r="L106" s="201">
        <v>0</v>
      </c>
      <c r="M106" s="201">
        <v>0</v>
      </c>
      <c r="N106" s="201">
        <v>0</v>
      </c>
      <c r="O106" s="201">
        <v>54</v>
      </c>
      <c r="P106" s="201">
        <v>50214</v>
      </c>
      <c r="Q106" s="201">
        <v>0</v>
      </c>
      <c r="R106" s="201">
        <v>0</v>
      </c>
      <c r="S106" s="201">
        <v>0</v>
      </c>
      <c r="T106" s="201">
        <v>0</v>
      </c>
      <c r="U106" s="201">
        <v>0</v>
      </c>
      <c r="V106" s="201">
        <v>0</v>
      </c>
      <c r="W106" s="201">
        <v>0</v>
      </c>
      <c r="X106" s="201">
        <v>0</v>
      </c>
      <c r="Y106" s="201">
        <v>0</v>
      </c>
      <c r="Z106" s="201">
        <v>0</v>
      </c>
      <c r="AA106" s="201">
        <v>0</v>
      </c>
      <c r="AB106" s="201">
        <v>0</v>
      </c>
      <c r="AC106" s="201">
        <v>0</v>
      </c>
      <c r="AD106" s="201">
        <v>0</v>
      </c>
      <c r="AE106" s="201">
        <v>0</v>
      </c>
      <c r="AF106" s="201">
        <v>0</v>
      </c>
      <c r="AG106" s="201">
        <v>0</v>
      </c>
      <c r="AH106" s="201">
        <v>0</v>
      </c>
      <c r="AI106" s="201">
        <v>0</v>
      </c>
      <c r="AJ106" s="201">
        <v>0</v>
      </c>
      <c r="AK106" s="201">
        <v>0</v>
      </c>
      <c r="AL106" s="201">
        <v>0</v>
      </c>
      <c r="AM106" s="201">
        <v>0</v>
      </c>
      <c r="AN106" s="201">
        <v>0</v>
      </c>
      <c r="AO106" s="201">
        <v>0</v>
      </c>
      <c r="AP106" s="201">
        <v>0</v>
      </c>
      <c r="AQ106" s="201">
        <v>0</v>
      </c>
      <c r="AR106" s="201">
        <v>0</v>
      </c>
      <c r="AS106" s="201">
        <v>0</v>
      </c>
      <c r="AT106" s="201">
        <v>0</v>
      </c>
      <c r="AU106" s="201">
        <v>0</v>
      </c>
      <c r="AV106" s="201">
        <v>0</v>
      </c>
      <c r="AW106" s="201" t="s">
        <v>172</v>
      </c>
      <c r="AX106" s="201" t="s">
        <v>172</v>
      </c>
      <c r="AY106" s="232" t="s">
        <v>172</v>
      </c>
      <c r="AZ106" s="232" t="s">
        <v>172</v>
      </c>
    </row>
    <row r="107" spans="1:52" x14ac:dyDescent="0.25">
      <c r="A107" s="229" t="s">
        <v>433</v>
      </c>
      <c r="B107" s="216" t="s">
        <v>214</v>
      </c>
      <c r="C107" s="201">
        <v>1035</v>
      </c>
      <c r="D107" s="201">
        <v>2124</v>
      </c>
      <c r="E107" s="201">
        <v>0</v>
      </c>
      <c r="F107" s="201">
        <v>0</v>
      </c>
      <c r="G107" s="201">
        <v>0</v>
      </c>
      <c r="H107" s="201">
        <v>0</v>
      </c>
      <c r="I107" s="201">
        <v>0</v>
      </c>
      <c r="J107" s="201">
        <v>0</v>
      </c>
      <c r="K107" s="201">
        <v>0</v>
      </c>
      <c r="L107" s="201">
        <v>0</v>
      </c>
      <c r="M107" s="201">
        <v>0</v>
      </c>
      <c r="N107" s="201">
        <v>0</v>
      </c>
      <c r="O107" s="201">
        <v>0</v>
      </c>
      <c r="P107" s="201">
        <v>0</v>
      </c>
      <c r="Q107" s="201">
        <v>0</v>
      </c>
      <c r="R107" s="201">
        <v>0</v>
      </c>
      <c r="S107" s="201">
        <v>0</v>
      </c>
      <c r="T107" s="201">
        <v>0</v>
      </c>
      <c r="U107" s="201">
        <v>0</v>
      </c>
      <c r="V107" s="201">
        <v>0</v>
      </c>
      <c r="W107" s="201">
        <v>0</v>
      </c>
      <c r="X107" s="201">
        <v>0</v>
      </c>
      <c r="Y107" s="202">
        <v>0</v>
      </c>
      <c r="Z107" s="202">
        <v>0</v>
      </c>
      <c r="AA107" s="202">
        <v>0</v>
      </c>
      <c r="AB107" s="202">
        <v>0</v>
      </c>
      <c r="AC107" s="201">
        <v>81</v>
      </c>
      <c r="AD107" s="201">
        <v>15713</v>
      </c>
      <c r="AE107" s="202">
        <v>7</v>
      </c>
      <c r="AF107" s="202">
        <v>1425</v>
      </c>
      <c r="AG107" s="202">
        <v>0</v>
      </c>
      <c r="AH107" s="202">
        <v>0</v>
      </c>
      <c r="AI107" s="202">
        <v>0</v>
      </c>
      <c r="AJ107" s="202">
        <v>0</v>
      </c>
      <c r="AK107" s="202">
        <v>0</v>
      </c>
      <c r="AL107" s="202">
        <v>0</v>
      </c>
      <c r="AM107" s="202">
        <v>0</v>
      </c>
      <c r="AN107" s="202">
        <v>0</v>
      </c>
      <c r="AO107" s="202">
        <v>0</v>
      </c>
      <c r="AP107" s="202">
        <v>0</v>
      </c>
      <c r="AQ107" s="202">
        <v>0</v>
      </c>
      <c r="AR107" s="202">
        <v>0</v>
      </c>
      <c r="AS107" s="202">
        <v>0</v>
      </c>
      <c r="AT107" s="202">
        <v>0</v>
      </c>
      <c r="AU107" s="201">
        <v>0</v>
      </c>
      <c r="AV107" s="201">
        <v>0</v>
      </c>
      <c r="AW107" s="201" t="s">
        <v>172</v>
      </c>
      <c r="AX107" s="201" t="s">
        <v>172</v>
      </c>
      <c r="AY107" s="232" t="s">
        <v>172</v>
      </c>
      <c r="AZ107" s="232" t="s">
        <v>172</v>
      </c>
    </row>
    <row r="108" spans="1:52" x14ac:dyDescent="0.25">
      <c r="A108" s="229" t="s">
        <v>434</v>
      </c>
      <c r="B108" s="216" t="s">
        <v>214</v>
      </c>
      <c r="C108" s="201">
        <v>0</v>
      </c>
      <c r="D108" s="201">
        <v>0</v>
      </c>
      <c r="E108" s="201">
        <v>0</v>
      </c>
      <c r="F108" s="201">
        <v>0</v>
      </c>
      <c r="G108" s="201">
        <v>0</v>
      </c>
      <c r="H108" s="201">
        <v>0</v>
      </c>
      <c r="I108" s="201">
        <v>0</v>
      </c>
      <c r="J108" s="201">
        <v>0</v>
      </c>
      <c r="K108" s="201">
        <v>0</v>
      </c>
      <c r="L108" s="201">
        <v>0</v>
      </c>
      <c r="M108" s="201">
        <v>0</v>
      </c>
      <c r="N108" s="201">
        <v>0</v>
      </c>
      <c r="O108" s="201">
        <v>0</v>
      </c>
      <c r="P108" s="201">
        <v>0</v>
      </c>
      <c r="Q108" s="201">
        <v>0</v>
      </c>
      <c r="R108" s="201">
        <v>0</v>
      </c>
      <c r="S108" s="201">
        <v>0</v>
      </c>
      <c r="T108" s="201">
        <v>0</v>
      </c>
      <c r="U108" s="201">
        <v>0</v>
      </c>
      <c r="V108" s="201">
        <v>0</v>
      </c>
      <c r="W108" s="201">
        <v>0</v>
      </c>
      <c r="X108" s="201">
        <v>0</v>
      </c>
      <c r="Y108" s="202">
        <v>0</v>
      </c>
      <c r="Z108" s="202">
        <v>0</v>
      </c>
      <c r="AA108" s="202">
        <v>0</v>
      </c>
      <c r="AB108" s="202">
        <v>0</v>
      </c>
      <c r="AC108" s="201">
        <v>1143</v>
      </c>
      <c r="AD108" s="201">
        <v>6680</v>
      </c>
      <c r="AE108" s="202">
        <v>720</v>
      </c>
      <c r="AF108" s="202">
        <v>870</v>
      </c>
      <c r="AG108" s="202">
        <v>0</v>
      </c>
      <c r="AH108" s="202">
        <v>0</v>
      </c>
      <c r="AI108" s="202">
        <v>25701</v>
      </c>
      <c r="AJ108" s="202">
        <v>35990</v>
      </c>
      <c r="AK108" s="201">
        <v>0</v>
      </c>
      <c r="AL108" s="201">
        <v>0</v>
      </c>
      <c r="AM108" s="221">
        <v>28730</v>
      </c>
      <c r="AN108" s="221">
        <v>17238</v>
      </c>
      <c r="AO108" s="202">
        <v>0</v>
      </c>
      <c r="AP108" s="202">
        <v>0</v>
      </c>
      <c r="AQ108" s="202">
        <v>60</v>
      </c>
      <c r="AR108" s="202">
        <v>36000</v>
      </c>
      <c r="AS108" s="202">
        <v>40.090000000000003</v>
      </c>
      <c r="AT108" s="202">
        <v>24054</v>
      </c>
      <c r="AU108" s="202">
        <v>111830</v>
      </c>
      <c r="AV108" s="202">
        <v>67098</v>
      </c>
      <c r="AW108" s="201" t="s">
        <v>172</v>
      </c>
      <c r="AX108" s="223" t="s">
        <v>172</v>
      </c>
      <c r="AY108" s="234" t="s">
        <v>172</v>
      </c>
      <c r="AZ108" s="234" t="s">
        <v>172</v>
      </c>
    </row>
    <row r="109" spans="1:52" x14ac:dyDescent="0.25">
      <c r="A109" s="229" t="s">
        <v>435</v>
      </c>
      <c r="B109" s="216" t="s">
        <v>214</v>
      </c>
      <c r="C109" s="201">
        <v>0</v>
      </c>
      <c r="D109" s="201">
        <v>0</v>
      </c>
      <c r="E109" s="201">
        <v>0</v>
      </c>
      <c r="F109" s="201">
        <v>0</v>
      </c>
      <c r="G109" s="201">
        <v>0</v>
      </c>
      <c r="H109" s="201">
        <v>0</v>
      </c>
      <c r="I109" s="201">
        <v>0</v>
      </c>
      <c r="J109" s="201">
        <v>0</v>
      </c>
      <c r="K109" s="201">
        <v>0</v>
      </c>
      <c r="L109" s="201">
        <v>0</v>
      </c>
      <c r="M109" s="201">
        <v>0</v>
      </c>
      <c r="N109" s="201">
        <v>0</v>
      </c>
      <c r="O109" s="201">
        <v>0</v>
      </c>
      <c r="P109" s="201">
        <v>0</v>
      </c>
      <c r="Q109" s="201">
        <v>0</v>
      </c>
      <c r="R109" s="201">
        <v>0</v>
      </c>
      <c r="S109" s="201">
        <v>0</v>
      </c>
      <c r="T109" s="201">
        <v>0</v>
      </c>
      <c r="U109" s="201">
        <v>0</v>
      </c>
      <c r="V109" s="201">
        <v>0</v>
      </c>
      <c r="W109" s="201">
        <v>1260</v>
      </c>
      <c r="X109" s="201">
        <v>12600</v>
      </c>
      <c r="Y109" s="202">
        <v>0</v>
      </c>
      <c r="Z109" s="202">
        <v>0</v>
      </c>
      <c r="AA109" s="202">
        <v>0</v>
      </c>
      <c r="AB109" s="202">
        <v>0</v>
      </c>
      <c r="AC109" s="202">
        <v>0</v>
      </c>
      <c r="AD109" s="202">
        <v>0</v>
      </c>
      <c r="AE109" s="202">
        <v>0</v>
      </c>
      <c r="AF109" s="202">
        <v>0</v>
      </c>
      <c r="AG109" s="202">
        <v>0</v>
      </c>
      <c r="AH109" s="202">
        <v>0</v>
      </c>
      <c r="AI109" s="202">
        <v>0</v>
      </c>
      <c r="AJ109" s="202">
        <v>0</v>
      </c>
      <c r="AK109" s="202">
        <v>0</v>
      </c>
      <c r="AL109" s="202">
        <v>0</v>
      </c>
      <c r="AM109" s="202">
        <v>0</v>
      </c>
      <c r="AN109" s="202">
        <v>0</v>
      </c>
      <c r="AO109" s="202">
        <v>0</v>
      </c>
      <c r="AP109" s="202">
        <v>0</v>
      </c>
      <c r="AQ109" s="202">
        <v>0</v>
      </c>
      <c r="AR109" s="202">
        <v>0</v>
      </c>
      <c r="AS109" s="202">
        <v>0</v>
      </c>
      <c r="AT109" s="202">
        <v>0</v>
      </c>
      <c r="AU109" s="202">
        <v>0</v>
      </c>
      <c r="AV109" s="202">
        <v>0</v>
      </c>
      <c r="AW109" s="201" t="s">
        <v>172</v>
      </c>
      <c r="AX109" s="201" t="s">
        <v>172</v>
      </c>
      <c r="AY109" s="232" t="s">
        <v>172</v>
      </c>
      <c r="AZ109" s="232" t="s">
        <v>172</v>
      </c>
    </row>
    <row r="110" spans="1:52" x14ac:dyDescent="0.25">
      <c r="A110" s="218" t="s">
        <v>436</v>
      </c>
      <c r="C110" s="201"/>
      <c r="D110" s="201">
        <f>SUM(D89:D109)</f>
        <v>450462</v>
      </c>
      <c r="E110" s="201"/>
      <c r="F110" s="201">
        <f>SUM(F89:F109)</f>
        <v>86983</v>
      </c>
      <c r="G110" s="201"/>
      <c r="H110" s="201">
        <f>SUM(H89:H109)</f>
        <v>7114</v>
      </c>
      <c r="I110" s="201"/>
      <c r="J110" s="201">
        <f>SUM(J89:J109)</f>
        <v>39907</v>
      </c>
      <c r="K110" s="201"/>
      <c r="L110" s="201">
        <f>SUM(L89:L109)</f>
        <v>73784</v>
      </c>
      <c r="M110" s="201"/>
      <c r="N110" s="201">
        <f>SUM(N89:N109)</f>
        <v>60704</v>
      </c>
      <c r="O110" s="201"/>
      <c r="P110" s="201">
        <f>SUM(P89:P109)</f>
        <v>140582</v>
      </c>
      <c r="Q110" s="201"/>
      <c r="R110" s="201">
        <f>SUM(R89:R109)</f>
        <v>54199</v>
      </c>
      <c r="S110" s="201"/>
      <c r="T110" s="201">
        <f>SUM(T89:T109)</f>
        <v>195500</v>
      </c>
      <c r="U110" s="202"/>
      <c r="V110" s="202">
        <f>SUM(V89:V109)</f>
        <v>288126</v>
      </c>
      <c r="W110" s="219"/>
      <c r="X110" s="201">
        <f>SUM(X89:X109)</f>
        <v>187287</v>
      </c>
      <c r="Y110" s="202"/>
      <c r="Z110" s="202">
        <f>SUM(Z89:Z109)</f>
        <v>3291</v>
      </c>
      <c r="AA110" s="202"/>
      <c r="AB110" s="202">
        <f>SUM(AB89:AB109)</f>
        <v>163926</v>
      </c>
      <c r="AC110" s="201"/>
      <c r="AD110" s="201">
        <f>SUM(AD89:AD109)</f>
        <v>1332783</v>
      </c>
      <c r="AE110" s="202"/>
      <c r="AF110" s="202">
        <f>SUM(AF89:AF109)</f>
        <v>1215324</v>
      </c>
      <c r="AG110" s="202"/>
      <c r="AH110" s="202">
        <f>SUM(AH89:AH109)</f>
        <v>1610808</v>
      </c>
      <c r="AI110" s="202"/>
      <c r="AJ110" s="202">
        <f>SUM(AJ89:AJ109)</f>
        <v>749726</v>
      </c>
      <c r="AK110" s="202"/>
      <c r="AL110" s="202">
        <f>SUM(AL89:AL109)</f>
        <v>25893</v>
      </c>
      <c r="AM110" s="202"/>
      <c r="AN110" s="202">
        <f>SUM(AN89:AN108)</f>
        <v>51848</v>
      </c>
      <c r="AO110" s="225"/>
      <c r="AP110" s="202">
        <f>SUM(AP89:AP109)</f>
        <v>4027</v>
      </c>
      <c r="AQ110" s="202"/>
      <c r="AR110" s="202">
        <f>SUM(AR89:AR109)</f>
        <v>54006</v>
      </c>
      <c r="AS110" s="202"/>
      <c r="AT110" s="202">
        <f>SUM(AT89:AT109)</f>
        <v>41194</v>
      </c>
      <c r="AU110" s="202"/>
      <c r="AV110" s="202">
        <f>SUM(AV89:AV109)</f>
        <v>135243</v>
      </c>
      <c r="AW110" s="202">
        <v>540965</v>
      </c>
      <c r="AX110" s="202">
        <v>546807</v>
      </c>
      <c r="AY110" s="201">
        <v>180669</v>
      </c>
      <c r="AZ110" s="201">
        <v>219320.33</v>
      </c>
    </row>
    <row r="111" spans="1:52" x14ac:dyDescent="0.25">
      <c r="A111" s="218"/>
      <c r="C111" s="201"/>
      <c r="D111" s="201"/>
      <c r="E111" s="201"/>
      <c r="F111" s="201"/>
      <c r="G111" s="201"/>
      <c r="H111" s="201"/>
      <c r="I111" s="201"/>
      <c r="J111" s="201"/>
      <c r="K111" s="201"/>
      <c r="L111" s="201"/>
      <c r="M111" s="201"/>
      <c r="N111" s="201"/>
      <c r="O111" s="201"/>
      <c r="P111" s="201"/>
      <c r="Q111" s="201"/>
      <c r="R111" s="201"/>
      <c r="S111" s="201"/>
      <c r="T111" s="201"/>
      <c r="U111" s="202"/>
      <c r="V111" s="202"/>
      <c r="W111" s="219"/>
      <c r="X111" s="201"/>
      <c r="Y111" s="202"/>
      <c r="Z111" s="202"/>
      <c r="AA111" s="202"/>
      <c r="AB111" s="202"/>
      <c r="AC111" s="201"/>
      <c r="AD111" s="201"/>
      <c r="AE111" s="202"/>
      <c r="AF111" s="202"/>
      <c r="AG111" s="202"/>
      <c r="AH111" s="202"/>
      <c r="AI111" s="202"/>
      <c r="AJ111" s="202"/>
      <c r="AK111" s="202"/>
      <c r="AL111" s="202"/>
      <c r="AM111" s="202"/>
      <c r="AN111" s="202"/>
      <c r="AO111" s="225"/>
      <c r="AQ111" s="202"/>
      <c r="AR111" s="202"/>
      <c r="AS111" s="202"/>
      <c r="AT111" s="202"/>
      <c r="AU111" s="202"/>
      <c r="AV111" s="202"/>
      <c r="AW111" s="227"/>
      <c r="AX111" s="227"/>
      <c r="AY111" s="228"/>
      <c r="AZ111" s="228"/>
    </row>
    <row r="112" spans="1:52" x14ac:dyDescent="0.25">
      <c r="A112" s="1324" t="s">
        <v>437</v>
      </c>
      <c r="B112" s="1325" t="s">
        <v>166</v>
      </c>
      <c r="C112" s="1326">
        <v>6571</v>
      </c>
      <c r="D112" s="1326">
        <v>300679</v>
      </c>
      <c r="E112" s="1326">
        <v>0</v>
      </c>
      <c r="F112" s="1326">
        <v>0</v>
      </c>
      <c r="G112" s="1326">
        <v>0</v>
      </c>
      <c r="H112" s="1326">
        <v>0</v>
      </c>
      <c r="I112" s="1326">
        <v>0</v>
      </c>
      <c r="J112" s="1326">
        <v>0</v>
      </c>
      <c r="K112" s="1326">
        <v>0</v>
      </c>
      <c r="L112" s="1326">
        <v>0</v>
      </c>
      <c r="M112" s="1326">
        <v>0</v>
      </c>
      <c r="N112" s="1326">
        <v>0</v>
      </c>
      <c r="O112" s="1326">
        <v>0</v>
      </c>
      <c r="P112" s="1326">
        <v>0</v>
      </c>
      <c r="Q112" s="1326">
        <v>0</v>
      </c>
      <c r="R112" s="1326">
        <v>0</v>
      </c>
      <c r="S112" s="1326">
        <v>0</v>
      </c>
      <c r="T112" s="1326">
        <v>0</v>
      </c>
      <c r="U112" s="1326">
        <v>0</v>
      </c>
      <c r="V112" s="1326">
        <v>0</v>
      </c>
      <c r="W112" s="1326">
        <v>0</v>
      </c>
      <c r="X112" s="1326">
        <v>0</v>
      </c>
      <c r="Y112" s="1326">
        <v>0</v>
      </c>
      <c r="Z112" s="1326">
        <v>0</v>
      </c>
      <c r="AA112" s="1326">
        <v>0</v>
      </c>
      <c r="AB112" s="1326">
        <v>0</v>
      </c>
      <c r="AC112" s="1326">
        <v>0</v>
      </c>
      <c r="AD112" s="1326">
        <v>0</v>
      </c>
      <c r="AE112" s="1326">
        <v>0</v>
      </c>
      <c r="AF112" s="1326">
        <v>0</v>
      </c>
      <c r="AG112" s="1326">
        <v>0</v>
      </c>
      <c r="AH112" s="1326">
        <v>0</v>
      </c>
      <c r="AI112" s="1326">
        <v>0</v>
      </c>
      <c r="AJ112" s="1326">
        <v>0</v>
      </c>
      <c r="AK112" s="1326">
        <v>0</v>
      </c>
      <c r="AL112" s="1326">
        <v>0</v>
      </c>
      <c r="AM112" s="1326">
        <v>0</v>
      </c>
      <c r="AN112" s="1326">
        <v>0</v>
      </c>
      <c r="AO112" s="1326">
        <v>0</v>
      </c>
      <c r="AP112" s="1326">
        <v>0</v>
      </c>
      <c r="AQ112" s="1326">
        <v>0</v>
      </c>
      <c r="AR112" s="1326">
        <v>0</v>
      </c>
      <c r="AS112" s="1326">
        <v>0</v>
      </c>
      <c r="AT112" s="1326">
        <v>0</v>
      </c>
      <c r="AU112" s="1326">
        <v>0</v>
      </c>
      <c r="AV112" s="1326">
        <v>0</v>
      </c>
      <c r="AW112" s="1326">
        <v>0</v>
      </c>
      <c r="AX112" s="1326">
        <v>0</v>
      </c>
      <c r="AY112" s="1326">
        <v>0</v>
      </c>
      <c r="AZ112" s="1326">
        <v>0</v>
      </c>
    </row>
    <row r="113" spans="1:52" x14ac:dyDescent="0.25">
      <c r="A113" s="1347"/>
      <c r="B113" s="1345"/>
      <c r="C113" s="1326"/>
      <c r="D113" s="1326"/>
      <c r="E113" s="1326"/>
      <c r="F113" s="1326"/>
      <c r="G113" s="1326"/>
      <c r="H113" s="1326"/>
      <c r="I113" s="1326"/>
      <c r="J113" s="1326"/>
      <c r="K113" s="1326"/>
      <c r="L113" s="1326"/>
      <c r="M113" s="1326"/>
      <c r="N113" s="1326"/>
      <c r="O113" s="1326"/>
      <c r="P113" s="1326"/>
      <c r="Q113" s="1326"/>
      <c r="R113" s="1326"/>
      <c r="S113" s="1326"/>
      <c r="T113" s="1326"/>
      <c r="U113" s="1327"/>
      <c r="V113" s="1327"/>
      <c r="W113" s="1337"/>
      <c r="X113" s="1337"/>
      <c r="Y113" s="1337"/>
      <c r="Z113" s="1337"/>
      <c r="AA113" s="1327"/>
      <c r="AB113" s="1327"/>
      <c r="AC113" s="1326"/>
      <c r="AD113" s="1326"/>
      <c r="AE113" s="1327"/>
      <c r="AF113" s="1327"/>
      <c r="AG113" s="1327"/>
      <c r="AH113" s="1327"/>
      <c r="AI113" s="1327"/>
      <c r="AJ113" s="1327"/>
      <c r="AK113" s="1327"/>
      <c r="AL113" s="1327"/>
      <c r="AM113" s="1327"/>
      <c r="AN113" s="1327"/>
      <c r="AO113" s="1346"/>
      <c r="AP113" s="1327"/>
      <c r="AQ113" s="1327"/>
      <c r="AR113" s="1327"/>
      <c r="AS113" s="1327"/>
      <c r="AT113" s="1327"/>
      <c r="AU113" s="1327"/>
      <c r="AV113" s="1327"/>
      <c r="AW113" s="1334"/>
      <c r="AX113" s="1334"/>
      <c r="AY113" s="1335"/>
      <c r="AZ113" s="1335"/>
    </row>
    <row r="114" spans="1:52" x14ac:dyDescent="0.25">
      <c r="A114" s="215" t="s">
        <v>215</v>
      </c>
      <c r="B114" s="216" t="s">
        <v>214</v>
      </c>
      <c r="C114" s="201">
        <v>2213212</v>
      </c>
      <c r="D114" s="201">
        <v>1620890747</v>
      </c>
      <c r="E114" s="201">
        <v>11233</v>
      </c>
      <c r="F114" s="201">
        <v>179314357</v>
      </c>
      <c r="G114" s="201">
        <v>12047</v>
      </c>
      <c r="H114" s="201">
        <v>153313613</v>
      </c>
      <c r="I114" s="201">
        <v>20757</v>
      </c>
      <c r="J114" s="201">
        <v>247418210</v>
      </c>
      <c r="K114" s="201">
        <v>23881</v>
      </c>
      <c r="L114" s="201">
        <v>359374810</v>
      </c>
      <c r="M114" s="201">
        <v>32111</v>
      </c>
      <c r="N114" s="201">
        <v>422248335</v>
      </c>
      <c r="O114" s="201">
        <v>41196</v>
      </c>
      <c r="P114" s="201">
        <v>605618349</v>
      </c>
      <c r="Q114" s="201">
        <v>53639</v>
      </c>
      <c r="R114" s="201">
        <v>974017155</v>
      </c>
      <c r="S114" s="201">
        <v>79164</v>
      </c>
      <c r="T114" s="201">
        <f>2545194*639.3</f>
        <v>1627142524.1999998</v>
      </c>
      <c r="U114" s="201">
        <v>108133</v>
      </c>
      <c r="V114" s="201">
        <f>3476570*563</f>
        <v>1957308910</v>
      </c>
      <c r="W114" s="201">
        <v>150459</v>
      </c>
      <c r="X114" s="201">
        <f>4843269*483.8</f>
        <v>2343173542.2000003</v>
      </c>
      <c r="Y114" s="201">
        <v>187744</v>
      </c>
      <c r="Z114" s="201">
        <f>6036110*493.3</f>
        <v>2977613063</v>
      </c>
      <c r="AA114" s="202">
        <v>184410</v>
      </c>
      <c r="AB114" s="202">
        <f>5928931*467.4</f>
        <v>2771182349.4000001</v>
      </c>
      <c r="AC114" s="201">
        <v>182450</v>
      </c>
      <c r="AD114" s="201">
        <v>2763465836</v>
      </c>
      <c r="AE114" s="202">
        <v>182154</v>
      </c>
      <c r="AF114" s="202">
        <v>3116213103</v>
      </c>
      <c r="AG114" s="202">
        <v>191709</v>
      </c>
      <c r="AH114" s="202">
        <v>3264710204</v>
      </c>
      <c r="AI114" s="202">
        <v>189753</v>
      </c>
      <c r="AJ114" s="202">
        <v>3285966920</v>
      </c>
      <c r="AK114" s="202">
        <v>221184</v>
      </c>
      <c r="AL114" s="202">
        <v>3636954139</v>
      </c>
      <c r="AM114" s="202">
        <v>238335</v>
      </c>
      <c r="AN114" s="202">
        <v>3522233274</v>
      </c>
      <c r="AO114" s="202">
        <v>231379</v>
      </c>
      <c r="AP114" s="202">
        <v>3477119729</v>
      </c>
      <c r="AQ114" s="202">
        <v>211761</v>
      </c>
      <c r="AR114" s="202">
        <v>2942274771</v>
      </c>
      <c r="AS114" s="202">
        <v>199496</v>
      </c>
      <c r="AT114" s="202">
        <v>3087279157</v>
      </c>
      <c r="AU114" s="202">
        <v>192204</v>
      </c>
      <c r="AV114" s="202">
        <v>3236195818</v>
      </c>
      <c r="AW114" s="202">
        <v>188859</v>
      </c>
      <c r="AX114" s="202">
        <v>3460872364</v>
      </c>
      <c r="AY114" s="201">
        <v>187498</v>
      </c>
      <c r="AZ114" s="201">
        <v>3364962855</v>
      </c>
    </row>
    <row r="116" spans="1:52" x14ac:dyDescent="0.25">
      <c r="A116" s="1324" t="s">
        <v>438</v>
      </c>
      <c r="B116" s="1325" t="s">
        <v>166</v>
      </c>
      <c r="C116" s="1326">
        <v>156</v>
      </c>
      <c r="D116" s="1326">
        <v>2608</v>
      </c>
      <c r="E116" s="1326">
        <v>0</v>
      </c>
      <c r="F116" s="1326">
        <v>0</v>
      </c>
      <c r="G116" s="1326">
        <v>0</v>
      </c>
      <c r="H116" s="1326">
        <v>0</v>
      </c>
      <c r="I116" s="1326">
        <v>0</v>
      </c>
      <c r="J116" s="1326">
        <v>0</v>
      </c>
      <c r="K116" s="1326">
        <v>0</v>
      </c>
      <c r="L116" s="1326">
        <v>0</v>
      </c>
      <c r="M116" s="1326">
        <v>0</v>
      </c>
      <c r="N116" s="1326">
        <v>0</v>
      </c>
      <c r="O116" s="1326">
        <v>0</v>
      </c>
      <c r="P116" s="1326">
        <v>0</v>
      </c>
      <c r="Q116" s="1326">
        <v>0</v>
      </c>
      <c r="R116" s="1326">
        <v>0</v>
      </c>
      <c r="S116" s="1326">
        <v>0</v>
      </c>
      <c r="T116" s="1326">
        <v>0</v>
      </c>
      <c r="U116" s="1326">
        <v>0</v>
      </c>
      <c r="V116" s="1326">
        <v>0</v>
      </c>
      <c r="W116" s="1326">
        <v>0</v>
      </c>
      <c r="X116" s="1326">
        <v>0</v>
      </c>
      <c r="Y116" s="1326">
        <v>0</v>
      </c>
      <c r="Z116" s="1326">
        <v>0</v>
      </c>
      <c r="AA116" s="1326">
        <v>0</v>
      </c>
      <c r="AB116" s="1326">
        <v>0</v>
      </c>
      <c r="AC116" s="1326">
        <v>0</v>
      </c>
      <c r="AD116" s="1326">
        <v>0</v>
      </c>
      <c r="AE116" s="1326">
        <v>0</v>
      </c>
      <c r="AF116" s="1326">
        <v>0</v>
      </c>
      <c r="AG116" s="1326">
        <v>0</v>
      </c>
      <c r="AH116" s="1326">
        <v>0</v>
      </c>
      <c r="AI116" s="1326">
        <v>0</v>
      </c>
      <c r="AJ116" s="1326">
        <v>0</v>
      </c>
      <c r="AK116" s="1326">
        <v>0</v>
      </c>
      <c r="AL116" s="1326">
        <v>0</v>
      </c>
      <c r="AM116" s="1326">
        <v>0</v>
      </c>
      <c r="AN116" s="1326">
        <v>0</v>
      </c>
      <c r="AO116" s="1326">
        <v>0</v>
      </c>
      <c r="AP116" s="1326">
        <v>0</v>
      </c>
      <c r="AQ116" s="1326">
        <v>0</v>
      </c>
      <c r="AR116" s="1326">
        <v>0</v>
      </c>
      <c r="AS116" s="1326">
        <v>0</v>
      </c>
      <c r="AT116" s="1326">
        <v>0</v>
      </c>
      <c r="AU116" s="1326">
        <v>0</v>
      </c>
      <c r="AV116" s="1326">
        <v>0</v>
      </c>
      <c r="AW116" s="1326">
        <v>0</v>
      </c>
      <c r="AX116" s="1326">
        <v>0</v>
      </c>
      <c r="AY116" s="1343">
        <v>0</v>
      </c>
      <c r="AZ116" s="1343">
        <v>0</v>
      </c>
    </row>
    <row r="117" spans="1:52" x14ac:dyDescent="0.25">
      <c r="A117" s="1347"/>
      <c r="B117" s="1325"/>
      <c r="C117" s="1326"/>
      <c r="D117" s="1326"/>
      <c r="E117" s="1326"/>
      <c r="F117" s="1326"/>
      <c r="G117" s="1326"/>
      <c r="H117" s="1326"/>
      <c r="I117" s="1326"/>
      <c r="J117" s="1326"/>
      <c r="K117" s="1326"/>
      <c r="L117" s="1326"/>
      <c r="M117" s="1326"/>
      <c r="N117" s="1326"/>
      <c r="O117" s="1326"/>
      <c r="P117" s="1326"/>
      <c r="Q117" s="1326"/>
      <c r="R117" s="1326"/>
      <c r="S117" s="1326"/>
      <c r="T117" s="1326"/>
      <c r="U117" s="1337"/>
      <c r="V117" s="1337"/>
      <c r="W117" s="1326"/>
      <c r="X117" s="1326"/>
      <c r="Y117" s="1326"/>
      <c r="Z117" s="1326"/>
      <c r="AA117" s="1327"/>
      <c r="AB117" s="1327"/>
      <c r="AC117" s="1326"/>
      <c r="AD117" s="1326"/>
      <c r="AE117" s="1327"/>
      <c r="AF117" s="1327"/>
      <c r="AG117" s="1327"/>
      <c r="AH117" s="1327"/>
      <c r="AI117" s="1327"/>
      <c r="AJ117" s="1327"/>
      <c r="AK117" s="1327"/>
      <c r="AL117" s="1327"/>
      <c r="AM117" s="1327"/>
      <c r="AN117" s="1327"/>
      <c r="AO117" s="1327"/>
      <c r="AP117" s="1327"/>
      <c r="AQ117" s="1327"/>
      <c r="AR117" s="1327"/>
      <c r="AS117" s="1327"/>
      <c r="AT117" s="1327"/>
      <c r="AU117" s="1327"/>
      <c r="AV117" s="1327"/>
      <c r="AW117" s="1334"/>
      <c r="AX117" s="1334"/>
      <c r="AY117" s="1335"/>
      <c r="AZ117" s="1335"/>
    </row>
    <row r="118" spans="1:52" x14ac:dyDescent="0.25">
      <c r="A118" s="215" t="s">
        <v>216</v>
      </c>
      <c r="B118" s="216" t="s">
        <v>166</v>
      </c>
      <c r="C118" s="201">
        <v>2917884</v>
      </c>
      <c r="D118" s="201">
        <v>8203256</v>
      </c>
      <c r="E118" s="201">
        <v>293370</v>
      </c>
      <c r="F118" s="201">
        <v>1126629</v>
      </c>
      <c r="G118" s="201">
        <v>354836</v>
      </c>
      <c r="H118" s="201">
        <v>1444659</v>
      </c>
      <c r="I118" s="201">
        <v>526543</v>
      </c>
      <c r="J118" s="201">
        <v>4070915</v>
      </c>
      <c r="K118" s="201">
        <v>439444</v>
      </c>
      <c r="L118" s="201">
        <v>5500499</v>
      </c>
      <c r="M118" s="201">
        <v>637683</v>
      </c>
      <c r="N118" s="201">
        <v>7152245</v>
      </c>
      <c r="O118" s="201">
        <v>451765</v>
      </c>
      <c r="P118" s="201">
        <v>5126645</v>
      </c>
      <c r="Q118" s="201">
        <v>314481</v>
      </c>
      <c r="R118" s="201">
        <v>3771201</v>
      </c>
      <c r="S118" s="201">
        <v>136045</v>
      </c>
      <c r="T118" s="201">
        <v>1333818</v>
      </c>
      <c r="U118" s="201">
        <v>112017</v>
      </c>
      <c r="V118" s="201">
        <v>1005163</v>
      </c>
      <c r="W118" s="201">
        <v>163900</v>
      </c>
      <c r="X118" s="201">
        <v>1147662</v>
      </c>
      <c r="Y118" s="201">
        <v>146811</v>
      </c>
      <c r="Z118" s="201">
        <v>1061190</v>
      </c>
      <c r="AA118" s="202">
        <v>75750</v>
      </c>
      <c r="AB118" s="202">
        <v>635499</v>
      </c>
      <c r="AC118" s="201">
        <v>102105</v>
      </c>
      <c r="AD118" s="201">
        <v>1008920</v>
      </c>
      <c r="AE118" s="202">
        <v>145205</v>
      </c>
      <c r="AF118" s="202">
        <v>1329400</v>
      </c>
      <c r="AG118" s="202">
        <v>209912</v>
      </c>
      <c r="AH118" s="202">
        <v>2561194</v>
      </c>
      <c r="AI118" s="202">
        <v>217867</v>
      </c>
      <c r="AJ118" s="202">
        <v>2447709</v>
      </c>
      <c r="AK118" s="202">
        <v>260520</v>
      </c>
      <c r="AL118" s="202">
        <v>2352729</v>
      </c>
      <c r="AM118" s="221">
        <v>315363</v>
      </c>
      <c r="AN118" s="221">
        <v>3934459</v>
      </c>
      <c r="AO118" s="202">
        <v>1074742</v>
      </c>
      <c r="AP118" s="202">
        <v>18342182</v>
      </c>
      <c r="AQ118" s="202">
        <v>1342504.57</v>
      </c>
      <c r="AR118" s="202">
        <v>23279629</v>
      </c>
      <c r="AS118" s="202">
        <v>1058801.3600000001</v>
      </c>
      <c r="AT118" s="202">
        <v>19248834</v>
      </c>
      <c r="AU118" s="202">
        <v>1092060</v>
      </c>
      <c r="AV118" s="202">
        <v>23070405</v>
      </c>
      <c r="AW118" s="202">
        <v>1505817</v>
      </c>
      <c r="AX118" s="201">
        <v>25320815</v>
      </c>
      <c r="AY118" s="201">
        <v>1570660</v>
      </c>
      <c r="AZ118" s="201">
        <v>25312796</v>
      </c>
    </row>
    <row r="119" spans="1:52" x14ac:dyDescent="0.25">
      <c r="A119" s="215"/>
      <c r="B119" s="216"/>
      <c r="C119" s="201"/>
      <c r="D119" s="201"/>
      <c r="E119" s="201"/>
      <c r="F119" s="201"/>
      <c r="G119" s="201"/>
      <c r="H119" s="201"/>
      <c r="I119" s="201"/>
      <c r="J119" s="201"/>
      <c r="K119" s="201"/>
      <c r="L119" s="201"/>
      <c r="M119" s="201"/>
      <c r="N119" s="201"/>
      <c r="O119" s="201"/>
      <c r="P119" s="201"/>
      <c r="Q119" s="201"/>
      <c r="R119" s="201"/>
      <c r="S119" s="201"/>
      <c r="T119" s="201"/>
      <c r="U119" s="219"/>
      <c r="V119" s="219"/>
      <c r="W119" s="202"/>
      <c r="X119" s="202"/>
      <c r="Y119" s="202"/>
      <c r="Z119" s="202"/>
      <c r="AA119" s="202"/>
      <c r="AB119" s="202"/>
      <c r="AC119" s="201"/>
      <c r="AD119" s="201"/>
      <c r="AE119" s="202"/>
      <c r="AF119" s="202"/>
      <c r="AG119" s="202"/>
      <c r="AH119" s="202"/>
      <c r="AI119" s="202"/>
      <c r="AJ119" s="202"/>
      <c r="AK119" s="202"/>
      <c r="AL119" s="202"/>
      <c r="AM119" s="202"/>
      <c r="AN119" s="202"/>
      <c r="AQ119" s="202"/>
      <c r="AR119" s="202"/>
      <c r="AS119" s="202"/>
      <c r="AT119" s="202"/>
      <c r="AU119" s="202"/>
      <c r="AV119" s="202"/>
      <c r="AW119" s="227"/>
      <c r="AX119" s="227"/>
      <c r="AY119" s="228"/>
      <c r="AZ119" s="228"/>
    </row>
    <row r="120" spans="1:52" x14ac:dyDescent="0.25">
      <c r="A120" s="1324" t="s">
        <v>439</v>
      </c>
      <c r="B120" s="1345"/>
      <c r="C120" s="1326"/>
      <c r="D120" s="1326"/>
      <c r="E120" s="1326"/>
      <c r="F120" s="1326"/>
      <c r="G120" s="1326"/>
      <c r="H120" s="1326"/>
      <c r="I120" s="1326"/>
      <c r="J120" s="1326"/>
      <c r="K120" s="1326"/>
      <c r="L120" s="1326"/>
      <c r="M120" s="1326"/>
      <c r="N120" s="1326"/>
      <c r="O120" s="1326"/>
      <c r="P120" s="1326"/>
      <c r="Q120" s="1326"/>
      <c r="R120" s="1326"/>
      <c r="S120" s="1326"/>
      <c r="T120" s="1326"/>
      <c r="U120" s="1327"/>
      <c r="V120" s="1327"/>
      <c r="W120" s="1327"/>
      <c r="X120" s="1327"/>
      <c r="Y120" s="1327"/>
      <c r="Z120" s="1327"/>
      <c r="AA120" s="1327"/>
      <c r="AB120" s="1327"/>
      <c r="AC120" s="1326"/>
      <c r="AD120" s="1326"/>
      <c r="AE120" s="1327"/>
      <c r="AF120" s="1327"/>
      <c r="AG120" s="1327"/>
      <c r="AH120" s="1327"/>
      <c r="AI120" s="1327"/>
      <c r="AJ120" s="1327"/>
      <c r="AK120" s="1327"/>
      <c r="AL120" s="1327"/>
      <c r="AM120" s="1327"/>
      <c r="AN120" s="1327"/>
      <c r="AO120" s="1327"/>
      <c r="AP120" s="1327"/>
      <c r="AQ120" s="1327"/>
      <c r="AR120" s="1327"/>
      <c r="AS120" s="1327"/>
      <c r="AT120" s="1327"/>
      <c r="AU120" s="1327"/>
      <c r="AV120" s="1327"/>
      <c r="AW120" s="1334"/>
      <c r="AX120" s="1334"/>
      <c r="AY120" s="1342"/>
      <c r="AZ120" s="1335"/>
    </row>
    <row r="121" spans="1:52" x14ac:dyDescent="0.25">
      <c r="A121" s="1339" t="s">
        <v>225</v>
      </c>
      <c r="B121" s="1325" t="s">
        <v>166</v>
      </c>
      <c r="C121" s="1326">
        <v>761</v>
      </c>
      <c r="D121" s="1326">
        <v>56974</v>
      </c>
      <c r="E121" s="1326">
        <v>76</v>
      </c>
      <c r="F121" s="1326">
        <v>7540</v>
      </c>
      <c r="G121" s="1326">
        <v>1344</v>
      </c>
      <c r="H121" s="1326">
        <v>151517</v>
      </c>
      <c r="I121" s="1326">
        <v>3266</v>
      </c>
      <c r="J121" s="1326">
        <v>222726</v>
      </c>
      <c r="K121" s="1326">
        <v>2657</v>
      </c>
      <c r="L121" s="1326">
        <v>92967</v>
      </c>
      <c r="M121" s="1326">
        <v>3287</v>
      </c>
      <c r="N121" s="1326">
        <v>115080</v>
      </c>
      <c r="O121" s="1326">
        <v>5835</v>
      </c>
      <c r="P121" s="1326">
        <v>204252</v>
      </c>
      <c r="Q121" s="1326">
        <v>9724</v>
      </c>
      <c r="R121" s="1326">
        <v>340340</v>
      </c>
      <c r="S121" s="1326">
        <v>16837</v>
      </c>
      <c r="T121" s="1326">
        <v>593043</v>
      </c>
      <c r="U121" s="1326">
        <v>19758</v>
      </c>
      <c r="V121" s="1326">
        <v>693761</v>
      </c>
      <c r="W121" s="1326">
        <v>29905</v>
      </c>
      <c r="X121" s="1326">
        <v>1211433</v>
      </c>
      <c r="Y121" s="1326">
        <v>23367</v>
      </c>
      <c r="Z121" s="1326">
        <v>1535315</v>
      </c>
      <c r="AA121" s="1327">
        <v>30732</v>
      </c>
      <c r="AB121" s="1327">
        <v>2880905</v>
      </c>
      <c r="AC121" s="1326">
        <v>38140</v>
      </c>
      <c r="AD121" s="1326">
        <v>3611274</v>
      </c>
      <c r="AE121" s="1327">
        <v>48202</v>
      </c>
      <c r="AF121" s="1327">
        <v>4582615</v>
      </c>
      <c r="AG121" s="1327">
        <v>60382</v>
      </c>
      <c r="AH121" s="1327">
        <v>5738224</v>
      </c>
      <c r="AI121" s="1327">
        <v>84909</v>
      </c>
      <c r="AJ121" s="1327">
        <v>8067752</v>
      </c>
      <c r="AK121" s="1327">
        <v>88493</v>
      </c>
      <c r="AL121" s="1327">
        <v>9415064</v>
      </c>
      <c r="AM121" s="1328">
        <v>97109</v>
      </c>
      <c r="AN121" s="1328">
        <v>11168442</v>
      </c>
      <c r="AO121" s="1327">
        <v>117397</v>
      </c>
      <c r="AP121" s="1327">
        <v>14447079</v>
      </c>
      <c r="AQ121" s="1327">
        <v>95623.375</v>
      </c>
      <c r="AR121" s="1327">
        <v>12241014.26</v>
      </c>
      <c r="AS121" s="1327">
        <v>97442.97</v>
      </c>
      <c r="AT121" s="1327">
        <v>10723191</v>
      </c>
      <c r="AU121" s="1327">
        <v>108698</v>
      </c>
      <c r="AV121" s="1326" t="s">
        <v>172</v>
      </c>
      <c r="AW121" s="1326">
        <v>101845</v>
      </c>
      <c r="AX121" s="1326" t="s">
        <v>172</v>
      </c>
      <c r="AY121" s="1326">
        <v>127975</v>
      </c>
      <c r="AZ121" s="1326" t="s">
        <v>172</v>
      </c>
    </row>
    <row r="122" spans="1:52" x14ac:dyDescent="0.25">
      <c r="A122" s="1339" t="s">
        <v>226</v>
      </c>
      <c r="B122" s="1325" t="s">
        <v>166</v>
      </c>
      <c r="C122" s="1326">
        <f>13279841+158</f>
        <v>13279999</v>
      </c>
      <c r="D122" s="1326">
        <f>210198878+1553</f>
        <v>210200431</v>
      </c>
      <c r="E122" s="1326">
        <v>1207728</v>
      </c>
      <c r="F122" s="1326">
        <v>0</v>
      </c>
      <c r="G122" s="1326">
        <v>922821</v>
      </c>
      <c r="H122" s="1326"/>
      <c r="I122" s="1326">
        <v>1040106</v>
      </c>
      <c r="J122" s="1326"/>
      <c r="K122" s="1326">
        <v>871302</v>
      </c>
      <c r="L122" s="1327"/>
      <c r="M122" s="1326">
        <v>1336332</v>
      </c>
      <c r="N122" s="1326"/>
      <c r="O122" s="1326">
        <v>1163987</v>
      </c>
      <c r="P122" s="1326"/>
      <c r="Q122" s="1326">
        <v>946315</v>
      </c>
      <c r="R122" s="1327"/>
      <c r="S122" s="1326">
        <v>996074</v>
      </c>
      <c r="T122" s="1326">
        <v>62183292</v>
      </c>
      <c r="U122" s="1326">
        <v>939139</v>
      </c>
      <c r="V122" s="1326">
        <v>68289943</v>
      </c>
      <c r="W122" s="1326">
        <v>964031</v>
      </c>
      <c r="X122" s="1326">
        <v>77073056</v>
      </c>
      <c r="Y122" s="1326">
        <v>988251</v>
      </c>
      <c r="Z122" s="1326">
        <v>86203153</v>
      </c>
      <c r="AA122" s="1327">
        <v>936778</v>
      </c>
      <c r="AB122" s="1327">
        <v>81499614</v>
      </c>
      <c r="AC122" s="1326">
        <v>1044856</v>
      </c>
      <c r="AD122" s="1326">
        <v>87296010</v>
      </c>
      <c r="AE122" s="1327">
        <v>1008377</v>
      </c>
      <c r="AF122" s="1327">
        <v>85398002</v>
      </c>
      <c r="AG122" s="1327">
        <v>1079227</v>
      </c>
      <c r="AH122" s="1327">
        <v>93520617</v>
      </c>
      <c r="AI122" s="1327">
        <v>998152</v>
      </c>
      <c r="AJ122" s="1327">
        <v>96265511</v>
      </c>
      <c r="AK122" s="1327">
        <v>1077028</v>
      </c>
      <c r="AL122" s="1327">
        <v>114289225</v>
      </c>
      <c r="AM122" s="1328">
        <v>1233849</v>
      </c>
      <c r="AN122" s="1328">
        <v>133592283</v>
      </c>
      <c r="AO122" s="1327">
        <v>1287196</v>
      </c>
      <c r="AP122" s="1327">
        <v>150848771</v>
      </c>
      <c r="AQ122" s="1327">
        <v>1237484.76</v>
      </c>
      <c r="AR122" s="1327">
        <v>152947445.05000001</v>
      </c>
      <c r="AS122" s="1327">
        <v>1296485</v>
      </c>
      <c r="AT122" s="1327">
        <v>185466127</v>
      </c>
      <c r="AU122" s="1327">
        <v>834385</v>
      </c>
      <c r="AV122" s="1327">
        <v>137315560</v>
      </c>
      <c r="AW122" s="1326">
        <v>852550</v>
      </c>
      <c r="AX122" s="1326">
        <v>131259688</v>
      </c>
      <c r="AY122" s="1326">
        <v>862391</v>
      </c>
      <c r="AZ122" s="1326">
        <v>110463553</v>
      </c>
    </row>
    <row r="123" spans="1:52" x14ac:dyDescent="0.25">
      <c r="A123" s="1339" t="s">
        <v>440</v>
      </c>
      <c r="B123" s="1325" t="s">
        <v>166</v>
      </c>
      <c r="C123" s="1326"/>
      <c r="D123" s="1326"/>
      <c r="E123" s="1326">
        <v>0</v>
      </c>
      <c r="F123" s="1326">
        <v>30084556</v>
      </c>
      <c r="G123" s="1326">
        <v>0</v>
      </c>
      <c r="H123" s="1326">
        <v>29636688</v>
      </c>
      <c r="I123" s="1326">
        <v>51</v>
      </c>
      <c r="J123" s="1326">
        <v>34285775</v>
      </c>
      <c r="K123" s="1326">
        <v>0</v>
      </c>
      <c r="L123" s="1326">
        <v>25149796</v>
      </c>
      <c r="M123" s="1326">
        <v>140</v>
      </c>
      <c r="N123" s="1326">
        <v>53989350</v>
      </c>
      <c r="O123" s="1326">
        <v>0</v>
      </c>
      <c r="P123" s="1326">
        <v>60358281</v>
      </c>
      <c r="Q123" s="1327">
        <v>53</v>
      </c>
      <c r="R123" s="1326">
        <v>65581056</v>
      </c>
      <c r="S123" s="1326">
        <v>0</v>
      </c>
      <c r="T123" s="1326">
        <v>0</v>
      </c>
      <c r="U123" s="1326">
        <v>0</v>
      </c>
      <c r="V123" s="1326">
        <v>0</v>
      </c>
      <c r="W123" s="1326">
        <v>0</v>
      </c>
      <c r="X123" s="1326">
        <v>0</v>
      </c>
      <c r="Y123" s="1326">
        <v>0</v>
      </c>
      <c r="Z123" s="1326">
        <v>0</v>
      </c>
      <c r="AA123" s="1326">
        <v>0</v>
      </c>
      <c r="AB123" s="1326">
        <v>0</v>
      </c>
      <c r="AC123" s="1326">
        <v>0</v>
      </c>
      <c r="AD123" s="1326">
        <v>0</v>
      </c>
      <c r="AE123" s="1326">
        <v>0</v>
      </c>
      <c r="AF123" s="1326">
        <v>0</v>
      </c>
      <c r="AG123" s="1326">
        <v>0</v>
      </c>
      <c r="AH123" s="1326">
        <v>0</v>
      </c>
      <c r="AI123" s="1326">
        <v>0</v>
      </c>
      <c r="AJ123" s="1326">
        <v>0</v>
      </c>
      <c r="AK123" s="1326">
        <v>0</v>
      </c>
      <c r="AL123" s="1326">
        <v>0</v>
      </c>
      <c r="AM123" s="1326">
        <v>0</v>
      </c>
      <c r="AN123" s="1326">
        <v>0</v>
      </c>
      <c r="AO123" s="1326">
        <v>0</v>
      </c>
      <c r="AP123" s="1326">
        <v>0</v>
      </c>
      <c r="AQ123" s="1326">
        <v>0</v>
      </c>
      <c r="AR123" s="1326">
        <v>0</v>
      </c>
      <c r="AS123" s="1326">
        <v>0</v>
      </c>
      <c r="AT123" s="1326">
        <v>0</v>
      </c>
      <c r="AU123" s="1326">
        <v>0</v>
      </c>
      <c r="AV123" s="1326">
        <v>0</v>
      </c>
      <c r="AW123" s="1326">
        <v>0</v>
      </c>
      <c r="AX123" s="1326">
        <v>0</v>
      </c>
      <c r="AY123" s="1326">
        <v>0</v>
      </c>
      <c r="AZ123" s="1326">
        <v>0</v>
      </c>
    </row>
    <row r="124" spans="1:52" x14ac:dyDescent="0.25">
      <c r="A124" s="1339" t="s">
        <v>441</v>
      </c>
      <c r="B124" s="1325" t="s">
        <v>166</v>
      </c>
      <c r="C124" s="1326">
        <v>0</v>
      </c>
      <c r="D124" s="1326">
        <v>0</v>
      </c>
      <c r="E124" s="1326">
        <v>48992</v>
      </c>
      <c r="F124" s="1326">
        <v>0</v>
      </c>
      <c r="G124" s="1326">
        <v>40307</v>
      </c>
      <c r="H124" s="1326"/>
      <c r="I124" s="1326">
        <v>35704</v>
      </c>
      <c r="J124" s="1326"/>
      <c r="K124" s="1326">
        <v>10044</v>
      </c>
      <c r="L124" s="1326"/>
      <c r="M124" s="1326">
        <v>72133</v>
      </c>
      <c r="N124" s="1326"/>
      <c r="O124" s="1326">
        <v>71618</v>
      </c>
      <c r="P124" s="1326"/>
      <c r="Q124" s="1326">
        <v>58874</v>
      </c>
      <c r="R124" s="1326"/>
      <c r="S124" s="1326">
        <v>134866</v>
      </c>
      <c r="T124" s="1326">
        <v>49990491</v>
      </c>
      <c r="U124" s="1326">
        <v>183499</v>
      </c>
      <c r="V124" s="1326">
        <v>69153310</v>
      </c>
      <c r="W124" s="1326">
        <v>261603</v>
      </c>
      <c r="X124" s="1326">
        <v>115530022</v>
      </c>
      <c r="Y124" s="1326">
        <v>249265</v>
      </c>
      <c r="Z124" s="1326">
        <v>120772694</v>
      </c>
      <c r="AA124" s="1327">
        <v>317958</v>
      </c>
      <c r="AB124" s="1327">
        <v>162169871</v>
      </c>
      <c r="AC124" s="1326">
        <v>334480</v>
      </c>
      <c r="AD124" s="1326">
        <v>157877255</v>
      </c>
      <c r="AE124" s="1327">
        <v>308601</v>
      </c>
      <c r="AF124" s="1327">
        <v>143534559</v>
      </c>
      <c r="AG124" s="1327">
        <v>357528</v>
      </c>
      <c r="AH124" s="1327">
        <v>164534101</v>
      </c>
      <c r="AI124" s="1327">
        <v>452736</v>
      </c>
      <c r="AJ124" s="1327">
        <v>215433965</v>
      </c>
      <c r="AK124" s="1327">
        <v>367525</v>
      </c>
      <c r="AL124" s="1327">
        <v>181809730</v>
      </c>
      <c r="AM124" s="1328">
        <v>471866</v>
      </c>
      <c r="AN124" s="1328">
        <v>237850873</v>
      </c>
      <c r="AO124" s="1327">
        <v>529484</v>
      </c>
      <c r="AP124" s="1327">
        <v>289787359</v>
      </c>
      <c r="AQ124" s="1327">
        <v>522933</v>
      </c>
      <c r="AR124" s="1327">
        <v>288013089.63850319</v>
      </c>
      <c r="AS124" s="1327">
        <v>617533.93939393933</v>
      </c>
      <c r="AT124" s="1327">
        <v>377504480.30203307</v>
      </c>
      <c r="AU124" s="1327">
        <v>646458.78787878784</v>
      </c>
      <c r="AV124" s="1327">
        <v>418660054.64841866</v>
      </c>
      <c r="AW124" s="1326">
        <v>586993.33333333337</v>
      </c>
      <c r="AX124" s="1326">
        <v>353672268</v>
      </c>
      <c r="AY124" s="1326">
        <v>556253.33333333337</v>
      </c>
      <c r="AZ124" s="1326">
        <v>310349363</v>
      </c>
    </row>
    <row r="125" spans="1:52" x14ac:dyDescent="0.25">
      <c r="A125" s="1339" t="s">
        <v>442</v>
      </c>
      <c r="B125" s="1325" t="s">
        <v>166</v>
      </c>
      <c r="C125" s="1326">
        <v>4283</v>
      </c>
      <c r="D125" s="1326">
        <v>43562</v>
      </c>
      <c r="E125" s="1326">
        <v>0</v>
      </c>
      <c r="F125" s="1326">
        <v>0</v>
      </c>
      <c r="G125" s="1326">
        <v>0</v>
      </c>
      <c r="H125" s="1326">
        <v>0</v>
      </c>
      <c r="I125" s="1326">
        <v>0</v>
      </c>
      <c r="J125" s="1326">
        <v>0</v>
      </c>
      <c r="K125" s="1326">
        <v>0</v>
      </c>
      <c r="L125" s="1326">
        <v>0</v>
      </c>
      <c r="M125" s="1326">
        <v>0</v>
      </c>
      <c r="N125" s="1326">
        <v>0</v>
      </c>
      <c r="O125" s="1326">
        <v>222</v>
      </c>
      <c r="P125" s="1326">
        <v>25709</v>
      </c>
      <c r="Q125" s="1326">
        <v>768</v>
      </c>
      <c r="R125" s="1326">
        <v>113637</v>
      </c>
      <c r="S125" s="1326">
        <v>1079</v>
      </c>
      <c r="T125" s="1326">
        <v>162108</v>
      </c>
      <c r="U125" s="1327">
        <v>0</v>
      </c>
      <c r="V125" s="1327">
        <v>0</v>
      </c>
      <c r="W125" s="1327">
        <v>0</v>
      </c>
      <c r="X125" s="1327">
        <v>0</v>
      </c>
      <c r="Y125" s="1327">
        <v>0</v>
      </c>
      <c r="Z125" s="1327">
        <v>0</v>
      </c>
      <c r="AA125" s="1327">
        <v>0</v>
      </c>
      <c r="AB125" s="1327">
        <v>0</v>
      </c>
      <c r="AC125" s="1327">
        <v>0</v>
      </c>
      <c r="AD125" s="1327">
        <v>0</v>
      </c>
      <c r="AE125" s="1327">
        <v>0</v>
      </c>
      <c r="AF125" s="1327">
        <v>0</v>
      </c>
      <c r="AG125" s="1327">
        <v>0</v>
      </c>
      <c r="AH125" s="1327">
        <v>0</v>
      </c>
      <c r="AI125" s="1327">
        <v>0</v>
      </c>
      <c r="AJ125" s="1327">
        <v>0</v>
      </c>
      <c r="AK125" s="1326">
        <v>0</v>
      </c>
      <c r="AL125" s="1326">
        <v>0</v>
      </c>
      <c r="AM125" s="1326">
        <v>0</v>
      </c>
      <c r="AN125" s="1326">
        <v>0</v>
      </c>
      <c r="AO125" s="1327">
        <v>0</v>
      </c>
      <c r="AP125" s="1327">
        <v>0</v>
      </c>
      <c r="AQ125" s="1327">
        <v>0</v>
      </c>
      <c r="AR125" s="1327">
        <v>0</v>
      </c>
      <c r="AS125" s="1327">
        <v>0</v>
      </c>
      <c r="AT125" s="1327">
        <v>0</v>
      </c>
      <c r="AU125" s="1327">
        <v>0</v>
      </c>
      <c r="AV125" s="1327">
        <v>0</v>
      </c>
      <c r="AW125" s="1326">
        <v>0</v>
      </c>
      <c r="AX125" s="1326">
        <v>0</v>
      </c>
      <c r="AY125" s="1326">
        <v>0</v>
      </c>
      <c r="AZ125" s="1326">
        <v>0</v>
      </c>
    </row>
    <row r="126" spans="1:52" x14ac:dyDescent="0.25">
      <c r="A126" s="1339" t="s">
        <v>227</v>
      </c>
      <c r="B126" s="1325" t="s">
        <v>166</v>
      </c>
      <c r="C126" s="1326">
        <v>178695</v>
      </c>
      <c r="D126" s="1326">
        <v>20721196</v>
      </c>
      <c r="E126" s="1326">
        <v>26911</v>
      </c>
      <c r="F126" s="1326">
        <v>5545374</v>
      </c>
      <c r="G126" s="1326">
        <v>15786</v>
      </c>
      <c r="H126" s="1326">
        <v>3202746</v>
      </c>
      <c r="I126" s="1326">
        <v>15318</v>
      </c>
      <c r="J126" s="1326">
        <v>3047564</v>
      </c>
      <c r="K126" s="1326">
        <v>10193</v>
      </c>
      <c r="L126" s="1326">
        <v>1842513</v>
      </c>
      <c r="M126" s="1326">
        <v>32110</v>
      </c>
      <c r="N126" s="1326">
        <v>6951500</v>
      </c>
      <c r="O126" s="1326">
        <v>13809</v>
      </c>
      <c r="P126" s="1326">
        <v>4003028</v>
      </c>
      <c r="Q126" s="1326">
        <v>14143</v>
      </c>
      <c r="R126" s="1326">
        <v>5315181</v>
      </c>
      <c r="S126" s="1326">
        <v>11290</v>
      </c>
      <c r="T126" s="1326">
        <v>4663700</v>
      </c>
      <c r="U126" s="1326">
        <v>12946</v>
      </c>
      <c r="V126" s="1326">
        <v>5297600</v>
      </c>
      <c r="W126" s="1326">
        <v>22498</v>
      </c>
      <c r="X126" s="1326">
        <v>10336566</v>
      </c>
      <c r="Y126" s="1326">
        <v>20839</v>
      </c>
      <c r="Z126" s="1326">
        <v>11511265</v>
      </c>
      <c r="AA126" s="1327">
        <v>12944</v>
      </c>
      <c r="AB126" s="1327">
        <v>8064715</v>
      </c>
      <c r="AC126" s="1326">
        <v>11463</v>
      </c>
      <c r="AD126" s="1326">
        <v>5204073</v>
      </c>
      <c r="AE126" s="1327">
        <v>12689</v>
      </c>
      <c r="AF126" s="1327">
        <v>4850531</v>
      </c>
      <c r="AG126" s="1327">
        <v>21677</v>
      </c>
      <c r="AH126" s="1327">
        <v>8149179</v>
      </c>
      <c r="AI126" s="1327">
        <v>20283</v>
      </c>
      <c r="AJ126" s="1327">
        <v>8011826</v>
      </c>
      <c r="AK126" s="1327">
        <v>33170</v>
      </c>
      <c r="AL126" s="1327">
        <v>15849797</v>
      </c>
      <c r="AM126" s="1328">
        <v>22482</v>
      </c>
      <c r="AN126" s="1328">
        <v>11687280</v>
      </c>
      <c r="AO126" s="1327">
        <v>28971</v>
      </c>
      <c r="AP126" s="1327">
        <v>11680489</v>
      </c>
      <c r="AQ126" s="1327">
        <v>31527.75</v>
      </c>
      <c r="AR126" s="1327">
        <v>13887829.9</v>
      </c>
      <c r="AS126" s="1327">
        <v>37849</v>
      </c>
      <c r="AT126" s="1327">
        <v>16550625</v>
      </c>
      <c r="AU126" s="1327">
        <v>24792</v>
      </c>
      <c r="AV126" s="1327">
        <v>12149759</v>
      </c>
      <c r="AW126" s="1326">
        <v>43750</v>
      </c>
      <c r="AX126" s="1326">
        <v>21205504</v>
      </c>
      <c r="AY126" s="1326">
        <v>46673</v>
      </c>
      <c r="AZ126" s="1326">
        <v>17280177</v>
      </c>
    </row>
    <row r="127" spans="1:52" x14ac:dyDescent="0.25">
      <c r="A127" s="1339" t="s">
        <v>443</v>
      </c>
      <c r="B127" s="1325" t="s">
        <v>166</v>
      </c>
      <c r="C127" s="1327">
        <v>0</v>
      </c>
      <c r="D127" s="1327">
        <v>0</v>
      </c>
      <c r="E127" s="1327">
        <v>0</v>
      </c>
      <c r="F127" s="1327">
        <v>0</v>
      </c>
      <c r="G127" s="1327">
        <v>0</v>
      </c>
      <c r="H127" s="1327">
        <v>0</v>
      </c>
      <c r="I127" s="1327">
        <v>0</v>
      </c>
      <c r="J127" s="1327">
        <v>0</v>
      </c>
      <c r="K127" s="1327">
        <v>0</v>
      </c>
      <c r="L127" s="1327">
        <v>0</v>
      </c>
      <c r="M127" s="1327">
        <v>0</v>
      </c>
      <c r="N127" s="1327">
        <v>0</v>
      </c>
      <c r="O127" s="1327">
        <v>0</v>
      </c>
      <c r="P127" s="1327">
        <v>0</v>
      </c>
      <c r="Q127" s="1327">
        <v>0</v>
      </c>
      <c r="R127" s="1327">
        <v>0</v>
      </c>
      <c r="S127" s="1327">
        <v>0</v>
      </c>
      <c r="T127" s="1327">
        <v>0</v>
      </c>
      <c r="U127" s="1327">
        <v>0</v>
      </c>
      <c r="V127" s="1327">
        <v>0</v>
      </c>
      <c r="W127" s="1327">
        <v>0</v>
      </c>
      <c r="X127" s="1327">
        <v>0</v>
      </c>
      <c r="Y127" s="1327">
        <v>0</v>
      </c>
      <c r="Z127" s="1327">
        <v>0</v>
      </c>
      <c r="AA127" s="1327">
        <v>0</v>
      </c>
      <c r="AB127" s="1327">
        <v>0</v>
      </c>
      <c r="AC127" s="1327">
        <v>0</v>
      </c>
      <c r="AD127" s="1327">
        <v>0</v>
      </c>
      <c r="AE127" s="1327">
        <v>0</v>
      </c>
      <c r="AF127" s="1327">
        <v>0</v>
      </c>
      <c r="AG127" s="1327">
        <v>0</v>
      </c>
      <c r="AH127" s="1327">
        <v>0</v>
      </c>
      <c r="AI127" s="1327">
        <v>0</v>
      </c>
      <c r="AJ127" s="1327">
        <v>0</v>
      </c>
      <c r="AK127" s="1327">
        <v>0</v>
      </c>
      <c r="AL127" s="1327">
        <v>0</v>
      </c>
      <c r="AM127" s="1327">
        <v>0</v>
      </c>
      <c r="AN127" s="1327">
        <v>0</v>
      </c>
      <c r="AO127" s="1327">
        <v>0</v>
      </c>
      <c r="AP127" s="1327">
        <v>0</v>
      </c>
      <c r="AQ127" s="1327">
        <v>0</v>
      </c>
      <c r="AR127" s="1327">
        <v>0</v>
      </c>
      <c r="AS127" s="1327">
        <v>0</v>
      </c>
      <c r="AT127" s="1327">
        <v>0</v>
      </c>
      <c r="AU127" s="1327">
        <v>0</v>
      </c>
      <c r="AV127" s="1327">
        <v>0</v>
      </c>
      <c r="AW127" s="1327">
        <v>0</v>
      </c>
      <c r="AX127" s="1327">
        <v>0</v>
      </c>
      <c r="AY127" s="1326">
        <v>0</v>
      </c>
      <c r="AZ127" s="1326">
        <v>0</v>
      </c>
    </row>
    <row r="128" spans="1:52" x14ac:dyDescent="0.25">
      <c r="A128" s="1339" t="s">
        <v>444</v>
      </c>
      <c r="B128" s="1325" t="s">
        <v>166</v>
      </c>
      <c r="C128" s="1326">
        <v>78734</v>
      </c>
      <c r="D128" s="1326">
        <v>14822327</v>
      </c>
      <c r="E128" s="1326">
        <v>10978</v>
      </c>
      <c r="F128" s="1326">
        <v>3684252</v>
      </c>
      <c r="G128" s="1326">
        <v>10715</v>
      </c>
      <c r="H128" s="1326">
        <v>4148454</v>
      </c>
      <c r="I128" s="1326">
        <v>16236</v>
      </c>
      <c r="J128" s="1326">
        <v>6823064</v>
      </c>
      <c r="K128" s="1326">
        <v>12877</v>
      </c>
      <c r="L128" s="1326">
        <v>5485523</v>
      </c>
      <c r="M128" s="1326">
        <v>15592</v>
      </c>
      <c r="N128" s="1326">
        <v>6767117</v>
      </c>
      <c r="O128" s="1326">
        <v>17755</v>
      </c>
      <c r="P128" s="1326">
        <v>9047127</v>
      </c>
      <c r="Q128" s="1326">
        <v>14747</v>
      </c>
      <c r="R128" s="1326">
        <v>9470735</v>
      </c>
      <c r="S128" s="1326">
        <v>11766</v>
      </c>
      <c r="T128" s="1326">
        <v>8501662</v>
      </c>
      <c r="U128" s="1326">
        <v>9573</v>
      </c>
      <c r="V128" s="1326">
        <v>7221337</v>
      </c>
      <c r="W128" s="1326">
        <v>11767</v>
      </c>
      <c r="X128" s="1326">
        <v>8802975</v>
      </c>
      <c r="Y128" s="1326">
        <v>10514</v>
      </c>
      <c r="Z128" s="1326">
        <v>7831157</v>
      </c>
      <c r="AA128" s="1327">
        <v>7173</v>
      </c>
      <c r="AB128" s="1327">
        <v>2155801</v>
      </c>
      <c r="AC128" s="1326">
        <v>5012</v>
      </c>
      <c r="AD128" s="1326">
        <v>1452698</v>
      </c>
      <c r="AE128" s="1327">
        <v>6654</v>
      </c>
      <c r="AF128" s="1327">
        <v>1914960</v>
      </c>
      <c r="AG128" s="1327">
        <v>3093</v>
      </c>
      <c r="AH128" s="1327">
        <v>876904</v>
      </c>
      <c r="AI128" s="1327">
        <v>0</v>
      </c>
      <c r="AJ128" s="1327">
        <v>0</v>
      </c>
      <c r="AK128" s="1326">
        <v>0</v>
      </c>
      <c r="AL128" s="1326">
        <v>0</v>
      </c>
      <c r="AM128" s="1326">
        <v>0</v>
      </c>
      <c r="AN128" s="1326">
        <v>0</v>
      </c>
      <c r="AO128" s="1327">
        <v>0</v>
      </c>
      <c r="AP128" s="1327">
        <v>0</v>
      </c>
      <c r="AQ128" s="1327">
        <v>0</v>
      </c>
      <c r="AR128" s="1327">
        <v>0</v>
      </c>
      <c r="AS128" s="1327">
        <v>0</v>
      </c>
      <c r="AT128" s="1327">
        <v>0</v>
      </c>
      <c r="AU128" s="1327">
        <v>0</v>
      </c>
      <c r="AV128" s="1327">
        <v>0</v>
      </c>
      <c r="AW128" s="1326">
        <v>0</v>
      </c>
      <c r="AX128" s="1326">
        <v>0</v>
      </c>
      <c r="AY128" s="1326">
        <v>0</v>
      </c>
      <c r="AZ128" s="1326">
        <v>0</v>
      </c>
    </row>
    <row r="129" spans="1:52" x14ac:dyDescent="0.25">
      <c r="A129" s="1339" t="s">
        <v>228</v>
      </c>
      <c r="B129" s="1325" t="s">
        <v>166</v>
      </c>
      <c r="C129" s="1326">
        <v>537069</v>
      </c>
      <c r="D129" s="1326">
        <v>108751359</v>
      </c>
      <c r="E129" s="1326">
        <v>91667</v>
      </c>
      <c r="F129" s="1326">
        <v>23292830</v>
      </c>
      <c r="G129" s="1326">
        <v>61595</v>
      </c>
      <c r="H129" s="1326">
        <v>18141673</v>
      </c>
      <c r="I129" s="1326">
        <v>80199</v>
      </c>
      <c r="J129" s="1326">
        <v>21823610</v>
      </c>
      <c r="K129" s="1326">
        <v>86203</v>
      </c>
      <c r="L129" s="1326">
        <v>20645888</v>
      </c>
      <c r="M129" s="1326">
        <v>60651</v>
      </c>
      <c r="N129" s="1326">
        <v>18834203</v>
      </c>
      <c r="O129" s="1326">
        <v>79669</v>
      </c>
      <c r="P129" s="1326">
        <v>30962497</v>
      </c>
      <c r="Q129" s="1326">
        <v>69887</v>
      </c>
      <c r="R129" s="1326">
        <v>35289099</v>
      </c>
      <c r="S129" s="1326">
        <v>85630</v>
      </c>
      <c r="T129" s="1326">
        <v>51056433</v>
      </c>
      <c r="U129" s="1326">
        <v>91192</v>
      </c>
      <c r="V129" s="1326">
        <v>54011414</v>
      </c>
      <c r="W129" s="1326">
        <v>88972</v>
      </c>
      <c r="X129" s="1326">
        <v>58363779</v>
      </c>
      <c r="Y129" s="1326">
        <v>76065</v>
      </c>
      <c r="Z129" s="1326">
        <v>57906645</v>
      </c>
      <c r="AA129" s="1327">
        <v>59134</v>
      </c>
      <c r="AB129" s="1327">
        <v>39661379</v>
      </c>
      <c r="AC129" s="1326">
        <v>68964</v>
      </c>
      <c r="AD129" s="1326">
        <v>39051843</v>
      </c>
      <c r="AE129" s="1327">
        <v>56596</v>
      </c>
      <c r="AF129" s="1327">
        <v>29974170</v>
      </c>
      <c r="AG129" s="1327">
        <v>87161</v>
      </c>
      <c r="AH129" s="1327">
        <v>44463737</v>
      </c>
      <c r="AI129" s="1327">
        <v>124870</v>
      </c>
      <c r="AJ129" s="1327">
        <v>68141539</v>
      </c>
      <c r="AK129" s="1327">
        <v>110651</v>
      </c>
      <c r="AL129" s="1327">
        <v>79167249</v>
      </c>
      <c r="AM129" s="1328">
        <v>111779</v>
      </c>
      <c r="AN129" s="1328">
        <v>78531838</v>
      </c>
      <c r="AO129" s="1327">
        <v>96928</v>
      </c>
      <c r="AP129" s="1327">
        <v>76449238</v>
      </c>
      <c r="AQ129" s="1327">
        <v>113400.715</v>
      </c>
      <c r="AR129" s="1327">
        <v>82261110.629999995</v>
      </c>
      <c r="AS129" s="1327">
        <v>122147</v>
      </c>
      <c r="AT129" s="1327">
        <v>100575286</v>
      </c>
      <c r="AU129" s="1327">
        <v>112926.62</v>
      </c>
      <c r="AV129" s="1327">
        <v>99085695</v>
      </c>
      <c r="AW129" s="1326">
        <v>125411</v>
      </c>
      <c r="AX129" s="1326">
        <v>102663206</v>
      </c>
      <c r="AY129" s="1326">
        <v>123633</v>
      </c>
      <c r="AZ129" s="1326">
        <v>80279524</v>
      </c>
    </row>
    <row r="130" spans="1:52" x14ac:dyDescent="0.25">
      <c r="A130" s="1339" t="s">
        <v>445</v>
      </c>
      <c r="B130" s="1325" t="s">
        <v>166</v>
      </c>
      <c r="C130" s="1326">
        <v>0</v>
      </c>
      <c r="D130" s="1326">
        <v>0</v>
      </c>
      <c r="E130" s="1326">
        <v>0</v>
      </c>
      <c r="F130" s="1326">
        <v>0</v>
      </c>
      <c r="G130" s="1326">
        <v>0</v>
      </c>
      <c r="H130" s="1326">
        <v>0</v>
      </c>
      <c r="I130" s="1326">
        <v>0</v>
      </c>
      <c r="J130" s="1326">
        <v>0</v>
      </c>
      <c r="K130" s="1326">
        <v>0</v>
      </c>
      <c r="L130" s="1326">
        <v>0</v>
      </c>
      <c r="M130" s="1326">
        <v>0</v>
      </c>
      <c r="N130" s="1326">
        <v>0</v>
      </c>
      <c r="O130" s="1327">
        <v>0</v>
      </c>
      <c r="P130" s="1327">
        <v>0</v>
      </c>
      <c r="Q130" s="1327">
        <v>0</v>
      </c>
      <c r="R130" s="1327">
        <v>0</v>
      </c>
      <c r="S130" s="1327">
        <v>0</v>
      </c>
      <c r="T130" s="1327">
        <v>0</v>
      </c>
      <c r="U130" s="1327">
        <v>0</v>
      </c>
      <c r="V130" s="1327">
        <v>0</v>
      </c>
      <c r="W130" s="1327">
        <v>0</v>
      </c>
      <c r="X130" s="1327">
        <v>0</v>
      </c>
      <c r="Y130" s="1327">
        <v>0</v>
      </c>
      <c r="Z130" s="1327">
        <v>0</v>
      </c>
      <c r="AA130" s="1327">
        <v>0</v>
      </c>
      <c r="AB130" s="1327">
        <v>0</v>
      </c>
      <c r="AC130" s="1327">
        <v>0</v>
      </c>
      <c r="AD130" s="1327">
        <v>0</v>
      </c>
      <c r="AE130" s="1327">
        <v>0</v>
      </c>
      <c r="AF130" s="1327">
        <v>0</v>
      </c>
      <c r="AG130" s="1327">
        <v>0</v>
      </c>
      <c r="AH130" s="1327">
        <v>0</v>
      </c>
      <c r="AI130" s="1327">
        <v>0</v>
      </c>
      <c r="AJ130" s="1327">
        <v>0</v>
      </c>
      <c r="AK130" s="1326">
        <v>0</v>
      </c>
      <c r="AL130" s="1326">
        <v>0</v>
      </c>
      <c r="AM130" s="1327">
        <v>0</v>
      </c>
      <c r="AN130" s="1327">
        <v>0</v>
      </c>
      <c r="AO130" s="1327">
        <v>0</v>
      </c>
      <c r="AP130" s="1327">
        <v>0</v>
      </c>
      <c r="AQ130" s="1327">
        <v>0</v>
      </c>
      <c r="AR130" s="1327">
        <v>0</v>
      </c>
      <c r="AS130" s="1327">
        <v>0</v>
      </c>
      <c r="AT130" s="1327">
        <v>0</v>
      </c>
      <c r="AU130" s="1327">
        <v>1020.5</v>
      </c>
      <c r="AV130" s="1327">
        <v>169505</v>
      </c>
      <c r="AW130" s="1326">
        <v>2120</v>
      </c>
      <c r="AX130" s="1326">
        <v>330906</v>
      </c>
      <c r="AY130" s="1326">
        <v>2129</v>
      </c>
      <c r="AZ130" s="1326">
        <v>279802</v>
      </c>
    </row>
    <row r="131" spans="1:52" x14ac:dyDescent="0.25">
      <c r="A131" s="1339" t="s">
        <v>446</v>
      </c>
      <c r="B131" s="1325" t="s">
        <v>166</v>
      </c>
      <c r="C131" s="1326">
        <v>328</v>
      </c>
      <c r="D131" s="1326">
        <v>343931</v>
      </c>
      <c r="E131" s="1326">
        <v>21</v>
      </c>
      <c r="F131" s="1326">
        <v>32192</v>
      </c>
      <c r="G131" s="1326">
        <v>58</v>
      </c>
      <c r="H131" s="1326">
        <v>187219</v>
      </c>
      <c r="I131" s="1326">
        <v>0</v>
      </c>
      <c r="J131" s="1326">
        <v>0</v>
      </c>
      <c r="K131" s="1326">
        <v>0</v>
      </c>
      <c r="L131" s="1326">
        <v>0</v>
      </c>
      <c r="M131" s="1326">
        <v>66</v>
      </c>
      <c r="N131" s="1326">
        <v>358048</v>
      </c>
      <c r="O131" s="1326">
        <v>46</v>
      </c>
      <c r="P131" s="1326">
        <v>586165</v>
      </c>
      <c r="Q131" s="1326">
        <v>41</v>
      </c>
      <c r="R131" s="1326">
        <v>335662</v>
      </c>
      <c r="S131" s="1326">
        <v>5</v>
      </c>
      <c r="T131" s="1326">
        <v>38444</v>
      </c>
      <c r="U131" s="1327">
        <v>0</v>
      </c>
      <c r="V131" s="1327">
        <v>0</v>
      </c>
      <c r="W131" s="1326">
        <v>20</v>
      </c>
      <c r="X131" s="1326">
        <v>105840</v>
      </c>
      <c r="Y131" s="1327">
        <v>0</v>
      </c>
      <c r="Z131" s="1327">
        <v>0</v>
      </c>
      <c r="AA131" s="1327">
        <v>0</v>
      </c>
      <c r="AB131" s="1327">
        <v>0</v>
      </c>
      <c r="AC131" s="1327">
        <v>0</v>
      </c>
      <c r="AD131" s="1327">
        <v>0</v>
      </c>
      <c r="AE131" s="1327">
        <v>0</v>
      </c>
      <c r="AF131" s="1327">
        <v>0</v>
      </c>
      <c r="AG131" s="1327">
        <v>0</v>
      </c>
      <c r="AH131" s="1327">
        <v>0</v>
      </c>
      <c r="AI131" s="1327">
        <v>0</v>
      </c>
      <c r="AJ131" s="1327">
        <v>0</v>
      </c>
      <c r="AK131" s="1326">
        <v>0</v>
      </c>
      <c r="AL131" s="1326">
        <v>0</v>
      </c>
      <c r="AM131" s="1327">
        <v>0</v>
      </c>
      <c r="AN131" s="1327">
        <v>0</v>
      </c>
      <c r="AO131" s="1327">
        <v>0</v>
      </c>
      <c r="AP131" s="1327">
        <v>0</v>
      </c>
      <c r="AQ131" s="1327">
        <v>0</v>
      </c>
      <c r="AR131" s="1327">
        <v>0</v>
      </c>
      <c r="AS131" s="1327">
        <v>0</v>
      </c>
      <c r="AT131" s="1327">
        <v>0</v>
      </c>
      <c r="AU131" s="1327">
        <v>0</v>
      </c>
      <c r="AV131" s="1327">
        <v>0</v>
      </c>
      <c r="AW131" s="1326">
        <v>0</v>
      </c>
      <c r="AX131" s="1326">
        <v>0</v>
      </c>
      <c r="AY131" s="1326">
        <v>0</v>
      </c>
      <c r="AZ131" s="1326">
        <v>0</v>
      </c>
    </row>
    <row r="132" spans="1:52" x14ac:dyDescent="0.25">
      <c r="A132" s="1339" t="s">
        <v>177</v>
      </c>
      <c r="B132" s="1325" t="s">
        <v>166</v>
      </c>
      <c r="C132" s="1326">
        <v>1704177</v>
      </c>
      <c r="D132" s="1326">
        <v>99272004</v>
      </c>
      <c r="E132" s="1326">
        <v>327692</v>
      </c>
      <c r="F132" s="1326">
        <v>20142466</v>
      </c>
      <c r="G132" s="1326">
        <v>226463</v>
      </c>
      <c r="H132" s="1326">
        <v>16974854</v>
      </c>
      <c r="I132" s="1326">
        <v>397105</v>
      </c>
      <c r="J132" s="1326">
        <v>29324196</v>
      </c>
      <c r="K132" s="1326">
        <v>272391</v>
      </c>
      <c r="L132" s="1326">
        <v>29964159</v>
      </c>
      <c r="M132" s="1326">
        <v>336950</v>
      </c>
      <c r="N132" s="1326">
        <v>37675931</v>
      </c>
      <c r="O132" s="1326">
        <v>371754</v>
      </c>
      <c r="P132" s="1326">
        <v>45096049</v>
      </c>
      <c r="Q132" s="1326">
        <v>319192</v>
      </c>
      <c r="R132" s="1326">
        <v>51163829</v>
      </c>
      <c r="S132" s="1326">
        <v>320163</v>
      </c>
      <c r="T132" s="1326">
        <v>69347543</v>
      </c>
      <c r="U132" s="1326">
        <v>368164</v>
      </c>
      <c r="V132" s="1326">
        <v>123873011</v>
      </c>
      <c r="W132" s="1326">
        <v>343821</v>
      </c>
      <c r="X132" s="1326">
        <v>187953682</v>
      </c>
      <c r="Y132" s="1326">
        <v>224461</v>
      </c>
      <c r="Z132" s="1326">
        <v>126677148</v>
      </c>
      <c r="AA132" s="1327">
        <v>204332</v>
      </c>
      <c r="AB132" s="1327">
        <v>79156923</v>
      </c>
      <c r="AC132" s="1326">
        <v>265166</v>
      </c>
      <c r="AD132" s="1326">
        <v>51456028</v>
      </c>
      <c r="AE132" s="1327">
        <v>299761</v>
      </c>
      <c r="AF132" s="1327">
        <v>46256774</v>
      </c>
      <c r="AG132" s="1327">
        <v>444264</v>
      </c>
      <c r="AH132" s="1327">
        <v>99000474</v>
      </c>
      <c r="AI132" s="1327">
        <v>458444</v>
      </c>
      <c r="AJ132" s="1327">
        <v>152536417</v>
      </c>
      <c r="AK132" s="1327">
        <v>372704</v>
      </c>
      <c r="AL132" s="1327">
        <v>197540254</v>
      </c>
      <c r="AM132" s="1328">
        <v>292791</v>
      </c>
      <c r="AN132" s="1328">
        <v>160337523</v>
      </c>
      <c r="AO132" s="1327">
        <v>300467</v>
      </c>
      <c r="AP132" s="1327">
        <v>154374737</v>
      </c>
      <c r="AQ132" s="1327">
        <v>322939.83</v>
      </c>
      <c r="AR132" s="1327">
        <v>139138916.06999999</v>
      </c>
      <c r="AS132" s="1327">
        <v>347933</v>
      </c>
      <c r="AT132" s="1327">
        <v>172107391</v>
      </c>
      <c r="AU132" s="1327">
        <v>353169</v>
      </c>
      <c r="AV132" s="1327">
        <v>229999326</v>
      </c>
      <c r="AW132" s="1326">
        <v>369920</v>
      </c>
      <c r="AX132" s="1326">
        <v>246741492</v>
      </c>
      <c r="AY132" s="1326">
        <v>420545</v>
      </c>
      <c r="AZ132" s="1326">
        <v>242096974</v>
      </c>
    </row>
    <row r="133" spans="1:52" x14ac:dyDescent="0.25">
      <c r="A133" s="1340" t="s">
        <v>230</v>
      </c>
      <c r="B133" s="1345"/>
      <c r="C133" s="1326"/>
      <c r="D133" s="1326">
        <f>SUM(D121:D132)</f>
        <v>454211784</v>
      </c>
      <c r="E133" s="1326"/>
      <c r="F133" s="1326">
        <f>SUM(F121:F132)</f>
        <v>82789210</v>
      </c>
      <c r="G133" s="1326"/>
      <c r="H133" s="1326">
        <f>SUM(H121:H132)</f>
        <v>72443151</v>
      </c>
      <c r="I133" s="1326"/>
      <c r="J133" s="1326">
        <f>SUM(J121:J132)</f>
        <v>95526935</v>
      </c>
      <c r="K133" s="1326"/>
      <c r="L133" s="1326">
        <f>SUM(L121:L132)</f>
        <v>83180846</v>
      </c>
      <c r="M133" s="1326"/>
      <c r="N133" s="1326">
        <f>SUM(N121:N132)</f>
        <v>124691229</v>
      </c>
      <c r="O133" s="1326"/>
      <c r="P133" s="1326">
        <f>SUM(P121:P132)</f>
        <v>150283108</v>
      </c>
      <c r="Q133" s="1326"/>
      <c r="R133" s="1326">
        <f>SUM(R121:R132)</f>
        <v>167609539</v>
      </c>
      <c r="S133" s="1326"/>
      <c r="T133" s="1326">
        <f>SUM(T121:T132)</f>
        <v>246536716</v>
      </c>
      <c r="U133" s="1327"/>
      <c r="V133" s="1327">
        <f>SUM(V121:V132)</f>
        <v>328540376</v>
      </c>
      <c r="W133" s="1327"/>
      <c r="X133" s="1326">
        <f>SUM(X121:X132)</f>
        <v>459377353</v>
      </c>
      <c r="Y133" s="1327"/>
      <c r="Z133" s="1326">
        <f>SUM(Z121:Z132)</f>
        <v>412437377</v>
      </c>
      <c r="AA133" s="1327"/>
      <c r="AB133" s="1327">
        <f>SUM(AB121:AB132)</f>
        <v>375589208</v>
      </c>
      <c r="AC133" s="1326"/>
      <c r="AD133" s="1326">
        <f>SUM(AD121:AD132)</f>
        <v>345949181</v>
      </c>
      <c r="AE133" s="1327"/>
      <c r="AF133" s="1327">
        <f>SUM(AF121:AF132)</f>
        <v>316511611</v>
      </c>
      <c r="AG133" s="1327"/>
      <c r="AH133" s="1327">
        <f>SUM(AH121:AH132)</f>
        <v>416283236</v>
      </c>
      <c r="AI133" s="1327"/>
      <c r="AJ133" s="1327">
        <f>SUM(AJ121:AJ132)</f>
        <v>548457010</v>
      </c>
      <c r="AK133" s="1327"/>
      <c r="AL133" s="1327">
        <v>598071319</v>
      </c>
      <c r="AM133" s="1328"/>
      <c r="AN133" s="1328">
        <f>SUM(AN121:AN132)</f>
        <v>633168239</v>
      </c>
      <c r="AO133" s="1327"/>
      <c r="AP133" s="1327">
        <f>SUM(AP121:AP132)</f>
        <v>697587673</v>
      </c>
      <c r="AQ133" s="1327"/>
      <c r="AR133" s="1327">
        <f>SUM(AR121:AR132)</f>
        <v>688489405.54850316</v>
      </c>
      <c r="AS133" s="1327"/>
      <c r="AT133" s="1327">
        <f>SUM(AT121:AT132)</f>
        <v>862927100.30203307</v>
      </c>
      <c r="AU133" s="1327"/>
      <c r="AV133" s="1327">
        <f>SUM(AV121:AV132)</f>
        <v>897379899.64841866</v>
      </c>
      <c r="AW133" s="1326"/>
      <c r="AX133" s="1326">
        <f>SUM(AX122:AX132)</f>
        <v>855873064</v>
      </c>
      <c r="AY133" s="1326"/>
      <c r="AZ133" s="1326">
        <f>SUM(AZ122:AZ132)</f>
        <v>760749393</v>
      </c>
    </row>
    <row r="134" spans="1:52" x14ac:dyDescent="0.25">
      <c r="A134" s="1340"/>
      <c r="B134" s="1345"/>
      <c r="C134" s="1326"/>
      <c r="D134" s="1326"/>
      <c r="E134" s="1326"/>
      <c r="F134" s="1326"/>
      <c r="G134" s="1326"/>
      <c r="H134" s="1326"/>
      <c r="I134" s="1326"/>
      <c r="J134" s="1326"/>
      <c r="K134" s="1326"/>
      <c r="L134" s="1326"/>
      <c r="M134" s="1326"/>
      <c r="N134" s="1326"/>
      <c r="O134" s="1326"/>
      <c r="P134" s="1326"/>
      <c r="Q134" s="1326"/>
      <c r="R134" s="1326"/>
      <c r="S134" s="1326"/>
      <c r="T134" s="1326"/>
      <c r="U134" s="1327"/>
      <c r="V134" s="1327"/>
      <c r="W134" s="1337"/>
      <c r="X134" s="1337"/>
      <c r="Y134" s="1327"/>
      <c r="Z134" s="1327"/>
      <c r="AA134" s="1327"/>
      <c r="AB134" s="1327"/>
      <c r="AC134" s="1326"/>
      <c r="AD134" s="1326"/>
      <c r="AE134" s="1327"/>
      <c r="AF134" s="1327"/>
      <c r="AG134" s="1327"/>
      <c r="AH134" s="1327"/>
      <c r="AI134" s="1327"/>
      <c r="AJ134" s="1327"/>
      <c r="AK134" s="1327"/>
      <c r="AL134" s="1327"/>
      <c r="AM134" s="1327"/>
      <c r="AN134" s="1327"/>
      <c r="AO134" s="1327"/>
      <c r="AP134" s="1327"/>
      <c r="AQ134" s="1346"/>
      <c r="AR134" s="1346"/>
      <c r="AS134" s="1327"/>
      <c r="AT134" s="1327"/>
      <c r="AU134" s="1327"/>
      <c r="AV134" s="1327"/>
      <c r="AW134" s="1327"/>
      <c r="AX134" s="1345"/>
      <c r="AY134" s="1335"/>
      <c r="AZ134" s="1335"/>
    </row>
    <row r="135" spans="1:52" x14ac:dyDescent="0.25">
      <c r="A135" s="215" t="s">
        <v>447</v>
      </c>
      <c r="C135" s="201"/>
      <c r="D135" s="201"/>
      <c r="E135" s="201"/>
      <c r="F135" s="201"/>
      <c r="G135" s="201"/>
      <c r="H135" s="201"/>
      <c r="I135" s="201"/>
      <c r="J135" s="201"/>
      <c r="K135" s="201"/>
      <c r="L135" s="201"/>
      <c r="M135" s="201"/>
      <c r="N135" s="201"/>
      <c r="O135" s="201"/>
      <c r="P135" s="201"/>
      <c r="Q135" s="201"/>
      <c r="R135" s="201"/>
      <c r="S135" s="201"/>
      <c r="T135" s="201"/>
      <c r="U135" s="202"/>
      <c r="V135" s="202"/>
      <c r="W135" s="202"/>
      <c r="X135" s="202"/>
      <c r="Y135" s="202"/>
      <c r="Z135" s="202"/>
      <c r="AA135" s="202"/>
      <c r="AB135" s="202"/>
      <c r="AC135" s="201"/>
      <c r="AD135" s="201"/>
      <c r="AE135" s="202"/>
      <c r="AF135" s="202"/>
      <c r="AG135" s="202"/>
      <c r="AH135" s="202"/>
      <c r="AI135" s="202"/>
      <c r="AJ135" s="202"/>
      <c r="AK135" s="202"/>
      <c r="AL135" s="202"/>
      <c r="AM135" s="202"/>
      <c r="AN135" s="202"/>
      <c r="AQ135" s="202"/>
      <c r="AR135" s="202"/>
      <c r="AS135" s="202"/>
      <c r="AT135" s="202"/>
      <c r="AU135" s="202"/>
      <c r="AV135" s="202"/>
      <c r="AW135" s="201"/>
      <c r="AX135" s="201"/>
      <c r="AY135" s="228"/>
      <c r="AZ135" s="228"/>
    </row>
    <row r="136" spans="1:52" x14ac:dyDescent="0.25">
      <c r="A136" s="229" t="s">
        <v>448</v>
      </c>
      <c r="B136" s="216" t="s">
        <v>166</v>
      </c>
      <c r="C136" s="201">
        <v>81529</v>
      </c>
      <c r="D136" s="201">
        <v>844292</v>
      </c>
      <c r="E136" s="201">
        <v>2568</v>
      </c>
      <c r="F136" s="201">
        <v>116932</v>
      </c>
      <c r="G136" s="201">
        <v>3181</v>
      </c>
      <c r="H136" s="201">
        <v>145799</v>
      </c>
      <c r="I136" s="201">
        <v>1914</v>
      </c>
      <c r="J136" s="201">
        <v>79613</v>
      </c>
      <c r="K136" s="201">
        <v>3551</v>
      </c>
      <c r="L136" s="201">
        <v>35507</v>
      </c>
      <c r="M136" s="201">
        <v>3158</v>
      </c>
      <c r="N136" s="201">
        <v>21425</v>
      </c>
      <c r="O136" s="201">
        <v>6560</v>
      </c>
      <c r="P136" s="201">
        <v>43954</v>
      </c>
      <c r="Q136" s="201">
        <v>9497</v>
      </c>
      <c r="R136" s="201">
        <v>76224</v>
      </c>
      <c r="S136" s="201">
        <v>4933</v>
      </c>
      <c r="T136" s="201">
        <v>149430</v>
      </c>
      <c r="U136" s="201">
        <v>21014</v>
      </c>
      <c r="V136" s="201">
        <v>850089</v>
      </c>
      <c r="W136" s="201">
        <v>7367</v>
      </c>
      <c r="X136" s="201">
        <v>328732</v>
      </c>
      <c r="Y136" s="201">
        <v>31774</v>
      </c>
      <c r="Z136" s="201">
        <v>1317361</v>
      </c>
      <c r="AA136" s="202">
        <v>17499</v>
      </c>
      <c r="AB136" s="202">
        <v>715084</v>
      </c>
      <c r="AC136" s="201">
        <v>25800</v>
      </c>
      <c r="AD136" s="201">
        <v>1132516</v>
      </c>
      <c r="AE136" s="202">
        <v>18748</v>
      </c>
      <c r="AF136" s="202">
        <v>694865</v>
      </c>
      <c r="AG136" s="202">
        <v>36169</v>
      </c>
      <c r="AH136" s="202">
        <v>1451195</v>
      </c>
      <c r="AI136" s="202">
        <v>66610</v>
      </c>
      <c r="AJ136" s="202">
        <v>2345293</v>
      </c>
      <c r="AK136" s="202">
        <v>57241</v>
      </c>
      <c r="AL136" s="202">
        <v>2120733</v>
      </c>
      <c r="AM136" s="221">
        <v>65818</v>
      </c>
      <c r="AN136" s="221">
        <v>3043804</v>
      </c>
      <c r="AO136" s="202">
        <v>59835</v>
      </c>
      <c r="AP136" s="202">
        <v>2242642</v>
      </c>
      <c r="AQ136" s="202">
        <v>44072.68</v>
      </c>
      <c r="AR136" s="202">
        <v>1734040</v>
      </c>
      <c r="AS136" s="202">
        <v>62630.98</v>
      </c>
      <c r="AT136" s="202">
        <v>2487199</v>
      </c>
      <c r="AU136" s="202">
        <v>29733</v>
      </c>
      <c r="AV136" s="202">
        <v>1494518</v>
      </c>
      <c r="AW136" s="202">
        <v>61828</v>
      </c>
      <c r="AX136" s="202">
        <v>3082424</v>
      </c>
      <c r="AY136" s="201">
        <v>21962.6</v>
      </c>
      <c r="AZ136" s="201">
        <v>986583</v>
      </c>
    </row>
    <row r="137" spans="1:52" x14ac:dyDescent="0.25">
      <c r="A137" s="229" t="s">
        <v>449</v>
      </c>
      <c r="B137" s="216" t="s">
        <v>166</v>
      </c>
      <c r="C137" s="201">
        <v>2648</v>
      </c>
      <c r="D137" s="201">
        <v>162003</v>
      </c>
      <c r="E137" s="201">
        <v>352</v>
      </c>
      <c r="F137" s="201">
        <v>79225</v>
      </c>
      <c r="G137" s="201">
        <v>354</v>
      </c>
      <c r="H137" s="201">
        <v>94751</v>
      </c>
      <c r="I137" s="201">
        <v>300</v>
      </c>
      <c r="J137" s="201">
        <v>84241</v>
      </c>
      <c r="K137" s="201">
        <v>173</v>
      </c>
      <c r="L137" s="201">
        <v>45591</v>
      </c>
      <c r="M137" s="201">
        <v>30</v>
      </c>
      <c r="N137" s="201">
        <v>8037</v>
      </c>
      <c r="O137" s="201">
        <v>0</v>
      </c>
      <c r="P137" s="201">
        <v>0</v>
      </c>
      <c r="Q137" s="201">
        <v>0</v>
      </c>
      <c r="R137" s="201">
        <v>0</v>
      </c>
      <c r="S137" s="201">
        <v>0</v>
      </c>
      <c r="T137" s="201">
        <v>0</v>
      </c>
      <c r="U137" s="201">
        <v>3456</v>
      </c>
      <c r="V137" s="201">
        <v>900710</v>
      </c>
      <c r="W137" s="201">
        <v>11432</v>
      </c>
      <c r="X137" s="201">
        <v>66104</v>
      </c>
      <c r="Y137" s="201">
        <v>1971</v>
      </c>
      <c r="Z137" s="201">
        <v>105241</v>
      </c>
      <c r="AA137" s="202">
        <v>473</v>
      </c>
      <c r="AB137" s="202">
        <v>14839</v>
      </c>
      <c r="AC137" s="201">
        <v>0</v>
      </c>
      <c r="AD137" s="201">
        <v>0</v>
      </c>
      <c r="AE137" s="202">
        <v>0</v>
      </c>
      <c r="AF137" s="202">
        <v>0</v>
      </c>
      <c r="AG137" s="202">
        <v>0</v>
      </c>
      <c r="AH137" s="202">
        <v>0</v>
      </c>
      <c r="AI137" s="202">
        <v>0</v>
      </c>
      <c r="AJ137" s="202">
        <v>0</v>
      </c>
      <c r="AK137" s="202">
        <v>0</v>
      </c>
      <c r="AL137" s="202">
        <v>0</v>
      </c>
      <c r="AM137" s="202">
        <v>0</v>
      </c>
      <c r="AN137" s="202">
        <v>0</v>
      </c>
      <c r="AO137" s="202">
        <v>0</v>
      </c>
      <c r="AP137" s="202">
        <v>0</v>
      </c>
      <c r="AQ137" s="202">
        <v>0</v>
      </c>
      <c r="AR137" s="202">
        <v>0</v>
      </c>
      <c r="AS137" s="202">
        <v>0</v>
      </c>
      <c r="AT137" s="202">
        <v>0</v>
      </c>
      <c r="AU137" s="202">
        <v>0</v>
      </c>
      <c r="AV137" s="202">
        <v>0</v>
      </c>
      <c r="AW137" s="202">
        <v>0</v>
      </c>
      <c r="AX137" s="202">
        <v>0</v>
      </c>
      <c r="AY137" s="201">
        <v>0</v>
      </c>
      <c r="AZ137" s="201">
        <v>0</v>
      </c>
    </row>
    <row r="138" spans="1:52" x14ac:dyDescent="0.25">
      <c r="A138" s="218" t="s">
        <v>450</v>
      </c>
      <c r="B138" s="216"/>
      <c r="C138" s="201"/>
      <c r="D138" s="201">
        <f>SUM(D136:D137)</f>
        <v>1006295</v>
      </c>
      <c r="E138" s="201"/>
      <c r="F138" s="201">
        <f>SUM(F136:F137)</f>
        <v>196157</v>
      </c>
      <c r="G138" s="201"/>
      <c r="H138" s="201">
        <f>SUM(H136:H137)</f>
        <v>240550</v>
      </c>
      <c r="I138" s="201"/>
      <c r="J138" s="201">
        <f>SUM(J136:J137)</f>
        <v>163854</v>
      </c>
      <c r="K138" s="201"/>
      <c r="L138" s="201">
        <f>SUM(L136:L137)</f>
        <v>81098</v>
      </c>
      <c r="M138" s="201"/>
      <c r="N138" s="201">
        <f>SUM(N136:N137)</f>
        <v>29462</v>
      </c>
      <c r="O138" s="201"/>
      <c r="P138" s="201">
        <f>SUM(P136:P137)</f>
        <v>43954</v>
      </c>
      <c r="Q138" s="201"/>
      <c r="R138" s="201">
        <f>SUM(R136:R137)</f>
        <v>76224</v>
      </c>
      <c r="S138" s="201"/>
      <c r="T138" s="201">
        <f>SUM(T136:T137)</f>
        <v>149430</v>
      </c>
      <c r="U138" s="219"/>
      <c r="V138" s="201">
        <f>SUM(V136:V137)</f>
        <v>1750799</v>
      </c>
      <c r="W138" s="202"/>
      <c r="X138" s="201">
        <f>SUM(X136:X137)</f>
        <v>394836</v>
      </c>
      <c r="Y138" s="202"/>
      <c r="Z138" s="201">
        <f>SUM(Z136:Z137)</f>
        <v>1422602</v>
      </c>
      <c r="AA138" s="202"/>
      <c r="AB138" s="202">
        <f>SUM(AB136:AB137)</f>
        <v>729923</v>
      </c>
      <c r="AC138" s="201"/>
      <c r="AD138" s="201">
        <f>SUM(AD136:AD137)</f>
        <v>1132516</v>
      </c>
      <c r="AE138" s="202"/>
      <c r="AF138" s="202">
        <f>SUM(AF136:AF137)</f>
        <v>694865</v>
      </c>
      <c r="AG138" s="202"/>
      <c r="AH138" s="202">
        <f>SUM(AH136:AH137)</f>
        <v>1451195</v>
      </c>
      <c r="AI138" s="202"/>
      <c r="AJ138" s="202">
        <f>SUM(AJ136:AJ137)</f>
        <v>2345293</v>
      </c>
      <c r="AK138" s="202"/>
      <c r="AL138" s="202">
        <f>SUM(AL136:AL137)</f>
        <v>2120733</v>
      </c>
      <c r="AM138" s="202"/>
      <c r="AN138" s="202">
        <f>SUM(AN136:AN137)</f>
        <v>3043804</v>
      </c>
      <c r="AP138" s="202">
        <f>SUM(AP136:AP137)</f>
        <v>2242642</v>
      </c>
      <c r="AQ138" s="202"/>
      <c r="AR138" s="202">
        <f>SUM(AR136:AR137)</f>
        <v>1734040</v>
      </c>
      <c r="AS138" s="202"/>
      <c r="AT138" s="202">
        <f>SUM(AT136:AT137)</f>
        <v>2487199</v>
      </c>
      <c r="AU138" s="202"/>
      <c r="AV138" s="202">
        <f>SUM(AV136:AV137)</f>
        <v>1494518</v>
      </c>
      <c r="AW138" s="227"/>
      <c r="AX138" s="201">
        <f>SUM(AX136:AX137)</f>
        <v>3082424</v>
      </c>
      <c r="AY138" s="201"/>
      <c r="AZ138" s="201">
        <f>SUM(AZ136:AZ137)</f>
        <v>986583</v>
      </c>
    </row>
    <row r="139" spans="1:52" x14ac:dyDescent="0.25">
      <c r="A139" s="229"/>
      <c r="B139" s="216"/>
      <c r="C139" s="201"/>
      <c r="D139" s="201"/>
      <c r="E139" s="201"/>
      <c r="F139" s="201"/>
      <c r="G139" s="201"/>
      <c r="H139" s="201"/>
      <c r="I139" s="201"/>
      <c r="J139" s="201"/>
      <c r="K139" s="201"/>
      <c r="L139" s="201"/>
      <c r="M139" s="201"/>
      <c r="N139" s="201"/>
      <c r="O139" s="201"/>
      <c r="P139" s="201"/>
      <c r="Q139" s="201"/>
      <c r="R139" s="201"/>
      <c r="S139" s="201"/>
      <c r="T139" s="201"/>
      <c r="U139" s="219"/>
      <c r="V139" s="219"/>
      <c r="W139" s="202"/>
      <c r="X139" s="202"/>
      <c r="Y139" s="202"/>
      <c r="Z139" s="202"/>
      <c r="AA139" s="202"/>
      <c r="AB139" s="202"/>
      <c r="AC139" s="201"/>
      <c r="AD139" s="201"/>
      <c r="AE139" s="202"/>
      <c r="AF139" s="202"/>
      <c r="AG139" s="202"/>
      <c r="AH139" s="202"/>
      <c r="AI139" s="202"/>
      <c r="AJ139" s="202"/>
      <c r="AK139" s="202"/>
      <c r="AL139" s="202"/>
      <c r="AM139" s="202"/>
      <c r="AN139" s="202"/>
      <c r="AQ139" s="202"/>
      <c r="AR139" s="202"/>
      <c r="AS139" s="202"/>
      <c r="AT139" s="202"/>
      <c r="AU139" s="202"/>
      <c r="AV139" s="202"/>
      <c r="AW139" s="227"/>
      <c r="AX139" s="227"/>
      <c r="AY139" s="228"/>
      <c r="AZ139" s="228"/>
    </row>
    <row r="140" spans="1:52" x14ac:dyDescent="0.25">
      <c r="A140" s="1324" t="s">
        <v>217</v>
      </c>
      <c r="B140" s="1345"/>
      <c r="C140" s="1326"/>
      <c r="D140" s="1326"/>
      <c r="E140" s="1326"/>
      <c r="F140" s="1326"/>
      <c r="G140" s="1326"/>
      <c r="H140" s="1326"/>
      <c r="I140" s="1326"/>
      <c r="J140" s="1326"/>
      <c r="K140" s="1326"/>
      <c r="L140" s="1326"/>
      <c r="M140" s="1326"/>
      <c r="N140" s="1326"/>
      <c r="O140" s="1326"/>
      <c r="P140" s="1326"/>
      <c r="Q140" s="1326"/>
      <c r="R140" s="1326"/>
      <c r="S140" s="1326"/>
      <c r="T140" s="1326"/>
      <c r="U140" s="1327"/>
      <c r="V140" s="1327"/>
      <c r="W140" s="1327"/>
      <c r="X140" s="1327"/>
      <c r="Y140" s="1327"/>
      <c r="Z140" s="1327"/>
      <c r="AA140" s="1327"/>
      <c r="AB140" s="1327"/>
      <c r="AC140" s="1326"/>
      <c r="AD140" s="1326"/>
      <c r="AE140" s="1327"/>
      <c r="AF140" s="1327"/>
      <c r="AG140" s="1327"/>
      <c r="AH140" s="1327"/>
      <c r="AI140" s="1327"/>
      <c r="AJ140" s="1327"/>
      <c r="AK140" s="1327"/>
      <c r="AL140" s="1327"/>
      <c r="AM140" s="1327"/>
      <c r="AN140" s="1327"/>
      <c r="AO140" s="1327"/>
      <c r="AP140" s="1327"/>
      <c r="AQ140" s="1327"/>
      <c r="AR140" s="1327"/>
      <c r="AS140" s="1327"/>
      <c r="AT140" s="1327"/>
      <c r="AU140" s="1327"/>
      <c r="AV140" s="1327"/>
      <c r="AW140" s="1334"/>
      <c r="AX140" s="1334"/>
      <c r="AY140" s="1335"/>
      <c r="AZ140" s="1335"/>
    </row>
    <row r="141" spans="1:52" x14ac:dyDescent="0.25">
      <c r="A141" s="1339" t="s">
        <v>451</v>
      </c>
      <c r="B141" s="1325" t="s">
        <v>166</v>
      </c>
      <c r="C141" s="1326">
        <f>36059783+58996</f>
        <v>36118779</v>
      </c>
      <c r="D141" s="1326">
        <f>289345160+74096</f>
        <v>289419256</v>
      </c>
      <c r="E141" s="1326">
        <f>1657610+57510+6486977</f>
        <v>8202097</v>
      </c>
      <c r="F141" s="1326">
        <f>12229942+395666+71628071</f>
        <v>84253679</v>
      </c>
      <c r="G141" s="1326">
        <f>1192606+5584621+371084</f>
        <v>7148311</v>
      </c>
      <c r="H141" s="1326">
        <f>11756182+76432171+4081924</f>
        <v>92270277</v>
      </c>
      <c r="I141" s="1326">
        <f>734378+6143446+447938</f>
        <v>7325762</v>
      </c>
      <c r="J141" s="1326">
        <f>8025011+95277003+4405318</f>
        <v>107707332</v>
      </c>
      <c r="K141" s="1326">
        <v>5419241</v>
      </c>
      <c r="L141" s="1326">
        <f>3108688+77486104+5227926+3507394</f>
        <v>89330112</v>
      </c>
      <c r="M141" s="1326">
        <f>875714+4977138</f>
        <v>5852852</v>
      </c>
      <c r="N141" s="1326">
        <f>11605187+85004101</f>
        <v>96609288</v>
      </c>
      <c r="O141" s="1326">
        <v>5968718</v>
      </c>
      <c r="P141" s="1326">
        <v>102407489</v>
      </c>
      <c r="Q141" s="1326">
        <v>6382235</v>
      </c>
      <c r="R141" s="1326">
        <v>116709492</v>
      </c>
      <c r="S141" s="1326">
        <v>5649979</v>
      </c>
      <c r="T141" s="1326">
        <v>103585095</v>
      </c>
      <c r="U141" s="1326">
        <v>5464527</v>
      </c>
      <c r="V141" s="1326">
        <v>93583305</v>
      </c>
      <c r="W141" s="1326">
        <v>4896893</v>
      </c>
      <c r="X141" s="1326">
        <v>85248528</v>
      </c>
      <c r="Y141" s="1326">
        <v>4772519</v>
      </c>
      <c r="Z141" s="1326">
        <v>111147853</v>
      </c>
      <c r="AA141" s="1327">
        <v>4773385</v>
      </c>
      <c r="AB141" s="1327">
        <v>128740105</v>
      </c>
      <c r="AC141" s="1326">
        <v>5638929</v>
      </c>
      <c r="AD141" s="1326">
        <v>159029485</v>
      </c>
      <c r="AE141" s="1327">
        <v>5475700</v>
      </c>
      <c r="AF141" s="1327">
        <v>152105587</v>
      </c>
      <c r="AG141" s="1327">
        <v>6434476</v>
      </c>
      <c r="AH141" s="1327">
        <v>150174086</v>
      </c>
      <c r="AI141" s="1327">
        <v>6533317</v>
      </c>
      <c r="AJ141" s="1327">
        <v>154980117</v>
      </c>
      <c r="AK141" s="1327">
        <v>5791703</v>
      </c>
      <c r="AL141" s="1327">
        <v>136656820</v>
      </c>
      <c r="AM141" s="1328">
        <v>7413286</v>
      </c>
      <c r="AN141" s="1328">
        <v>183370087</v>
      </c>
      <c r="AO141" s="1327">
        <v>6939914</v>
      </c>
      <c r="AP141" s="1327">
        <v>200462609</v>
      </c>
      <c r="AQ141" s="1327">
        <v>7015521</v>
      </c>
      <c r="AR141" s="1327">
        <v>188894160</v>
      </c>
      <c r="AS141" s="1327">
        <v>5780878</v>
      </c>
      <c r="AT141" s="1327">
        <v>163634792</v>
      </c>
      <c r="AU141" s="1327">
        <v>7282826</v>
      </c>
      <c r="AV141" s="1327">
        <v>235698057</v>
      </c>
      <c r="AW141" s="1327">
        <v>6599275</v>
      </c>
      <c r="AX141" s="1327">
        <v>192414071</v>
      </c>
      <c r="AY141" s="1326">
        <v>8004155</v>
      </c>
      <c r="AZ141" s="1326">
        <v>189790259</v>
      </c>
    </row>
    <row r="142" spans="1:52" x14ac:dyDescent="0.25">
      <c r="A142" s="1339" t="s">
        <v>452</v>
      </c>
      <c r="B142" s="1325" t="s">
        <v>166</v>
      </c>
      <c r="C142" s="1326">
        <v>802892431</v>
      </c>
      <c r="D142" s="1326">
        <v>7214436003</v>
      </c>
      <c r="E142" s="1326">
        <v>84952689</v>
      </c>
      <c r="F142" s="1326">
        <v>1157998681</v>
      </c>
      <c r="G142" s="1326">
        <f>75302640-G141</f>
        <v>68154329</v>
      </c>
      <c r="H142" s="1326">
        <f>1129628976-H141</f>
        <v>1037358699</v>
      </c>
      <c r="I142" s="1326">
        <f>78182395-I141</f>
        <v>70856633</v>
      </c>
      <c r="J142" s="1326">
        <f>1495065014-J141</f>
        <v>1387357682</v>
      </c>
      <c r="K142" s="1326">
        <f>2215960+18203684+31272604+13001535+4870519</f>
        <v>69564302</v>
      </c>
      <c r="L142" s="1326">
        <f>1546325341-L141</f>
        <v>1456995229</v>
      </c>
      <c r="M142" s="1326">
        <f>M145-M141</f>
        <v>84778276</v>
      </c>
      <c r="N142" s="1326">
        <f>N145-N141</f>
        <v>1574676000</v>
      </c>
      <c r="O142" s="1326">
        <v>82680588</v>
      </c>
      <c r="P142" s="1326">
        <v>1927169247</v>
      </c>
      <c r="Q142" s="1326">
        <v>74894501</v>
      </c>
      <c r="R142" s="1326">
        <v>1797514359</v>
      </c>
      <c r="S142" s="1326">
        <v>77892331</v>
      </c>
      <c r="T142" s="1326">
        <v>1621771014</v>
      </c>
      <c r="U142" s="1326">
        <v>92854562</v>
      </c>
      <c r="V142" s="1326">
        <v>1663694794</v>
      </c>
      <c r="W142" s="1326">
        <v>101573077</v>
      </c>
      <c r="X142" s="1326">
        <v>2036817396</v>
      </c>
      <c r="Y142" s="1326">
        <v>99079566</v>
      </c>
      <c r="Z142" s="1326">
        <v>2315663115</v>
      </c>
      <c r="AA142" s="1327">
        <v>109394339</v>
      </c>
      <c r="AB142" s="1327">
        <v>2849976022</v>
      </c>
      <c r="AC142" s="1326">
        <v>102508204</v>
      </c>
      <c r="AD142" s="1326">
        <v>2762946127</v>
      </c>
      <c r="AE142" s="1327">
        <v>110863008</v>
      </c>
      <c r="AF142" s="1327">
        <v>2844629286</v>
      </c>
      <c r="AG142" s="1327">
        <v>117828830</v>
      </c>
      <c r="AH142" s="1327">
        <v>2480440822</v>
      </c>
      <c r="AI142" s="1327">
        <v>129432288</v>
      </c>
      <c r="AJ142" s="1327">
        <v>2825709297</v>
      </c>
      <c r="AK142" s="1327">
        <v>127859595</v>
      </c>
      <c r="AL142" s="1327">
        <v>2787821563</v>
      </c>
      <c r="AM142" s="1328">
        <v>144305307</v>
      </c>
      <c r="AN142" s="1328">
        <v>3449970594</v>
      </c>
      <c r="AO142" s="1327">
        <v>136811715</v>
      </c>
      <c r="AP142" s="1327">
        <v>3903459152</v>
      </c>
      <c r="AQ142" s="1327">
        <v>135989777</v>
      </c>
      <c r="AR142" s="1327">
        <v>3328272950</v>
      </c>
      <c r="AS142" s="1327">
        <v>153084739</v>
      </c>
      <c r="AT142" s="1327">
        <v>4201552721</v>
      </c>
      <c r="AU142" s="1327">
        <v>158731693</v>
      </c>
      <c r="AV142" s="1327">
        <v>5134014112</v>
      </c>
      <c r="AW142" s="1327">
        <v>165167541</v>
      </c>
      <c r="AX142" s="1327">
        <v>4872202224</v>
      </c>
      <c r="AY142" s="1326">
        <v>186743301</v>
      </c>
      <c r="AZ142" s="1326">
        <v>4871266951</v>
      </c>
    </row>
    <row r="143" spans="1:52" x14ac:dyDescent="0.25">
      <c r="A143" s="1339" t="s">
        <v>453</v>
      </c>
      <c r="B143" s="1325" t="s">
        <v>166</v>
      </c>
      <c r="C143" s="1326">
        <v>50823118</v>
      </c>
      <c r="D143" s="1326">
        <v>747819924</v>
      </c>
      <c r="E143" s="1326">
        <v>18940</v>
      </c>
      <c r="F143" s="1326">
        <v>388102</v>
      </c>
      <c r="G143" s="1326">
        <v>0</v>
      </c>
      <c r="H143" s="1326">
        <v>0</v>
      </c>
      <c r="I143" s="1326">
        <v>0</v>
      </c>
      <c r="J143" s="1326">
        <v>0</v>
      </c>
      <c r="K143" s="1326">
        <v>0</v>
      </c>
      <c r="L143" s="1326">
        <v>0</v>
      </c>
      <c r="M143" s="1326"/>
      <c r="N143" s="1326"/>
      <c r="O143" s="1326">
        <v>21423</v>
      </c>
      <c r="P143" s="1326">
        <v>422109</v>
      </c>
      <c r="Q143" s="1326">
        <v>14204</v>
      </c>
      <c r="R143" s="1326">
        <v>522000</v>
      </c>
      <c r="S143" s="1326">
        <v>580433</v>
      </c>
      <c r="T143" s="1326">
        <v>12294447</v>
      </c>
      <c r="U143" s="1327">
        <v>0</v>
      </c>
      <c r="V143" s="1327">
        <v>0</v>
      </c>
      <c r="W143" s="1327">
        <v>0</v>
      </c>
      <c r="X143" s="1327">
        <v>0</v>
      </c>
      <c r="Y143" s="1327">
        <v>0</v>
      </c>
      <c r="Z143" s="1327">
        <v>0</v>
      </c>
      <c r="AA143" s="1327">
        <v>0</v>
      </c>
      <c r="AB143" s="1327">
        <v>0</v>
      </c>
      <c r="AC143" s="1327">
        <v>0</v>
      </c>
      <c r="AD143" s="1327">
        <v>0</v>
      </c>
      <c r="AE143" s="1327">
        <v>0</v>
      </c>
      <c r="AF143" s="1327">
        <v>0</v>
      </c>
      <c r="AG143" s="1327">
        <v>0</v>
      </c>
      <c r="AH143" s="1327">
        <v>0</v>
      </c>
      <c r="AI143" s="1327">
        <v>0</v>
      </c>
      <c r="AJ143" s="1327">
        <v>0</v>
      </c>
      <c r="AK143" s="1327">
        <v>0</v>
      </c>
      <c r="AL143" s="1327">
        <v>0</v>
      </c>
      <c r="AM143" s="1327">
        <v>0</v>
      </c>
      <c r="AN143" s="1327">
        <v>0</v>
      </c>
      <c r="AO143" s="1327">
        <v>0</v>
      </c>
      <c r="AP143" s="1327">
        <v>0</v>
      </c>
      <c r="AQ143" s="1327">
        <v>0</v>
      </c>
      <c r="AR143" s="1327">
        <v>0</v>
      </c>
      <c r="AS143" s="1327">
        <v>0</v>
      </c>
      <c r="AT143" s="1327">
        <v>0</v>
      </c>
      <c r="AU143" s="1327">
        <v>0</v>
      </c>
      <c r="AV143" s="1327">
        <v>0</v>
      </c>
      <c r="AW143" s="1327">
        <v>0</v>
      </c>
      <c r="AX143" s="1327">
        <v>0</v>
      </c>
      <c r="AY143" s="1326">
        <v>0</v>
      </c>
      <c r="AZ143" s="1326">
        <v>0</v>
      </c>
    </row>
    <row r="144" spans="1:52" x14ac:dyDescent="0.25">
      <c r="A144" s="1339" t="s">
        <v>454</v>
      </c>
      <c r="B144" s="1325" t="s">
        <v>166</v>
      </c>
      <c r="C144" s="1326">
        <v>1296263</v>
      </c>
      <c r="D144" s="1326">
        <v>76999512</v>
      </c>
      <c r="E144" s="1326">
        <v>38988</v>
      </c>
      <c r="F144" s="1326">
        <v>4241104</v>
      </c>
      <c r="G144" s="1326">
        <v>3763</v>
      </c>
      <c r="H144" s="1326">
        <v>526820</v>
      </c>
      <c r="I144" s="1326">
        <v>0</v>
      </c>
      <c r="J144" s="1326">
        <v>0</v>
      </c>
      <c r="K144" s="1326">
        <v>0</v>
      </c>
      <c r="L144" s="1326">
        <v>0</v>
      </c>
      <c r="M144" s="1326">
        <v>0</v>
      </c>
      <c r="N144" s="1326">
        <v>0</v>
      </c>
      <c r="O144" s="1326">
        <v>0</v>
      </c>
      <c r="P144" s="1326">
        <v>0</v>
      </c>
      <c r="Q144" s="1326">
        <v>0</v>
      </c>
      <c r="R144" s="1326">
        <v>0</v>
      </c>
      <c r="S144" s="1326">
        <v>0</v>
      </c>
      <c r="T144" s="1326">
        <v>0</v>
      </c>
      <c r="U144" s="1326">
        <v>0</v>
      </c>
      <c r="V144" s="1326">
        <v>0</v>
      </c>
      <c r="W144" s="1326">
        <v>0</v>
      </c>
      <c r="X144" s="1326">
        <v>0</v>
      </c>
      <c r="Y144" s="1326">
        <v>0</v>
      </c>
      <c r="Z144" s="1326">
        <v>0</v>
      </c>
      <c r="AA144" s="1326">
        <v>0</v>
      </c>
      <c r="AB144" s="1326">
        <v>0</v>
      </c>
      <c r="AC144" s="1326">
        <v>0</v>
      </c>
      <c r="AD144" s="1326">
        <v>0</v>
      </c>
      <c r="AE144" s="1326">
        <v>0</v>
      </c>
      <c r="AF144" s="1326">
        <v>0</v>
      </c>
      <c r="AG144" s="1326">
        <v>0</v>
      </c>
      <c r="AH144" s="1326">
        <v>0</v>
      </c>
      <c r="AI144" s="1326">
        <v>0</v>
      </c>
      <c r="AJ144" s="1326">
        <v>0</v>
      </c>
      <c r="AK144" s="1326">
        <v>0</v>
      </c>
      <c r="AL144" s="1326">
        <v>0</v>
      </c>
      <c r="AM144" s="1326">
        <v>0</v>
      </c>
      <c r="AN144" s="1326">
        <v>0</v>
      </c>
      <c r="AO144" s="1326">
        <v>0</v>
      </c>
      <c r="AP144" s="1326">
        <v>0</v>
      </c>
      <c r="AQ144" s="1326">
        <v>0</v>
      </c>
      <c r="AR144" s="1326">
        <v>0</v>
      </c>
      <c r="AS144" s="1326">
        <v>0</v>
      </c>
      <c r="AT144" s="1327">
        <v>0</v>
      </c>
      <c r="AU144" s="1327">
        <v>0</v>
      </c>
      <c r="AV144" s="1327">
        <v>0</v>
      </c>
      <c r="AW144" s="1327">
        <v>0</v>
      </c>
      <c r="AX144" s="1327">
        <v>0</v>
      </c>
      <c r="AY144" s="1326">
        <v>0</v>
      </c>
      <c r="AZ144" s="1326">
        <v>0</v>
      </c>
    </row>
    <row r="145" spans="1:52" x14ac:dyDescent="0.25">
      <c r="A145" s="1340" t="s">
        <v>455</v>
      </c>
      <c r="B145" s="1345"/>
      <c r="C145" s="1326">
        <f t="shared" ref="C145:L145" si="48">SUM(C141:C144)</f>
        <v>891130591</v>
      </c>
      <c r="D145" s="1326">
        <f t="shared" si="48"/>
        <v>8328674695</v>
      </c>
      <c r="E145" s="1326">
        <f t="shared" si="48"/>
        <v>93212714</v>
      </c>
      <c r="F145" s="1326">
        <f t="shared" si="48"/>
        <v>1246881566</v>
      </c>
      <c r="G145" s="1326">
        <f t="shared" si="48"/>
        <v>75306403</v>
      </c>
      <c r="H145" s="1326">
        <f t="shared" si="48"/>
        <v>1130155796</v>
      </c>
      <c r="I145" s="1326">
        <f t="shared" si="48"/>
        <v>78182395</v>
      </c>
      <c r="J145" s="1326">
        <f t="shared" si="48"/>
        <v>1495065014</v>
      </c>
      <c r="K145" s="1326">
        <f t="shared" si="48"/>
        <v>74983543</v>
      </c>
      <c r="L145" s="1326">
        <f t="shared" si="48"/>
        <v>1546325341</v>
      </c>
      <c r="M145" s="1326">
        <v>90631128</v>
      </c>
      <c r="N145" s="1326">
        <v>1671285288</v>
      </c>
      <c r="O145" s="1326">
        <f t="shared" ref="O145:AA145" si="49">SUM(O141:O144)</f>
        <v>88670729</v>
      </c>
      <c r="P145" s="1326">
        <f t="shared" si="49"/>
        <v>2029998845</v>
      </c>
      <c r="Q145" s="1326">
        <f t="shared" si="49"/>
        <v>81290940</v>
      </c>
      <c r="R145" s="1326">
        <f t="shared" si="49"/>
        <v>1914745851</v>
      </c>
      <c r="S145" s="1326">
        <f t="shared" si="49"/>
        <v>84122743</v>
      </c>
      <c r="T145" s="1326">
        <f t="shared" si="49"/>
        <v>1737650556</v>
      </c>
      <c r="U145" s="1327">
        <f t="shared" si="49"/>
        <v>98319089</v>
      </c>
      <c r="V145" s="1327">
        <f t="shared" si="49"/>
        <v>1757278099</v>
      </c>
      <c r="W145" s="1326">
        <f t="shared" si="49"/>
        <v>106469970</v>
      </c>
      <c r="X145" s="1326">
        <f t="shared" si="49"/>
        <v>2122065924</v>
      </c>
      <c r="Y145" s="1326">
        <f t="shared" si="49"/>
        <v>103852085</v>
      </c>
      <c r="Z145" s="1326">
        <f t="shared" si="49"/>
        <v>2426810968</v>
      </c>
      <c r="AA145" s="1327">
        <f t="shared" si="49"/>
        <v>114167724</v>
      </c>
      <c r="AB145" s="1327">
        <f>SUM(AB141:AB142)</f>
        <v>2978716127</v>
      </c>
      <c r="AC145" s="1326">
        <f t="shared" ref="AC145:AJ145" si="50">SUM(AC141:AC144)</f>
        <v>108147133</v>
      </c>
      <c r="AD145" s="1326">
        <f t="shared" si="50"/>
        <v>2921975612</v>
      </c>
      <c r="AE145" s="1327">
        <f t="shared" si="50"/>
        <v>116338708</v>
      </c>
      <c r="AF145" s="1327">
        <f t="shared" si="50"/>
        <v>2996734873</v>
      </c>
      <c r="AG145" s="1327">
        <f t="shared" si="50"/>
        <v>124263306</v>
      </c>
      <c r="AH145" s="1327">
        <f t="shared" si="50"/>
        <v>2630614908</v>
      </c>
      <c r="AI145" s="1327">
        <f t="shared" si="50"/>
        <v>135965605</v>
      </c>
      <c r="AJ145" s="1327">
        <f t="shared" si="50"/>
        <v>2980689414</v>
      </c>
      <c r="AK145" s="1327">
        <v>133651298</v>
      </c>
      <c r="AL145" s="1327">
        <v>2924478383</v>
      </c>
      <c r="AM145" s="1327">
        <f t="shared" ref="AM145:AZ145" si="51">SUM(AM141:AM144)</f>
        <v>151718593</v>
      </c>
      <c r="AN145" s="1327">
        <f t="shared" si="51"/>
        <v>3633340681</v>
      </c>
      <c r="AO145" s="1327">
        <f t="shared" si="51"/>
        <v>143751629</v>
      </c>
      <c r="AP145" s="1327">
        <f t="shared" si="51"/>
        <v>4103921761</v>
      </c>
      <c r="AQ145" s="1327">
        <f t="shared" si="51"/>
        <v>143005298</v>
      </c>
      <c r="AR145" s="1327">
        <f t="shared" si="51"/>
        <v>3517167110</v>
      </c>
      <c r="AS145" s="1327">
        <f t="shared" si="51"/>
        <v>158865617</v>
      </c>
      <c r="AT145" s="1327">
        <f t="shared" si="51"/>
        <v>4365187513</v>
      </c>
      <c r="AU145" s="1327">
        <f t="shared" si="51"/>
        <v>166014519</v>
      </c>
      <c r="AV145" s="1327">
        <f t="shared" si="51"/>
        <v>5369712169</v>
      </c>
      <c r="AW145" s="1326">
        <f t="shared" si="51"/>
        <v>171766816</v>
      </c>
      <c r="AX145" s="1326">
        <f t="shared" si="51"/>
        <v>5064616295</v>
      </c>
      <c r="AY145" s="1326">
        <f t="shared" si="51"/>
        <v>194747456</v>
      </c>
      <c r="AZ145" s="1326">
        <f t="shared" si="51"/>
        <v>5061057210</v>
      </c>
    </row>
    <row r="147" spans="1:52" x14ac:dyDescent="0.25">
      <c r="A147" s="215" t="s">
        <v>218</v>
      </c>
      <c r="C147" s="201"/>
      <c r="D147" s="201"/>
      <c r="E147" s="201"/>
      <c r="F147" s="201"/>
      <c r="G147" s="201"/>
      <c r="H147" s="201"/>
      <c r="I147" s="201"/>
      <c r="J147" s="201"/>
      <c r="K147" s="201"/>
      <c r="L147" s="201"/>
      <c r="M147" s="201"/>
      <c r="N147" s="201"/>
      <c r="O147" s="201"/>
      <c r="P147" s="201"/>
      <c r="Q147" s="201"/>
      <c r="R147" s="201"/>
      <c r="S147" s="201"/>
      <c r="T147" s="201"/>
      <c r="U147" s="201"/>
      <c r="V147" s="201"/>
      <c r="W147" s="202"/>
      <c r="X147" s="202"/>
      <c r="Y147" s="202"/>
      <c r="Z147" s="202"/>
      <c r="AA147" s="202"/>
      <c r="AB147" s="202"/>
      <c r="AC147" s="201"/>
      <c r="AD147" s="201"/>
      <c r="AE147" s="202"/>
      <c r="AF147" s="202"/>
      <c r="AG147" s="202"/>
      <c r="AH147" s="202"/>
      <c r="AI147" s="202"/>
      <c r="AJ147" s="202"/>
      <c r="AK147" s="202"/>
      <c r="AL147" s="202"/>
      <c r="AM147" s="202"/>
      <c r="AN147" s="202"/>
      <c r="AQ147" s="202"/>
      <c r="AR147" s="202"/>
      <c r="AS147" s="202"/>
      <c r="AT147" s="202"/>
      <c r="AU147" s="202"/>
      <c r="AV147" s="202"/>
      <c r="AW147" s="227"/>
      <c r="AX147" s="227"/>
      <c r="AY147" s="228"/>
      <c r="AZ147" s="228"/>
    </row>
    <row r="148" spans="1:52" x14ac:dyDescent="0.25">
      <c r="A148" s="229" t="s">
        <v>456</v>
      </c>
      <c r="B148" s="216" t="s">
        <v>166</v>
      </c>
      <c r="C148" s="201">
        <v>3681</v>
      </c>
      <c r="D148" s="201">
        <v>29628</v>
      </c>
      <c r="E148" s="201">
        <v>0</v>
      </c>
      <c r="F148" s="201">
        <v>0</v>
      </c>
      <c r="G148" s="201">
        <v>0</v>
      </c>
      <c r="H148" s="201">
        <v>0</v>
      </c>
      <c r="I148" s="201">
        <v>0</v>
      </c>
      <c r="J148" s="201">
        <v>0</v>
      </c>
      <c r="K148" s="201">
        <v>0</v>
      </c>
      <c r="L148" s="201">
        <v>0</v>
      </c>
      <c r="M148" s="201">
        <v>0</v>
      </c>
      <c r="N148" s="201">
        <v>0</v>
      </c>
      <c r="O148" s="201">
        <v>300</v>
      </c>
      <c r="P148" s="201">
        <v>2100</v>
      </c>
      <c r="Q148" s="201">
        <v>330</v>
      </c>
      <c r="R148" s="201">
        <v>2310</v>
      </c>
      <c r="S148" s="201">
        <v>243</v>
      </c>
      <c r="T148" s="201">
        <v>3162</v>
      </c>
      <c r="U148" s="201">
        <v>0</v>
      </c>
      <c r="V148" s="201">
        <v>0</v>
      </c>
      <c r="W148" s="201">
        <v>360</v>
      </c>
      <c r="X148" s="201">
        <v>7200</v>
      </c>
      <c r="Y148" s="201">
        <v>333</v>
      </c>
      <c r="Z148" s="201">
        <v>6660</v>
      </c>
      <c r="AA148" s="202">
        <v>0</v>
      </c>
      <c r="AB148" s="202">
        <v>0</v>
      </c>
      <c r="AC148" s="201">
        <v>280</v>
      </c>
      <c r="AD148" s="201">
        <v>1120</v>
      </c>
      <c r="AE148" s="202">
        <v>0</v>
      </c>
      <c r="AF148" s="202">
        <v>0</v>
      </c>
      <c r="AG148" s="202">
        <v>2500</v>
      </c>
      <c r="AH148" s="202">
        <v>25000</v>
      </c>
      <c r="AI148" s="202">
        <v>3950</v>
      </c>
      <c r="AJ148" s="202">
        <v>39500</v>
      </c>
      <c r="AK148" s="202">
        <v>7342</v>
      </c>
      <c r="AL148" s="202">
        <v>62040</v>
      </c>
      <c r="AM148" s="221">
        <v>4387</v>
      </c>
      <c r="AN148" s="221">
        <v>126045</v>
      </c>
      <c r="AO148" s="202">
        <v>3624</v>
      </c>
      <c r="AP148" s="202">
        <v>86372</v>
      </c>
      <c r="AQ148" s="202">
        <v>3086</v>
      </c>
      <c r="AR148" s="202">
        <v>67892</v>
      </c>
      <c r="AS148" s="202">
        <v>2932</v>
      </c>
      <c r="AT148" s="202">
        <v>64504</v>
      </c>
      <c r="AU148" s="202">
        <v>10221</v>
      </c>
      <c r="AV148" s="202">
        <v>164408</v>
      </c>
      <c r="AW148" s="202">
        <v>17599</v>
      </c>
      <c r="AX148" s="202">
        <v>327033</v>
      </c>
      <c r="AY148" s="201">
        <v>7585</v>
      </c>
      <c r="AZ148" s="201">
        <v>65984</v>
      </c>
    </row>
    <row r="149" spans="1:52" x14ac:dyDescent="0.25">
      <c r="A149" s="229" t="s">
        <v>457</v>
      </c>
      <c r="B149" s="216" t="s">
        <v>166</v>
      </c>
      <c r="C149" s="201">
        <v>15153489</v>
      </c>
      <c r="D149" s="201">
        <v>19272893</v>
      </c>
      <c r="E149" s="201">
        <v>607812</v>
      </c>
      <c r="F149" s="201">
        <v>1792235</v>
      </c>
      <c r="G149" s="201">
        <v>637350</v>
      </c>
      <c r="H149" s="201">
        <v>2028155</v>
      </c>
      <c r="I149" s="201">
        <v>514252</v>
      </c>
      <c r="J149" s="201">
        <v>1659214</v>
      </c>
      <c r="K149" s="201">
        <v>345481</v>
      </c>
      <c r="L149" s="201">
        <v>1686993</v>
      </c>
      <c r="M149" s="201">
        <v>184696</v>
      </c>
      <c r="N149" s="201">
        <v>968942</v>
      </c>
      <c r="O149" s="201">
        <v>193511</v>
      </c>
      <c r="P149" s="201">
        <v>1151735</v>
      </c>
      <c r="Q149" s="201">
        <v>217092</v>
      </c>
      <c r="R149" s="201">
        <v>1006511</v>
      </c>
      <c r="S149" s="201">
        <v>131866</v>
      </c>
      <c r="T149" s="201">
        <v>1311783</v>
      </c>
      <c r="U149" s="201">
        <v>2138091</v>
      </c>
      <c r="V149" s="201">
        <v>10322448</v>
      </c>
      <c r="W149" s="201">
        <v>1812436</v>
      </c>
      <c r="X149" s="201">
        <v>7795442</v>
      </c>
      <c r="Y149" s="201">
        <v>1828663</v>
      </c>
      <c r="Z149" s="201">
        <v>10640754</v>
      </c>
      <c r="AA149" s="202">
        <v>1737984</v>
      </c>
      <c r="AB149" s="202">
        <v>9709097</v>
      </c>
      <c r="AC149" s="201">
        <v>2083846</v>
      </c>
      <c r="AD149" s="201">
        <v>13055973</v>
      </c>
      <c r="AE149" s="202">
        <v>2099107</v>
      </c>
      <c r="AF149" s="202">
        <v>14189487</v>
      </c>
      <c r="AG149" s="202">
        <v>2249595</v>
      </c>
      <c r="AH149" s="202">
        <v>15123079</v>
      </c>
      <c r="AI149" s="202">
        <v>2189534</v>
      </c>
      <c r="AJ149" s="202">
        <v>14819627</v>
      </c>
      <c r="AK149" s="202">
        <v>2667429</v>
      </c>
      <c r="AL149" s="202">
        <v>17747807</v>
      </c>
      <c r="AM149" s="221">
        <v>2277880</v>
      </c>
      <c r="AN149" s="221">
        <v>13685622</v>
      </c>
      <c r="AO149" s="202">
        <v>3002887</v>
      </c>
      <c r="AP149" s="202">
        <v>12916212</v>
      </c>
      <c r="AQ149" s="202">
        <v>3004290.21</v>
      </c>
      <c r="AR149" s="202">
        <v>13969321</v>
      </c>
      <c r="AS149" s="202">
        <v>2968501.47</v>
      </c>
      <c r="AT149" s="202">
        <v>13949154.48</v>
      </c>
      <c r="AU149" s="202">
        <v>3511669</v>
      </c>
      <c r="AV149" s="202">
        <v>15444737</v>
      </c>
      <c r="AW149" s="202">
        <v>3943000</v>
      </c>
      <c r="AX149" s="202">
        <v>16636737</v>
      </c>
      <c r="AY149" s="201">
        <v>5416874</v>
      </c>
      <c r="AZ149" s="201">
        <v>28410365</v>
      </c>
    </row>
    <row r="150" spans="1:52" x14ac:dyDescent="0.25">
      <c r="A150" s="218" t="s">
        <v>458</v>
      </c>
      <c r="C150" s="201"/>
      <c r="D150" s="201">
        <f>SUM(D148:D149)</f>
        <v>19302521</v>
      </c>
      <c r="E150" s="201"/>
      <c r="F150" s="201">
        <f>SUM(F148:F149)</f>
        <v>1792235</v>
      </c>
      <c r="G150" s="201"/>
      <c r="H150" s="201">
        <f>SUM(H148:H149)</f>
        <v>2028155</v>
      </c>
      <c r="I150" s="201"/>
      <c r="J150" s="201">
        <f>SUM(J148:J149)</f>
        <v>1659214</v>
      </c>
      <c r="K150" s="201"/>
      <c r="L150" s="201">
        <f>SUM(L148:L149)</f>
        <v>1686993</v>
      </c>
      <c r="M150" s="201"/>
      <c r="N150" s="201">
        <f>SUM(N148:N149)</f>
        <v>968942</v>
      </c>
      <c r="O150" s="201"/>
      <c r="P150" s="201">
        <f>SUM(P148:P149)</f>
        <v>1153835</v>
      </c>
      <c r="Q150" s="201"/>
      <c r="R150" s="201">
        <f>SUM(R148:R149)</f>
        <v>1008821</v>
      </c>
      <c r="S150" s="201"/>
      <c r="T150" s="201">
        <f>SUM(T148:T149)</f>
        <v>1314945</v>
      </c>
      <c r="U150" s="202"/>
      <c r="V150" s="202">
        <f>SUM(V148:V149)</f>
        <v>10322448</v>
      </c>
      <c r="W150" s="202"/>
      <c r="X150" s="201">
        <f>SUM(X148:X149)</f>
        <v>7802642</v>
      </c>
      <c r="Y150" s="202"/>
      <c r="Z150" s="201">
        <f>SUM(Z148:Z149)</f>
        <v>10647414</v>
      </c>
      <c r="AA150" s="202"/>
      <c r="AB150" s="202">
        <f>SUM(AB148:AB149)</f>
        <v>9709097</v>
      </c>
      <c r="AC150" s="201"/>
      <c r="AD150" s="201">
        <f>SUM(AD148:AD149)</f>
        <v>13057093</v>
      </c>
      <c r="AE150" s="202"/>
      <c r="AF150" s="202">
        <f>SUM(AF148:AF149)</f>
        <v>14189487</v>
      </c>
      <c r="AG150" s="202"/>
      <c r="AH150" s="202">
        <f>SUM(AH148:AH149)</f>
        <v>15148079</v>
      </c>
      <c r="AI150" s="202"/>
      <c r="AJ150" s="202">
        <f>SUM(AJ148:AJ149)</f>
        <v>14859127</v>
      </c>
      <c r="AK150" s="202"/>
      <c r="AL150" s="202">
        <v>17809847</v>
      </c>
      <c r="AM150" s="221"/>
      <c r="AN150" s="221">
        <v>13811667</v>
      </c>
      <c r="AP150" s="202">
        <v>13002584</v>
      </c>
      <c r="AQ150" s="202"/>
      <c r="AR150" s="202">
        <v>14037213</v>
      </c>
      <c r="AS150" s="202"/>
      <c r="AT150" s="202">
        <f>SUM(AT148:AT149)</f>
        <v>14013658.48</v>
      </c>
      <c r="AU150" s="202"/>
      <c r="AV150" s="202">
        <f>SUM(AV148:AV149)</f>
        <v>15609145</v>
      </c>
      <c r="AW150" s="202"/>
      <c r="AX150" s="202">
        <f>SUM(AX148:AX149)</f>
        <v>16963770</v>
      </c>
      <c r="AY150" s="201"/>
      <c r="AZ150" s="201">
        <f>SUM(AZ148:AZ149)</f>
        <v>28476349</v>
      </c>
    </row>
    <row r="151" spans="1:52" x14ac:dyDescent="0.25">
      <c r="A151" s="231"/>
      <c r="C151" s="201"/>
      <c r="D151" s="201"/>
      <c r="E151" s="201"/>
      <c r="F151" s="201"/>
      <c r="G151" s="201"/>
      <c r="H151" s="201"/>
      <c r="I151" s="201"/>
      <c r="J151" s="201"/>
      <c r="K151" s="201"/>
      <c r="L151" s="201"/>
      <c r="M151" s="201"/>
      <c r="N151" s="201"/>
      <c r="O151" s="201"/>
      <c r="P151" s="201"/>
      <c r="Q151" s="201"/>
      <c r="R151" s="201"/>
      <c r="S151" s="201"/>
      <c r="T151" s="201"/>
      <c r="U151" s="219"/>
      <c r="V151" s="219"/>
      <c r="W151" s="202"/>
      <c r="X151" s="201"/>
      <c r="Y151" s="202"/>
      <c r="Z151" s="201"/>
      <c r="AA151" s="202"/>
      <c r="AB151" s="202"/>
      <c r="AC151" s="201"/>
      <c r="AD151" s="201"/>
      <c r="AE151" s="202"/>
      <c r="AF151" s="202"/>
      <c r="AG151" s="202"/>
      <c r="AH151" s="202"/>
      <c r="AI151" s="202"/>
      <c r="AJ151" s="202"/>
      <c r="AK151" s="202"/>
      <c r="AL151" s="202"/>
      <c r="AM151" s="202"/>
      <c r="AN151" s="202"/>
      <c r="AQ151" s="202"/>
      <c r="AR151" s="202"/>
      <c r="AS151" s="202"/>
      <c r="AT151" s="202"/>
      <c r="AU151" s="202"/>
      <c r="AV151" s="202"/>
      <c r="AW151" s="227"/>
      <c r="AX151" s="227"/>
      <c r="AY151" s="228"/>
      <c r="AZ151" s="228"/>
    </row>
    <row r="152" spans="1:52" x14ac:dyDescent="0.25">
      <c r="A152" s="1324" t="s">
        <v>459</v>
      </c>
      <c r="B152" s="1325" t="s">
        <v>166</v>
      </c>
      <c r="C152" s="1326">
        <v>60376</v>
      </c>
      <c r="D152" s="1326">
        <v>1075116</v>
      </c>
      <c r="E152" s="1326">
        <v>0</v>
      </c>
      <c r="F152" s="1326">
        <v>0</v>
      </c>
      <c r="G152" s="1326">
        <v>0</v>
      </c>
      <c r="H152" s="1326">
        <v>0</v>
      </c>
      <c r="I152" s="1326">
        <v>0</v>
      </c>
      <c r="J152" s="1326">
        <v>0</v>
      </c>
      <c r="K152" s="1326">
        <v>0</v>
      </c>
      <c r="L152" s="1326">
        <v>0</v>
      </c>
      <c r="M152" s="1326">
        <v>16729</v>
      </c>
      <c r="N152" s="1326">
        <v>215936</v>
      </c>
      <c r="O152" s="1326">
        <v>0</v>
      </c>
      <c r="P152" s="1326">
        <v>0</v>
      </c>
      <c r="Q152" s="1326">
        <v>0</v>
      </c>
      <c r="R152" s="1326">
        <v>0</v>
      </c>
      <c r="S152" s="1326">
        <v>0</v>
      </c>
      <c r="T152" s="1326">
        <v>0</v>
      </c>
      <c r="U152" s="1326">
        <v>0</v>
      </c>
      <c r="V152" s="1326">
        <v>0</v>
      </c>
      <c r="W152" s="1326">
        <v>0</v>
      </c>
      <c r="X152" s="1326">
        <v>0</v>
      </c>
      <c r="Y152" s="1326">
        <v>0</v>
      </c>
      <c r="Z152" s="1326">
        <v>0</v>
      </c>
      <c r="AA152" s="1326">
        <v>0</v>
      </c>
      <c r="AB152" s="1326">
        <v>0</v>
      </c>
      <c r="AC152" s="1326">
        <v>0</v>
      </c>
      <c r="AD152" s="1326">
        <v>0</v>
      </c>
      <c r="AE152" s="1326">
        <v>0</v>
      </c>
      <c r="AF152" s="1326">
        <v>0</v>
      </c>
      <c r="AG152" s="1326">
        <v>0</v>
      </c>
      <c r="AH152" s="1326">
        <v>0</v>
      </c>
      <c r="AI152" s="1326">
        <v>0</v>
      </c>
      <c r="AJ152" s="1326">
        <v>0</v>
      </c>
      <c r="AK152" s="1326">
        <v>0</v>
      </c>
      <c r="AL152" s="1326">
        <v>0</v>
      </c>
      <c r="AM152" s="1326">
        <v>0</v>
      </c>
      <c r="AN152" s="1326">
        <v>0</v>
      </c>
      <c r="AO152" s="1326">
        <v>0</v>
      </c>
      <c r="AP152" s="1326">
        <v>0</v>
      </c>
      <c r="AQ152" s="1326">
        <v>0</v>
      </c>
      <c r="AR152" s="1326">
        <v>0</v>
      </c>
      <c r="AS152" s="1326">
        <v>0</v>
      </c>
      <c r="AT152" s="1326">
        <v>0</v>
      </c>
      <c r="AU152" s="1326">
        <v>0</v>
      </c>
      <c r="AV152" s="1326">
        <v>0</v>
      </c>
      <c r="AW152" s="1326">
        <v>0</v>
      </c>
      <c r="AX152" s="1326">
        <v>0</v>
      </c>
      <c r="AY152" s="1326">
        <v>0</v>
      </c>
      <c r="AZ152" s="1326">
        <v>0</v>
      </c>
    </row>
    <row r="153" spans="1:52" x14ac:dyDescent="0.25">
      <c r="A153" s="1347"/>
      <c r="B153" s="1345"/>
      <c r="C153" s="1326"/>
      <c r="D153" s="1326"/>
      <c r="E153" s="1326"/>
      <c r="F153" s="1326"/>
      <c r="G153" s="1326"/>
      <c r="H153" s="1326"/>
      <c r="I153" s="1326"/>
      <c r="J153" s="1326"/>
      <c r="K153" s="1326"/>
      <c r="L153" s="1326"/>
      <c r="M153" s="1326"/>
      <c r="N153" s="1326"/>
      <c r="O153" s="1326"/>
      <c r="P153" s="1326"/>
      <c r="Q153" s="1326"/>
      <c r="R153" s="1326"/>
      <c r="S153" s="1326"/>
      <c r="T153" s="1326"/>
      <c r="U153" s="1337"/>
      <c r="V153" s="1337"/>
      <c r="W153" s="1327"/>
      <c r="X153" s="1326"/>
      <c r="Y153" s="1327"/>
      <c r="Z153" s="1326"/>
      <c r="AA153" s="1327"/>
      <c r="AB153" s="1327"/>
      <c r="AC153" s="1326"/>
      <c r="AD153" s="1326"/>
      <c r="AE153" s="1327"/>
      <c r="AF153" s="1327"/>
      <c r="AG153" s="1327"/>
      <c r="AH153" s="1327"/>
      <c r="AI153" s="1327"/>
      <c r="AJ153" s="1327"/>
      <c r="AK153" s="1327"/>
      <c r="AL153" s="1327"/>
      <c r="AM153" s="1327"/>
      <c r="AN153" s="1327"/>
      <c r="AO153" s="1327"/>
      <c r="AP153" s="1327"/>
      <c r="AQ153" s="1327"/>
      <c r="AR153" s="1327"/>
      <c r="AS153" s="1327"/>
      <c r="AT153" s="1327"/>
      <c r="AU153" s="1327"/>
      <c r="AV153" s="1327"/>
      <c r="AW153" s="1334"/>
      <c r="AX153" s="1334"/>
      <c r="AY153" s="1335"/>
      <c r="AZ153" s="1335"/>
    </row>
    <row r="154" spans="1:52" x14ac:dyDescent="0.25">
      <c r="A154" s="215" t="s">
        <v>460</v>
      </c>
      <c r="B154" s="216" t="s">
        <v>166</v>
      </c>
      <c r="C154" s="201">
        <f>1933359+2254+5135</f>
        <v>1940748</v>
      </c>
      <c r="D154" s="201">
        <f>41514513+90860+81538</f>
        <v>41686911</v>
      </c>
      <c r="E154" s="201">
        <v>1693</v>
      </c>
      <c r="F154" s="201">
        <v>36738</v>
      </c>
      <c r="G154" s="201">
        <v>1196</v>
      </c>
      <c r="H154" s="201">
        <v>29885</v>
      </c>
      <c r="I154" s="201">
        <v>74</v>
      </c>
      <c r="J154" s="201">
        <v>1852</v>
      </c>
      <c r="K154" s="201">
        <v>0</v>
      </c>
      <c r="L154" s="201">
        <v>0</v>
      </c>
      <c r="M154" s="201">
        <v>0</v>
      </c>
      <c r="N154" s="201">
        <v>0</v>
      </c>
      <c r="O154" s="201">
        <v>0</v>
      </c>
      <c r="P154" s="201">
        <v>0</v>
      </c>
      <c r="Q154" s="201">
        <v>0</v>
      </c>
      <c r="R154" s="201">
        <v>0</v>
      </c>
      <c r="S154" s="201">
        <v>0</v>
      </c>
      <c r="T154" s="201">
        <v>0</v>
      </c>
      <c r="U154" s="201">
        <v>0</v>
      </c>
      <c r="V154" s="201">
        <v>0</v>
      </c>
      <c r="W154" s="201">
        <v>11375</v>
      </c>
      <c r="X154" s="201">
        <v>50000</v>
      </c>
      <c r="Y154" s="201">
        <v>364577</v>
      </c>
      <c r="Z154" s="201">
        <v>57927462</v>
      </c>
      <c r="AA154" s="202">
        <v>209640</v>
      </c>
      <c r="AB154" s="202">
        <v>37774547</v>
      </c>
      <c r="AC154" s="201">
        <v>402844</v>
      </c>
      <c r="AD154" s="201">
        <v>72200142</v>
      </c>
      <c r="AE154" s="202">
        <v>247858</v>
      </c>
      <c r="AF154" s="202">
        <v>43403053</v>
      </c>
      <c r="AG154" s="202">
        <v>202523</v>
      </c>
      <c r="AH154" s="202">
        <v>22742452</v>
      </c>
      <c r="AI154" s="202">
        <v>227900</v>
      </c>
      <c r="AJ154" s="202">
        <v>28424450</v>
      </c>
      <c r="AK154" s="202">
        <v>296807</v>
      </c>
      <c r="AL154" s="202">
        <v>32668655</v>
      </c>
      <c r="AM154" s="221">
        <v>176990</v>
      </c>
      <c r="AN154" s="221">
        <v>22153201</v>
      </c>
      <c r="AO154" s="202">
        <v>79430</v>
      </c>
      <c r="AP154" s="202">
        <v>8129205</v>
      </c>
      <c r="AQ154" s="202">
        <v>108155</v>
      </c>
      <c r="AR154" s="202">
        <v>13201137</v>
      </c>
      <c r="AS154" s="202">
        <v>259536</v>
      </c>
      <c r="AT154" s="202">
        <v>33614116</v>
      </c>
      <c r="AU154" s="202">
        <v>498603</v>
      </c>
      <c r="AV154" s="202">
        <v>76091438</v>
      </c>
      <c r="AW154" s="202">
        <v>578388</v>
      </c>
      <c r="AX154" s="202">
        <v>75626451</v>
      </c>
      <c r="AY154" s="201">
        <v>587836</v>
      </c>
      <c r="AZ154" s="201">
        <v>65180987</v>
      </c>
    </row>
    <row r="155" spans="1:52" x14ac:dyDescent="0.25">
      <c r="A155" s="215"/>
      <c r="B155" s="216"/>
      <c r="C155" s="201"/>
      <c r="D155" s="201"/>
      <c r="E155" s="201"/>
      <c r="F155" s="201"/>
      <c r="G155" s="201"/>
      <c r="H155" s="201"/>
      <c r="I155" s="201"/>
      <c r="J155" s="201"/>
      <c r="K155" s="201"/>
      <c r="L155" s="201"/>
      <c r="M155" s="201"/>
      <c r="N155" s="201"/>
      <c r="O155" s="201"/>
      <c r="P155" s="201"/>
      <c r="Q155" s="201"/>
      <c r="R155" s="201"/>
      <c r="S155" s="201"/>
      <c r="T155" s="201"/>
      <c r="U155" s="201"/>
      <c r="V155" s="201"/>
      <c r="W155" s="201"/>
      <c r="X155" s="201"/>
      <c r="Y155" s="201"/>
      <c r="Z155" s="201"/>
      <c r="AA155" s="202"/>
      <c r="AB155" s="202"/>
      <c r="AC155" s="201"/>
      <c r="AD155" s="201"/>
      <c r="AE155" s="202"/>
      <c r="AF155" s="202"/>
      <c r="AG155" s="202"/>
      <c r="AH155" s="202"/>
      <c r="AI155" s="202"/>
      <c r="AJ155" s="202"/>
      <c r="AK155" s="202"/>
      <c r="AL155" s="202"/>
      <c r="AM155" s="221"/>
      <c r="AN155" s="221"/>
      <c r="AQ155" s="202"/>
      <c r="AR155" s="202"/>
      <c r="AS155" s="202"/>
      <c r="AT155" s="202"/>
      <c r="AU155" s="202"/>
      <c r="AV155" s="202"/>
      <c r="AW155" s="227"/>
      <c r="AX155" s="227"/>
      <c r="AY155" s="228"/>
      <c r="AZ155" s="228"/>
    </row>
    <row r="156" spans="1:52" x14ac:dyDescent="0.25">
      <c r="A156" s="1324" t="s">
        <v>461</v>
      </c>
      <c r="B156" s="1325" t="s">
        <v>166</v>
      </c>
      <c r="C156" s="1326">
        <v>79</v>
      </c>
      <c r="D156" s="1326">
        <v>1730</v>
      </c>
      <c r="E156" s="1326">
        <v>0</v>
      </c>
      <c r="F156" s="1326">
        <v>0</v>
      </c>
      <c r="G156" s="1326">
        <v>0</v>
      </c>
      <c r="H156" s="1326">
        <v>0</v>
      </c>
      <c r="I156" s="1326">
        <v>0</v>
      </c>
      <c r="J156" s="1326">
        <v>0</v>
      </c>
      <c r="K156" s="1326">
        <v>0</v>
      </c>
      <c r="L156" s="1326">
        <v>0</v>
      </c>
      <c r="M156" s="1326">
        <v>16729</v>
      </c>
      <c r="N156" s="1326">
        <v>215936</v>
      </c>
      <c r="O156" s="1326">
        <v>0</v>
      </c>
      <c r="P156" s="1326">
        <v>0</v>
      </c>
      <c r="Q156" s="1326">
        <v>0</v>
      </c>
      <c r="R156" s="1326">
        <v>0</v>
      </c>
      <c r="S156" s="1326">
        <v>0</v>
      </c>
      <c r="T156" s="1326">
        <v>0</v>
      </c>
      <c r="U156" s="1326">
        <v>0</v>
      </c>
      <c r="V156" s="1326">
        <v>0</v>
      </c>
      <c r="W156" s="1326">
        <v>0</v>
      </c>
      <c r="X156" s="1326">
        <v>0</v>
      </c>
      <c r="Y156" s="1326">
        <v>0</v>
      </c>
      <c r="Z156" s="1326">
        <v>0</v>
      </c>
      <c r="AA156" s="1326">
        <v>0</v>
      </c>
      <c r="AB156" s="1326">
        <v>0</v>
      </c>
      <c r="AC156" s="1326">
        <v>0</v>
      </c>
      <c r="AD156" s="1326">
        <v>0</v>
      </c>
      <c r="AE156" s="1326">
        <v>0</v>
      </c>
      <c r="AF156" s="1326">
        <v>0</v>
      </c>
      <c r="AG156" s="1326">
        <v>0</v>
      </c>
      <c r="AH156" s="1326">
        <v>0</v>
      </c>
      <c r="AI156" s="1326">
        <v>0</v>
      </c>
      <c r="AJ156" s="1326">
        <v>0</v>
      </c>
      <c r="AK156" s="1326">
        <v>0</v>
      </c>
      <c r="AL156" s="1326">
        <v>0</v>
      </c>
      <c r="AM156" s="1326">
        <v>0</v>
      </c>
      <c r="AN156" s="1326">
        <v>0</v>
      </c>
      <c r="AO156" s="1326">
        <v>0</v>
      </c>
      <c r="AP156" s="1326">
        <v>0</v>
      </c>
      <c r="AQ156" s="1326">
        <v>0</v>
      </c>
      <c r="AR156" s="1326">
        <v>0</v>
      </c>
      <c r="AS156" s="1326">
        <v>0</v>
      </c>
      <c r="AT156" s="1326">
        <v>0</v>
      </c>
      <c r="AU156" s="1326">
        <v>0</v>
      </c>
      <c r="AV156" s="1326">
        <v>0</v>
      </c>
      <c r="AW156" s="1326">
        <v>0</v>
      </c>
      <c r="AX156" s="1326">
        <v>0</v>
      </c>
      <c r="AY156" s="1326">
        <v>0</v>
      </c>
      <c r="AZ156" s="1326">
        <v>0</v>
      </c>
    </row>
    <row r="157" spans="1:52" x14ac:dyDescent="0.25">
      <c r="A157" s="1324"/>
      <c r="B157" s="1325"/>
      <c r="C157" s="1326"/>
      <c r="D157" s="1326"/>
      <c r="E157" s="1326"/>
      <c r="F157" s="1326"/>
      <c r="G157" s="1326"/>
      <c r="H157" s="1326"/>
      <c r="I157" s="1326"/>
      <c r="J157" s="1326"/>
      <c r="K157" s="1326"/>
      <c r="L157" s="1326"/>
      <c r="M157" s="1326"/>
      <c r="N157" s="1326"/>
      <c r="O157" s="1326"/>
      <c r="P157" s="1326"/>
      <c r="Q157" s="1326"/>
      <c r="R157" s="1326"/>
      <c r="S157" s="1326"/>
      <c r="T157" s="1326"/>
      <c r="U157" s="1337"/>
      <c r="V157" s="1337"/>
      <c r="W157" s="1327"/>
      <c r="X157" s="1327"/>
      <c r="Y157" s="1327"/>
      <c r="Z157" s="1327"/>
      <c r="AA157" s="1327"/>
      <c r="AB157" s="1327"/>
      <c r="AC157" s="1326"/>
      <c r="AD157" s="1326"/>
      <c r="AE157" s="1327"/>
      <c r="AF157" s="1327"/>
      <c r="AG157" s="1327"/>
      <c r="AH157" s="1327"/>
      <c r="AI157" s="1327"/>
      <c r="AJ157" s="1327"/>
      <c r="AK157" s="1327"/>
      <c r="AL157" s="1327"/>
      <c r="AM157" s="1327"/>
      <c r="AN157" s="1327"/>
      <c r="AO157" s="1327"/>
      <c r="AP157" s="1327"/>
      <c r="AQ157" s="1327"/>
      <c r="AR157" s="1327"/>
      <c r="AS157" s="1327"/>
      <c r="AT157" s="1327"/>
      <c r="AU157" s="1327"/>
      <c r="AV157" s="1327"/>
      <c r="AW157" s="1334"/>
      <c r="AX157" s="1334"/>
      <c r="AY157" s="1335"/>
      <c r="AZ157" s="1335"/>
    </row>
    <row r="158" spans="1:52" x14ac:dyDescent="0.25">
      <c r="A158" s="215" t="s">
        <v>462</v>
      </c>
      <c r="B158" s="216"/>
      <c r="C158" s="201"/>
      <c r="D158" s="201"/>
      <c r="E158" s="201"/>
      <c r="F158" s="201"/>
      <c r="G158" s="201"/>
      <c r="H158" s="201"/>
      <c r="I158" s="201"/>
      <c r="J158" s="201"/>
      <c r="K158" s="201"/>
      <c r="L158" s="201"/>
      <c r="M158" s="201"/>
      <c r="N158" s="201"/>
      <c r="O158" s="201"/>
      <c r="P158" s="201"/>
      <c r="Q158" s="201"/>
      <c r="R158" s="201"/>
      <c r="S158" s="201"/>
      <c r="T158" s="201"/>
      <c r="U158" s="201"/>
      <c r="V158" s="201"/>
      <c r="W158" s="219"/>
      <c r="X158" s="219"/>
      <c r="Y158" s="202"/>
      <c r="Z158" s="202"/>
      <c r="AA158" s="202"/>
      <c r="AB158" s="202"/>
      <c r="AC158" s="201"/>
      <c r="AD158" s="201"/>
      <c r="AE158" s="202"/>
      <c r="AF158" s="202"/>
      <c r="AG158" s="202"/>
      <c r="AH158" s="202"/>
      <c r="AI158" s="202"/>
      <c r="AJ158" s="202"/>
      <c r="AK158" s="202"/>
      <c r="AL158" s="202"/>
      <c r="AM158" s="202"/>
      <c r="AN158" s="202"/>
      <c r="AQ158" s="202"/>
      <c r="AR158" s="202"/>
      <c r="AS158" s="202"/>
      <c r="AT158" s="202"/>
      <c r="AU158" s="202"/>
      <c r="AV158" s="202"/>
      <c r="AW158" s="227"/>
      <c r="AX158" s="227"/>
      <c r="AY158" s="228"/>
      <c r="AZ158" s="228"/>
    </row>
    <row r="159" spans="1:52" x14ac:dyDescent="0.25">
      <c r="A159" s="229" t="s">
        <v>463</v>
      </c>
      <c r="B159" s="216" t="s">
        <v>166</v>
      </c>
      <c r="C159" s="201">
        <v>3008</v>
      </c>
      <c r="D159" s="201">
        <v>21968147</v>
      </c>
      <c r="E159" s="201">
        <v>983</v>
      </c>
      <c r="F159" s="201">
        <v>13023142</v>
      </c>
      <c r="G159" s="201">
        <v>609</v>
      </c>
      <c r="H159" s="201">
        <v>7689911</v>
      </c>
      <c r="I159" s="201">
        <v>534</v>
      </c>
      <c r="J159" s="201">
        <v>5314179</v>
      </c>
      <c r="K159" s="201">
        <v>447</v>
      </c>
      <c r="L159" s="201">
        <v>3169424</v>
      </c>
      <c r="M159" s="201">
        <v>520</v>
      </c>
      <c r="N159" s="201">
        <v>6556752</v>
      </c>
      <c r="O159" s="201">
        <v>508</v>
      </c>
      <c r="P159" s="201">
        <v>9629912</v>
      </c>
      <c r="Q159" s="201">
        <v>484</v>
      </c>
      <c r="R159" s="201">
        <v>5564158</v>
      </c>
      <c r="S159" s="201">
        <v>368</v>
      </c>
      <c r="T159" s="201">
        <v>1858290</v>
      </c>
      <c r="U159" s="201">
        <v>287</v>
      </c>
      <c r="V159" s="201">
        <v>4456414</v>
      </c>
      <c r="W159" s="201">
        <v>261</v>
      </c>
      <c r="X159" s="201">
        <v>4472086</v>
      </c>
      <c r="Y159" s="201">
        <v>268</v>
      </c>
      <c r="Z159" s="201">
        <v>4264988</v>
      </c>
      <c r="AA159" s="202">
        <v>288</v>
      </c>
      <c r="AB159" s="202">
        <v>6062266</v>
      </c>
      <c r="AC159" s="201">
        <v>557</v>
      </c>
      <c r="AD159" s="201">
        <v>30281378</v>
      </c>
      <c r="AE159" s="202">
        <v>297</v>
      </c>
      <c r="AF159" s="202">
        <v>10916333</v>
      </c>
      <c r="AG159" s="202">
        <v>657</v>
      </c>
      <c r="AH159" s="202">
        <v>35844989</v>
      </c>
      <c r="AI159" s="202">
        <v>824</v>
      </c>
      <c r="AJ159" s="202">
        <v>56374547</v>
      </c>
      <c r="AK159" s="202">
        <v>942.28099999999995</v>
      </c>
      <c r="AL159" s="202">
        <v>63521086</v>
      </c>
      <c r="AM159" s="221">
        <v>1219.008</v>
      </c>
      <c r="AN159" s="221">
        <v>58771721</v>
      </c>
      <c r="AO159" s="202">
        <v>1269</v>
      </c>
      <c r="AP159" s="202">
        <v>84579343</v>
      </c>
      <c r="AQ159" s="202">
        <v>1010.34484</v>
      </c>
      <c r="AR159" s="202">
        <v>37681101.764114715</v>
      </c>
      <c r="AS159" s="202">
        <v>1564.39</v>
      </c>
      <c r="AT159" s="202">
        <v>79316782</v>
      </c>
      <c r="AU159" s="202">
        <v>2008</v>
      </c>
      <c r="AV159" s="202">
        <v>77843596</v>
      </c>
      <c r="AW159" s="202">
        <v>2068</v>
      </c>
      <c r="AX159" s="202">
        <v>53657040</v>
      </c>
      <c r="AY159" s="201">
        <v>1779</v>
      </c>
      <c r="AZ159" s="201">
        <v>52756999</v>
      </c>
    </row>
    <row r="160" spans="1:52" x14ac:dyDescent="0.25">
      <c r="A160" s="229" t="s">
        <v>464</v>
      </c>
      <c r="B160" s="216" t="s">
        <v>166</v>
      </c>
      <c r="C160" s="202">
        <v>0</v>
      </c>
      <c r="D160" s="202">
        <v>0</v>
      </c>
      <c r="E160" s="202">
        <v>0</v>
      </c>
      <c r="F160" s="202">
        <v>0</v>
      </c>
      <c r="G160" s="202">
        <v>0</v>
      </c>
      <c r="H160" s="202">
        <v>0</v>
      </c>
      <c r="I160" s="202">
        <v>0</v>
      </c>
      <c r="J160" s="202">
        <v>0</v>
      </c>
      <c r="K160" s="202">
        <v>0</v>
      </c>
      <c r="L160" s="202">
        <v>0</v>
      </c>
      <c r="M160" s="202">
        <v>0</v>
      </c>
      <c r="N160" s="202">
        <v>0</v>
      </c>
      <c r="O160" s="202">
        <v>0</v>
      </c>
      <c r="P160" s="202">
        <v>0</v>
      </c>
      <c r="Q160" s="202">
        <v>0</v>
      </c>
      <c r="R160" s="202">
        <v>0</v>
      </c>
      <c r="S160" s="202">
        <v>0</v>
      </c>
      <c r="T160" s="202">
        <v>0</v>
      </c>
      <c r="U160" s="202">
        <v>0</v>
      </c>
      <c r="V160" s="202">
        <v>0</v>
      </c>
      <c r="W160" s="202">
        <v>0</v>
      </c>
      <c r="X160" s="202">
        <v>0</v>
      </c>
      <c r="Y160" s="202">
        <v>0</v>
      </c>
      <c r="Z160" s="202">
        <v>0</v>
      </c>
      <c r="AA160" s="202">
        <v>0</v>
      </c>
      <c r="AB160" s="202">
        <v>0</v>
      </c>
      <c r="AC160" s="202">
        <v>0</v>
      </c>
      <c r="AD160" s="202">
        <v>0</v>
      </c>
      <c r="AE160" s="202">
        <v>0</v>
      </c>
      <c r="AF160" s="202">
        <v>0</v>
      </c>
      <c r="AG160" s="202">
        <v>0</v>
      </c>
      <c r="AH160" s="202">
        <v>0</v>
      </c>
      <c r="AI160" s="202">
        <v>0</v>
      </c>
      <c r="AJ160" s="202">
        <v>0</v>
      </c>
      <c r="AK160" s="202">
        <v>0</v>
      </c>
      <c r="AL160" s="202">
        <v>0</v>
      </c>
      <c r="AM160" s="202">
        <v>0</v>
      </c>
      <c r="AN160" s="202">
        <v>0</v>
      </c>
      <c r="AO160" s="202">
        <v>0</v>
      </c>
      <c r="AP160" s="202">
        <v>0</v>
      </c>
      <c r="AQ160" s="202">
        <v>0</v>
      </c>
      <c r="AR160" s="202">
        <v>0</v>
      </c>
      <c r="AS160" s="202">
        <v>1013.16</v>
      </c>
      <c r="AT160" s="202">
        <v>47020250</v>
      </c>
      <c r="AU160" s="202">
        <v>1482.9</v>
      </c>
      <c r="AV160" s="202">
        <v>48471747</v>
      </c>
      <c r="AW160" s="202">
        <v>2116</v>
      </c>
      <c r="AX160" s="202">
        <v>51122414</v>
      </c>
      <c r="AY160" s="201">
        <v>3004.54</v>
      </c>
      <c r="AZ160" s="201">
        <v>79296234</v>
      </c>
    </row>
    <row r="161" spans="1:52" x14ac:dyDescent="0.25">
      <c r="A161" s="229" t="s">
        <v>465</v>
      </c>
      <c r="B161" s="216" t="s">
        <v>166</v>
      </c>
      <c r="C161" s="202">
        <v>0</v>
      </c>
      <c r="D161" s="202">
        <v>0</v>
      </c>
      <c r="E161" s="202">
        <v>0</v>
      </c>
      <c r="F161" s="202">
        <v>0</v>
      </c>
      <c r="G161" s="202">
        <v>0</v>
      </c>
      <c r="H161" s="202">
        <v>0</v>
      </c>
      <c r="I161" s="202">
        <v>0</v>
      </c>
      <c r="J161" s="202">
        <v>0</v>
      </c>
      <c r="K161" s="202">
        <v>0</v>
      </c>
      <c r="L161" s="202">
        <v>0</v>
      </c>
      <c r="M161" s="202">
        <v>0</v>
      </c>
      <c r="N161" s="202">
        <v>0</v>
      </c>
      <c r="O161" s="202">
        <v>0</v>
      </c>
      <c r="P161" s="202">
        <v>0</v>
      </c>
      <c r="Q161" s="202">
        <v>0</v>
      </c>
      <c r="R161" s="202">
        <v>0</v>
      </c>
      <c r="S161" s="202">
        <v>0</v>
      </c>
      <c r="T161" s="202">
        <v>0</v>
      </c>
      <c r="U161" s="202">
        <v>0</v>
      </c>
      <c r="V161" s="202">
        <v>0</v>
      </c>
      <c r="W161" s="202">
        <v>0</v>
      </c>
      <c r="X161" s="202">
        <v>0</v>
      </c>
      <c r="Y161" s="202">
        <v>0</v>
      </c>
      <c r="Z161" s="202">
        <v>0</v>
      </c>
      <c r="AA161" s="202">
        <v>0</v>
      </c>
      <c r="AB161" s="202">
        <v>0</v>
      </c>
      <c r="AC161" s="202">
        <v>0</v>
      </c>
      <c r="AD161" s="202">
        <v>0</v>
      </c>
      <c r="AE161" s="202">
        <v>0</v>
      </c>
      <c r="AF161" s="202">
        <v>0</v>
      </c>
      <c r="AG161" s="202">
        <v>0</v>
      </c>
      <c r="AH161" s="202">
        <v>0</v>
      </c>
      <c r="AI161" s="202">
        <v>0</v>
      </c>
      <c r="AJ161" s="202">
        <v>0</v>
      </c>
      <c r="AK161" s="202">
        <v>0</v>
      </c>
      <c r="AL161" s="202">
        <v>0</v>
      </c>
      <c r="AM161" s="202">
        <v>0</v>
      </c>
      <c r="AN161" s="202">
        <v>0</v>
      </c>
      <c r="AO161" s="202">
        <v>0</v>
      </c>
      <c r="AP161" s="202">
        <v>0</v>
      </c>
      <c r="AQ161" s="202">
        <v>0</v>
      </c>
      <c r="AR161" s="202">
        <v>0</v>
      </c>
      <c r="AS161" s="202">
        <v>1021.84</v>
      </c>
      <c r="AT161" s="202">
        <v>31317780</v>
      </c>
      <c r="AU161" s="202">
        <v>774</v>
      </c>
      <c r="AV161" s="202">
        <v>19958728</v>
      </c>
      <c r="AW161" s="202">
        <v>514.27</v>
      </c>
      <c r="AX161" s="202">
        <v>14166005</v>
      </c>
      <c r="AY161" s="201">
        <v>381</v>
      </c>
      <c r="AZ161" s="201">
        <v>12985078</v>
      </c>
    </row>
    <row r="162" spans="1:52" x14ac:dyDescent="0.25">
      <c r="A162" s="218" t="s">
        <v>466</v>
      </c>
      <c r="B162" s="216"/>
      <c r="C162" s="201">
        <f t="shared" ref="C162:R162" si="52">SUM(C159:C161)</f>
        <v>3008</v>
      </c>
      <c r="D162" s="201">
        <f t="shared" si="52"/>
        <v>21968147</v>
      </c>
      <c r="E162" s="201">
        <f t="shared" si="52"/>
        <v>983</v>
      </c>
      <c r="F162" s="201">
        <f t="shared" si="52"/>
        <v>13023142</v>
      </c>
      <c r="G162" s="201">
        <f t="shared" si="52"/>
        <v>609</v>
      </c>
      <c r="H162" s="201">
        <f t="shared" si="52"/>
        <v>7689911</v>
      </c>
      <c r="I162" s="201">
        <f t="shared" si="52"/>
        <v>534</v>
      </c>
      <c r="J162" s="201">
        <f t="shared" si="52"/>
        <v>5314179</v>
      </c>
      <c r="K162" s="201">
        <f t="shared" si="52"/>
        <v>447</v>
      </c>
      <c r="L162" s="201">
        <f t="shared" si="52"/>
        <v>3169424</v>
      </c>
      <c r="M162" s="201">
        <f t="shared" si="52"/>
        <v>520</v>
      </c>
      <c r="N162" s="201">
        <f t="shared" si="52"/>
        <v>6556752</v>
      </c>
      <c r="O162" s="201">
        <f t="shared" si="52"/>
        <v>508</v>
      </c>
      <c r="P162" s="201">
        <f t="shared" si="52"/>
        <v>9629912</v>
      </c>
      <c r="Q162" s="202">
        <f t="shared" si="52"/>
        <v>484</v>
      </c>
      <c r="R162" s="202">
        <f t="shared" si="52"/>
        <v>5564158</v>
      </c>
      <c r="S162" s="202"/>
      <c r="T162" s="202">
        <f>SUM(T159:T161)</f>
        <v>1858290</v>
      </c>
      <c r="U162" s="201"/>
      <c r="V162" s="202">
        <f t="shared" ref="V162:AV162" si="53">SUM(V159:V161)</f>
        <v>4456414</v>
      </c>
      <c r="W162" s="201">
        <f t="shared" si="53"/>
        <v>261</v>
      </c>
      <c r="X162" s="201">
        <f t="shared" si="53"/>
        <v>4472086</v>
      </c>
      <c r="Y162" s="201">
        <f t="shared" si="53"/>
        <v>268</v>
      </c>
      <c r="Z162" s="201">
        <f t="shared" si="53"/>
        <v>4264988</v>
      </c>
      <c r="AA162" s="201">
        <f t="shared" si="53"/>
        <v>288</v>
      </c>
      <c r="AB162" s="202">
        <f t="shared" si="53"/>
        <v>6062266</v>
      </c>
      <c r="AC162" s="201">
        <f t="shared" si="53"/>
        <v>557</v>
      </c>
      <c r="AD162" s="202">
        <f t="shared" si="53"/>
        <v>30281378</v>
      </c>
      <c r="AE162" s="202">
        <f t="shared" si="53"/>
        <v>297</v>
      </c>
      <c r="AF162" s="202">
        <f t="shared" si="53"/>
        <v>10916333</v>
      </c>
      <c r="AG162" s="202">
        <f t="shared" si="53"/>
        <v>657</v>
      </c>
      <c r="AH162" s="202">
        <f t="shared" si="53"/>
        <v>35844989</v>
      </c>
      <c r="AI162" s="202">
        <f t="shared" si="53"/>
        <v>824</v>
      </c>
      <c r="AJ162" s="202">
        <f t="shared" si="53"/>
        <v>56374547</v>
      </c>
      <c r="AK162" s="202">
        <f t="shared" si="53"/>
        <v>942.28099999999995</v>
      </c>
      <c r="AL162" s="202">
        <f t="shared" si="53"/>
        <v>63521086</v>
      </c>
      <c r="AM162" s="202">
        <f t="shared" si="53"/>
        <v>1219.008</v>
      </c>
      <c r="AN162" s="202">
        <f t="shared" si="53"/>
        <v>58771721</v>
      </c>
      <c r="AO162" s="202">
        <f t="shared" si="53"/>
        <v>1269</v>
      </c>
      <c r="AP162" s="202">
        <f t="shared" si="53"/>
        <v>84579343</v>
      </c>
      <c r="AQ162" s="202">
        <f t="shared" si="53"/>
        <v>1010.34484</v>
      </c>
      <c r="AR162" s="202">
        <f t="shared" si="53"/>
        <v>37681101.764114715</v>
      </c>
      <c r="AS162" s="202">
        <f t="shared" si="53"/>
        <v>3599.3900000000003</v>
      </c>
      <c r="AT162" s="202">
        <f t="shared" si="53"/>
        <v>157654812</v>
      </c>
      <c r="AU162" s="202">
        <f t="shared" si="53"/>
        <v>4264.8999999999996</v>
      </c>
      <c r="AV162" s="202">
        <f t="shared" si="53"/>
        <v>146274071</v>
      </c>
      <c r="AW162" s="202"/>
      <c r="AX162" s="202">
        <f>SUM(AX159:AX161)</f>
        <v>118945459</v>
      </c>
      <c r="AY162" s="201"/>
      <c r="AZ162" s="201">
        <f>SUM(AZ159:AZ161)</f>
        <v>145038311</v>
      </c>
    </row>
    <row r="163" spans="1:52" x14ac:dyDescent="0.25">
      <c r="A163" s="229" t="s">
        <v>467</v>
      </c>
      <c r="B163" s="216" t="s">
        <v>166</v>
      </c>
      <c r="C163" s="201">
        <v>4109967</v>
      </c>
      <c r="D163" s="201">
        <v>1838854785</v>
      </c>
      <c r="E163" s="201">
        <v>396534</v>
      </c>
      <c r="F163" s="201">
        <v>303751597</v>
      </c>
      <c r="G163" s="201">
        <v>405946</v>
      </c>
      <c r="H163" s="201">
        <v>306484456</v>
      </c>
      <c r="I163" s="201">
        <v>457785</v>
      </c>
      <c r="J163" s="201">
        <v>332138957</v>
      </c>
      <c r="K163" s="201">
        <v>494007</v>
      </c>
      <c r="L163" s="201">
        <v>288621810</v>
      </c>
      <c r="M163" s="201">
        <v>496630</v>
      </c>
      <c r="N163" s="201">
        <v>320229972</v>
      </c>
      <c r="O163" s="201">
        <v>483207</v>
      </c>
      <c r="P163" s="201">
        <v>379142920</v>
      </c>
      <c r="Q163" s="201">
        <v>402398</v>
      </c>
      <c r="R163" s="201">
        <v>262931472</v>
      </c>
      <c r="S163" s="201">
        <v>416152</v>
      </c>
      <c r="T163" s="201">
        <v>291185395</v>
      </c>
      <c r="U163" s="201">
        <v>337723</v>
      </c>
      <c r="V163" s="201">
        <v>480849980</v>
      </c>
      <c r="W163" s="201">
        <v>384381</v>
      </c>
      <c r="X163" s="201">
        <v>678568855</v>
      </c>
      <c r="Y163" s="201">
        <v>486225</v>
      </c>
      <c r="Z163" s="201">
        <v>543077506</v>
      </c>
      <c r="AA163" s="202">
        <v>521511</v>
      </c>
      <c r="AB163" s="202">
        <v>567874813</v>
      </c>
      <c r="AC163" s="201">
        <v>462786</v>
      </c>
      <c r="AD163" s="201">
        <v>457569201</v>
      </c>
      <c r="AE163" s="202">
        <v>529997</v>
      </c>
      <c r="AF163" s="202">
        <v>437744354</v>
      </c>
      <c r="AG163" s="202">
        <v>677185</v>
      </c>
      <c r="AH163" s="202">
        <v>630129006</v>
      </c>
      <c r="AI163" s="202">
        <v>751788</v>
      </c>
      <c r="AJ163" s="202">
        <v>1094171929</v>
      </c>
      <c r="AK163" s="202">
        <v>764281</v>
      </c>
      <c r="AL163" s="202">
        <v>1033883708</v>
      </c>
      <c r="AM163" s="221">
        <v>873119</v>
      </c>
      <c r="AN163" s="221">
        <v>1136002794</v>
      </c>
      <c r="AO163" s="202">
        <v>952901</v>
      </c>
      <c r="AP163" s="202">
        <v>1039122520</v>
      </c>
      <c r="AQ163" s="202">
        <v>790080</v>
      </c>
      <c r="AR163" s="202">
        <v>1046218365</v>
      </c>
      <c r="AS163" s="202">
        <v>860689</v>
      </c>
      <c r="AT163" s="202">
        <v>1912004771</v>
      </c>
      <c r="AU163" s="202">
        <v>1010418</v>
      </c>
      <c r="AV163" s="202">
        <v>1671766445</v>
      </c>
      <c r="AW163" s="202">
        <v>1234067</v>
      </c>
      <c r="AX163" s="202">
        <v>1841344135</v>
      </c>
      <c r="AY163" s="201">
        <v>1501997</v>
      </c>
      <c r="AZ163" s="201">
        <v>2158863411</v>
      </c>
    </row>
    <row r="164" spans="1:52" x14ac:dyDescent="0.25">
      <c r="A164" s="229" t="s">
        <v>468</v>
      </c>
      <c r="B164" s="216" t="s">
        <v>166</v>
      </c>
      <c r="C164" s="201">
        <v>0</v>
      </c>
      <c r="D164" s="201">
        <v>0</v>
      </c>
      <c r="E164" s="201">
        <v>0</v>
      </c>
      <c r="F164" s="201">
        <v>0</v>
      </c>
      <c r="G164" s="202">
        <v>0</v>
      </c>
      <c r="H164" s="202">
        <v>0</v>
      </c>
      <c r="I164" s="202">
        <v>0</v>
      </c>
      <c r="J164" s="202">
        <v>0</v>
      </c>
      <c r="K164" s="201">
        <v>0</v>
      </c>
      <c r="L164" s="201">
        <v>0</v>
      </c>
      <c r="M164" s="201">
        <v>0</v>
      </c>
      <c r="N164" s="201">
        <v>0</v>
      </c>
      <c r="O164" s="201">
        <v>0</v>
      </c>
      <c r="P164" s="201">
        <v>0</v>
      </c>
      <c r="Q164" s="202">
        <v>0</v>
      </c>
      <c r="R164" s="202">
        <v>0</v>
      </c>
      <c r="S164" s="202">
        <v>0</v>
      </c>
      <c r="T164" s="202">
        <v>0</v>
      </c>
      <c r="U164" s="201">
        <v>0</v>
      </c>
      <c r="V164" s="201">
        <v>0</v>
      </c>
      <c r="W164" s="201">
        <v>0</v>
      </c>
      <c r="X164" s="201">
        <v>0</v>
      </c>
      <c r="Y164" s="202"/>
      <c r="Z164" s="202"/>
      <c r="AA164" s="202">
        <v>0</v>
      </c>
      <c r="AB164" s="202">
        <v>0</v>
      </c>
      <c r="AC164" s="202">
        <v>1056</v>
      </c>
      <c r="AD164" s="202">
        <v>2202178</v>
      </c>
      <c r="AE164" s="202">
        <v>0</v>
      </c>
      <c r="AF164" s="202">
        <v>0</v>
      </c>
      <c r="AG164" s="202">
        <v>0</v>
      </c>
      <c r="AH164" s="202">
        <v>0</v>
      </c>
      <c r="AI164" s="202">
        <v>0</v>
      </c>
      <c r="AJ164" s="202">
        <v>0</v>
      </c>
      <c r="AK164" s="202">
        <v>0</v>
      </c>
      <c r="AL164" s="202">
        <v>0</v>
      </c>
      <c r="AM164" s="202">
        <v>0</v>
      </c>
      <c r="AN164" s="202">
        <v>0</v>
      </c>
      <c r="AO164" s="202">
        <v>0</v>
      </c>
      <c r="AP164" s="202">
        <v>0</v>
      </c>
      <c r="AQ164" s="202">
        <v>3800.9760000000001</v>
      </c>
      <c r="AR164" s="202">
        <v>38741570</v>
      </c>
      <c r="AS164" s="202">
        <v>23939</v>
      </c>
      <c r="AT164" s="202">
        <v>339672398</v>
      </c>
      <c r="AU164" s="202">
        <v>35301.370000000003</v>
      </c>
      <c r="AV164" s="202">
        <v>402713927</v>
      </c>
      <c r="AW164" s="202">
        <v>32011.991000000002</v>
      </c>
      <c r="AX164" s="202">
        <v>401212339</v>
      </c>
      <c r="AY164" s="201">
        <v>38213</v>
      </c>
      <c r="AZ164" s="201">
        <v>521380522</v>
      </c>
    </row>
    <row r="165" spans="1:52" x14ac:dyDescent="0.25">
      <c r="A165" s="229" t="s">
        <v>469</v>
      </c>
      <c r="B165" s="216" t="s">
        <v>166</v>
      </c>
      <c r="C165" s="201">
        <v>782698</v>
      </c>
      <c r="D165" s="201">
        <v>70699625</v>
      </c>
      <c r="E165" s="201">
        <v>86565</v>
      </c>
      <c r="F165" s="201">
        <v>18554973</v>
      </c>
      <c r="G165" s="201">
        <v>85894</v>
      </c>
      <c r="H165" s="201">
        <v>17869788</v>
      </c>
      <c r="I165" s="201">
        <v>98187</v>
      </c>
      <c r="J165" s="201">
        <v>19411692</v>
      </c>
      <c r="K165" s="201">
        <v>19399</v>
      </c>
      <c r="L165" s="201">
        <v>2919743</v>
      </c>
      <c r="M165" s="201">
        <v>0</v>
      </c>
      <c r="N165" s="201">
        <v>0</v>
      </c>
      <c r="O165" s="201">
        <v>17877</v>
      </c>
      <c r="P165" s="201">
        <v>3383183</v>
      </c>
      <c r="Q165" s="201">
        <v>66715</v>
      </c>
      <c r="R165" s="201">
        <v>12207125</v>
      </c>
      <c r="S165" s="201">
        <v>20602</v>
      </c>
      <c r="T165" s="201">
        <v>2965739</v>
      </c>
      <c r="U165" s="201">
        <v>0</v>
      </c>
      <c r="V165" s="201">
        <v>0</v>
      </c>
      <c r="W165" s="201">
        <v>17101</v>
      </c>
      <c r="X165" s="201">
        <v>10281141</v>
      </c>
      <c r="Y165" s="201">
        <v>28649</v>
      </c>
      <c r="Z165" s="201">
        <v>14892472</v>
      </c>
      <c r="AA165" s="202">
        <v>2318</v>
      </c>
      <c r="AB165" s="202">
        <v>1368276</v>
      </c>
      <c r="AC165" s="201">
        <v>2892</v>
      </c>
      <c r="AD165" s="201">
        <v>1767117</v>
      </c>
      <c r="AE165" s="202">
        <v>0</v>
      </c>
      <c r="AF165" s="202">
        <v>0</v>
      </c>
      <c r="AG165" s="202">
        <v>0</v>
      </c>
      <c r="AH165" s="202">
        <v>0</v>
      </c>
      <c r="AI165" s="202">
        <v>0</v>
      </c>
      <c r="AJ165" s="202">
        <v>0</v>
      </c>
      <c r="AK165" s="202">
        <v>0</v>
      </c>
      <c r="AL165" s="202">
        <v>0</v>
      </c>
      <c r="AM165" s="202">
        <v>0</v>
      </c>
      <c r="AN165" s="202">
        <v>0</v>
      </c>
      <c r="AO165" s="202">
        <v>0</v>
      </c>
      <c r="AP165" s="202">
        <v>0</v>
      </c>
      <c r="AQ165" s="202">
        <v>0</v>
      </c>
      <c r="AR165" s="202">
        <v>0</v>
      </c>
      <c r="AS165" s="202">
        <v>0</v>
      </c>
      <c r="AT165" s="202">
        <v>0</v>
      </c>
      <c r="AU165" s="202">
        <v>0</v>
      </c>
      <c r="AV165" s="202">
        <v>0</v>
      </c>
      <c r="AW165" s="202">
        <v>0</v>
      </c>
      <c r="AX165" s="202">
        <v>0</v>
      </c>
      <c r="AY165" s="201">
        <v>0</v>
      </c>
      <c r="AZ165" s="201">
        <v>0</v>
      </c>
    </row>
    <row r="166" spans="1:52" x14ac:dyDescent="0.25">
      <c r="A166" s="229" t="s">
        <v>470</v>
      </c>
      <c r="B166" s="216" t="s">
        <v>214</v>
      </c>
      <c r="C166" s="201">
        <v>1622</v>
      </c>
      <c r="D166" s="201">
        <v>4426647</v>
      </c>
      <c r="E166" s="201">
        <v>328</v>
      </c>
      <c r="F166" s="201">
        <v>1834614</v>
      </c>
      <c r="G166" s="201">
        <v>401</v>
      </c>
      <c r="H166" s="201">
        <v>1254422</v>
      </c>
      <c r="I166" s="201">
        <v>416</v>
      </c>
      <c r="J166" s="201">
        <v>1112023</v>
      </c>
      <c r="K166" s="201">
        <v>449</v>
      </c>
      <c r="L166" s="201">
        <v>1963478</v>
      </c>
      <c r="M166" s="201">
        <v>523</v>
      </c>
      <c r="N166" s="201">
        <v>2693559</v>
      </c>
      <c r="O166" s="201">
        <v>476</v>
      </c>
      <c r="P166" s="201">
        <v>2382702</v>
      </c>
      <c r="Q166" s="201">
        <v>482</v>
      </c>
      <c r="R166" s="201">
        <v>2557435</v>
      </c>
      <c r="S166" s="201">
        <v>450</v>
      </c>
      <c r="T166" s="201">
        <v>2980875</v>
      </c>
      <c r="U166" s="201">
        <v>360</v>
      </c>
      <c r="V166" s="201">
        <v>2118657</v>
      </c>
      <c r="W166" s="201">
        <v>323</v>
      </c>
      <c r="X166" s="201">
        <v>1917445</v>
      </c>
      <c r="Y166" s="201">
        <v>435</v>
      </c>
      <c r="Z166" s="201">
        <v>1185127</v>
      </c>
      <c r="AA166" s="202">
        <v>351</v>
      </c>
      <c r="AB166" s="202">
        <v>1260296</v>
      </c>
      <c r="AC166" s="201">
        <v>539</v>
      </c>
      <c r="AD166" s="201">
        <v>1372039</v>
      </c>
      <c r="AE166" s="202">
        <v>405</v>
      </c>
      <c r="AF166" s="202">
        <v>2035430</v>
      </c>
      <c r="AG166" s="202">
        <v>450</v>
      </c>
      <c r="AH166" s="202">
        <v>2904466</v>
      </c>
      <c r="AI166" s="202">
        <v>528</v>
      </c>
      <c r="AJ166" s="202">
        <v>3065446</v>
      </c>
      <c r="AK166" s="202">
        <v>558.78599999999994</v>
      </c>
      <c r="AL166" s="202">
        <v>2416416</v>
      </c>
      <c r="AM166" s="221">
        <v>429.30700000000002</v>
      </c>
      <c r="AN166" s="221">
        <v>3227915</v>
      </c>
      <c r="AO166" s="202">
        <v>827</v>
      </c>
      <c r="AP166" s="202">
        <v>10096972</v>
      </c>
      <c r="AQ166" s="202">
        <v>815.52119984889157</v>
      </c>
      <c r="AR166" s="202">
        <v>10566068.640663452</v>
      </c>
      <c r="AS166" s="202">
        <v>812.19299999999998</v>
      </c>
      <c r="AT166" s="202">
        <v>28280483</v>
      </c>
      <c r="AU166" s="202">
        <v>827.71299999999997</v>
      </c>
      <c r="AV166" s="202">
        <v>32267391</v>
      </c>
      <c r="AW166" s="202">
        <v>810.452</v>
      </c>
      <c r="AX166" s="202">
        <v>16146791</v>
      </c>
      <c r="AY166" s="201">
        <v>477.05799999999999</v>
      </c>
      <c r="AZ166" s="201">
        <v>4002358</v>
      </c>
    </row>
    <row r="167" spans="1:52" x14ac:dyDescent="0.25">
      <c r="A167" s="229" t="s">
        <v>471</v>
      </c>
      <c r="B167" s="216" t="s">
        <v>214</v>
      </c>
      <c r="C167" s="201">
        <v>626</v>
      </c>
      <c r="D167" s="201">
        <v>3918687</v>
      </c>
      <c r="E167" s="201">
        <v>64</v>
      </c>
      <c r="F167" s="201">
        <v>954184</v>
      </c>
      <c r="G167" s="201">
        <v>65</v>
      </c>
      <c r="H167" s="201">
        <v>868736</v>
      </c>
      <c r="I167" s="201">
        <v>74</v>
      </c>
      <c r="J167" s="201">
        <v>933357</v>
      </c>
      <c r="K167" s="201">
        <v>52</v>
      </c>
      <c r="L167" s="201">
        <v>863905</v>
      </c>
      <c r="M167" s="201">
        <v>66</v>
      </c>
      <c r="N167" s="201">
        <v>1010176</v>
      </c>
      <c r="O167" s="201">
        <v>95</v>
      </c>
      <c r="P167" s="201">
        <v>1405304</v>
      </c>
      <c r="Q167" s="201">
        <v>115</v>
      </c>
      <c r="R167" s="201">
        <v>2459690</v>
      </c>
      <c r="S167" s="201">
        <v>84</v>
      </c>
      <c r="T167" s="201">
        <v>2150013</v>
      </c>
      <c r="U167" s="202">
        <v>73</v>
      </c>
      <c r="V167" s="202">
        <v>1584833</v>
      </c>
      <c r="W167" s="201">
        <v>61</v>
      </c>
      <c r="X167" s="201">
        <v>1275979</v>
      </c>
      <c r="Y167" s="201">
        <v>96</v>
      </c>
      <c r="Z167" s="201">
        <v>1235806</v>
      </c>
      <c r="AA167" s="202">
        <v>82</v>
      </c>
      <c r="AB167" s="202">
        <v>1494173</v>
      </c>
      <c r="AC167" s="201">
        <v>143</v>
      </c>
      <c r="AD167" s="201">
        <v>1249742</v>
      </c>
      <c r="AE167" s="202">
        <v>79</v>
      </c>
      <c r="AF167" s="202">
        <v>1142319</v>
      </c>
      <c r="AG167" s="202">
        <v>113</v>
      </c>
      <c r="AH167" s="202">
        <v>1266118</v>
      </c>
      <c r="AI167" s="202">
        <v>74</v>
      </c>
      <c r="AJ167" s="202">
        <v>1734790</v>
      </c>
      <c r="AK167" s="202">
        <v>119.31399999999999</v>
      </c>
      <c r="AL167" s="202">
        <v>1584578</v>
      </c>
      <c r="AM167" s="221">
        <v>314.654</v>
      </c>
      <c r="AN167" s="221">
        <v>2419386</v>
      </c>
      <c r="AO167" s="202">
        <v>155</v>
      </c>
      <c r="AP167" s="202">
        <v>2852073</v>
      </c>
      <c r="AQ167" s="202">
        <v>90.426869773498154</v>
      </c>
      <c r="AR167" s="202">
        <v>1700644.5099171938</v>
      </c>
      <c r="AS167" s="202">
        <v>170.58199999999999</v>
      </c>
      <c r="AT167" s="202">
        <v>4976316</v>
      </c>
      <c r="AU167" s="202">
        <v>173.685</v>
      </c>
      <c r="AV167" s="202">
        <v>5302472</v>
      </c>
      <c r="AW167" s="202">
        <v>122.00200000000001</v>
      </c>
      <c r="AX167" s="202">
        <v>2945218</v>
      </c>
      <c r="AY167" s="201">
        <v>133.346</v>
      </c>
      <c r="AZ167" s="201">
        <v>4306903</v>
      </c>
    </row>
    <row r="168" spans="1:52" x14ac:dyDescent="0.25">
      <c r="A168" s="229" t="s">
        <v>472</v>
      </c>
      <c r="B168" s="216" t="s">
        <v>214</v>
      </c>
      <c r="C168" s="201">
        <v>32</v>
      </c>
      <c r="D168" s="201">
        <v>51640</v>
      </c>
      <c r="E168" s="201">
        <v>0</v>
      </c>
      <c r="F168" s="201">
        <v>0</v>
      </c>
      <c r="G168" s="201">
        <v>0</v>
      </c>
      <c r="H168" s="201">
        <v>0</v>
      </c>
      <c r="I168" s="201">
        <v>0</v>
      </c>
      <c r="J168" s="201">
        <v>0</v>
      </c>
      <c r="K168" s="201">
        <v>0</v>
      </c>
      <c r="L168" s="201">
        <v>0</v>
      </c>
      <c r="M168" s="201">
        <v>0</v>
      </c>
      <c r="N168" s="201">
        <v>0</v>
      </c>
      <c r="O168" s="201">
        <v>0</v>
      </c>
      <c r="P168" s="201">
        <v>0</v>
      </c>
      <c r="Q168" s="201">
        <v>0</v>
      </c>
      <c r="R168" s="201">
        <v>0</v>
      </c>
      <c r="S168" s="201">
        <v>0</v>
      </c>
      <c r="T168" s="201">
        <v>0</v>
      </c>
      <c r="U168" s="201">
        <v>0</v>
      </c>
      <c r="V168" s="201">
        <v>0</v>
      </c>
      <c r="W168" s="201">
        <v>0</v>
      </c>
      <c r="X168" s="201">
        <v>0</v>
      </c>
      <c r="Y168" s="201">
        <v>0</v>
      </c>
      <c r="Z168" s="201">
        <v>0</v>
      </c>
      <c r="AA168" s="201">
        <v>0</v>
      </c>
      <c r="AB168" s="201">
        <v>0</v>
      </c>
      <c r="AC168" s="201">
        <v>0</v>
      </c>
      <c r="AD168" s="201">
        <v>0</v>
      </c>
      <c r="AE168" s="201">
        <v>0</v>
      </c>
      <c r="AF168" s="201">
        <v>0</v>
      </c>
      <c r="AG168" s="201">
        <v>0</v>
      </c>
      <c r="AH168" s="201">
        <v>0</v>
      </c>
      <c r="AI168" s="201">
        <v>0</v>
      </c>
      <c r="AJ168" s="201">
        <v>0</v>
      </c>
      <c r="AK168" s="201">
        <v>0</v>
      </c>
      <c r="AL168" s="201">
        <v>0</v>
      </c>
      <c r="AM168" s="201">
        <v>0</v>
      </c>
      <c r="AN168" s="201">
        <v>0</v>
      </c>
      <c r="AO168" s="201">
        <v>0</v>
      </c>
      <c r="AP168" s="201">
        <v>0</v>
      </c>
      <c r="AQ168" s="201">
        <v>0</v>
      </c>
      <c r="AR168" s="201">
        <v>0</v>
      </c>
      <c r="AS168" s="201">
        <v>0</v>
      </c>
      <c r="AT168" s="201">
        <v>0</v>
      </c>
      <c r="AU168" s="201">
        <v>0</v>
      </c>
      <c r="AV168" s="201">
        <v>0</v>
      </c>
      <c r="AW168" s="202">
        <v>0</v>
      </c>
      <c r="AX168" s="202">
        <v>0</v>
      </c>
      <c r="AY168" s="201">
        <v>0</v>
      </c>
      <c r="AZ168" s="201">
        <v>0</v>
      </c>
    </row>
    <row r="169" spans="1:52" x14ac:dyDescent="0.25">
      <c r="A169" s="218" t="s">
        <v>473</v>
      </c>
      <c r="C169" s="201"/>
      <c r="D169" s="201">
        <f>SUM(D162:D168)</f>
        <v>1939919531</v>
      </c>
      <c r="E169" s="201"/>
      <c r="F169" s="201">
        <f>SUM(F162:F168)</f>
        <v>338118510</v>
      </c>
      <c r="G169" s="201"/>
      <c r="H169" s="201">
        <f>SUM(H162:H168)</f>
        <v>334167313</v>
      </c>
      <c r="I169" s="201"/>
      <c r="J169" s="201">
        <f>SUM(J162:J168)</f>
        <v>358910208</v>
      </c>
      <c r="K169" s="201"/>
      <c r="L169" s="201">
        <f>SUM(L162:L168)</f>
        <v>297538360</v>
      </c>
      <c r="M169" s="201"/>
      <c r="N169" s="201">
        <f>SUM(N162:N168)</f>
        <v>330490459</v>
      </c>
      <c r="O169" s="201"/>
      <c r="P169" s="201">
        <f>SUM(P162:P168)</f>
        <v>395944021</v>
      </c>
      <c r="Q169" s="201"/>
      <c r="R169" s="201">
        <f>SUM(R162:R168)</f>
        <v>285719880</v>
      </c>
      <c r="S169" s="201"/>
      <c r="T169" s="201">
        <f>SUM(T162:T168)</f>
        <v>301140312</v>
      </c>
      <c r="U169" s="202"/>
      <c r="V169" s="202">
        <f>SUM(V162:V168)</f>
        <v>489009884</v>
      </c>
      <c r="W169" s="202"/>
      <c r="X169" s="201">
        <f>SUM(X162:X168)</f>
        <v>696515506</v>
      </c>
      <c r="Y169" s="202"/>
      <c r="Z169" s="201">
        <f>SUM(Z162:Z168)</f>
        <v>564655899</v>
      </c>
      <c r="AA169" s="202"/>
      <c r="AB169" s="202">
        <f>SUM(AB162:AB168)</f>
        <v>578059824</v>
      </c>
      <c r="AC169" s="201"/>
      <c r="AD169" s="202">
        <f>SUM(AD162:AD168)</f>
        <v>494441655</v>
      </c>
      <c r="AE169" s="202"/>
      <c r="AF169" s="202">
        <f>SUM(AF162:AF168)</f>
        <v>451838436</v>
      </c>
      <c r="AG169" s="202"/>
      <c r="AH169" s="202">
        <f>SUM(AH162:AH168)</f>
        <v>670144579</v>
      </c>
      <c r="AI169" s="202"/>
      <c r="AJ169" s="202">
        <f>SUM(AJ162:AJ168)</f>
        <v>1155346712</v>
      </c>
      <c r="AK169" s="202"/>
      <c r="AL169" s="202">
        <f>SUM(AL162:AL168)</f>
        <v>1101405788</v>
      </c>
      <c r="AM169" s="221"/>
      <c r="AN169" s="221">
        <f>SUM(AN162:AN168)</f>
        <v>1200421816</v>
      </c>
      <c r="AP169" s="202">
        <f>SUM(AP162:AP168)</f>
        <v>1136650908</v>
      </c>
      <c r="AQ169" s="202"/>
      <c r="AR169" s="202">
        <f>SUM(AR162:AR168)</f>
        <v>1134907749.9146953</v>
      </c>
      <c r="AS169" s="202"/>
      <c r="AT169" s="202">
        <f>SUM(AT162:AT168)</f>
        <v>2442588780</v>
      </c>
      <c r="AU169" s="202"/>
      <c r="AV169" s="202">
        <f>SUM(AV162:AV168)</f>
        <v>2258324306</v>
      </c>
      <c r="AW169" s="201"/>
      <c r="AX169" s="201">
        <f>SUM(AX162:AX168)</f>
        <v>2380593942</v>
      </c>
      <c r="AY169" s="222"/>
      <c r="AZ169" s="201">
        <f>SUM(AZ162:AZ168)</f>
        <v>2833591505</v>
      </c>
    </row>
    <row r="170" spans="1:52" x14ac:dyDescent="0.25">
      <c r="A170" s="218"/>
      <c r="C170" s="201"/>
      <c r="D170" s="201"/>
      <c r="E170" s="201"/>
      <c r="F170" s="201"/>
      <c r="G170" s="201"/>
      <c r="H170" s="201"/>
      <c r="I170" s="201"/>
      <c r="J170" s="201"/>
      <c r="K170" s="201"/>
      <c r="L170" s="201"/>
      <c r="M170" s="201"/>
      <c r="N170" s="201"/>
      <c r="O170" s="201"/>
      <c r="P170" s="201"/>
      <c r="Q170" s="201"/>
      <c r="R170" s="201"/>
      <c r="S170" s="201"/>
      <c r="T170" s="201"/>
      <c r="U170" s="202"/>
      <c r="V170" s="202"/>
      <c r="W170" s="202"/>
      <c r="X170" s="201"/>
      <c r="Y170" s="202"/>
      <c r="Z170" s="201"/>
      <c r="AA170" s="202"/>
      <c r="AB170" s="202"/>
      <c r="AC170" s="201"/>
      <c r="AD170" s="202"/>
      <c r="AE170" s="202"/>
      <c r="AF170" s="202"/>
      <c r="AG170" s="202"/>
      <c r="AH170" s="202"/>
      <c r="AI170" s="202"/>
      <c r="AJ170" s="202"/>
      <c r="AK170" s="202"/>
      <c r="AL170" s="202"/>
      <c r="AM170" s="221"/>
      <c r="AN170" s="221"/>
      <c r="AQ170" s="202"/>
      <c r="AR170" s="202"/>
      <c r="AS170" s="202"/>
      <c r="AT170" s="202"/>
      <c r="AU170" s="202"/>
      <c r="AV170" s="202"/>
      <c r="AW170" s="227"/>
      <c r="AX170" s="227"/>
      <c r="AY170" s="228"/>
      <c r="AZ170" s="201"/>
    </row>
    <row r="171" spans="1:52" x14ac:dyDescent="0.25">
      <c r="A171" s="1324" t="s">
        <v>248</v>
      </c>
      <c r="B171" s="1325"/>
      <c r="C171" s="1326"/>
      <c r="D171" s="1326">
        <v>3893</v>
      </c>
      <c r="E171" s="1326">
        <v>0</v>
      </c>
      <c r="F171" s="1326">
        <v>0</v>
      </c>
      <c r="G171" s="1326">
        <v>0</v>
      </c>
      <c r="H171" s="1326">
        <v>0</v>
      </c>
      <c r="I171" s="1326">
        <v>0</v>
      </c>
      <c r="J171" s="1326">
        <v>0</v>
      </c>
      <c r="K171" s="1326">
        <v>0</v>
      </c>
      <c r="L171" s="1326">
        <v>0</v>
      </c>
      <c r="M171" s="1326">
        <v>16729</v>
      </c>
      <c r="N171" s="1326">
        <v>215936</v>
      </c>
      <c r="O171" s="1326">
        <v>0</v>
      </c>
      <c r="P171" s="1326">
        <v>0</v>
      </c>
      <c r="Q171" s="1326">
        <v>0</v>
      </c>
      <c r="R171" s="1326">
        <v>0</v>
      </c>
      <c r="S171" s="1326">
        <v>0</v>
      </c>
      <c r="T171" s="1326">
        <v>0</v>
      </c>
      <c r="U171" s="1326">
        <v>0</v>
      </c>
      <c r="V171" s="1326">
        <v>0</v>
      </c>
      <c r="W171" s="1326">
        <v>0</v>
      </c>
      <c r="X171" s="1326">
        <v>0</v>
      </c>
      <c r="Y171" s="1326">
        <v>0</v>
      </c>
      <c r="Z171" s="1326">
        <v>0</v>
      </c>
      <c r="AA171" s="1326">
        <v>0</v>
      </c>
      <c r="AB171" s="1326">
        <v>0</v>
      </c>
      <c r="AC171" s="1326">
        <v>0</v>
      </c>
      <c r="AD171" s="1326">
        <v>0</v>
      </c>
      <c r="AE171" s="1326">
        <v>0</v>
      </c>
      <c r="AF171" s="1326">
        <v>0</v>
      </c>
      <c r="AG171" s="1326">
        <v>0</v>
      </c>
      <c r="AH171" s="1326">
        <v>0</v>
      </c>
      <c r="AI171" s="1326">
        <v>0</v>
      </c>
      <c r="AJ171" s="1326">
        <v>0</v>
      </c>
      <c r="AK171" s="1326">
        <v>0</v>
      </c>
      <c r="AL171" s="1326">
        <v>0</v>
      </c>
      <c r="AM171" s="1326">
        <v>0</v>
      </c>
      <c r="AN171" s="1326">
        <v>0</v>
      </c>
      <c r="AO171" s="1326">
        <v>0</v>
      </c>
      <c r="AP171" s="1326">
        <v>0</v>
      </c>
      <c r="AQ171" s="1326">
        <v>0</v>
      </c>
      <c r="AR171" s="1326">
        <v>0</v>
      </c>
      <c r="AS171" s="1326">
        <v>0</v>
      </c>
      <c r="AT171" s="1326">
        <v>0</v>
      </c>
      <c r="AU171" s="1326">
        <v>0</v>
      </c>
      <c r="AV171" s="1326">
        <v>0</v>
      </c>
      <c r="AW171" s="1326">
        <v>0</v>
      </c>
      <c r="AX171" s="1326">
        <v>0</v>
      </c>
      <c r="AY171" s="1326">
        <v>0</v>
      </c>
      <c r="AZ171" s="1326">
        <v>0</v>
      </c>
    </row>
    <row r="172" spans="1:52" x14ac:dyDescent="0.25">
      <c r="A172" s="1340"/>
      <c r="B172" s="1345"/>
      <c r="C172" s="1326"/>
      <c r="D172" s="1326"/>
      <c r="E172" s="1326"/>
      <c r="F172" s="1326"/>
      <c r="G172" s="1326"/>
      <c r="H172" s="1326"/>
      <c r="I172" s="1326"/>
      <c r="J172" s="1326"/>
      <c r="K172" s="1326"/>
      <c r="L172" s="1326"/>
      <c r="M172" s="1326"/>
      <c r="N172" s="1326"/>
      <c r="O172" s="1326"/>
      <c r="P172" s="1326"/>
      <c r="Q172" s="1326"/>
      <c r="R172" s="1326"/>
      <c r="S172" s="1326"/>
      <c r="T172" s="1326"/>
      <c r="U172" s="1337"/>
      <c r="V172" s="1337"/>
      <c r="W172" s="1327"/>
      <c r="X172" s="1327"/>
      <c r="Y172" s="1337"/>
      <c r="Z172" s="1337"/>
      <c r="AA172" s="1327"/>
      <c r="AB172" s="1327"/>
      <c r="AC172" s="1326"/>
      <c r="AD172" s="1326"/>
      <c r="AE172" s="1327"/>
      <c r="AF172" s="1327"/>
      <c r="AG172" s="1327"/>
      <c r="AH172" s="1327"/>
      <c r="AI172" s="1327"/>
      <c r="AJ172" s="1327"/>
      <c r="AK172" s="1327"/>
      <c r="AL172" s="1327"/>
      <c r="AM172" s="1327"/>
      <c r="AN172" s="1327"/>
      <c r="AO172" s="1327"/>
      <c r="AP172" s="1327"/>
      <c r="AQ172" s="1346"/>
      <c r="AR172" s="1327"/>
      <c r="AS172" s="1327"/>
      <c r="AT172" s="1327"/>
      <c r="AU172" s="1327"/>
      <c r="AV172" s="1327"/>
      <c r="AW172" s="1334"/>
      <c r="AX172" s="1334"/>
      <c r="AY172" s="1335"/>
      <c r="AZ172" s="1335"/>
    </row>
    <row r="173" spans="1:52" x14ac:dyDescent="0.25">
      <c r="A173" s="215" t="s">
        <v>474</v>
      </c>
      <c r="B173" s="216" t="s">
        <v>166</v>
      </c>
      <c r="C173" s="201">
        <v>4052</v>
      </c>
      <c r="D173" s="201">
        <v>62633</v>
      </c>
      <c r="E173" s="201">
        <v>0</v>
      </c>
      <c r="F173" s="201">
        <v>0</v>
      </c>
      <c r="G173" s="201">
        <v>0</v>
      </c>
      <c r="H173" s="201">
        <v>0</v>
      </c>
      <c r="I173" s="201">
        <v>0</v>
      </c>
      <c r="J173" s="201">
        <v>0</v>
      </c>
      <c r="K173" s="201">
        <v>0</v>
      </c>
      <c r="L173" s="201">
        <v>0</v>
      </c>
      <c r="M173" s="201">
        <v>0</v>
      </c>
      <c r="N173" s="201">
        <v>0</v>
      </c>
      <c r="O173" s="201">
        <v>9620</v>
      </c>
      <c r="P173" s="201">
        <v>423303</v>
      </c>
      <c r="Q173" s="201">
        <v>1474</v>
      </c>
      <c r="R173" s="201">
        <v>44315</v>
      </c>
      <c r="S173" s="201">
        <v>1236</v>
      </c>
      <c r="T173" s="201">
        <v>53041</v>
      </c>
      <c r="U173" s="201">
        <v>1151</v>
      </c>
      <c r="V173" s="201">
        <v>67245</v>
      </c>
      <c r="W173" s="201">
        <v>1212</v>
      </c>
      <c r="X173" s="201">
        <v>72557</v>
      </c>
      <c r="Y173" s="201">
        <v>861</v>
      </c>
      <c r="Z173" s="201">
        <v>58774</v>
      </c>
      <c r="AA173" s="202">
        <v>403</v>
      </c>
      <c r="AB173" s="202">
        <v>29974</v>
      </c>
      <c r="AC173" s="201">
        <v>918</v>
      </c>
      <c r="AD173" s="201">
        <v>68315</v>
      </c>
      <c r="AE173" s="202">
        <v>1025</v>
      </c>
      <c r="AF173" s="202">
        <v>76189</v>
      </c>
      <c r="AG173" s="202">
        <v>786</v>
      </c>
      <c r="AH173" s="202">
        <v>58531</v>
      </c>
      <c r="AI173" s="202">
        <v>1113</v>
      </c>
      <c r="AJ173" s="202">
        <v>78400</v>
      </c>
      <c r="AK173" s="202">
        <v>0</v>
      </c>
      <c r="AL173" s="202">
        <v>0</v>
      </c>
      <c r="AM173" s="202">
        <v>0</v>
      </c>
      <c r="AN173" s="202">
        <v>0</v>
      </c>
      <c r="AO173" s="202">
        <v>0</v>
      </c>
      <c r="AP173" s="202">
        <v>0</v>
      </c>
      <c r="AQ173" s="202">
        <v>0</v>
      </c>
      <c r="AR173" s="202">
        <v>0</v>
      </c>
      <c r="AS173" s="202">
        <v>0</v>
      </c>
      <c r="AT173" s="202">
        <v>0</v>
      </c>
      <c r="AU173" s="202">
        <v>0</v>
      </c>
      <c r="AV173" s="202">
        <v>0</v>
      </c>
      <c r="AW173" s="223">
        <v>0</v>
      </c>
      <c r="AX173" s="223">
        <v>0</v>
      </c>
      <c r="AY173" s="223">
        <v>0</v>
      </c>
      <c r="AZ173" s="223">
        <v>0</v>
      </c>
    </row>
    <row r="174" spans="1:52" x14ac:dyDescent="0.25">
      <c r="A174" s="231" t="s">
        <v>238</v>
      </c>
      <c r="C174" s="201"/>
      <c r="D174" s="201"/>
      <c r="E174" s="201"/>
      <c r="F174" s="201"/>
      <c r="G174" s="201"/>
      <c r="H174" s="201"/>
      <c r="I174" s="201"/>
      <c r="J174" s="201"/>
      <c r="K174" s="201"/>
      <c r="L174" s="201"/>
      <c r="M174" s="201"/>
      <c r="N174" s="201"/>
      <c r="O174" s="201"/>
      <c r="P174" s="201"/>
      <c r="Q174" s="201"/>
      <c r="R174" s="201"/>
      <c r="S174" s="201"/>
      <c r="T174" s="201"/>
      <c r="U174" s="202"/>
      <c r="V174" s="202"/>
      <c r="W174" s="202"/>
      <c r="X174" s="202"/>
      <c r="Y174" s="201"/>
      <c r="Z174" s="201"/>
      <c r="AA174" s="202"/>
      <c r="AB174" s="202"/>
      <c r="AC174" s="201"/>
      <c r="AD174" s="201"/>
      <c r="AE174" s="202"/>
      <c r="AF174" s="202"/>
      <c r="AG174" s="202"/>
      <c r="AH174" s="202"/>
      <c r="AI174" s="202"/>
      <c r="AJ174" s="202"/>
      <c r="AK174" s="202"/>
      <c r="AL174" s="202"/>
      <c r="AM174" s="202"/>
      <c r="AN174" s="202"/>
      <c r="AQ174" s="202"/>
      <c r="AR174" s="202"/>
      <c r="AS174" s="202"/>
      <c r="AT174" s="202"/>
      <c r="AU174" s="202"/>
      <c r="AV174" s="202"/>
      <c r="AW174" s="227"/>
      <c r="AX174" s="227"/>
      <c r="AY174" s="228"/>
      <c r="AZ174" s="228"/>
    </row>
    <row r="175" spans="1:52" x14ac:dyDescent="0.25">
      <c r="A175" s="1324" t="s">
        <v>232</v>
      </c>
      <c r="B175" s="1345"/>
      <c r="C175" s="1326"/>
      <c r="D175" s="1326"/>
      <c r="E175" s="1326"/>
      <c r="F175" s="1326"/>
      <c r="G175" s="1326"/>
      <c r="H175" s="1326"/>
      <c r="I175" s="1326"/>
      <c r="J175" s="1326"/>
      <c r="K175" s="1326"/>
      <c r="L175" s="1326"/>
      <c r="M175" s="1326"/>
      <c r="N175" s="1326"/>
      <c r="O175" s="1326"/>
      <c r="P175" s="1326"/>
      <c r="Q175" s="1326"/>
      <c r="R175" s="1326"/>
      <c r="S175" s="1326"/>
      <c r="T175" s="1326"/>
      <c r="U175" s="1337"/>
      <c r="V175" s="1337"/>
      <c r="W175" s="1327"/>
      <c r="X175" s="1327"/>
      <c r="Y175" s="1326"/>
      <c r="Z175" s="1326"/>
      <c r="AA175" s="1327"/>
      <c r="AB175" s="1327"/>
      <c r="AC175" s="1326"/>
      <c r="AD175" s="1326"/>
      <c r="AE175" s="1327"/>
      <c r="AF175" s="1327"/>
      <c r="AG175" s="1327"/>
      <c r="AH175" s="1327"/>
      <c r="AI175" s="1327"/>
      <c r="AJ175" s="1327"/>
      <c r="AK175" s="1327"/>
      <c r="AL175" s="1327"/>
      <c r="AM175" s="1327"/>
      <c r="AN175" s="1327"/>
      <c r="AO175" s="1327"/>
      <c r="AP175" s="1327"/>
      <c r="AQ175" s="1327"/>
      <c r="AR175" s="1327"/>
      <c r="AS175" s="1327"/>
      <c r="AT175" s="1327"/>
      <c r="AU175" s="1327"/>
      <c r="AV175" s="1327"/>
      <c r="AW175" s="1334"/>
      <c r="AX175" s="1334"/>
      <c r="AY175" s="1335"/>
      <c r="AZ175" s="1335"/>
    </row>
    <row r="176" spans="1:52" x14ac:dyDescent="0.25">
      <c r="A176" s="1339" t="s">
        <v>193</v>
      </c>
      <c r="B176" s="1325" t="s">
        <v>233</v>
      </c>
      <c r="C176" s="1326">
        <v>38667</v>
      </c>
      <c r="D176" s="1326">
        <v>1150798</v>
      </c>
      <c r="E176" s="1326">
        <v>2435</v>
      </c>
      <c r="F176" s="1326">
        <v>310780</v>
      </c>
      <c r="G176" s="1326">
        <v>2630</v>
      </c>
      <c r="H176" s="1326">
        <v>355899</v>
      </c>
      <c r="I176" s="1326">
        <f>2750+658</f>
        <v>3408</v>
      </c>
      <c r="J176" s="1326">
        <v>518900</v>
      </c>
      <c r="K176" s="1326">
        <f>SUM(979+2191)*1.28311707</f>
        <v>4067.4811119000001</v>
      </c>
      <c r="L176" s="1326">
        <v>715898</v>
      </c>
      <c r="M176" s="1326">
        <f>SUM(872+2062+19271)*1.28311707</f>
        <v>28491.614539350001</v>
      </c>
      <c r="N176" s="1326">
        <v>5558723</v>
      </c>
      <c r="O176" s="1326">
        <f>209264*1.28311707</f>
        <v>268510.21053648001</v>
      </c>
      <c r="P176" s="1326">
        <v>64885784</v>
      </c>
      <c r="Q176" s="1326">
        <f>329396*1.28311707</f>
        <v>422653.63038972003</v>
      </c>
      <c r="R176" s="1326">
        <v>58584914</v>
      </c>
      <c r="S176" s="1326">
        <v>921912</v>
      </c>
      <c r="T176" s="1326">
        <v>135427471</v>
      </c>
      <c r="U176" s="1326">
        <v>1129983</v>
      </c>
      <c r="V176" s="1326">
        <v>146254032</v>
      </c>
      <c r="W176" s="1326">
        <v>1353197</v>
      </c>
      <c r="X176" s="1326">
        <v>197155951</v>
      </c>
      <c r="Y176" s="1326">
        <v>1719444</v>
      </c>
      <c r="Z176" s="1326">
        <v>333903937</v>
      </c>
      <c r="AA176" s="1327">
        <v>1869768</v>
      </c>
      <c r="AB176" s="1327">
        <v>313744896</v>
      </c>
      <c r="AC176" s="1326">
        <v>2060353</v>
      </c>
      <c r="AD176" s="1326">
        <v>366702321</v>
      </c>
      <c r="AE176" s="1327">
        <v>2168549</v>
      </c>
      <c r="AF176" s="1327">
        <v>359859020</v>
      </c>
      <c r="AG176" s="1327">
        <v>2341459</v>
      </c>
      <c r="AH176" s="1327">
        <v>331191631</v>
      </c>
      <c r="AI176" s="1327">
        <v>3828078</v>
      </c>
      <c r="AJ176" s="1327">
        <v>564909332</v>
      </c>
      <c r="AK176" s="1327">
        <v>4965927</v>
      </c>
      <c r="AL176" s="1327">
        <v>773723615</v>
      </c>
      <c r="AM176" s="1328">
        <v>6436741</v>
      </c>
      <c r="AN176" s="1328">
        <v>1103314266</v>
      </c>
      <c r="AO176" s="1327">
        <v>6406169</v>
      </c>
      <c r="AP176" s="1327">
        <v>887059959</v>
      </c>
      <c r="AQ176" s="1327">
        <v>5565129</v>
      </c>
      <c r="AR176" s="1327">
        <v>1013297673.5700001</v>
      </c>
      <c r="AS176" s="1327">
        <v>6196347</v>
      </c>
      <c r="AT176" s="1327">
        <v>1946370988</v>
      </c>
      <c r="AU176" s="1327">
        <v>6015068</v>
      </c>
      <c r="AV176" s="1327">
        <v>1787908337</v>
      </c>
      <c r="AW176" s="1326">
        <v>6878561</v>
      </c>
      <c r="AX176" s="1326">
        <v>1928576225</v>
      </c>
      <c r="AY176" s="1326">
        <v>6393743</v>
      </c>
      <c r="AZ176" s="1326">
        <v>1765463476</v>
      </c>
    </row>
    <row r="177" spans="1:52" x14ac:dyDescent="0.25">
      <c r="A177" s="1339" t="s">
        <v>196</v>
      </c>
      <c r="B177" s="1325" t="s">
        <v>233</v>
      </c>
      <c r="C177" s="1326">
        <v>27285996</v>
      </c>
      <c r="D177" s="1326">
        <v>879157349</v>
      </c>
      <c r="E177" s="1326">
        <v>624748</v>
      </c>
      <c r="F177" s="1326">
        <v>268782192</v>
      </c>
      <c r="G177" s="1326">
        <v>1439274</v>
      </c>
      <c r="H177" s="1326">
        <v>278612808</v>
      </c>
      <c r="I177" s="1326">
        <v>1278000</v>
      </c>
      <c r="J177" s="1326">
        <v>258602636</v>
      </c>
      <c r="K177" s="1326">
        <v>1260801</v>
      </c>
      <c r="L177" s="1326">
        <v>300712136</v>
      </c>
      <c r="M177" s="1326">
        <v>1295520</v>
      </c>
      <c r="N177" s="1326">
        <v>283635789</v>
      </c>
      <c r="O177" s="1326">
        <v>1207875</v>
      </c>
      <c r="P177" s="1326">
        <v>318717603</v>
      </c>
      <c r="Q177" s="1326">
        <v>1607251</v>
      </c>
      <c r="R177" s="1326">
        <v>260582180</v>
      </c>
      <c r="S177" s="1326">
        <v>1764084</v>
      </c>
      <c r="T177" s="1326">
        <v>314913379</v>
      </c>
      <c r="U177" s="1326">
        <v>2056808</v>
      </c>
      <c r="V177" s="1326">
        <v>246110792</v>
      </c>
      <c r="W177" s="1326">
        <v>2514049</v>
      </c>
      <c r="X177" s="1326">
        <v>369850063</v>
      </c>
      <c r="Y177" s="1326">
        <v>5200749</v>
      </c>
      <c r="Z177" s="1326">
        <v>1023216415</v>
      </c>
      <c r="AA177" s="1327">
        <v>5214637</v>
      </c>
      <c r="AB177" s="1327">
        <v>901415578</v>
      </c>
      <c r="AC177" s="1326">
        <v>5046694</v>
      </c>
      <c r="AD177" s="1326">
        <v>917363371</v>
      </c>
      <c r="AE177" s="1327">
        <v>4048865</v>
      </c>
      <c r="AF177" s="1327">
        <v>709316334</v>
      </c>
      <c r="AG177" s="1327">
        <v>8752619</v>
      </c>
      <c r="AH177" s="1327">
        <v>1299752620</v>
      </c>
      <c r="AI177" s="1327">
        <v>8683505</v>
      </c>
      <c r="AJ177" s="1327">
        <v>1384829505</v>
      </c>
      <c r="AK177" s="1327">
        <v>11258708</v>
      </c>
      <c r="AL177" s="1327">
        <v>1958824698</v>
      </c>
      <c r="AM177" s="1328">
        <v>9539869</v>
      </c>
      <c r="AN177" s="1328">
        <v>1719801811.3599999</v>
      </c>
      <c r="AO177" s="1327">
        <v>10977222</v>
      </c>
      <c r="AP177" s="1327">
        <v>1497550122</v>
      </c>
      <c r="AQ177" s="1327">
        <v>8490438.5938721336</v>
      </c>
      <c r="AR177" s="1327">
        <v>1559291022.8499999</v>
      </c>
      <c r="AS177" s="1327">
        <v>13743415</v>
      </c>
      <c r="AT177" s="1327">
        <v>4472416146.1800003</v>
      </c>
      <c r="AU177" s="1327">
        <v>14061255</v>
      </c>
      <c r="AV177" s="1327">
        <v>4246653099</v>
      </c>
      <c r="AW177" s="1326">
        <v>15216491</v>
      </c>
      <c r="AX177" s="1326">
        <v>4457025360</v>
      </c>
      <c r="AY177" s="1326">
        <v>14119334</v>
      </c>
      <c r="AZ177" s="1326">
        <v>4034630921</v>
      </c>
    </row>
    <row r="178" spans="1:52" x14ac:dyDescent="0.25">
      <c r="A178" s="1339" t="s">
        <v>189</v>
      </c>
      <c r="B178" s="1325" t="s">
        <v>166</v>
      </c>
      <c r="C178" s="1326">
        <v>0</v>
      </c>
      <c r="D178" s="1326">
        <v>0</v>
      </c>
      <c r="E178" s="1326">
        <v>0</v>
      </c>
      <c r="F178" s="1326">
        <v>0</v>
      </c>
      <c r="G178" s="1326">
        <v>0</v>
      </c>
      <c r="H178" s="1326">
        <v>0</v>
      </c>
      <c r="I178" s="1326">
        <v>0</v>
      </c>
      <c r="J178" s="1326">
        <v>0</v>
      </c>
      <c r="K178" s="1326">
        <v>0</v>
      </c>
      <c r="L178" s="1326">
        <v>0</v>
      </c>
      <c r="M178" s="1326">
        <v>0</v>
      </c>
      <c r="N178" s="1326">
        <v>0</v>
      </c>
      <c r="O178" s="1326">
        <v>0</v>
      </c>
      <c r="P178" s="1326">
        <v>0</v>
      </c>
      <c r="Q178" s="1326">
        <v>0</v>
      </c>
      <c r="R178" s="1326">
        <v>0</v>
      </c>
      <c r="S178" s="1326">
        <v>0</v>
      </c>
      <c r="T178" s="1326">
        <v>0</v>
      </c>
      <c r="U178" s="1326">
        <v>0</v>
      </c>
      <c r="V178" s="1326">
        <v>0</v>
      </c>
      <c r="W178" s="1326">
        <v>724675</v>
      </c>
      <c r="X178" s="1326">
        <v>113427505</v>
      </c>
      <c r="Y178" s="1326">
        <v>2945027.3076923075</v>
      </c>
      <c r="Z178" s="1326">
        <v>508103078</v>
      </c>
      <c r="AA178" s="1326">
        <v>3938443.6153846155</v>
      </c>
      <c r="AB178" s="1326">
        <v>957953276</v>
      </c>
      <c r="AC178" s="1326">
        <v>4570048.634615385</v>
      </c>
      <c r="AD178" s="1326">
        <v>966473640</v>
      </c>
      <c r="AE178" s="1326">
        <v>5091341.923076923</v>
      </c>
      <c r="AF178" s="1326">
        <v>997875786</v>
      </c>
      <c r="AG178" s="1326">
        <v>6445317.692307692</v>
      </c>
      <c r="AH178" s="1326">
        <v>1431962934</v>
      </c>
      <c r="AI178" s="1326">
        <v>7218118.519230769</v>
      </c>
      <c r="AJ178" s="1326">
        <v>1827784494</v>
      </c>
      <c r="AK178" s="1327">
        <v>7265855</v>
      </c>
      <c r="AL178" s="1327">
        <v>1789397826</v>
      </c>
      <c r="AM178" s="1328">
        <v>7252140</v>
      </c>
      <c r="AN178" s="1328">
        <v>2037600251</v>
      </c>
      <c r="AO178" s="1327">
        <v>7460694.230769231</v>
      </c>
      <c r="AP178" s="1327">
        <v>2044370517</v>
      </c>
      <c r="AQ178" s="1327">
        <v>7449647.192307692</v>
      </c>
      <c r="AR178" s="1327">
        <v>1934438941</v>
      </c>
      <c r="AS178" s="1327">
        <v>7415618.076923077</v>
      </c>
      <c r="AT178" s="1327">
        <v>2986974950</v>
      </c>
      <c r="AU178" s="1327">
        <v>7491659.538461538</v>
      </c>
      <c r="AV178" s="1327">
        <v>3482872967</v>
      </c>
      <c r="AW178" s="1326">
        <v>7372240.615384615</v>
      </c>
      <c r="AX178" s="1326">
        <v>2974400068</v>
      </c>
      <c r="AY178" s="1326">
        <v>7851384.692307692</v>
      </c>
      <c r="AZ178" s="1326">
        <v>2874614163</v>
      </c>
    </row>
    <row r="179" spans="1:52" x14ac:dyDescent="0.25">
      <c r="A179" s="1339" t="s">
        <v>475</v>
      </c>
      <c r="B179" s="1325" t="s">
        <v>166</v>
      </c>
      <c r="C179" s="1326">
        <v>0</v>
      </c>
      <c r="D179" s="1326">
        <v>0</v>
      </c>
      <c r="E179" s="1326">
        <v>0</v>
      </c>
      <c r="F179" s="1326">
        <v>0</v>
      </c>
      <c r="G179" s="1326">
        <v>0</v>
      </c>
      <c r="H179" s="1326">
        <v>0</v>
      </c>
      <c r="I179" s="1326">
        <v>0</v>
      </c>
      <c r="J179" s="1326">
        <v>0</v>
      </c>
      <c r="K179" s="1327">
        <v>0</v>
      </c>
      <c r="L179" s="1327">
        <v>0</v>
      </c>
      <c r="M179" s="1327">
        <v>0</v>
      </c>
      <c r="N179" s="1327">
        <v>0</v>
      </c>
      <c r="O179" s="1327">
        <v>0</v>
      </c>
      <c r="P179" s="1327">
        <v>0</v>
      </c>
      <c r="Q179" s="1327">
        <v>0</v>
      </c>
      <c r="R179" s="1327">
        <v>0</v>
      </c>
      <c r="S179" s="1327">
        <v>0</v>
      </c>
      <c r="T179" s="1327">
        <v>0</v>
      </c>
      <c r="U179" s="1327">
        <v>0</v>
      </c>
      <c r="V179" s="1327">
        <v>0</v>
      </c>
      <c r="W179" s="1327">
        <v>0</v>
      </c>
      <c r="X179" s="1327">
        <v>0</v>
      </c>
      <c r="Y179" s="1327">
        <v>0</v>
      </c>
      <c r="Z179" s="1327">
        <v>0</v>
      </c>
      <c r="AA179" s="1327">
        <v>0</v>
      </c>
      <c r="AB179" s="1327">
        <v>0</v>
      </c>
      <c r="AC179" s="1327">
        <v>0</v>
      </c>
      <c r="AD179" s="1327">
        <v>0</v>
      </c>
      <c r="AE179" s="1327">
        <v>0</v>
      </c>
      <c r="AF179" s="1327">
        <v>0</v>
      </c>
      <c r="AG179" s="1327">
        <v>0</v>
      </c>
      <c r="AH179" s="1327">
        <v>0</v>
      </c>
      <c r="AI179" s="1327">
        <v>19423</v>
      </c>
      <c r="AJ179" s="1327">
        <v>4729257</v>
      </c>
      <c r="AK179" s="1327">
        <v>158962</v>
      </c>
      <c r="AL179" s="1327">
        <v>37441182</v>
      </c>
      <c r="AM179" s="1328">
        <v>320425</v>
      </c>
      <c r="AN179" s="1328">
        <v>93168890</v>
      </c>
      <c r="AO179" s="1327">
        <v>384535</v>
      </c>
      <c r="AP179" s="1327">
        <v>86631007</v>
      </c>
      <c r="AQ179" s="1327">
        <v>390075</v>
      </c>
      <c r="AR179" s="1327">
        <v>116548575</v>
      </c>
      <c r="AS179" s="1327">
        <v>450571</v>
      </c>
      <c r="AT179" s="1327">
        <v>225367267.99999997</v>
      </c>
      <c r="AU179" s="1327">
        <v>475246</v>
      </c>
      <c r="AV179" s="1327">
        <v>217539558</v>
      </c>
      <c r="AW179" s="1326">
        <v>458153</v>
      </c>
      <c r="AX179" s="1326">
        <v>197559482</v>
      </c>
      <c r="AY179" s="1326">
        <v>425199</v>
      </c>
      <c r="AZ179" s="1326">
        <v>182825510</v>
      </c>
    </row>
    <row r="180" spans="1:52" x14ac:dyDescent="0.25">
      <c r="A180" s="1339" t="s">
        <v>476</v>
      </c>
      <c r="B180" s="1325" t="s">
        <v>166</v>
      </c>
      <c r="C180" s="1326">
        <v>0</v>
      </c>
      <c r="D180" s="1326">
        <v>0</v>
      </c>
      <c r="E180" s="1326">
        <v>0</v>
      </c>
      <c r="F180" s="1326">
        <v>0</v>
      </c>
      <c r="G180" s="1326">
        <v>0</v>
      </c>
      <c r="H180" s="1326">
        <v>0</v>
      </c>
      <c r="I180" s="1326">
        <v>0</v>
      </c>
      <c r="J180" s="1326">
        <v>0</v>
      </c>
      <c r="K180" s="1327">
        <v>0</v>
      </c>
      <c r="L180" s="1327">
        <v>0</v>
      </c>
      <c r="M180" s="1327">
        <v>0</v>
      </c>
      <c r="N180" s="1327">
        <v>0</v>
      </c>
      <c r="O180" s="1327">
        <v>0</v>
      </c>
      <c r="P180" s="1327">
        <v>0</v>
      </c>
      <c r="Q180" s="1327">
        <v>0</v>
      </c>
      <c r="R180" s="1327">
        <v>0</v>
      </c>
      <c r="S180" s="1327">
        <v>0</v>
      </c>
      <c r="T180" s="1327">
        <v>0</v>
      </c>
      <c r="U180" s="1327">
        <v>0</v>
      </c>
      <c r="V180" s="1327">
        <v>0</v>
      </c>
      <c r="W180" s="1327">
        <v>0</v>
      </c>
      <c r="X180" s="1327">
        <v>0</v>
      </c>
      <c r="Y180" s="1327">
        <v>0</v>
      </c>
      <c r="Z180" s="1327">
        <v>0</v>
      </c>
      <c r="AA180" s="1327">
        <v>0</v>
      </c>
      <c r="AB180" s="1327">
        <v>0</v>
      </c>
      <c r="AC180" s="1327">
        <v>0</v>
      </c>
      <c r="AD180" s="1327">
        <v>0</v>
      </c>
      <c r="AE180" s="1327">
        <v>0</v>
      </c>
      <c r="AF180" s="1327">
        <v>0</v>
      </c>
      <c r="AG180" s="1327">
        <v>0</v>
      </c>
      <c r="AH180" s="1327">
        <v>0</v>
      </c>
      <c r="AI180" s="1327">
        <v>14139</v>
      </c>
      <c r="AJ180" s="1327">
        <v>3442453</v>
      </c>
      <c r="AK180" s="1327">
        <v>150835</v>
      </c>
      <c r="AL180" s="1327">
        <v>36929761</v>
      </c>
      <c r="AM180" s="1328">
        <v>253817</v>
      </c>
      <c r="AN180" s="1328">
        <v>73825137</v>
      </c>
      <c r="AO180" s="1327">
        <v>263815</v>
      </c>
      <c r="AP180" s="1327">
        <v>55870605</v>
      </c>
      <c r="AQ180" s="1327">
        <v>260443</v>
      </c>
      <c r="AR180" s="1327">
        <v>81771642.760000005</v>
      </c>
      <c r="AS180" s="1327">
        <v>364533</v>
      </c>
      <c r="AT180" s="1327">
        <v>183355542</v>
      </c>
      <c r="AU180" s="1327">
        <v>385834</v>
      </c>
      <c r="AV180" s="1327">
        <v>185081893</v>
      </c>
      <c r="AW180" s="1326">
        <v>357413</v>
      </c>
      <c r="AX180" s="1326">
        <v>165884336</v>
      </c>
      <c r="AY180" s="1326">
        <v>319970</v>
      </c>
      <c r="AZ180" s="1326">
        <v>142721362</v>
      </c>
    </row>
    <row r="181" spans="1:52" ht="17.25" x14ac:dyDescent="0.25">
      <c r="A181" s="1339" t="s">
        <v>477</v>
      </c>
      <c r="B181" s="1348" t="s">
        <v>478</v>
      </c>
      <c r="C181" s="1349">
        <v>7324642</v>
      </c>
      <c r="D181" s="1349">
        <v>104169646</v>
      </c>
      <c r="E181" s="1349">
        <v>859688</v>
      </c>
      <c r="F181" s="1349">
        <v>25494035</v>
      </c>
      <c r="G181" s="1349">
        <v>831929</v>
      </c>
      <c r="H181" s="1349">
        <v>28927638</v>
      </c>
      <c r="I181" s="1349">
        <v>881154</v>
      </c>
      <c r="J181" s="1349">
        <v>36018694</v>
      </c>
      <c r="K181" s="1349">
        <v>1052738</v>
      </c>
      <c r="L181" s="1349">
        <v>54528779</v>
      </c>
      <c r="M181" s="1349">
        <v>1332156</v>
      </c>
      <c r="N181" s="1349">
        <v>99538071</v>
      </c>
      <c r="O181" s="1349">
        <v>2226409</v>
      </c>
      <c r="P181" s="1349">
        <v>229954622</v>
      </c>
      <c r="Q181" s="1349">
        <v>2974410</v>
      </c>
      <c r="R181" s="1349">
        <v>264200592</v>
      </c>
      <c r="S181" s="1349">
        <v>3453947</v>
      </c>
      <c r="T181" s="1349">
        <v>325888999</v>
      </c>
      <c r="U181" s="1327">
        <v>3653278</v>
      </c>
      <c r="V181" s="1327">
        <v>301429132</v>
      </c>
      <c r="W181" s="1326">
        <v>3742658</v>
      </c>
      <c r="X181" s="1326">
        <v>321733867</v>
      </c>
      <c r="Y181" s="1326">
        <v>3698843</v>
      </c>
      <c r="Z181" s="1326">
        <v>366425052</v>
      </c>
      <c r="AA181" s="1327">
        <v>3738455</v>
      </c>
      <c r="AB181" s="1327">
        <v>372203226</v>
      </c>
      <c r="AC181" s="1326">
        <v>3776068</v>
      </c>
      <c r="AD181" s="1326">
        <v>368955578</v>
      </c>
      <c r="AE181" s="1327">
        <v>4210825</v>
      </c>
      <c r="AF181" s="1327">
        <v>422956897</v>
      </c>
      <c r="AG181" s="1327">
        <v>4915310</v>
      </c>
      <c r="AH181" s="1327">
        <v>441964508</v>
      </c>
      <c r="AI181" s="1327">
        <v>5827413</v>
      </c>
      <c r="AJ181" s="1327">
        <v>421922592</v>
      </c>
      <c r="AK181" s="1327">
        <v>6624510</v>
      </c>
      <c r="AL181" s="1327">
        <v>494681365</v>
      </c>
      <c r="AM181" s="1328">
        <v>7331730</v>
      </c>
      <c r="AN181" s="1328">
        <v>571510515.80999994</v>
      </c>
      <c r="AO181" s="1327">
        <v>6328179</v>
      </c>
      <c r="AP181" s="1327">
        <v>527964048</v>
      </c>
      <c r="AQ181" s="1327">
        <v>6600274.6600000001</v>
      </c>
      <c r="AR181" s="1327">
        <v>569333370.60000002</v>
      </c>
      <c r="AS181" s="1327">
        <v>6929520</v>
      </c>
      <c r="AT181" s="1327">
        <v>607642506.55303144</v>
      </c>
      <c r="AU181" s="1327">
        <v>7741021</v>
      </c>
      <c r="AV181" s="1327">
        <v>646370704.71992362</v>
      </c>
      <c r="AW181" s="1326">
        <v>7851893</v>
      </c>
      <c r="AX181" s="1326">
        <v>659905719</v>
      </c>
      <c r="AY181" s="1326">
        <v>8112617</v>
      </c>
      <c r="AZ181" s="1326">
        <v>690454885</v>
      </c>
    </row>
    <row r="182" spans="1:52" x14ac:dyDescent="0.25">
      <c r="A182" s="1340" t="s">
        <v>479</v>
      </c>
      <c r="B182" s="1345"/>
      <c r="C182" s="1326"/>
      <c r="D182" s="1326">
        <f>SUM(D176:D181)</f>
        <v>984477793</v>
      </c>
      <c r="E182" s="1326"/>
      <c r="F182" s="1326">
        <f>SUM(F176:F181)</f>
        <v>294587007</v>
      </c>
      <c r="G182" s="1326"/>
      <c r="H182" s="1326">
        <f>SUM(H176:H181)</f>
        <v>307896345</v>
      </c>
      <c r="I182" s="1326"/>
      <c r="J182" s="1326">
        <f>SUM(J176:J181)</f>
        <v>295140230</v>
      </c>
      <c r="K182" s="1326"/>
      <c r="L182" s="1326">
        <f>SUM(L176:L181)</f>
        <v>355956813</v>
      </c>
      <c r="M182" s="1326"/>
      <c r="N182" s="1326">
        <f>SUM(N176:N181)</f>
        <v>388732583</v>
      </c>
      <c r="O182" s="1326"/>
      <c r="P182" s="1326">
        <f>SUM(P176:P181)</f>
        <v>613558009</v>
      </c>
      <c r="Q182" s="1326"/>
      <c r="R182" s="1326">
        <f>SUM(R176:R181)</f>
        <v>583367686</v>
      </c>
      <c r="S182" s="1326"/>
      <c r="T182" s="1326">
        <f>SUM(T176:T181)</f>
        <v>776229849</v>
      </c>
      <c r="U182" s="1337"/>
      <c r="V182" s="1326">
        <f>SUM(V176:V181)</f>
        <v>693793956</v>
      </c>
      <c r="W182" s="1327"/>
      <c r="X182" s="1326">
        <f>SUM(X176:X181)</f>
        <v>1002167386</v>
      </c>
      <c r="Y182" s="1326"/>
      <c r="Z182" s="1326">
        <f>SUM(Z176:Z181)</f>
        <v>2231648482</v>
      </c>
      <c r="AA182" s="1327"/>
      <c r="AB182" s="1327">
        <f>SUM(AB176:AB181)</f>
        <v>2545316976</v>
      </c>
      <c r="AC182" s="1326"/>
      <c r="AD182" s="1326">
        <f>SUM(AD176:AD181)</f>
        <v>2619494910</v>
      </c>
      <c r="AE182" s="1327"/>
      <c r="AF182" s="1327">
        <f>SUM(AF176:AF181)</f>
        <v>2490008037</v>
      </c>
      <c r="AG182" s="1327"/>
      <c r="AH182" s="1327">
        <f>SUM(AH176:AH181)</f>
        <v>3504871693</v>
      </c>
      <c r="AI182" s="1327"/>
      <c r="AJ182" s="1327">
        <f>SUM(AJ176:AJ181)</f>
        <v>4207617633</v>
      </c>
      <c r="AK182" s="1327"/>
      <c r="AL182" s="1327">
        <f>SUM(AL176:AL181)</f>
        <v>5090998447</v>
      </c>
      <c r="AM182" s="1328"/>
      <c r="AN182" s="1328">
        <v>5157093468.5500002</v>
      </c>
      <c r="AO182" s="1327"/>
      <c r="AP182" s="1327">
        <v>4457200121</v>
      </c>
      <c r="AQ182" s="1327"/>
      <c r="AR182" s="1327">
        <f>SUM(AR176:AR181)</f>
        <v>5274681225.7800007</v>
      </c>
      <c r="AS182" s="1327"/>
      <c r="AT182" s="1327">
        <f>SUM(AT176:AT181)</f>
        <v>10422127400.733032</v>
      </c>
      <c r="AU182" s="1327"/>
      <c r="AV182" s="1327">
        <f>SUM(AV176:AV181)</f>
        <v>10566426558.719923</v>
      </c>
      <c r="AW182" s="1326"/>
      <c r="AX182" s="1326">
        <v>10419342179</v>
      </c>
      <c r="AY182" s="1326"/>
      <c r="AZ182" s="1326">
        <f>SUM(AZ176:AZ181)</f>
        <v>9690710317</v>
      </c>
    </row>
    <row r="183" spans="1:52" x14ac:dyDescent="0.25">
      <c r="A183" s="1340"/>
      <c r="B183" s="1345"/>
      <c r="C183" s="1326"/>
      <c r="D183" s="1326"/>
      <c r="E183" s="1326"/>
      <c r="F183" s="1326"/>
      <c r="G183" s="1326"/>
      <c r="H183" s="1326"/>
      <c r="I183" s="1326"/>
      <c r="J183" s="1326"/>
      <c r="K183" s="1326"/>
      <c r="L183" s="1326"/>
      <c r="M183" s="1326"/>
      <c r="N183" s="1326"/>
      <c r="O183" s="1326"/>
      <c r="P183" s="1326"/>
      <c r="Q183" s="1326"/>
      <c r="R183" s="1326"/>
      <c r="S183" s="1326"/>
      <c r="T183" s="1326"/>
      <c r="U183" s="1337"/>
      <c r="V183" s="1326"/>
      <c r="W183" s="1327"/>
      <c r="X183" s="1326"/>
      <c r="Y183" s="1326"/>
      <c r="Z183" s="1326"/>
      <c r="AA183" s="1327"/>
      <c r="AB183" s="1327"/>
      <c r="AC183" s="1326"/>
      <c r="AD183" s="1326"/>
      <c r="AE183" s="1327"/>
      <c r="AF183" s="1327"/>
      <c r="AG183" s="1327"/>
      <c r="AH183" s="1327"/>
      <c r="AI183" s="1327"/>
      <c r="AJ183" s="1327"/>
      <c r="AK183" s="1327"/>
      <c r="AL183" s="1327"/>
      <c r="AM183" s="1328"/>
      <c r="AN183" s="1328"/>
      <c r="AO183" s="1327"/>
      <c r="AP183" s="1327"/>
      <c r="AQ183" s="1327"/>
      <c r="AR183" s="1327"/>
      <c r="AS183" s="1327"/>
      <c r="AT183" s="1327"/>
      <c r="AU183" s="1327"/>
      <c r="AV183" s="1327"/>
      <c r="AW183" s="1334"/>
      <c r="AX183" s="1334"/>
      <c r="AY183" s="1335"/>
      <c r="AZ183" s="1334"/>
    </row>
    <row r="184" spans="1:52" x14ac:dyDescent="0.25">
      <c r="A184" s="215" t="s">
        <v>480</v>
      </c>
      <c r="B184" s="216" t="s">
        <v>166</v>
      </c>
      <c r="C184" s="201">
        <v>12047</v>
      </c>
      <c r="D184" s="201">
        <v>145421</v>
      </c>
      <c r="E184" s="201">
        <v>0</v>
      </c>
      <c r="F184" s="201">
        <v>0</v>
      </c>
      <c r="G184" s="201">
        <v>0</v>
      </c>
      <c r="H184" s="201">
        <v>0</v>
      </c>
      <c r="I184" s="201">
        <v>0</v>
      </c>
      <c r="J184" s="201">
        <v>0</v>
      </c>
      <c r="K184" s="201">
        <v>0</v>
      </c>
      <c r="L184" s="201">
        <v>0</v>
      </c>
      <c r="M184" s="201">
        <v>0</v>
      </c>
      <c r="N184" s="201">
        <v>0</v>
      </c>
      <c r="O184" s="201">
        <v>0</v>
      </c>
      <c r="P184" s="201">
        <v>0</v>
      </c>
      <c r="Q184" s="201">
        <v>0</v>
      </c>
      <c r="R184" s="201">
        <v>0</v>
      </c>
      <c r="S184" s="201">
        <v>0</v>
      </c>
      <c r="T184" s="201">
        <v>0</v>
      </c>
      <c r="U184" s="201">
        <v>0</v>
      </c>
      <c r="V184" s="201">
        <v>0</v>
      </c>
      <c r="W184" s="201">
        <v>0</v>
      </c>
      <c r="X184" s="201">
        <v>0</v>
      </c>
      <c r="Y184" s="201">
        <v>0</v>
      </c>
      <c r="Z184" s="201">
        <v>0</v>
      </c>
      <c r="AA184" s="201">
        <v>0</v>
      </c>
      <c r="AB184" s="201">
        <v>0</v>
      </c>
      <c r="AC184" s="201">
        <v>0</v>
      </c>
      <c r="AD184" s="201">
        <v>0</v>
      </c>
      <c r="AE184" s="201">
        <v>0</v>
      </c>
      <c r="AF184" s="201">
        <v>0</v>
      </c>
      <c r="AG184" s="201">
        <v>0</v>
      </c>
      <c r="AH184" s="201">
        <v>0</v>
      </c>
      <c r="AI184" s="201">
        <v>0</v>
      </c>
      <c r="AJ184" s="201">
        <v>0</v>
      </c>
      <c r="AK184" s="201">
        <v>0</v>
      </c>
      <c r="AL184" s="201">
        <v>0</v>
      </c>
      <c r="AM184" s="201">
        <v>0</v>
      </c>
      <c r="AN184" s="201">
        <v>0</v>
      </c>
      <c r="AO184" s="201">
        <v>0</v>
      </c>
      <c r="AP184" s="201">
        <v>0</v>
      </c>
      <c r="AQ184" s="201">
        <v>0</v>
      </c>
      <c r="AR184" s="201">
        <v>0</v>
      </c>
      <c r="AS184" s="201">
        <v>0</v>
      </c>
      <c r="AT184" s="201">
        <v>0</v>
      </c>
      <c r="AU184" s="201">
        <v>0</v>
      </c>
      <c r="AV184" s="201">
        <v>0</v>
      </c>
      <c r="AW184" s="201">
        <v>0</v>
      </c>
      <c r="AX184" s="201">
        <v>0</v>
      </c>
      <c r="AY184" s="201">
        <v>0</v>
      </c>
      <c r="AZ184" s="201">
        <v>0</v>
      </c>
    </row>
    <row r="185" spans="1:52" x14ac:dyDescent="0.25">
      <c r="A185" s="241"/>
      <c r="B185" s="216"/>
      <c r="C185" s="201"/>
      <c r="D185" s="201"/>
      <c r="E185" s="201"/>
      <c r="F185" s="201"/>
      <c r="G185" s="201"/>
      <c r="H185" s="201"/>
      <c r="I185" s="201"/>
      <c r="J185" s="201"/>
      <c r="K185" s="201"/>
      <c r="L185" s="201"/>
      <c r="M185" s="201"/>
      <c r="N185" s="201"/>
      <c r="O185" s="201"/>
      <c r="P185" s="201"/>
      <c r="Q185" s="201"/>
      <c r="R185" s="201"/>
      <c r="S185" s="201"/>
      <c r="T185" s="201"/>
      <c r="U185" s="219"/>
      <c r="V185" s="219"/>
      <c r="W185" s="202"/>
      <c r="X185" s="202"/>
      <c r="Y185" s="201"/>
      <c r="Z185" s="201"/>
      <c r="AA185" s="202"/>
      <c r="AB185" s="202"/>
      <c r="AC185" s="201"/>
      <c r="AD185" s="201"/>
      <c r="AE185" s="202"/>
      <c r="AF185" s="202"/>
      <c r="AG185" s="202"/>
      <c r="AH185" s="202"/>
      <c r="AI185" s="202"/>
      <c r="AJ185" s="202"/>
      <c r="AK185" s="202"/>
      <c r="AL185" s="202"/>
      <c r="AM185" s="202"/>
      <c r="AN185" s="202"/>
      <c r="AQ185" s="202"/>
      <c r="AR185" s="202"/>
      <c r="AS185" s="202"/>
      <c r="AT185" s="202"/>
      <c r="AU185" s="202"/>
      <c r="AV185" s="202"/>
      <c r="AW185" s="227"/>
      <c r="AX185" s="227"/>
      <c r="AY185" s="228"/>
      <c r="AZ185" s="228"/>
    </row>
    <row r="186" spans="1:52" x14ac:dyDescent="0.25">
      <c r="A186" s="1324" t="s">
        <v>481</v>
      </c>
      <c r="B186" s="1325"/>
      <c r="C186" s="1326"/>
      <c r="D186" s="1326"/>
      <c r="E186" s="1326"/>
      <c r="F186" s="1326"/>
      <c r="G186" s="1326"/>
      <c r="H186" s="1326"/>
      <c r="I186" s="1326"/>
      <c r="J186" s="1326"/>
      <c r="K186" s="1326"/>
      <c r="L186" s="1326"/>
      <c r="M186" s="1326"/>
      <c r="N186" s="1326"/>
      <c r="O186" s="1326"/>
      <c r="P186" s="1326"/>
      <c r="Q186" s="1326"/>
      <c r="R186" s="1326"/>
      <c r="S186" s="1326"/>
      <c r="T186" s="1326"/>
      <c r="U186" s="1337"/>
      <c r="V186" s="1337"/>
      <c r="W186" s="1327"/>
      <c r="X186" s="1327"/>
      <c r="Y186" s="1326"/>
      <c r="Z186" s="1326"/>
      <c r="AA186" s="1327"/>
      <c r="AB186" s="1327"/>
      <c r="AC186" s="1326"/>
      <c r="AD186" s="1326"/>
      <c r="AE186" s="1327"/>
      <c r="AF186" s="1327"/>
      <c r="AG186" s="1327"/>
      <c r="AH186" s="1327"/>
      <c r="AI186" s="1327"/>
      <c r="AJ186" s="1327"/>
      <c r="AK186" s="1327"/>
      <c r="AL186" s="1327"/>
      <c r="AM186" s="1327"/>
      <c r="AN186" s="1327"/>
      <c r="AO186" s="1327"/>
      <c r="AP186" s="1327"/>
      <c r="AQ186" s="1327"/>
      <c r="AR186" s="1327"/>
      <c r="AS186" s="1327"/>
      <c r="AT186" s="1327"/>
      <c r="AU186" s="1327"/>
      <c r="AV186" s="1327"/>
      <c r="AW186" s="1334"/>
      <c r="AX186" s="1334"/>
      <c r="AY186" s="1335"/>
      <c r="AZ186" s="1335"/>
    </row>
    <row r="187" spans="1:52" x14ac:dyDescent="0.25">
      <c r="A187" s="1339" t="s">
        <v>482</v>
      </c>
      <c r="B187" s="1325" t="s">
        <v>166</v>
      </c>
      <c r="C187" s="1326">
        <f>13930+455</f>
        <v>14385</v>
      </c>
      <c r="D187" s="1326">
        <f>274345+5956</f>
        <v>280301</v>
      </c>
      <c r="E187" s="1326">
        <v>53</v>
      </c>
      <c r="F187" s="1326">
        <v>897</v>
      </c>
      <c r="G187" s="1326">
        <v>839</v>
      </c>
      <c r="H187" s="1326">
        <v>14281</v>
      </c>
      <c r="I187" s="1326">
        <v>0</v>
      </c>
      <c r="J187" s="1326">
        <v>0</v>
      </c>
      <c r="K187" s="1326">
        <v>0</v>
      </c>
      <c r="L187" s="1326">
        <v>0</v>
      </c>
      <c r="M187" s="1326">
        <v>0</v>
      </c>
      <c r="N187" s="1326">
        <v>0</v>
      </c>
      <c r="O187" s="1326">
        <v>0</v>
      </c>
      <c r="P187" s="1326">
        <v>0</v>
      </c>
      <c r="Q187" s="1326">
        <v>0</v>
      </c>
      <c r="R187" s="1326">
        <v>0</v>
      </c>
      <c r="S187" s="1326">
        <v>0</v>
      </c>
      <c r="T187" s="1326">
        <v>0</v>
      </c>
      <c r="U187" s="1326">
        <v>0</v>
      </c>
      <c r="V187" s="1326">
        <v>0</v>
      </c>
      <c r="W187" s="1326">
        <v>0</v>
      </c>
      <c r="X187" s="1326">
        <v>0</v>
      </c>
      <c r="Y187" s="1326">
        <v>0</v>
      </c>
      <c r="Z187" s="1326">
        <v>0</v>
      </c>
      <c r="AA187" s="1326">
        <v>0</v>
      </c>
      <c r="AB187" s="1326">
        <v>0</v>
      </c>
      <c r="AC187" s="1326">
        <v>0</v>
      </c>
      <c r="AD187" s="1326">
        <v>0</v>
      </c>
      <c r="AE187" s="1326">
        <v>0</v>
      </c>
      <c r="AF187" s="1326">
        <v>0</v>
      </c>
      <c r="AG187" s="1326">
        <v>0</v>
      </c>
      <c r="AH187" s="1326">
        <v>0</v>
      </c>
      <c r="AI187" s="1326">
        <v>0</v>
      </c>
      <c r="AJ187" s="1326">
        <v>0</v>
      </c>
      <c r="AK187" s="1326">
        <v>0</v>
      </c>
      <c r="AL187" s="1326">
        <v>0</v>
      </c>
      <c r="AM187" s="1326">
        <v>0</v>
      </c>
      <c r="AN187" s="1326">
        <v>0</v>
      </c>
      <c r="AO187" s="1326">
        <v>0</v>
      </c>
      <c r="AP187" s="1326">
        <v>0</v>
      </c>
      <c r="AQ187" s="1326">
        <v>0</v>
      </c>
      <c r="AR187" s="1326">
        <v>0</v>
      </c>
      <c r="AS187" s="1326">
        <v>0</v>
      </c>
      <c r="AT187" s="1326">
        <v>0</v>
      </c>
      <c r="AU187" s="1326">
        <v>0</v>
      </c>
      <c r="AV187" s="1326">
        <v>0</v>
      </c>
      <c r="AW187" s="1326">
        <v>0</v>
      </c>
      <c r="AX187" s="1326">
        <v>0</v>
      </c>
      <c r="AY187" s="1326">
        <v>0</v>
      </c>
      <c r="AZ187" s="1326">
        <v>0</v>
      </c>
    </row>
    <row r="188" spans="1:52" x14ac:dyDescent="0.25">
      <c r="A188" s="1339" t="s">
        <v>483</v>
      </c>
      <c r="B188" s="1325" t="s">
        <v>166</v>
      </c>
      <c r="C188" s="1326">
        <v>0</v>
      </c>
      <c r="D188" s="1326">
        <v>0</v>
      </c>
      <c r="E188" s="1326">
        <v>0</v>
      </c>
      <c r="F188" s="1326">
        <v>0</v>
      </c>
      <c r="G188" s="1326">
        <v>0</v>
      </c>
      <c r="H188" s="1326">
        <v>0</v>
      </c>
      <c r="I188" s="1326">
        <v>0</v>
      </c>
      <c r="J188" s="1326">
        <v>0</v>
      </c>
      <c r="K188" s="1326">
        <v>0</v>
      </c>
      <c r="L188" s="1326">
        <v>0</v>
      </c>
      <c r="M188" s="1326">
        <v>0</v>
      </c>
      <c r="N188" s="1326">
        <v>0</v>
      </c>
      <c r="O188" s="1326">
        <v>0</v>
      </c>
      <c r="P188" s="1326">
        <v>0</v>
      </c>
      <c r="Q188" s="1326">
        <v>0</v>
      </c>
      <c r="R188" s="1326">
        <v>0</v>
      </c>
      <c r="S188" s="1326">
        <v>0</v>
      </c>
      <c r="T188" s="1326">
        <v>0</v>
      </c>
      <c r="U188" s="1326">
        <v>0</v>
      </c>
      <c r="V188" s="1326">
        <v>0</v>
      </c>
      <c r="W188" s="1326">
        <v>0</v>
      </c>
      <c r="X188" s="1326">
        <v>0</v>
      </c>
      <c r="Y188" s="1326">
        <v>5757</v>
      </c>
      <c r="Z188" s="1326">
        <v>110531</v>
      </c>
      <c r="AA188" s="1327">
        <v>0</v>
      </c>
      <c r="AB188" s="1327">
        <v>0</v>
      </c>
      <c r="AC188" s="1327">
        <v>0</v>
      </c>
      <c r="AD188" s="1327">
        <v>0</v>
      </c>
      <c r="AE188" s="1327">
        <v>0</v>
      </c>
      <c r="AF188" s="1327">
        <v>0</v>
      </c>
      <c r="AG188" s="1327">
        <v>0</v>
      </c>
      <c r="AH188" s="1327">
        <v>0</v>
      </c>
      <c r="AI188" s="1327">
        <v>0</v>
      </c>
      <c r="AJ188" s="1327">
        <v>0</v>
      </c>
      <c r="AK188" s="1327">
        <v>6000</v>
      </c>
      <c r="AL188" s="1327">
        <v>164250</v>
      </c>
      <c r="AM188" s="1328">
        <v>5340</v>
      </c>
      <c r="AN188" s="1328">
        <v>1014600</v>
      </c>
      <c r="AO188" s="1327">
        <v>1570</v>
      </c>
      <c r="AP188" s="1327">
        <v>298300</v>
      </c>
      <c r="AQ188" s="1327">
        <v>331</v>
      </c>
      <c r="AR188" s="1327">
        <v>62890</v>
      </c>
      <c r="AS188" s="1327">
        <v>1438</v>
      </c>
      <c r="AT188" s="1327">
        <v>685189</v>
      </c>
      <c r="AU188" s="1327">
        <v>1939</v>
      </c>
      <c r="AV188" s="1327">
        <v>380812</v>
      </c>
      <c r="AW188" s="1326">
        <v>2282</v>
      </c>
      <c r="AX188" s="1326">
        <v>577289</v>
      </c>
      <c r="AY188" s="1326">
        <v>1254</v>
      </c>
      <c r="AZ188" s="1326">
        <v>540521</v>
      </c>
    </row>
    <row r="189" spans="1:52" x14ac:dyDescent="0.25">
      <c r="A189" s="1340" t="s">
        <v>484</v>
      </c>
      <c r="B189" s="1325"/>
      <c r="C189" s="1326">
        <f t="shared" ref="C189:AV189" si="54">SUM(C187:C188)</f>
        <v>14385</v>
      </c>
      <c r="D189" s="1326">
        <f t="shared" si="54"/>
        <v>280301</v>
      </c>
      <c r="E189" s="1336">
        <f t="shared" si="54"/>
        <v>53</v>
      </c>
      <c r="F189" s="1326">
        <f t="shared" si="54"/>
        <v>897</v>
      </c>
      <c r="G189" s="1336">
        <f t="shared" si="54"/>
        <v>839</v>
      </c>
      <c r="H189" s="1326">
        <f t="shared" si="54"/>
        <v>14281</v>
      </c>
      <c r="I189" s="1326">
        <f t="shared" si="54"/>
        <v>0</v>
      </c>
      <c r="J189" s="1326">
        <f t="shared" si="54"/>
        <v>0</v>
      </c>
      <c r="K189" s="1326">
        <f t="shared" si="54"/>
        <v>0</v>
      </c>
      <c r="L189" s="1326">
        <f t="shared" si="54"/>
        <v>0</v>
      </c>
      <c r="M189" s="1326">
        <f t="shared" si="54"/>
        <v>0</v>
      </c>
      <c r="N189" s="1326">
        <f t="shared" si="54"/>
        <v>0</v>
      </c>
      <c r="O189" s="1326">
        <f t="shared" si="54"/>
        <v>0</v>
      </c>
      <c r="P189" s="1326">
        <f t="shared" si="54"/>
        <v>0</v>
      </c>
      <c r="Q189" s="1326">
        <f t="shared" si="54"/>
        <v>0</v>
      </c>
      <c r="R189" s="1326">
        <f t="shared" si="54"/>
        <v>0</v>
      </c>
      <c r="S189" s="1326">
        <f t="shared" si="54"/>
        <v>0</v>
      </c>
      <c r="T189" s="1326">
        <f t="shared" si="54"/>
        <v>0</v>
      </c>
      <c r="U189" s="1326">
        <f t="shared" si="54"/>
        <v>0</v>
      </c>
      <c r="V189" s="1326">
        <f t="shared" si="54"/>
        <v>0</v>
      </c>
      <c r="W189" s="1326">
        <f t="shared" si="54"/>
        <v>0</v>
      </c>
      <c r="X189" s="1326">
        <f t="shared" si="54"/>
        <v>0</v>
      </c>
      <c r="Y189" s="1336">
        <f t="shared" si="54"/>
        <v>5757</v>
      </c>
      <c r="Z189" s="1326">
        <f t="shared" si="54"/>
        <v>110531</v>
      </c>
      <c r="AA189" s="1326">
        <f t="shared" si="54"/>
        <v>0</v>
      </c>
      <c r="AB189" s="1326">
        <f t="shared" si="54"/>
        <v>0</v>
      </c>
      <c r="AC189" s="1326">
        <f t="shared" si="54"/>
        <v>0</v>
      </c>
      <c r="AD189" s="1326">
        <f t="shared" si="54"/>
        <v>0</v>
      </c>
      <c r="AE189" s="1326">
        <f t="shared" si="54"/>
        <v>0</v>
      </c>
      <c r="AF189" s="1326">
        <f t="shared" si="54"/>
        <v>0</v>
      </c>
      <c r="AG189" s="1326">
        <f t="shared" si="54"/>
        <v>0</v>
      </c>
      <c r="AH189" s="1326">
        <f t="shared" si="54"/>
        <v>0</v>
      </c>
      <c r="AI189" s="1326">
        <f t="shared" si="54"/>
        <v>0</v>
      </c>
      <c r="AJ189" s="1326">
        <f t="shared" si="54"/>
        <v>0</v>
      </c>
      <c r="AK189" s="1336">
        <f t="shared" si="54"/>
        <v>6000</v>
      </c>
      <c r="AL189" s="1326">
        <f t="shared" si="54"/>
        <v>164250</v>
      </c>
      <c r="AM189" s="1336">
        <f t="shared" si="54"/>
        <v>5340</v>
      </c>
      <c r="AN189" s="1326">
        <f t="shared" si="54"/>
        <v>1014600</v>
      </c>
      <c r="AO189" s="1336">
        <f t="shared" si="54"/>
        <v>1570</v>
      </c>
      <c r="AP189" s="1326">
        <f t="shared" si="54"/>
        <v>298300</v>
      </c>
      <c r="AQ189" s="1336">
        <f t="shared" si="54"/>
        <v>331</v>
      </c>
      <c r="AR189" s="1326">
        <f t="shared" si="54"/>
        <v>62890</v>
      </c>
      <c r="AS189" s="1336">
        <f t="shared" si="54"/>
        <v>1438</v>
      </c>
      <c r="AT189" s="1326">
        <f t="shared" si="54"/>
        <v>685189</v>
      </c>
      <c r="AU189" s="1336">
        <f t="shared" si="54"/>
        <v>1939</v>
      </c>
      <c r="AV189" s="1326">
        <f t="shared" si="54"/>
        <v>380812</v>
      </c>
      <c r="AW189" s="1326"/>
      <c r="AX189" s="1326">
        <f>SUM(AX187:AX188)</f>
        <v>577289</v>
      </c>
      <c r="AY189" s="1326"/>
      <c r="AZ189" s="1326">
        <f>SUM(AZ187:AZ188)</f>
        <v>540521</v>
      </c>
    </row>
    <row r="190" spans="1:52" x14ac:dyDescent="0.25">
      <c r="A190" s="1340"/>
      <c r="B190" s="1325"/>
      <c r="C190" s="1326"/>
      <c r="D190" s="1326"/>
      <c r="E190" s="1336"/>
      <c r="F190" s="1326"/>
      <c r="G190" s="1336"/>
      <c r="H190" s="1326"/>
      <c r="I190" s="1336"/>
      <c r="J190" s="1326"/>
      <c r="K190" s="1336"/>
      <c r="L190" s="1326"/>
      <c r="M190" s="1336"/>
      <c r="N190" s="1326"/>
      <c r="O190" s="1336"/>
      <c r="P190" s="1326"/>
      <c r="Q190" s="1336"/>
      <c r="R190" s="1326"/>
      <c r="S190" s="1336"/>
      <c r="T190" s="1326"/>
      <c r="U190" s="1336"/>
      <c r="V190" s="1326"/>
      <c r="W190" s="1336"/>
      <c r="X190" s="1326"/>
      <c r="Y190" s="1336"/>
      <c r="Z190" s="1326"/>
      <c r="AA190" s="1336"/>
      <c r="AB190" s="1326"/>
      <c r="AC190" s="1336"/>
      <c r="AD190" s="1326"/>
      <c r="AE190" s="1336"/>
      <c r="AF190" s="1326"/>
      <c r="AG190" s="1336"/>
      <c r="AH190" s="1326"/>
      <c r="AI190" s="1336"/>
      <c r="AJ190" s="1326"/>
      <c r="AK190" s="1336"/>
      <c r="AL190" s="1326"/>
      <c r="AM190" s="1336"/>
      <c r="AN190" s="1326"/>
      <c r="AO190" s="1336"/>
      <c r="AP190" s="1326"/>
      <c r="AQ190" s="1336"/>
      <c r="AR190" s="1326"/>
      <c r="AS190" s="1336"/>
      <c r="AT190" s="1326"/>
      <c r="AU190" s="1336"/>
      <c r="AV190" s="1326"/>
      <c r="AW190" s="1326"/>
      <c r="AX190" s="1326"/>
      <c r="AY190" s="1350"/>
      <c r="AZ190" s="1350"/>
    </row>
    <row r="191" spans="1:52" x14ac:dyDescent="0.25">
      <c r="A191" s="215" t="s">
        <v>485</v>
      </c>
      <c r="B191" s="216" t="s">
        <v>166</v>
      </c>
      <c r="C191" s="201">
        <v>1347984</v>
      </c>
      <c r="D191" s="201">
        <v>16309423</v>
      </c>
      <c r="E191" s="201">
        <v>0</v>
      </c>
      <c r="F191" s="201">
        <v>0</v>
      </c>
      <c r="G191" s="201">
        <v>0</v>
      </c>
      <c r="H191" s="201">
        <v>0</v>
      </c>
      <c r="I191" s="201">
        <v>0</v>
      </c>
      <c r="J191" s="201">
        <v>0</v>
      </c>
      <c r="K191" s="201">
        <v>0</v>
      </c>
      <c r="L191" s="201">
        <v>0</v>
      </c>
      <c r="M191" s="201">
        <v>0</v>
      </c>
      <c r="N191" s="201">
        <v>0</v>
      </c>
      <c r="O191" s="201">
        <v>0</v>
      </c>
      <c r="P191" s="201">
        <v>0</v>
      </c>
      <c r="Q191" s="201">
        <v>0</v>
      </c>
      <c r="R191" s="201">
        <v>0</v>
      </c>
      <c r="S191" s="201">
        <v>0</v>
      </c>
      <c r="T191" s="201">
        <v>0</v>
      </c>
      <c r="U191" s="201">
        <v>0</v>
      </c>
      <c r="V191" s="201">
        <v>0</v>
      </c>
      <c r="W191" s="201">
        <v>0</v>
      </c>
      <c r="X191" s="201">
        <v>0</v>
      </c>
      <c r="Y191" s="201">
        <v>0</v>
      </c>
      <c r="Z191" s="201">
        <v>0</v>
      </c>
      <c r="AA191" s="201">
        <v>0</v>
      </c>
      <c r="AB191" s="201">
        <v>0</v>
      </c>
      <c r="AC191" s="201">
        <v>0</v>
      </c>
      <c r="AD191" s="201">
        <v>0</v>
      </c>
      <c r="AE191" s="201">
        <v>0</v>
      </c>
      <c r="AF191" s="201">
        <v>0</v>
      </c>
      <c r="AG191" s="201">
        <v>0</v>
      </c>
      <c r="AH191" s="201">
        <v>0</v>
      </c>
      <c r="AI191" s="201">
        <v>0</v>
      </c>
      <c r="AJ191" s="201">
        <v>0</v>
      </c>
      <c r="AK191" s="201">
        <v>0</v>
      </c>
      <c r="AL191" s="201">
        <v>0</v>
      </c>
      <c r="AM191" s="201">
        <v>0</v>
      </c>
      <c r="AN191" s="201">
        <v>0</v>
      </c>
      <c r="AO191" s="201">
        <v>0</v>
      </c>
      <c r="AP191" s="201">
        <v>0</v>
      </c>
      <c r="AQ191" s="201">
        <v>0</v>
      </c>
      <c r="AR191" s="201">
        <v>0</v>
      </c>
      <c r="AS191" s="201">
        <v>0</v>
      </c>
      <c r="AT191" s="201">
        <v>0</v>
      </c>
      <c r="AU191" s="201">
        <v>0</v>
      </c>
      <c r="AV191" s="201">
        <v>0</v>
      </c>
      <c r="AW191" s="201">
        <v>0</v>
      </c>
      <c r="AX191" s="201">
        <v>0</v>
      </c>
      <c r="AY191" s="201">
        <v>0</v>
      </c>
      <c r="AZ191" s="201">
        <v>0</v>
      </c>
    </row>
    <row r="192" spans="1:52" x14ac:dyDescent="0.25">
      <c r="A192" s="229"/>
      <c r="B192" s="216"/>
      <c r="C192" s="201"/>
      <c r="D192" s="201"/>
      <c r="E192" s="201"/>
      <c r="F192" s="201"/>
      <c r="G192" s="201"/>
      <c r="H192" s="201"/>
      <c r="I192" s="201"/>
      <c r="J192" s="201"/>
      <c r="K192" s="201"/>
      <c r="L192" s="201"/>
      <c r="M192" s="201"/>
      <c r="N192" s="201"/>
      <c r="O192" s="201"/>
      <c r="P192" s="201"/>
      <c r="Q192" s="201"/>
      <c r="R192" s="201"/>
      <c r="S192" s="201"/>
      <c r="T192" s="201"/>
      <c r="U192" s="219"/>
      <c r="V192" s="219"/>
      <c r="W192" s="202"/>
      <c r="X192" s="202"/>
      <c r="Y192" s="201"/>
      <c r="Z192" s="201"/>
      <c r="AA192" s="202"/>
      <c r="AB192" s="202"/>
      <c r="AC192" s="201"/>
      <c r="AD192" s="201"/>
      <c r="AE192" s="202"/>
      <c r="AF192" s="202"/>
      <c r="AG192" s="202"/>
      <c r="AH192" s="202"/>
      <c r="AI192" s="202"/>
      <c r="AJ192" s="202"/>
      <c r="AK192" s="202"/>
      <c r="AL192" s="202"/>
      <c r="AM192" s="202"/>
      <c r="AN192" s="202"/>
      <c r="AQ192" s="202"/>
      <c r="AR192" s="202"/>
      <c r="AS192" s="202"/>
      <c r="AT192" s="202"/>
      <c r="AU192" s="202"/>
      <c r="AV192" s="202"/>
      <c r="AW192" s="227"/>
      <c r="AX192" s="227"/>
      <c r="AY192" s="227"/>
      <c r="AZ192" s="227"/>
    </row>
    <row r="193" spans="1:52" x14ac:dyDescent="0.25">
      <c r="A193" s="1324" t="s">
        <v>241</v>
      </c>
      <c r="B193" s="1325" t="s">
        <v>166</v>
      </c>
      <c r="C193" s="1326">
        <v>36487053</v>
      </c>
      <c r="D193" s="1326">
        <v>204916758</v>
      </c>
      <c r="E193" s="1326">
        <v>3680844</v>
      </c>
      <c r="F193" s="1326">
        <v>37553115</v>
      </c>
      <c r="G193" s="1326">
        <v>3624031</v>
      </c>
      <c r="H193" s="1326">
        <v>39074797</v>
      </c>
      <c r="I193" s="1326">
        <v>3422159</v>
      </c>
      <c r="J193" s="1326">
        <v>47673788</v>
      </c>
      <c r="K193" s="1326">
        <v>3868254</v>
      </c>
      <c r="L193" s="1326">
        <v>59706681</v>
      </c>
      <c r="M193" s="1326">
        <v>4674017</v>
      </c>
      <c r="N193" s="1326">
        <v>75252113</v>
      </c>
      <c r="O193" s="1326">
        <v>4804185</v>
      </c>
      <c r="P193" s="1326">
        <v>95918242</v>
      </c>
      <c r="Q193" s="1326">
        <v>4947666</v>
      </c>
      <c r="R193" s="1326">
        <v>103554621</v>
      </c>
      <c r="S193" s="1326">
        <v>5276501</v>
      </c>
      <c r="T193" s="1326">
        <v>105717998</v>
      </c>
      <c r="U193" s="1326">
        <v>5849966</v>
      </c>
      <c r="V193" s="1326">
        <v>98525973</v>
      </c>
      <c r="W193" s="1326">
        <v>5904404</v>
      </c>
      <c r="X193" s="1326">
        <v>112376112</v>
      </c>
      <c r="Y193" s="1326">
        <v>6123511</v>
      </c>
      <c r="Z193" s="1326">
        <v>130774588</v>
      </c>
      <c r="AA193" s="1327">
        <v>6827230</v>
      </c>
      <c r="AB193" s="1327">
        <v>149355769</v>
      </c>
      <c r="AC193" s="1326">
        <v>6671678</v>
      </c>
      <c r="AD193" s="1326">
        <v>155392954</v>
      </c>
      <c r="AE193" s="1327">
        <v>6489360</v>
      </c>
      <c r="AF193" s="1327">
        <v>158649336</v>
      </c>
      <c r="AG193" s="1327">
        <v>6860725</v>
      </c>
      <c r="AH193" s="1327">
        <v>153488853</v>
      </c>
      <c r="AI193" s="1327">
        <v>7290514</v>
      </c>
      <c r="AJ193" s="1327">
        <v>155813175</v>
      </c>
      <c r="AK193" s="1327">
        <v>7214535.6160000004</v>
      </c>
      <c r="AL193" s="1327">
        <v>143609587</v>
      </c>
      <c r="AM193" s="1328">
        <v>8115941</v>
      </c>
      <c r="AN193" s="1328">
        <v>172120951.07875273</v>
      </c>
      <c r="AO193" s="1327">
        <v>8477039</v>
      </c>
      <c r="AP193" s="1327">
        <v>210174154</v>
      </c>
      <c r="AQ193" s="1327">
        <v>9016439.6600000001</v>
      </c>
      <c r="AR193" s="1327">
        <v>212742024</v>
      </c>
      <c r="AS193" s="1327">
        <v>7705425.3899999997</v>
      </c>
      <c r="AT193" s="1327">
        <v>197315760</v>
      </c>
      <c r="AU193" s="1327">
        <v>8576415</v>
      </c>
      <c r="AV193" s="1327">
        <v>249240285</v>
      </c>
      <c r="AW193" s="1326">
        <v>9171463</v>
      </c>
      <c r="AX193" s="1326">
        <v>250526627</v>
      </c>
      <c r="AY193" s="1326">
        <v>9752885</v>
      </c>
      <c r="AZ193" s="1326">
        <v>197008925</v>
      </c>
    </row>
    <row r="194" spans="1:52" x14ac:dyDescent="0.25">
      <c r="A194" s="1345"/>
      <c r="B194" s="1345"/>
      <c r="C194" s="1336"/>
      <c r="D194" s="1336"/>
      <c r="E194" s="1345"/>
      <c r="F194" s="1345"/>
      <c r="G194" s="1345"/>
      <c r="H194" s="1345"/>
      <c r="I194" s="1345"/>
      <c r="J194" s="1345"/>
      <c r="K194" s="1345"/>
      <c r="L194" s="1345"/>
      <c r="M194" s="1345"/>
      <c r="N194" s="1345"/>
      <c r="O194" s="1345"/>
      <c r="P194" s="1345"/>
      <c r="Q194" s="1345"/>
      <c r="R194" s="1345"/>
      <c r="S194" s="1345"/>
      <c r="T194" s="1345"/>
      <c r="U194" s="1345"/>
      <c r="V194" s="1345"/>
      <c r="W194" s="1345"/>
      <c r="X194" s="1345"/>
      <c r="Y194" s="1345"/>
      <c r="Z194" s="1345"/>
      <c r="AA194" s="1345"/>
      <c r="AB194" s="1345"/>
      <c r="AC194" s="1345"/>
      <c r="AD194" s="1345"/>
      <c r="AE194" s="1326"/>
      <c r="AF194" s="1326"/>
      <c r="AG194" s="1345"/>
      <c r="AH194" s="1345"/>
      <c r="AI194" s="1345"/>
      <c r="AJ194" s="1345"/>
      <c r="AK194" s="1345"/>
      <c r="AL194" s="1345"/>
      <c r="AM194" s="1345"/>
      <c r="AN194" s="1345"/>
      <c r="AO194" s="1327"/>
      <c r="AP194" s="1327"/>
      <c r="AQ194" s="1345"/>
      <c r="AR194" s="1345"/>
      <c r="AS194" s="1345"/>
      <c r="AT194" s="1345"/>
      <c r="AU194" s="1345"/>
      <c r="AV194" s="1345"/>
      <c r="AW194" s="1345"/>
      <c r="AX194" s="1345"/>
      <c r="AY194" s="1344"/>
      <c r="AZ194" s="1344"/>
    </row>
    <row r="195" spans="1:52" x14ac:dyDescent="0.25">
      <c r="A195" s="215" t="s">
        <v>486</v>
      </c>
      <c r="C195" s="201"/>
      <c r="D195" s="201"/>
      <c r="E195" s="201"/>
      <c r="F195" s="201"/>
      <c r="G195" s="201"/>
      <c r="H195" s="201"/>
      <c r="I195" s="201"/>
      <c r="J195" s="201"/>
      <c r="K195" s="201"/>
      <c r="L195" s="201"/>
      <c r="M195" s="201"/>
      <c r="N195" s="201"/>
      <c r="O195" s="201"/>
      <c r="P195" s="201"/>
      <c r="Q195" s="201"/>
      <c r="R195" s="201"/>
      <c r="S195" s="201"/>
      <c r="T195" s="201"/>
      <c r="U195" s="219"/>
      <c r="V195" s="219"/>
      <c r="W195" s="202"/>
      <c r="X195" s="202"/>
      <c r="Y195" s="201"/>
      <c r="Z195" s="201"/>
      <c r="AA195" s="202"/>
      <c r="AB195" s="202"/>
      <c r="AC195" s="201"/>
      <c r="AD195" s="201"/>
      <c r="AE195" s="202"/>
      <c r="AF195" s="202"/>
      <c r="AG195" s="202"/>
      <c r="AH195" s="202"/>
      <c r="AI195" s="202"/>
      <c r="AJ195" s="202"/>
      <c r="AK195" s="202"/>
      <c r="AL195" s="202"/>
      <c r="AM195" s="202"/>
      <c r="AN195" s="202"/>
      <c r="AQ195" s="202"/>
      <c r="AR195" s="202"/>
      <c r="AS195" s="202"/>
      <c r="AT195" s="202"/>
      <c r="AU195" s="202"/>
      <c r="AV195" s="202"/>
      <c r="AW195" s="227"/>
      <c r="AX195" s="227"/>
      <c r="AY195" s="228"/>
      <c r="AZ195" s="228"/>
    </row>
    <row r="196" spans="1:52" x14ac:dyDescent="0.25">
      <c r="A196" s="229" t="s">
        <v>487</v>
      </c>
      <c r="B196" s="216" t="s">
        <v>166</v>
      </c>
      <c r="C196" s="201">
        <v>2077498</v>
      </c>
      <c r="D196" s="201">
        <v>1708076</v>
      </c>
      <c r="E196" s="201">
        <v>129367</v>
      </c>
      <c r="F196" s="201">
        <v>39283</v>
      </c>
      <c r="G196" s="201">
        <v>113239</v>
      </c>
      <c r="H196" s="201">
        <v>56343</v>
      </c>
      <c r="I196" s="201">
        <v>122905</v>
      </c>
      <c r="J196" s="201">
        <v>115768</v>
      </c>
      <c r="K196" s="201">
        <v>0</v>
      </c>
      <c r="L196" s="201">
        <v>0</v>
      </c>
      <c r="M196" s="201">
        <v>0</v>
      </c>
      <c r="N196" s="201">
        <v>0</v>
      </c>
      <c r="O196" s="201">
        <v>0</v>
      </c>
      <c r="P196" s="201">
        <v>0</v>
      </c>
      <c r="Q196" s="201">
        <v>0</v>
      </c>
      <c r="R196" s="201">
        <v>0</v>
      </c>
      <c r="S196" s="201">
        <v>0</v>
      </c>
      <c r="T196" s="201">
        <v>0</v>
      </c>
      <c r="U196" s="201">
        <v>0</v>
      </c>
      <c r="V196" s="201">
        <v>0</v>
      </c>
      <c r="W196" s="201">
        <v>0</v>
      </c>
      <c r="X196" s="201">
        <v>0</v>
      </c>
      <c r="Y196" s="201">
        <v>0</v>
      </c>
      <c r="Z196" s="201">
        <v>0</v>
      </c>
      <c r="AA196" s="201">
        <v>0</v>
      </c>
      <c r="AB196" s="201">
        <v>0</v>
      </c>
      <c r="AC196" s="201">
        <v>0</v>
      </c>
      <c r="AD196" s="201">
        <v>0</v>
      </c>
      <c r="AE196" s="201">
        <v>0</v>
      </c>
      <c r="AF196" s="201">
        <v>0</v>
      </c>
      <c r="AG196" s="201">
        <v>0</v>
      </c>
      <c r="AH196" s="201">
        <v>0</v>
      </c>
      <c r="AI196" s="201">
        <v>0</v>
      </c>
      <c r="AJ196" s="201">
        <v>0</v>
      </c>
      <c r="AK196" s="201">
        <v>0</v>
      </c>
      <c r="AL196" s="201">
        <v>0</v>
      </c>
      <c r="AM196" s="201">
        <v>0</v>
      </c>
      <c r="AN196" s="201">
        <v>0</v>
      </c>
      <c r="AO196" s="201">
        <v>0</v>
      </c>
      <c r="AP196" s="201">
        <v>0</v>
      </c>
      <c r="AQ196" s="201">
        <v>0</v>
      </c>
      <c r="AR196" s="201">
        <v>0</v>
      </c>
      <c r="AS196" s="201">
        <v>0</v>
      </c>
      <c r="AT196" s="201">
        <v>0</v>
      </c>
      <c r="AU196" s="201">
        <v>0</v>
      </c>
      <c r="AV196" s="201">
        <v>0</v>
      </c>
      <c r="AW196" s="201">
        <v>0</v>
      </c>
      <c r="AX196" s="201">
        <v>0</v>
      </c>
      <c r="AY196" s="201">
        <v>0</v>
      </c>
      <c r="AZ196" s="201">
        <v>0</v>
      </c>
    </row>
    <row r="197" spans="1:52" x14ac:dyDescent="0.25">
      <c r="A197" s="229" t="s">
        <v>488</v>
      </c>
      <c r="B197" s="216" t="s">
        <v>166</v>
      </c>
      <c r="C197" s="201">
        <v>0</v>
      </c>
      <c r="D197" s="201">
        <v>0</v>
      </c>
      <c r="E197" s="201">
        <v>0</v>
      </c>
      <c r="F197" s="201">
        <v>0</v>
      </c>
      <c r="G197" s="201">
        <v>0</v>
      </c>
      <c r="H197" s="201">
        <v>0</v>
      </c>
      <c r="I197" s="201">
        <v>0</v>
      </c>
      <c r="J197" s="201">
        <v>0</v>
      </c>
      <c r="K197" s="201">
        <v>0</v>
      </c>
      <c r="L197" s="201">
        <v>0</v>
      </c>
      <c r="M197" s="201">
        <v>0</v>
      </c>
      <c r="N197" s="201">
        <v>0</v>
      </c>
      <c r="O197" s="201">
        <v>0</v>
      </c>
      <c r="P197" s="201">
        <v>0</v>
      </c>
      <c r="Q197" s="201">
        <v>0</v>
      </c>
      <c r="R197" s="201">
        <v>0</v>
      </c>
      <c r="S197" s="201">
        <v>0</v>
      </c>
      <c r="T197" s="201">
        <v>0</v>
      </c>
      <c r="U197" s="201">
        <v>0</v>
      </c>
      <c r="V197" s="201">
        <v>0</v>
      </c>
      <c r="W197" s="201">
        <v>6197</v>
      </c>
      <c r="X197" s="201">
        <v>61967</v>
      </c>
      <c r="Y197" s="201">
        <v>69021</v>
      </c>
      <c r="Z197" s="201">
        <v>703953</v>
      </c>
      <c r="AA197" s="202">
        <v>76612</v>
      </c>
      <c r="AB197" s="202">
        <v>782017</v>
      </c>
      <c r="AC197" s="201">
        <v>66253</v>
      </c>
      <c r="AD197" s="201">
        <v>697757</v>
      </c>
      <c r="AE197" s="202">
        <v>67732</v>
      </c>
      <c r="AF197" s="202">
        <v>687362</v>
      </c>
      <c r="AG197" s="202">
        <v>78552</v>
      </c>
      <c r="AH197" s="202">
        <v>785526</v>
      </c>
      <c r="AI197" s="202">
        <v>84696</v>
      </c>
      <c r="AJ197" s="202">
        <v>846971</v>
      </c>
      <c r="AK197" s="202">
        <v>79048</v>
      </c>
      <c r="AL197" s="202">
        <v>790479</v>
      </c>
      <c r="AM197" s="221">
        <v>84582</v>
      </c>
      <c r="AN197" s="221">
        <v>845819</v>
      </c>
      <c r="AO197" s="202">
        <v>91821</v>
      </c>
      <c r="AP197" s="202">
        <v>918215</v>
      </c>
      <c r="AQ197" s="202">
        <v>92739</v>
      </c>
      <c r="AR197" s="202">
        <v>927387</v>
      </c>
      <c r="AS197" s="202">
        <v>92148.99</v>
      </c>
      <c r="AT197" s="202">
        <v>921493</v>
      </c>
      <c r="AU197" s="202">
        <v>98162</v>
      </c>
      <c r="AV197" s="202">
        <v>981620</v>
      </c>
      <c r="AW197" s="202">
        <v>99232</v>
      </c>
      <c r="AX197" s="202">
        <v>992320</v>
      </c>
      <c r="AY197" s="201">
        <v>96431</v>
      </c>
      <c r="AZ197" s="201">
        <v>964298</v>
      </c>
    </row>
    <row r="198" spans="1:52" x14ac:dyDescent="0.25">
      <c r="A198" s="229" t="s">
        <v>489</v>
      </c>
      <c r="B198" s="216" t="s">
        <v>166</v>
      </c>
      <c r="C198" s="201">
        <v>0</v>
      </c>
      <c r="D198" s="201">
        <v>0</v>
      </c>
      <c r="E198" s="201">
        <v>0</v>
      </c>
      <c r="F198" s="201">
        <v>0</v>
      </c>
      <c r="G198" s="201">
        <v>0</v>
      </c>
      <c r="H198" s="201">
        <v>0</v>
      </c>
      <c r="I198" s="201">
        <v>0</v>
      </c>
      <c r="J198" s="201">
        <v>0</v>
      </c>
      <c r="K198" s="201">
        <v>292003</v>
      </c>
      <c r="L198" s="201">
        <v>458499</v>
      </c>
      <c r="M198" s="201">
        <v>352577</v>
      </c>
      <c r="N198" s="201">
        <v>2251827</v>
      </c>
      <c r="O198" s="201">
        <v>373117</v>
      </c>
      <c r="P198" s="201">
        <v>791067</v>
      </c>
      <c r="Q198" s="201">
        <v>390381</v>
      </c>
      <c r="R198" s="201">
        <v>2308525</v>
      </c>
      <c r="S198" s="201">
        <v>386048</v>
      </c>
      <c r="T198" s="201">
        <v>2653305</v>
      </c>
      <c r="U198" s="201">
        <v>348947</v>
      </c>
      <c r="V198" s="201">
        <v>2682888</v>
      </c>
      <c r="W198" s="201">
        <v>433749</v>
      </c>
      <c r="X198" s="201">
        <v>3632098</v>
      </c>
      <c r="Y198" s="201">
        <v>622557</v>
      </c>
      <c r="Z198" s="201">
        <v>4889760</v>
      </c>
      <c r="AA198" s="202">
        <v>669384</v>
      </c>
      <c r="AB198" s="202">
        <v>6390188</v>
      </c>
      <c r="AC198" s="201">
        <v>519642</v>
      </c>
      <c r="AD198" s="201">
        <v>4973830</v>
      </c>
      <c r="AE198" s="202">
        <v>459797</v>
      </c>
      <c r="AF198" s="202">
        <v>4309802</v>
      </c>
      <c r="AG198" s="202">
        <v>558699</v>
      </c>
      <c r="AH198" s="202">
        <v>4979497</v>
      </c>
      <c r="AI198" s="202">
        <v>525935</v>
      </c>
      <c r="AJ198" s="202">
        <v>4761899</v>
      </c>
      <c r="AK198" s="202">
        <v>642064</v>
      </c>
      <c r="AL198" s="202">
        <v>6251040</v>
      </c>
      <c r="AM198" s="221">
        <v>720155</v>
      </c>
      <c r="AN198" s="221">
        <v>7199961</v>
      </c>
      <c r="AO198" s="202">
        <v>654451</v>
      </c>
      <c r="AP198" s="202">
        <v>6262395</v>
      </c>
      <c r="AQ198" s="202">
        <v>475927.52</v>
      </c>
      <c r="AR198" s="202">
        <v>5716921</v>
      </c>
      <c r="AS198" s="202">
        <v>491046.34</v>
      </c>
      <c r="AT198" s="202">
        <v>6156146</v>
      </c>
      <c r="AU198" s="202">
        <v>509761</v>
      </c>
      <c r="AV198" s="202">
        <v>6403228</v>
      </c>
      <c r="AW198" s="202">
        <v>576223</v>
      </c>
      <c r="AX198" s="202">
        <v>5904603</v>
      </c>
      <c r="AY198" s="201">
        <v>617752</v>
      </c>
      <c r="AZ198" s="201">
        <v>6791890</v>
      </c>
    </row>
    <row r="199" spans="1:52" x14ac:dyDescent="0.25">
      <c r="A199" s="218" t="s">
        <v>490</v>
      </c>
      <c r="C199" s="201"/>
      <c r="D199" s="201">
        <f>SUM(D196:D198)</f>
        <v>1708076</v>
      </c>
      <c r="E199" s="201"/>
      <c r="F199" s="201">
        <f>SUM(F196:F198)</f>
        <v>39283</v>
      </c>
      <c r="G199" s="201"/>
      <c r="H199" s="201">
        <f>SUM(H196:H198)</f>
        <v>56343</v>
      </c>
      <c r="I199" s="201"/>
      <c r="J199" s="201">
        <f>SUM(J196:J198)</f>
        <v>115768</v>
      </c>
      <c r="K199" s="201"/>
      <c r="L199" s="201">
        <f>SUM(L197:L198)</f>
        <v>458499</v>
      </c>
      <c r="M199" s="201"/>
      <c r="N199" s="201">
        <f>SUM(N197:N198)</f>
        <v>2251827</v>
      </c>
      <c r="O199" s="201"/>
      <c r="P199" s="201">
        <f>SUM(P197:P198)</f>
        <v>791067</v>
      </c>
      <c r="Q199" s="201"/>
      <c r="R199" s="201">
        <f>SUM(R197:R198)</f>
        <v>2308525</v>
      </c>
      <c r="S199" s="201"/>
      <c r="T199" s="202">
        <f>SUM(T197:T198)</f>
        <v>2653305</v>
      </c>
      <c r="U199" s="202"/>
      <c r="V199" s="202">
        <f>SUM(V197:V198)</f>
        <v>2682888</v>
      </c>
      <c r="W199" s="202"/>
      <c r="X199" s="201">
        <f>SUM(X196:X198)</f>
        <v>3694065</v>
      </c>
      <c r="Y199" s="201"/>
      <c r="Z199" s="201">
        <f>SUM(Z196:Z198)</f>
        <v>5593713</v>
      </c>
      <c r="AA199" s="202"/>
      <c r="AB199" s="202">
        <f>SUM(AB197:AB198)</f>
        <v>7172205</v>
      </c>
      <c r="AC199" s="201"/>
      <c r="AD199" s="201">
        <f>SUM(AD196:AD198)</f>
        <v>5671587</v>
      </c>
      <c r="AE199" s="202"/>
      <c r="AF199" s="202">
        <f>SUM(AF196:AF198)</f>
        <v>4997164</v>
      </c>
      <c r="AG199" s="202"/>
      <c r="AH199" s="202">
        <f>SUM(AH196:AH198)</f>
        <v>5765023</v>
      </c>
      <c r="AI199" s="202"/>
      <c r="AJ199" s="202">
        <f>SUM(AJ196:AJ198)</f>
        <v>5608870</v>
      </c>
      <c r="AK199" s="202"/>
      <c r="AL199" s="202">
        <v>7041519</v>
      </c>
      <c r="AM199" s="221"/>
      <c r="AN199" s="221">
        <v>8045780</v>
      </c>
      <c r="AP199" s="202">
        <v>7180610</v>
      </c>
      <c r="AQ199" s="202"/>
      <c r="AR199" s="202">
        <v>6644308</v>
      </c>
      <c r="AS199" s="202"/>
      <c r="AT199" s="202">
        <f>SUM(AT196:AT198)</f>
        <v>7077639</v>
      </c>
      <c r="AU199" s="202"/>
      <c r="AV199" s="202">
        <f>SUM(AV196:AV198)</f>
        <v>7384848</v>
      </c>
      <c r="AW199" s="202"/>
      <c r="AX199" s="202">
        <f>SUM(AX196:AX198)</f>
        <v>6896923</v>
      </c>
      <c r="AY199" s="201"/>
      <c r="AZ199" s="201">
        <f>SUM(AZ196:AZ198)</f>
        <v>7756188</v>
      </c>
    </row>
    <row r="200" spans="1:52" x14ac:dyDescent="0.25">
      <c r="A200" s="231"/>
      <c r="C200" s="201"/>
      <c r="D200" s="201"/>
      <c r="E200" s="201"/>
      <c r="F200" s="201"/>
      <c r="G200" s="201"/>
      <c r="H200" s="201"/>
      <c r="I200" s="201"/>
      <c r="J200" s="201"/>
      <c r="K200" s="201"/>
      <c r="L200" s="201"/>
      <c r="M200" s="201"/>
      <c r="N200" s="201"/>
      <c r="O200" s="201"/>
      <c r="P200" s="201"/>
      <c r="Q200" s="201"/>
      <c r="R200" s="201"/>
      <c r="S200" s="201"/>
      <c r="T200" s="201"/>
      <c r="U200" s="219"/>
      <c r="V200" s="219"/>
      <c r="W200" s="202"/>
      <c r="X200" s="201"/>
      <c r="Y200" s="201"/>
      <c r="Z200" s="201"/>
      <c r="AA200" s="202"/>
      <c r="AB200" s="202"/>
      <c r="AC200" s="201"/>
      <c r="AD200" s="201"/>
      <c r="AE200" s="202"/>
      <c r="AF200" s="202"/>
      <c r="AG200" s="202"/>
      <c r="AH200" s="202"/>
      <c r="AI200" s="202"/>
      <c r="AJ200" s="202"/>
      <c r="AK200" s="202"/>
      <c r="AL200" s="202"/>
      <c r="AM200" s="202"/>
      <c r="AN200" s="202"/>
      <c r="AQ200" s="202"/>
      <c r="AR200" s="202"/>
      <c r="AS200" s="202"/>
      <c r="AT200" s="202"/>
      <c r="AU200" s="202"/>
      <c r="AV200" s="202"/>
      <c r="AW200" s="227"/>
      <c r="AX200" s="227"/>
      <c r="AY200" s="228"/>
      <c r="AZ200" s="228"/>
    </row>
    <row r="201" spans="1:52" x14ac:dyDescent="0.25">
      <c r="A201" s="1324" t="s">
        <v>243</v>
      </c>
      <c r="B201" s="1325" t="s">
        <v>214</v>
      </c>
      <c r="C201" s="1326">
        <v>433365</v>
      </c>
      <c r="D201" s="1326">
        <v>10842404</v>
      </c>
      <c r="E201" s="1326">
        <v>2050</v>
      </c>
      <c r="F201" s="1326">
        <v>895251</v>
      </c>
      <c r="G201" s="1326">
        <v>10627</v>
      </c>
      <c r="H201" s="1326">
        <v>3082411</v>
      </c>
      <c r="I201" s="1326">
        <v>50307</v>
      </c>
      <c r="J201" s="1326">
        <v>10832182</v>
      </c>
      <c r="K201" s="1326">
        <v>25596</v>
      </c>
      <c r="L201" s="1326">
        <f>9719086+1229362+128779</f>
        <v>11077227</v>
      </c>
      <c r="M201" s="1326">
        <v>38433</v>
      </c>
      <c r="N201" s="1326">
        <v>11505377</v>
      </c>
      <c r="O201" s="1326">
        <v>33610</v>
      </c>
      <c r="P201" s="1326">
        <v>8781651</v>
      </c>
      <c r="Q201" s="1326">
        <v>24883</v>
      </c>
      <c r="R201" s="1326">
        <v>5863597</v>
      </c>
      <c r="S201" s="1326">
        <v>11353</v>
      </c>
      <c r="T201" s="1326">
        <v>2282605</v>
      </c>
      <c r="U201" s="1326">
        <v>20562</v>
      </c>
      <c r="V201" s="1326">
        <v>3395589</v>
      </c>
      <c r="W201" s="1326">
        <v>41377</v>
      </c>
      <c r="X201" s="1326">
        <v>6058576</v>
      </c>
      <c r="Y201" s="1326">
        <v>34216</v>
      </c>
      <c r="Z201" s="1326">
        <v>5621348</v>
      </c>
      <c r="AA201" s="1327">
        <v>39306</v>
      </c>
      <c r="AB201" s="1327">
        <v>5956148</v>
      </c>
      <c r="AC201" s="1326">
        <v>65929</v>
      </c>
      <c r="AD201" s="1326">
        <v>10224887</v>
      </c>
      <c r="AE201" s="1327">
        <v>78384</v>
      </c>
      <c r="AF201" s="1327">
        <v>14966683</v>
      </c>
      <c r="AG201" s="1327">
        <v>58799</v>
      </c>
      <c r="AH201" s="1327">
        <v>12447668</v>
      </c>
      <c r="AI201" s="1327">
        <v>53430</v>
      </c>
      <c r="AJ201" s="1327">
        <v>11710132</v>
      </c>
      <c r="AK201" s="1327">
        <v>47816.605000000003</v>
      </c>
      <c r="AL201" s="1327">
        <v>8892075.1063857302</v>
      </c>
      <c r="AM201" s="1328">
        <v>51252.346264852677</v>
      </c>
      <c r="AN201" s="1328">
        <v>9546961.7937958632</v>
      </c>
      <c r="AO201" s="1327">
        <v>52858</v>
      </c>
      <c r="AP201" s="1327">
        <v>12932735</v>
      </c>
      <c r="AQ201" s="1327">
        <v>81852.687015316362</v>
      </c>
      <c r="AR201" s="1327">
        <v>18771360.203317329</v>
      </c>
      <c r="AS201" s="1327">
        <v>157638.61775363513</v>
      </c>
      <c r="AT201" s="1327">
        <v>37362914.579999998</v>
      </c>
      <c r="AU201" s="1327">
        <v>122780</v>
      </c>
      <c r="AV201" s="1327">
        <v>30716237</v>
      </c>
      <c r="AW201" s="1326">
        <v>98895.679884684447</v>
      </c>
      <c r="AX201" s="1326">
        <v>24917841</v>
      </c>
      <c r="AY201" s="1326">
        <v>68576</v>
      </c>
      <c r="AZ201" s="1326">
        <v>16320099</v>
      </c>
    </row>
    <row r="202" spans="1:52" x14ac:dyDescent="0.25">
      <c r="A202" s="1324"/>
      <c r="B202" s="1325"/>
      <c r="C202" s="1326"/>
      <c r="D202" s="1326"/>
      <c r="E202" s="1326"/>
      <c r="F202" s="1326"/>
      <c r="G202" s="1326"/>
      <c r="H202" s="1326"/>
      <c r="I202" s="1326"/>
      <c r="J202" s="1326"/>
      <c r="K202" s="1326"/>
      <c r="L202" s="1326"/>
      <c r="M202" s="1326"/>
      <c r="N202" s="1326"/>
      <c r="O202" s="1326"/>
      <c r="P202" s="1326"/>
      <c r="Q202" s="1326"/>
      <c r="R202" s="1326"/>
      <c r="S202" s="1326"/>
      <c r="T202" s="1326"/>
      <c r="U202" s="1326"/>
      <c r="V202" s="1326"/>
      <c r="W202" s="1326"/>
      <c r="X202" s="1326"/>
      <c r="Y202" s="1326"/>
      <c r="Z202" s="1326"/>
      <c r="AA202" s="1327"/>
      <c r="AB202" s="1327"/>
      <c r="AC202" s="1326"/>
      <c r="AD202" s="1326"/>
      <c r="AE202" s="1327"/>
      <c r="AF202" s="1327"/>
      <c r="AG202" s="1327"/>
      <c r="AH202" s="1327"/>
      <c r="AI202" s="1327"/>
      <c r="AJ202" s="1327"/>
      <c r="AK202" s="1327"/>
      <c r="AL202" s="1327"/>
      <c r="AM202" s="1328"/>
      <c r="AN202" s="1328"/>
      <c r="AO202" s="1327"/>
      <c r="AP202" s="1327"/>
      <c r="AQ202" s="1327"/>
      <c r="AR202" s="1327"/>
      <c r="AS202" s="1327"/>
      <c r="AT202" s="1327"/>
      <c r="AU202" s="1327"/>
      <c r="AV202" s="1327"/>
      <c r="AW202" s="1334"/>
      <c r="AX202" s="1334"/>
      <c r="AY202" s="1335"/>
      <c r="AZ202" s="1335"/>
    </row>
    <row r="203" spans="1:52" x14ac:dyDescent="0.25">
      <c r="A203" s="215" t="s">
        <v>491</v>
      </c>
      <c r="B203" s="216" t="s">
        <v>166</v>
      </c>
      <c r="C203" s="201">
        <v>574</v>
      </c>
      <c r="D203" s="201">
        <v>3856</v>
      </c>
      <c r="E203" s="201">
        <v>0</v>
      </c>
      <c r="F203" s="201">
        <v>0</v>
      </c>
      <c r="G203" s="201">
        <v>0</v>
      </c>
      <c r="H203" s="201">
        <v>0</v>
      </c>
      <c r="I203" s="201">
        <v>0</v>
      </c>
      <c r="J203" s="201">
        <v>0</v>
      </c>
      <c r="K203" s="201">
        <v>0</v>
      </c>
      <c r="L203" s="201">
        <v>0</v>
      </c>
      <c r="M203" s="201">
        <v>0</v>
      </c>
      <c r="N203" s="201">
        <v>0</v>
      </c>
      <c r="O203" s="201">
        <v>0</v>
      </c>
      <c r="P203" s="201">
        <v>0</v>
      </c>
      <c r="Q203" s="201">
        <v>0</v>
      </c>
      <c r="R203" s="201">
        <v>0</v>
      </c>
      <c r="S203" s="201">
        <v>0</v>
      </c>
      <c r="T203" s="201">
        <v>0</v>
      </c>
      <c r="U203" s="201">
        <v>0</v>
      </c>
      <c r="V203" s="201">
        <v>0</v>
      </c>
      <c r="W203" s="201">
        <v>0</v>
      </c>
      <c r="X203" s="201">
        <v>0</v>
      </c>
      <c r="Y203" s="201">
        <v>0</v>
      </c>
      <c r="Z203" s="201">
        <v>0</v>
      </c>
      <c r="AA203" s="201">
        <v>0</v>
      </c>
      <c r="AB203" s="201">
        <v>0</v>
      </c>
      <c r="AC203" s="201">
        <v>0</v>
      </c>
      <c r="AD203" s="201">
        <v>0</v>
      </c>
      <c r="AE203" s="201">
        <v>0</v>
      </c>
      <c r="AF203" s="201">
        <v>0</v>
      </c>
      <c r="AG203" s="201">
        <v>0</v>
      </c>
      <c r="AH203" s="201">
        <v>0</v>
      </c>
      <c r="AI203" s="201">
        <v>0</v>
      </c>
      <c r="AJ203" s="201">
        <v>0</v>
      </c>
      <c r="AK203" s="201">
        <v>0</v>
      </c>
      <c r="AL203" s="201">
        <v>0</v>
      </c>
      <c r="AM203" s="201">
        <v>0</v>
      </c>
      <c r="AN203" s="201">
        <v>0</v>
      </c>
      <c r="AO203" s="201">
        <v>0</v>
      </c>
      <c r="AP203" s="201">
        <v>0</v>
      </c>
      <c r="AQ203" s="201">
        <v>0</v>
      </c>
      <c r="AR203" s="201">
        <v>0</v>
      </c>
      <c r="AS203" s="201">
        <v>0</v>
      </c>
      <c r="AT203" s="201">
        <v>0</v>
      </c>
      <c r="AU203" s="201">
        <v>0</v>
      </c>
      <c r="AV203" s="201">
        <v>0</v>
      </c>
      <c r="AW203" s="201">
        <v>0</v>
      </c>
      <c r="AX203" s="201">
        <v>0</v>
      </c>
      <c r="AY203" s="217">
        <v>0</v>
      </c>
      <c r="AZ203" s="217">
        <v>0</v>
      </c>
    </row>
    <row r="204" spans="1:52" x14ac:dyDescent="0.25">
      <c r="A204" s="215"/>
      <c r="B204" s="216"/>
      <c r="C204" s="201"/>
      <c r="D204" s="201"/>
      <c r="E204" s="201"/>
      <c r="F204" s="201"/>
      <c r="G204" s="201"/>
      <c r="H204" s="201"/>
      <c r="I204" s="201"/>
      <c r="J204" s="201"/>
      <c r="K204" s="201"/>
      <c r="L204" s="201"/>
      <c r="M204" s="201"/>
      <c r="N204" s="201"/>
      <c r="O204" s="201"/>
      <c r="P204" s="201"/>
      <c r="Q204" s="201"/>
      <c r="R204" s="201"/>
      <c r="S204" s="201"/>
      <c r="T204" s="201"/>
      <c r="U204" s="219"/>
      <c r="V204" s="219"/>
      <c r="W204" s="201"/>
      <c r="X204" s="201"/>
      <c r="Y204" s="201"/>
      <c r="Z204" s="201"/>
      <c r="AA204" s="202"/>
      <c r="AB204" s="202"/>
      <c r="AC204" s="201"/>
      <c r="AD204" s="201"/>
      <c r="AE204" s="202"/>
      <c r="AF204" s="202"/>
      <c r="AG204" s="202"/>
      <c r="AH204" s="202"/>
      <c r="AI204" s="202"/>
      <c r="AJ204" s="202"/>
      <c r="AK204" s="202"/>
      <c r="AL204" s="202"/>
      <c r="AM204" s="202"/>
      <c r="AN204" s="202"/>
      <c r="AQ204" s="202"/>
      <c r="AR204" s="202"/>
      <c r="AS204" s="202"/>
      <c r="AT204" s="202"/>
      <c r="AU204" s="202"/>
      <c r="AV204" s="202"/>
      <c r="AW204" s="227"/>
      <c r="AX204" s="227"/>
      <c r="AY204" s="228"/>
      <c r="AZ204" s="228"/>
    </row>
    <row r="205" spans="1:52" x14ac:dyDescent="0.25">
      <c r="A205" s="1324" t="s">
        <v>492</v>
      </c>
      <c r="B205" s="1325" t="s">
        <v>166</v>
      </c>
      <c r="C205" s="1326">
        <v>4605</v>
      </c>
      <c r="D205" s="1326">
        <v>53102</v>
      </c>
      <c r="E205" s="1326">
        <v>260</v>
      </c>
      <c r="F205" s="1326">
        <v>3887</v>
      </c>
      <c r="G205" s="1326">
        <v>170</v>
      </c>
      <c r="H205" s="1326">
        <v>2463</v>
      </c>
      <c r="I205" s="1326">
        <v>0</v>
      </c>
      <c r="J205" s="1326">
        <v>0</v>
      </c>
      <c r="K205" s="1326">
        <v>0</v>
      </c>
      <c r="L205" s="1326">
        <v>0</v>
      </c>
      <c r="M205" s="1326">
        <v>0</v>
      </c>
      <c r="N205" s="1326">
        <v>0</v>
      </c>
      <c r="O205" s="1326">
        <v>0</v>
      </c>
      <c r="P205" s="1326">
        <v>0</v>
      </c>
      <c r="Q205" s="1326">
        <v>0</v>
      </c>
      <c r="R205" s="1326">
        <v>0</v>
      </c>
      <c r="S205" s="1326">
        <v>0</v>
      </c>
      <c r="T205" s="1326">
        <v>0</v>
      </c>
      <c r="U205" s="1326">
        <v>0</v>
      </c>
      <c r="V205" s="1326">
        <v>0</v>
      </c>
      <c r="W205" s="1326">
        <v>1169</v>
      </c>
      <c r="X205" s="1326">
        <v>101365</v>
      </c>
      <c r="Y205" s="1326">
        <v>1541</v>
      </c>
      <c r="Z205" s="1326">
        <v>119489</v>
      </c>
      <c r="AA205" s="1327">
        <v>437</v>
      </c>
      <c r="AB205" s="1327">
        <v>35834</v>
      </c>
      <c r="AC205" s="1326">
        <v>254</v>
      </c>
      <c r="AD205" s="1326">
        <v>16832</v>
      </c>
      <c r="AE205" s="1327">
        <v>0</v>
      </c>
      <c r="AF205" s="1327">
        <v>0</v>
      </c>
      <c r="AG205" s="1327">
        <v>0</v>
      </c>
      <c r="AH205" s="1327">
        <v>0</v>
      </c>
      <c r="AI205" s="1327">
        <v>0</v>
      </c>
      <c r="AJ205" s="1327">
        <v>0</v>
      </c>
      <c r="AK205" s="1327">
        <v>0</v>
      </c>
      <c r="AL205" s="1327">
        <v>0</v>
      </c>
      <c r="AM205" s="1327">
        <v>0</v>
      </c>
      <c r="AN205" s="1327">
        <v>0</v>
      </c>
      <c r="AO205" s="1327">
        <v>5380</v>
      </c>
      <c r="AP205" s="1327">
        <v>430353</v>
      </c>
      <c r="AQ205" s="1327">
        <v>9292.0630000000001</v>
      </c>
      <c r="AR205" s="1327">
        <v>743044.84</v>
      </c>
      <c r="AS205" s="1327">
        <v>11407.14</v>
      </c>
      <c r="AT205" s="1327">
        <v>2355238</v>
      </c>
      <c r="AU205" s="1327">
        <v>14300</v>
      </c>
      <c r="AV205" s="1327">
        <v>1908974</v>
      </c>
      <c r="AW205" s="1326">
        <v>12693</v>
      </c>
      <c r="AX205" s="1326">
        <v>1817362</v>
      </c>
      <c r="AY205" s="1349">
        <v>9919</v>
      </c>
      <c r="AZ205" s="1349">
        <v>1258601</v>
      </c>
    </row>
    <row r="206" spans="1:52" x14ac:dyDescent="0.25">
      <c r="A206" s="1347"/>
      <c r="B206" s="1325"/>
      <c r="C206" s="1326"/>
      <c r="D206" s="1326"/>
      <c r="E206" s="1326"/>
      <c r="F206" s="1326"/>
      <c r="G206" s="1326"/>
      <c r="H206" s="1326"/>
      <c r="I206" s="1326"/>
      <c r="J206" s="1326"/>
      <c r="K206" s="1326"/>
      <c r="L206" s="1326"/>
      <c r="M206" s="1326"/>
      <c r="N206" s="1326"/>
      <c r="O206" s="1326"/>
      <c r="P206" s="1326"/>
      <c r="Q206" s="1326"/>
      <c r="R206" s="1326"/>
      <c r="S206" s="1326"/>
      <c r="T206" s="1326"/>
      <c r="U206" s="1337"/>
      <c r="V206" s="1337"/>
      <c r="W206" s="1326"/>
      <c r="X206" s="1326"/>
      <c r="Y206" s="1326"/>
      <c r="Z206" s="1326"/>
      <c r="AA206" s="1327"/>
      <c r="AB206" s="1327"/>
      <c r="AC206" s="1326"/>
      <c r="AD206" s="1326"/>
      <c r="AE206" s="1327"/>
      <c r="AF206" s="1327"/>
      <c r="AG206" s="1327"/>
      <c r="AH206" s="1327"/>
      <c r="AI206" s="1327"/>
      <c r="AJ206" s="1327"/>
      <c r="AK206" s="1327"/>
      <c r="AL206" s="1327"/>
      <c r="AM206" s="1327"/>
      <c r="AN206" s="1327"/>
      <c r="AO206" s="1327"/>
      <c r="AP206" s="1327"/>
      <c r="AQ206" s="1327"/>
      <c r="AR206" s="1327"/>
      <c r="AS206" s="1327"/>
      <c r="AT206" s="1327"/>
      <c r="AU206" s="1327"/>
      <c r="AV206" s="1327"/>
      <c r="AW206" s="1334"/>
      <c r="AX206" s="1334"/>
      <c r="AY206" s="1335"/>
      <c r="AZ206" s="1335"/>
    </row>
    <row r="207" spans="1:52" x14ac:dyDescent="0.25">
      <c r="A207" s="215" t="s">
        <v>493</v>
      </c>
      <c r="B207" s="216" t="s">
        <v>166</v>
      </c>
      <c r="C207" s="201">
        <v>869126</v>
      </c>
      <c r="D207" s="201">
        <v>22879806</v>
      </c>
      <c r="E207" s="201">
        <v>113211</v>
      </c>
      <c r="F207" s="201">
        <v>2816049</v>
      </c>
      <c r="G207" s="201">
        <v>133996</v>
      </c>
      <c r="H207" s="201">
        <v>6377048</v>
      </c>
      <c r="I207" s="201">
        <v>92182</v>
      </c>
      <c r="J207" s="201">
        <v>5385147</v>
      </c>
      <c r="K207" s="201">
        <v>164859</v>
      </c>
      <c r="L207" s="201">
        <v>9170379</v>
      </c>
      <c r="M207" s="201">
        <v>160976</v>
      </c>
      <c r="N207" s="201">
        <v>1746069</v>
      </c>
      <c r="O207" s="201">
        <v>115031</v>
      </c>
      <c r="P207" s="201">
        <v>1069424</v>
      </c>
      <c r="Q207" s="201">
        <v>161368</v>
      </c>
      <c r="R207" s="201">
        <v>1928741</v>
      </c>
      <c r="S207" s="201">
        <v>189274</v>
      </c>
      <c r="T207" s="201">
        <v>13936216</v>
      </c>
      <c r="U207" s="201">
        <v>182774</v>
      </c>
      <c r="V207" s="201">
        <v>13261526</v>
      </c>
      <c r="W207" s="201">
        <v>196100</v>
      </c>
      <c r="X207" s="201">
        <v>13658214</v>
      </c>
      <c r="Y207" s="201">
        <v>189086</v>
      </c>
      <c r="Z207" s="201">
        <v>14480263</v>
      </c>
      <c r="AA207" s="202">
        <v>165263</v>
      </c>
      <c r="AB207" s="202">
        <v>11568410</v>
      </c>
      <c r="AC207" s="201">
        <v>166574</v>
      </c>
      <c r="AD207" s="201">
        <v>11712450</v>
      </c>
      <c r="AE207" s="202">
        <v>165310</v>
      </c>
      <c r="AF207" s="202">
        <v>12054570</v>
      </c>
      <c r="AG207" s="202">
        <v>107339</v>
      </c>
      <c r="AH207" s="202">
        <v>7846700</v>
      </c>
      <c r="AI207" s="202">
        <v>122989</v>
      </c>
      <c r="AJ207" s="202">
        <v>9643014</v>
      </c>
      <c r="AK207" s="202">
        <v>189507</v>
      </c>
      <c r="AL207" s="202">
        <v>15155833</v>
      </c>
      <c r="AM207" s="221">
        <v>188835</v>
      </c>
      <c r="AN207" s="221">
        <v>14971392</v>
      </c>
      <c r="AO207" s="202">
        <v>176144</v>
      </c>
      <c r="AP207" s="202">
        <v>13984701</v>
      </c>
      <c r="AQ207" s="202">
        <v>174307.6</v>
      </c>
      <c r="AR207" s="202">
        <v>14049274</v>
      </c>
      <c r="AS207" s="202">
        <v>179380.6</v>
      </c>
      <c r="AT207" s="202">
        <v>14467388</v>
      </c>
      <c r="AU207" s="202">
        <v>160867</v>
      </c>
      <c r="AV207" s="202">
        <v>14201162</v>
      </c>
      <c r="AW207" s="202">
        <v>132211</v>
      </c>
      <c r="AX207" s="202">
        <v>11775309</v>
      </c>
      <c r="AY207" s="201">
        <v>142736</v>
      </c>
      <c r="AZ207" s="201">
        <v>13291592</v>
      </c>
    </row>
    <row r="208" spans="1:52" x14ac:dyDescent="0.25">
      <c r="A208" s="215"/>
      <c r="B208" s="216"/>
      <c r="C208" s="201"/>
      <c r="D208" s="201"/>
      <c r="E208" s="201"/>
      <c r="F208" s="201"/>
      <c r="G208" s="201"/>
      <c r="H208" s="201"/>
      <c r="I208" s="201"/>
      <c r="J208" s="201"/>
      <c r="K208" s="201"/>
      <c r="L208" s="201"/>
      <c r="M208" s="201"/>
      <c r="N208" s="201"/>
      <c r="O208" s="201"/>
      <c r="P208" s="201"/>
      <c r="Q208" s="201"/>
      <c r="R208" s="201"/>
      <c r="S208" s="201"/>
      <c r="T208" s="201"/>
      <c r="U208" s="202"/>
      <c r="V208" s="202"/>
      <c r="W208" s="202"/>
      <c r="X208" s="202"/>
      <c r="Y208" s="201"/>
      <c r="Z208" s="201"/>
      <c r="AA208" s="202"/>
      <c r="AB208" s="202"/>
      <c r="AC208" s="201"/>
      <c r="AD208" s="201"/>
      <c r="AE208" s="202"/>
      <c r="AF208" s="202"/>
      <c r="AG208" s="202"/>
      <c r="AH208" s="202"/>
      <c r="AI208" s="202"/>
      <c r="AJ208" s="202"/>
      <c r="AK208" s="202"/>
      <c r="AL208" s="202"/>
      <c r="AM208" s="202"/>
      <c r="AN208" s="202"/>
      <c r="AQ208" s="202"/>
      <c r="AR208" s="202"/>
      <c r="AS208" s="202"/>
      <c r="AT208" s="202"/>
      <c r="AU208" s="202"/>
      <c r="AV208" s="202"/>
      <c r="AW208" s="227"/>
      <c r="AX208" s="227"/>
      <c r="AY208" s="228"/>
      <c r="AZ208" s="228"/>
    </row>
    <row r="209" spans="1:52" x14ac:dyDescent="0.25">
      <c r="A209" s="1324" t="s">
        <v>494</v>
      </c>
      <c r="B209" s="1345"/>
      <c r="C209" s="1326"/>
      <c r="D209" s="1326"/>
      <c r="E209" s="1326"/>
      <c r="F209" s="1326"/>
      <c r="G209" s="1326"/>
      <c r="H209" s="1326"/>
      <c r="I209" s="1326"/>
      <c r="J209" s="1326"/>
      <c r="K209" s="1326"/>
      <c r="L209" s="1326"/>
      <c r="M209" s="1326"/>
      <c r="N209" s="1326"/>
      <c r="O209" s="1326"/>
      <c r="P209" s="1326"/>
      <c r="Q209" s="1326"/>
      <c r="R209" s="1326"/>
      <c r="S209" s="1326"/>
      <c r="T209" s="1326"/>
      <c r="U209" s="1337"/>
      <c r="V209" s="1337"/>
      <c r="W209" s="1327"/>
      <c r="X209" s="1327"/>
      <c r="Y209" s="1326"/>
      <c r="Z209" s="1326"/>
      <c r="AA209" s="1327"/>
      <c r="AB209" s="1327"/>
      <c r="AC209" s="1326"/>
      <c r="AD209" s="1326"/>
      <c r="AE209" s="1327"/>
      <c r="AF209" s="1327"/>
      <c r="AG209" s="1327"/>
      <c r="AH209" s="1327"/>
      <c r="AI209" s="1327"/>
      <c r="AJ209" s="1327"/>
      <c r="AK209" s="1327"/>
      <c r="AL209" s="1327"/>
      <c r="AM209" s="1327"/>
      <c r="AN209" s="1327"/>
      <c r="AO209" s="1327"/>
      <c r="AP209" s="1327"/>
      <c r="AQ209" s="1327"/>
      <c r="AR209" s="1327"/>
      <c r="AS209" s="1327"/>
      <c r="AT209" s="1327"/>
      <c r="AU209" s="1327"/>
      <c r="AV209" s="1327"/>
      <c r="AW209" s="1334"/>
      <c r="AX209" s="1334"/>
      <c r="AY209" s="1326"/>
      <c r="AZ209" s="1326"/>
    </row>
    <row r="210" spans="1:52" x14ac:dyDescent="0.25">
      <c r="A210" s="1339" t="s">
        <v>495</v>
      </c>
      <c r="B210" s="1325" t="s">
        <v>166</v>
      </c>
      <c r="C210" s="1326">
        <v>8042</v>
      </c>
      <c r="D210" s="1326">
        <v>124123</v>
      </c>
      <c r="E210" s="1326">
        <v>0</v>
      </c>
      <c r="F210" s="1326">
        <v>0</v>
      </c>
      <c r="G210" s="1326">
        <v>0</v>
      </c>
      <c r="H210" s="1326">
        <v>0</v>
      </c>
      <c r="I210" s="1326">
        <v>0</v>
      </c>
      <c r="J210" s="1326">
        <v>0</v>
      </c>
      <c r="K210" s="1326">
        <v>0</v>
      </c>
      <c r="L210" s="1326">
        <v>0</v>
      </c>
      <c r="M210" s="1326">
        <v>0</v>
      </c>
      <c r="N210" s="1326">
        <v>0</v>
      </c>
      <c r="O210" s="1326">
        <v>0</v>
      </c>
      <c r="P210" s="1326">
        <v>0</v>
      </c>
      <c r="Q210" s="1326">
        <v>0</v>
      </c>
      <c r="R210" s="1326">
        <v>0</v>
      </c>
      <c r="S210" s="1326">
        <v>0</v>
      </c>
      <c r="T210" s="1326">
        <v>0</v>
      </c>
      <c r="U210" s="1326">
        <v>0</v>
      </c>
      <c r="V210" s="1326">
        <v>0</v>
      </c>
      <c r="W210" s="1326">
        <v>0</v>
      </c>
      <c r="X210" s="1326">
        <v>0</v>
      </c>
      <c r="Y210" s="1326">
        <v>0</v>
      </c>
      <c r="Z210" s="1326">
        <v>0</v>
      </c>
      <c r="AA210" s="1326">
        <v>0</v>
      </c>
      <c r="AB210" s="1326">
        <v>0</v>
      </c>
      <c r="AC210" s="1326">
        <v>0</v>
      </c>
      <c r="AD210" s="1326">
        <v>0</v>
      </c>
      <c r="AE210" s="1326">
        <v>0</v>
      </c>
      <c r="AF210" s="1326">
        <v>0</v>
      </c>
      <c r="AG210" s="1326">
        <v>0</v>
      </c>
      <c r="AH210" s="1326">
        <v>0</v>
      </c>
      <c r="AI210" s="1326">
        <v>0</v>
      </c>
      <c r="AJ210" s="1326">
        <v>0</v>
      </c>
      <c r="AK210" s="1326">
        <v>0</v>
      </c>
      <c r="AL210" s="1326">
        <v>0</v>
      </c>
      <c r="AM210" s="1326">
        <v>0</v>
      </c>
      <c r="AN210" s="1326">
        <v>0</v>
      </c>
      <c r="AO210" s="1326">
        <v>0</v>
      </c>
      <c r="AP210" s="1326">
        <v>0</v>
      </c>
      <c r="AQ210" s="1326">
        <v>0</v>
      </c>
      <c r="AR210" s="1326">
        <v>0</v>
      </c>
      <c r="AS210" s="1326">
        <v>0</v>
      </c>
      <c r="AT210" s="1326">
        <v>0</v>
      </c>
      <c r="AU210" s="1326">
        <v>0</v>
      </c>
      <c r="AV210" s="1326">
        <v>0</v>
      </c>
      <c r="AW210" s="1326">
        <v>0</v>
      </c>
      <c r="AX210" s="1326">
        <v>0</v>
      </c>
      <c r="AY210" s="1326">
        <v>0</v>
      </c>
      <c r="AZ210" s="1326">
        <v>0</v>
      </c>
    </row>
    <row r="211" spans="1:52" x14ac:dyDescent="0.25">
      <c r="A211" s="1339" t="s">
        <v>220</v>
      </c>
      <c r="B211" s="1325" t="s">
        <v>166</v>
      </c>
      <c r="C211" s="1326">
        <v>108</v>
      </c>
      <c r="D211" s="1326">
        <v>3627</v>
      </c>
      <c r="E211" s="1326">
        <v>0</v>
      </c>
      <c r="F211" s="1326">
        <v>0</v>
      </c>
      <c r="G211" s="1326">
        <v>0</v>
      </c>
      <c r="H211" s="1326">
        <v>0</v>
      </c>
      <c r="I211" s="1326">
        <v>0</v>
      </c>
      <c r="J211" s="1326">
        <v>0</v>
      </c>
      <c r="K211" s="1326">
        <v>2492</v>
      </c>
      <c r="L211" s="1326">
        <v>464041</v>
      </c>
      <c r="M211" s="1326">
        <v>6668</v>
      </c>
      <c r="N211" s="1326">
        <v>1380851</v>
      </c>
      <c r="O211" s="1326">
        <v>12009</v>
      </c>
      <c r="P211" s="1326">
        <v>1428714</v>
      </c>
      <c r="Q211" s="1326">
        <v>8530</v>
      </c>
      <c r="R211" s="1326">
        <v>2682232</v>
      </c>
      <c r="S211" s="1326">
        <v>16621</v>
      </c>
      <c r="T211" s="1326">
        <v>3320514</v>
      </c>
      <c r="U211" s="1326">
        <v>27396</v>
      </c>
      <c r="V211" s="1326">
        <v>4772858</v>
      </c>
      <c r="W211" s="1326">
        <v>39105</v>
      </c>
      <c r="X211" s="1326">
        <v>7118550</v>
      </c>
      <c r="Y211" s="1326">
        <v>50576</v>
      </c>
      <c r="Z211" s="1326">
        <v>7525463</v>
      </c>
      <c r="AA211" s="1327">
        <v>43281</v>
      </c>
      <c r="AB211" s="1327">
        <v>7619341</v>
      </c>
      <c r="AC211" s="1326">
        <v>39980</v>
      </c>
      <c r="AD211" s="1326">
        <v>8095473</v>
      </c>
      <c r="AE211" s="1327">
        <v>33353</v>
      </c>
      <c r="AF211" s="1327">
        <v>8358894</v>
      </c>
      <c r="AG211" s="1327">
        <v>61708</v>
      </c>
      <c r="AH211" s="1327">
        <v>11246613</v>
      </c>
      <c r="AI211" s="1327">
        <v>80135</v>
      </c>
      <c r="AJ211" s="1327">
        <v>12019364</v>
      </c>
      <c r="AK211" s="1327">
        <v>139287</v>
      </c>
      <c r="AL211" s="1327">
        <v>18289945</v>
      </c>
      <c r="AM211" s="1328">
        <v>56567</v>
      </c>
      <c r="AN211" s="1328">
        <v>10701568</v>
      </c>
      <c r="AO211" s="1327">
        <v>42337</v>
      </c>
      <c r="AP211" s="1327">
        <v>10243876</v>
      </c>
      <c r="AQ211" s="1327">
        <v>54023</v>
      </c>
      <c r="AR211" s="1327">
        <v>11453258</v>
      </c>
      <c r="AS211" s="1327">
        <v>65504</v>
      </c>
      <c r="AT211" s="1327">
        <v>16458150</v>
      </c>
      <c r="AU211" s="1327">
        <v>79859</v>
      </c>
      <c r="AV211" s="1326" t="s">
        <v>172</v>
      </c>
      <c r="AW211" s="1326">
        <v>79085</v>
      </c>
      <c r="AX211" s="1326" t="s">
        <v>172</v>
      </c>
      <c r="AY211" s="1326">
        <v>124410</v>
      </c>
      <c r="AZ211" s="1326" t="s">
        <v>172</v>
      </c>
    </row>
    <row r="212" spans="1:52" x14ac:dyDescent="0.25">
      <c r="A212" s="1339" t="s">
        <v>496</v>
      </c>
      <c r="B212" s="1325" t="s">
        <v>166</v>
      </c>
      <c r="C212" s="1326">
        <v>3007</v>
      </c>
      <c r="D212" s="1326">
        <v>31954756</v>
      </c>
      <c r="E212" s="1326">
        <v>159</v>
      </c>
      <c r="F212" s="1326">
        <v>12233115</v>
      </c>
      <c r="G212" s="1326">
        <v>298</v>
      </c>
      <c r="H212" s="1326">
        <v>13179471</v>
      </c>
      <c r="I212" s="1326">
        <v>20</v>
      </c>
      <c r="J212" s="1326">
        <v>464754</v>
      </c>
      <c r="K212" s="1326">
        <v>272</v>
      </c>
      <c r="L212" s="1326">
        <v>6753268</v>
      </c>
      <c r="M212" s="1326">
        <v>145</v>
      </c>
      <c r="N212" s="1326">
        <v>5224379</v>
      </c>
      <c r="O212" s="1326">
        <v>108</v>
      </c>
      <c r="P212" s="1326">
        <v>4475112</v>
      </c>
      <c r="Q212" s="1326">
        <v>126</v>
      </c>
      <c r="R212" s="1326">
        <v>4398606</v>
      </c>
      <c r="S212" s="1326">
        <v>111</v>
      </c>
      <c r="T212" s="1326">
        <v>4204828</v>
      </c>
      <c r="U212" s="1326">
        <v>76</v>
      </c>
      <c r="V212" s="1326">
        <v>8069190</v>
      </c>
      <c r="W212" s="1326">
        <v>550</v>
      </c>
      <c r="X212" s="1326">
        <v>17931656</v>
      </c>
      <c r="Y212" s="1326">
        <v>573</v>
      </c>
      <c r="Z212" s="1326">
        <v>19216316</v>
      </c>
      <c r="AA212" s="1327">
        <v>668</v>
      </c>
      <c r="AB212" s="1327">
        <v>18726310</v>
      </c>
      <c r="AC212" s="1326">
        <v>925</v>
      </c>
      <c r="AD212" s="1326">
        <v>29733847</v>
      </c>
      <c r="AE212" s="1327">
        <v>337</v>
      </c>
      <c r="AF212" s="1327">
        <v>14616947</v>
      </c>
      <c r="AG212" s="1327">
        <v>262</v>
      </c>
      <c r="AH212" s="1327">
        <v>22116946</v>
      </c>
      <c r="AI212" s="1327">
        <v>365</v>
      </c>
      <c r="AJ212" s="1327">
        <v>33617052</v>
      </c>
      <c r="AK212" s="1327">
        <v>557</v>
      </c>
      <c r="AL212" s="1327">
        <v>35638738</v>
      </c>
      <c r="AM212" s="1328">
        <v>299</v>
      </c>
      <c r="AN212" s="1328">
        <v>30550308</v>
      </c>
      <c r="AO212" s="1327">
        <v>400</v>
      </c>
      <c r="AP212" s="1327">
        <v>58503807</v>
      </c>
      <c r="AQ212" s="1327">
        <v>405</v>
      </c>
      <c r="AR212" s="1327">
        <v>63843890</v>
      </c>
      <c r="AS212" s="1327">
        <v>611.28</v>
      </c>
      <c r="AT212" s="1327">
        <v>96845674</v>
      </c>
      <c r="AU212" s="1327">
        <v>806.22</v>
      </c>
      <c r="AV212" s="1326" t="s">
        <v>172</v>
      </c>
      <c r="AW212" s="1326">
        <v>984.68</v>
      </c>
      <c r="AX212" s="1326" t="s">
        <v>172</v>
      </c>
      <c r="AY212" s="1326">
        <v>973.154</v>
      </c>
      <c r="AZ212" s="1326" t="s">
        <v>172</v>
      </c>
    </row>
    <row r="213" spans="1:52" x14ac:dyDescent="0.25">
      <c r="A213" s="1351" t="s">
        <v>497</v>
      </c>
      <c r="B213" s="1325" t="s">
        <v>166</v>
      </c>
      <c r="C213" s="1326">
        <v>36564</v>
      </c>
      <c r="D213" s="1326">
        <v>60618898</v>
      </c>
      <c r="E213" s="1326">
        <v>558</v>
      </c>
      <c r="F213" s="1326">
        <v>6721875</v>
      </c>
      <c r="G213" s="1326">
        <v>638</v>
      </c>
      <c r="H213" s="1326">
        <v>10260637</v>
      </c>
      <c r="I213" s="1326">
        <v>720</v>
      </c>
      <c r="J213" s="1326">
        <v>6275268</v>
      </c>
      <c r="K213" s="1326">
        <v>775</v>
      </c>
      <c r="L213" s="1326">
        <v>7621570</v>
      </c>
      <c r="M213" s="1326">
        <v>720</v>
      </c>
      <c r="N213" s="1326">
        <v>6988222</v>
      </c>
      <c r="O213" s="1326">
        <v>458</v>
      </c>
      <c r="P213" s="1326">
        <v>5486809</v>
      </c>
      <c r="Q213" s="1326">
        <v>742</v>
      </c>
      <c r="R213" s="1326">
        <v>4989398</v>
      </c>
      <c r="S213" s="1326">
        <v>648</v>
      </c>
      <c r="T213" s="1326">
        <v>4485426</v>
      </c>
      <c r="U213" s="1326">
        <v>375</v>
      </c>
      <c r="V213" s="1326">
        <v>2317099</v>
      </c>
      <c r="W213" s="1326">
        <v>351</v>
      </c>
      <c r="X213" s="1326">
        <v>2122155</v>
      </c>
      <c r="Y213" s="1349">
        <v>212</v>
      </c>
      <c r="Z213" s="1349">
        <v>1085179</v>
      </c>
      <c r="AA213" s="1327">
        <v>275</v>
      </c>
      <c r="AB213" s="1327">
        <v>1268035</v>
      </c>
      <c r="AC213" s="1326">
        <v>284</v>
      </c>
      <c r="AD213" s="1326">
        <v>1472341</v>
      </c>
      <c r="AE213" s="1327">
        <v>73</v>
      </c>
      <c r="AF213" s="1327">
        <v>848271</v>
      </c>
      <c r="AG213" s="1327">
        <v>209</v>
      </c>
      <c r="AH213" s="1327">
        <v>1408719</v>
      </c>
      <c r="AI213" s="1327">
        <v>586</v>
      </c>
      <c r="AJ213" s="1327">
        <v>4156739</v>
      </c>
      <c r="AK213" s="1327">
        <v>400.8</v>
      </c>
      <c r="AL213" s="1327">
        <v>2783005</v>
      </c>
      <c r="AM213" s="1328">
        <v>523</v>
      </c>
      <c r="AN213" s="1328">
        <v>3637931</v>
      </c>
      <c r="AO213" s="1327">
        <v>588</v>
      </c>
      <c r="AP213" s="1327">
        <v>4894812</v>
      </c>
      <c r="AQ213" s="1327">
        <v>465.58</v>
      </c>
      <c r="AR213" s="1327">
        <v>3768893</v>
      </c>
      <c r="AS213" s="1327">
        <v>712.5</v>
      </c>
      <c r="AT213" s="1327">
        <v>6248086</v>
      </c>
      <c r="AU213" s="1327">
        <v>976</v>
      </c>
      <c r="AV213" s="1327">
        <v>7787068</v>
      </c>
      <c r="AW213" s="1326">
        <v>762.7</v>
      </c>
      <c r="AX213" s="1326">
        <v>4967874</v>
      </c>
      <c r="AY213" s="1326">
        <v>652.99</v>
      </c>
      <c r="AZ213" s="1326">
        <v>4184604</v>
      </c>
    </row>
    <row r="214" spans="1:52" x14ac:dyDescent="0.25">
      <c r="A214" s="1340" t="s">
        <v>498</v>
      </c>
      <c r="B214" s="1345"/>
      <c r="C214" s="1326"/>
      <c r="D214" s="1326">
        <f>SUM(D210:D213)</f>
        <v>92701404</v>
      </c>
      <c r="E214" s="1326"/>
      <c r="F214" s="1326">
        <f>SUM(F210:F213)</f>
        <v>18954990</v>
      </c>
      <c r="G214" s="1326"/>
      <c r="H214" s="1326">
        <f>SUM(H210:H213)</f>
        <v>23440108</v>
      </c>
      <c r="I214" s="1326"/>
      <c r="J214" s="1326">
        <f>SUM(J210:J213)</f>
        <v>6740022</v>
      </c>
      <c r="K214" s="1326"/>
      <c r="L214" s="1326">
        <f>SUM(L210:L213)</f>
        <v>14838879</v>
      </c>
      <c r="M214" s="1326"/>
      <c r="N214" s="1326">
        <f>SUM(N210:N213)</f>
        <v>13593452</v>
      </c>
      <c r="O214" s="1326"/>
      <c r="P214" s="1326">
        <f>SUM(P210:P213)</f>
        <v>11390635</v>
      </c>
      <c r="Q214" s="1326"/>
      <c r="R214" s="1326">
        <f>SUM(R210:R213)</f>
        <v>12070236</v>
      </c>
      <c r="S214" s="1326"/>
      <c r="T214" s="1326">
        <f>SUM(T210:T213)</f>
        <v>12010768</v>
      </c>
      <c r="U214" s="1327"/>
      <c r="V214" s="1327">
        <f>SUM(V210:V213)</f>
        <v>15159147</v>
      </c>
      <c r="W214" s="1327"/>
      <c r="X214" s="1326">
        <f>SUM(X210:X213)</f>
        <v>27172361</v>
      </c>
      <c r="Y214" s="1326"/>
      <c r="Z214" s="1326">
        <v>27826958</v>
      </c>
      <c r="AA214" s="1327"/>
      <c r="AB214" s="1327">
        <f>SUM(AB210:AB213)</f>
        <v>27613686</v>
      </c>
      <c r="AC214" s="1326"/>
      <c r="AD214" s="1326">
        <f>SUM(AD210:AD213)</f>
        <v>39301661</v>
      </c>
      <c r="AE214" s="1327"/>
      <c r="AF214" s="1327">
        <f>SUM(AF210:AF213)</f>
        <v>23824112</v>
      </c>
      <c r="AG214" s="1327"/>
      <c r="AH214" s="1327">
        <f>SUM(AH210:AH213)</f>
        <v>34772278</v>
      </c>
      <c r="AI214" s="1327"/>
      <c r="AJ214" s="1327">
        <f>SUM(AJ210:AJ213)</f>
        <v>49793155</v>
      </c>
      <c r="AK214" s="1327"/>
      <c r="AL214" s="1327">
        <v>56711688</v>
      </c>
      <c r="AM214" s="1328"/>
      <c r="AN214" s="1328">
        <v>44889807</v>
      </c>
      <c r="AO214" s="1327"/>
      <c r="AP214" s="1327">
        <v>73642495</v>
      </c>
      <c r="AQ214" s="1327"/>
      <c r="AR214" s="1327">
        <f>SUM(AR210:AR213)</f>
        <v>79066041</v>
      </c>
      <c r="AS214" s="1327"/>
      <c r="AT214" s="1327">
        <f>SUM(AT210:AT213)</f>
        <v>119551910</v>
      </c>
      <c r="AU214" s="1327"/>
      <c r="AV214" s="1327">
        <v>205733427</v>
      </c>
      <c r="AW214" s="1326"/>
      <c r="AX214" s="1326">
        <v>222610433</v>
      </c>
      <c r="AY214" s="1326"/>
      <c r="AZ214" s="1326">
        <v>202174629</v>
      </c>
    </row>
    <row r="215" spans="1:52" x14ac:dyDescent="0.25">
      <c r="A215" s="1340"/>
      <c r="B215" s="1345"/>
      <c r="C215" s="1326"/>
      <c r="D215" s="1326"/>
      <c r="E215" s="1326"/>
      <c r="F215" s="1326"/>
      <c r="G215" s="1326"/>
      <c r="H215" s="1326"/>
      <c r="I215" s="1326"/>
      <c r="J215" s="1326"/>
      <c r="K215" s="1326"/>
      <c r="L215" s="1326"/>
      <c r="M215" s="1326"/>
      <c r="N215" s="1326"/>
      <c r="O215" s="1326"/>
      <c r="P215" s="1326"/>
      <c r="Q215" s="1326"/>
      <c r="R215" s="1326"/>
      <c r="S215" s="1326"/>
      <c r="T215" s="1326"/>
      <c r="U215" s="1327"/>
      <c r="V215" s="1327"/>
      <c r="W215" s="1327"/>
      <c r="X215" s="1326"/>
      <c r="Y215" s="1326"/>
      <c r="Z215" s="1326"/>
      <c r="AA215" s="1327"/>
      <c r="AB215" s="1327"/>
      <c r="AC215" s="1326"/>
      <c r="AD215" s="1326"/>
      <c r="AE215" s="1327"/>
      <c r="AF215" s="1327"/>
      <c r="AG215" s="1327"/>
      <c r="AH215" s="1327"/>
      <c r="AI215" s="1327"/>
      <c r="AJ215" s="1327"/>
      <c r="AK215" s="1327"/>
      <c r="AL215" s="1327"/>
      <c r="AM215" s="1328"/>
      <c r="AN215" s="1328"/>
      <c r="AO215" s="1327"/>
      <c r="AP215" s="1327"/>
      <c r="AQ215" s="1327"/>
      <c r="AR215" s="1327"/>
      <c r="AS215" s="1327"/>
      <c r="AT215" s="1327"/>
      <c r="AU215" s="1327"/>
      <c r="AV215" s="1327"/>
      <c r="AW215" s="1334"/>
      <c r="AX215" s="1327"/>
      <c r="AY215" s="1335"/>
      <c r="AZ215" s="1327"/>
    </row>
    <row r="216" spans="1:52" x14ac:dyDescent="0.25">
      <c r="A216" s="215" t="s">
        <v>499</v>
      </c>
      <c r="C216" s="201"/>
      <c r="D216" s="201"/>
      <c r="E216" s="201"/>
      <c r="F216" s="201"/>
      <c r="G216" s="201"/>
      <c r="H216" s="201"/>
      <c r="I216" s="201"/>
      <c r="J216" s="201"/>
      <c r="K216" s="201"/>
      <c r="L216" s="201"/>
      <c r="M216" s="201"/>
      <c r="N216" s="201"/>
      <c r="O216" s="201"/>
      <c r="P216" s="201"/>
      <c r="Q216" s="201"/>
      <c r="R216" s="201"/>
      <c r="S216" s="201"/>
      <c r="T216" s="201"/>
      <c r="U216" s="202"/>
      <c r="V216" s="202"/>
      <c r="W216" s="202"/>
      <c r="X216" s="201"/>
      <c r="Y216" s="201"/>
      <c r="Z216" s="201"/>
      <c r="AA216" s="202"/>
      <c r="AB216" s="202"/>
      <c r="AC216" s="201"/>
      <c r="AD216" s="201"/>
      <c r="AE216" s="202"/>
      <c r="AF216" s="202"/>
      <c r="AG216" s="202"/>
      <c r="AH216" s="202"/>
      <c r="AI216" s="202"/>
      <c r="AJ216" s="202"/>
      <c r="AK216" s="202"/>
      <c r="AL216" s="202"/>
      <c r="AM216" s="221"/>
      <c r="AN216" s="221"/>
      <c r="AQ216" s="202"/>
      <c r="AR216" s="202"/>
      <c r="AS216" s="202"/>
      <c r="AT216" s="202"/>
      <c r="AU216" s="202"/>
      <c r="AV216" s="202"/>
      <c r="AW216" s="227"/>
      <c r="AX216" s="227"/>
      <c r="AY216" s="228"/>
      <c r="AZ216" s="228"/>
    </row>
    <row r="217" spans="1:52" x14ac:dyDescent="0.25">
      <c r="A217" s="229" t="s">
        <v>500</v>
      </c>
      <c r="B217" s="216" t="s">
        <v>166</v>
      </c>
      <c r="C217" s="201">
        <v>172</v>
      </c>
      <c r="D217" s="201">
        <v>144532</v>
      </c>
      <c r="E217" s="201">
        <v>0</v>
      </c>
      <c r="F217" s="201">
        <v>0</v>
      </c>
      <c r="G217" s="201">
        <v>0</v>
      </c>
      <c r="H217" s="201">
        <v>0</v>
      </c>
      <c r="I217" s="201">
        <v>0</v>
      </c>
      <c r="J217" s="201">
        <v>0</v>
      </c>
      <c r="K217" s="201">
        <v>0</v>
      </c>
      <c r="L217" s="201">
        <v>0</v>
      </c>
      <c r="M217" s="201">
        <v>0</v>
      </c>
      <c r="N217" s="201">
        <v>0</v>
      </c>
      <c r="O217" s="201">
        <v>0</v>
      </c>
      <c r="P217" s="201">
        <v>0</v>
      </c>
      <c r="Q217" s="201">
        <v>0</v>
      </c>
      <c r="R217" s="201">
        <v>0</v>
      </c>
      <c r="S217" s="201">
        <v>0</v>
      </c>
      <c r="T217" s="201">
        <v>0</v>
      </c>
      <c r="U217" s="201">
        <v>0</v>
      </c>
      <c r="V217" s="201">
        <v>0</v>
      </c>
      <c r="W217" s="201">
        <v>0</v>
      </c>
      <c r="X217" s="201">
        <v>0</v>
      </c>
      <c r="Y217" s="201">
        <v>0</v>
      </c>
      <c r="Z217" s="201">
        <v>0</v>
      </c>
      <c r="AA217" s="201">
        <v>0</v>
      </c>
      <c r="AB217" s="201">
        <v>0</v>
      </c>
      <c r="AC217" s="201">
        <v>0</v>
      </c>
      <c r="AD217" s="201">
        <v>0</v>
      </c>
      <c r="AE217" s="201">
        <v>0</v>
      </c>
      <c r="AF217" s="201">
        <v>0</v>
      </c>
      <c r="AG217" s="201">
        <v>0</v>
      </c>
      <c r="AH217" s="201">
        <v>0</v>
      </c>
      <c r="AI217" s="201">
        <v>0</v>
      </c>
      <c r="AJ217" s="201">
        <v>0</v>
      </c>
      <c r="AK217" s="201">
        <v>0</v>
      </c>
      <c r="AL217" s="201">
        <v>0</v>
      </c>
      <c r="AM217" s="201">
        <v>0</v>
      </c>
      <c r="AN217" s="201">
        <v>0</v>
      </c>
      <c r="AO217" s="201">
        <v>0</v>
      </c>
      <c r="AP217" s="201">
        <v>0</v>
      </c>
      <c r="AQ217" s="201">
        <v>0</v>
      </c>
      <c r="AR217" s="201">
        <v>0</v>
      </c>
      <c r="AS217" s="201">
        <v>0</v>
      </c>
      <c r="AT217" s="201">
        <v>0</v>
      </c>
      <c r="AU217" s="201">
        <v>0</v>
      </c>
      <c r="AV217" s="201">
        <v>0</v>
      </c>
      <c r="AW217" s="201">
        <v>0</v>
      </c>
      <c r="AX217" s="201">
        <v>0</v>
      </c>
      <c r="AY217" s="217">
        <v>0</v>
      </c>
      <c r="AZ217" s="217">
        <v>0</v>
      </c>
    </row>
    <row r="218" spans="1:52" x14ac:dyDescent="0.25">
      <c r="A218" s="229" t="s">
        <v>501</v>
      </c>
      <c r="B218" s="216" t="s">
        <v>166</v>
      </c>
      <c r="C218" s="201">
        <v>310</v>
      </c>
      <c r="D218" s="201">
        <v>125810</v>
      </c>
      <c r="E218" s="201">
        <v>0</v>
      </c>
      <c r="F218" s="201">
        <v>0</v>
      </c>
      <c r="G218" s="201">
        <v>0</v>
      </c>
      <c r="H218" s="201">
        <v>0</v>
      </c>
      <c r="I218" s="201">
        <v>0</v>
      </c>
      <c r="J218" s="201">
        <v>0</v>
      </c>
      <c r="K218" s="201">
        <v>0</v>
      </c>
      <c r="L218" s="201">
        <v>0</v>
      </c>
      <c r="M218" s="201">
        <v>0</v>
      </c>
      <c r="N218" s="201">
        <v>0</v>
      </c>
      <c r="O218" s="201">
        <v>0</v>
      </c>
      <c r="P218" s="201">
        <v>0</v>
      </c>
      <c r="Q218" s="201">
        <v>0</v>
      </c>
      <c r="R218" s="201">
        <v>0</v>
      </c>
      <c r="S218" s="201">
        <v>0</v>
      </c>
      <c r="T218" s="201">
        <v>0</v>
      </c>
      <c r="U218" s="201">
        <v>0</v>
      </c>
      <c r="V218" s="201">
        <v>0</v>
      </c>
      <c r="W218" s="201">
        <v>0</v>
      </c>
      <c r="X218" s="201">
        <v>0</v>
      </c>
      <c r="Y218" s="201">
        <v>0</v>
      </c>
      <c r="Z218" s="201">
        <v>0</v>
      </c>
      <c r="AA218" s="201">
        <v>0</v>
      </c>
      <c r="AB218" s="201">
        <v>0</v>
      </c>
      <c r="AC218" s="201">
        <v>0</v>
      </c>
      <c r="AD218" s="201">
        <v>0</v>
      </c>
      <c r="AE218" s="201">
        <v>0</v>
      </c>
      <c r="AF218" s="201">
        <v>0</v>
      </c>
      <c r="AG218" s="201">
        <v>0</v>
      </c>
      <c r="AH218" s="201">
        <v>0</v>
      </c>
      <c r="AI218" s="201">
        <v>0</v>
      </c>
      <c r="AJ218" s="201">
        <v>0</v>
      </c>
      <c r="AK218" s="201">
        <v>0</v>
      </c>
      <c r="AL218" s="201">
        <v>0</v>
      </c>
      <c r="AM218" s="201">
        <v>0</v>
      </c>
      <c r="AN218" s="201">
        <v>0</v>
      </c>
      <c r="AO218" s="201">
        <v>0</v>
      </c>
      <c r="AP218" s="201">
        <v>0</v>
      </c>
      <c r="AQ218" s="201">
        <v>0</v>
      </c>
      <c r="AR218" s="201">
        <v>0</v>
      </c>
      <c r="AS218" s="201">
        <v>0</v>
      </c>
      <c r="AT218" s="201">
        <v>0</v>
      </c>
      <c r="AU218" s="201">
        <v>0</v>
      </c>
      <c r="AV218" s="201">
        <v>0</v>
      </c>
      <c r="AW218" s="201">
        <v>0</v>
      </c>
      <c r="AX218" s="201">
        <v>0</v>
      </c>
      <c r="AY218" s="217">
        <v>0</v>
      </c>
      <c r="AZ218" s="217">
        <v>0</v>
      </c>
    </row>
    <row r="219" spans="1:52" x14ac:dyDescent="0.25">
      <c r="A219" s="218" t="s">
        <v>502</v>
      </c>
      <c r="C219" s="201">
        <f t="shared" ref="C219:AV219" si="55">SUM(C217:C218)</f>
        <v>482</v>
      </c>
      <c r="D219" s="201">
        <f t="shared" si="55"/>
        <v>270342</v>
      </c>
      <c r="E219" s="201">
        <f t="shared" si="55"/>
        <v>0</v>
      </c>
      <c r="F219" s="201">
        <f t="shared" si="55"/>
        <v>0</v>
      </c>
      <c r="G219" s="201">
        <f t="shared" si="55"/>
        <v>0</v>
      </c>
      <c r="H219" s="201">
        <f t="shared" si="55"/>
        <v>0</v>
      </c>
      <c r="I219" s="201">
        <f t="shared" si="55"/>
        <v>0</v>
      </c>
      <c r="J219" s="201">
        <f t="shared" si="55"/>
        <v>0</v>
      </c>
      <c r="K219" s="201">
        <f t="shared" si="55"/>
        <v>0</v>
      </c>
      <c r="L219" s="201">
        <f t="shared" si="55"/>
        <v>0</v>
      </c>
      <c r="M219" s="201">
        <f t="shared" si="55"/>
        <v>0</v>
      </c>
      <c r="N219" s="201">
        <f t="shared" si="55"/>
        <v>0</v>
      </c>
      <c r="O219" s="201">
        <f t="shared" si="55"/>
        <v>0</v>
      </c>
      <c r="P219" s="201">
        <f t="shared" si="55"/>
        <v>0</v>
      </c>
      <c r="Q219" s="201">
        <f t="shared" si="55"/>
        <v>0</v>
      </c>
      <c r="R219" s="201">
        <f t="shared" si="55"/>
        <v>0</v>
      </c>
      <c r="S219" s="201">
        <f t="shared" si="55"/>
        <v>0</v>
      </c>
      <c r="T219" s="201">
        <f t="shared" si="55"/>
        <v>0</v>
      </c>
      <c r="U219" s="201">
        <f t="shared" si="55"/>
        <v>0</v>
      </c>
      <c r="V219" s="201">
        <f t="shared" si="55"/>
        <v>0</v>
      </c>
      <c r="W219" s="201">
        <f t="shared" si="55"/>
        <v>0</v>
      </c>
      <c r="X219" s="201">
        <f t="shared" si="55"/>
        <v>0</v>
      </c>
      <c r="Y219" s="201">
        <f t="shared" si="55"/>
        <v>0</v>
      </c>
      <c r="Z219" s="201">
        <f t="shared" si="55"/>
        <v>0</v>
      </c>
      <c r="AA219" s="201">
        <f t="shared" si="55"/>
        <v>0</v>
      </c>
      <c r="AB219" s="201">
        <f t="shared" si="55"/>
        <v>0</v>
      </c>
      <c r="AC219" s="201">
        <f t="shared" si="55"/>
        <v>0</v>
      </c>
      <c r="AD219" s="201">
        <f t="shared" si="55"/>
        <v>0</v>
      </c>
      <c r="AE219" s="201">
        <f t="shared" si="55"/>
        <v>0</v>
      </c>
      <c r="AF219" s="201">
        <f t="shared" si="55"/>
        <v>0</v>
      </c>
      <c r="AG219" s="201">
        <f t="shared" si="55"/>
        <v>0</v>
      </c>
      <c r="AH219" s="201">
        <f t="shared" si="55"/>
        <v>0</v>
      </c>
      <c r="AI219" s="201">
        <f t="shared" si="55"/>
        <v>0</v>
      </c>
      <c r="AJ219" s="201">
        <f t="shared" si="55"/>
        <v>0</v>
      </c>
      <c r="AK219" s="201">
        <f t="shared" si="55"/>
        <v>0</v>
      </c>
      <c r="AL219" s="201">
        <f t="shared" si="55"/>
        <v>0</v>
      </c>
      <c r="AM219" s="201">
        <f t="shared" si="55"/>
        <v>0</v>
      </c>
      <c r="AN219" s="201">
        <f t="shared" si="55"/>
        <v>0</v>
      </c>
      <c r="AO219" s="201">
        <f t="shared" si="55"/>
        <v>0</v>
      </c>
      <c r="AP219" s="201">
        <f t="shared" si="55"/>
        <v>0</v>
      </c>
      <c r="AQ219" s="201">
        <f t="shared" si="55"/>
        <v>0</v>
      </c>
      <c r="AR219" s="201">
        <f t="shared" si="55"/>
        <v>0</v>
      </c>
      <c r="AS219" s="201">
        <f t="shared" si="55"/>
        <v>0</v>
      </c>
      <c r="AT219" s="201">
        <f t="shared" si="55"/>
        <v>0</v>
      </c>
      <c r="AU219" s="201">
        <f t="shared" si="55"/>
        <v>0</v>
      </c>
      <c r="AV219" s="201">
        <f t="shared" si="55"/>
        <v>0</v>
      </c>
      <c r="AW219" s="201"/>
      <c r="AX219" s="201">
        <v>0</v>
      </c>
      <c r="AY219" s="217"/>
      <c r="AZ219" s="217">
        <v>0</v>
      </c>
    </row>
    <row r="220" spans="1:52" x14ac:dyDescent="0.25">
      <c r="A220" s="218"/>
      <c r="C220" s="201"/>
      <c r="D220" s="201"/>
      <c r="E220" s="201"/>
      <c r="F220" s="201"/>
      <c r="G220" s="201"/>
      <c r="H220" s="201"/>
      <c r="I220" s="201"/>
      <c r="J220" s="201"/>
      <c r="K220" s="201"/>
      <c r="L220" s="201"/>
      <c r="M220" s="201"/>
      <c r="N220" s="201"/>
      <c r="O220" s="201"/>
      <c r="P220" s="201"/>
      <c r="Q220" s="201"/>
      <c r="R220" s="201"/>
      <c r="S220" s="201"/>
      <c r="T220" s="201"/>
      <c r="U220" s="219"/>
      <c r="V220" s="219"/>
      <c r="W220" s="202"/>
      <c r="X220" s="201"/>
      <c r="Y220" s="201"/>
      <c r="Z220" s="201"/>
      <c r="AA220" s="202"/>
      <c r="AB220" s="202"/>
      <c r="AC220" s="201"/>
      <c r="AD220" s="201"/>
      <c r="AE220" s="202"/>
      <c r="AF220" s="202"/>
      <c r="AG220" s="202"/>
      <c r="AH220" s="202"/>
      <c r="AI220" s="202"/>
      <c r="AJ220" s="202"/>
      <c r="AK220" s="225"/>
      <c r="AL220" s="202"/>
      <c r="AM220" s="202"/>
      <c r="AN220" s="202"/>
      <c r="AQ220" s="225"/>
      <c r="AR220" s="225"/>
      <c r="AS220" s="202"/>
      <c r="AT220" s="202"/>
      <c r="AU220" s="202"/>
      <c r="AV220" s="202"/>
      <c r="AW220" s="227"/>
      <c r="AX220" s="227"/>
      <c r="AY220" s="217"/>
      <c r="AZ220" s="217"/>
    </row>
    <row r="221" spans="1:52" x14ac:dyDescent="0.25">
      <c r="A221" s="1324" t="s">
        <v>503</v>
      </c>
      <c r="B221" s="1325" t="s">
        <v>166</v>
      </c>
      <c r="C221" s="1326">
        <v>0</v>
      </c>
      <c r="D221" s="1326">
        <v>0</v>
      </c>
      <c r="E221" s="1326">
        <v>0</v>
      </c>
      <c r="F221" s="1326">
        <v>0</v>
      </c>
      <c r="G221" s="1326">
        <v>0</v>
      </c>
      <c r="H221" s="1326">
        <v>0</v>
      </c>
      <c r="I221" s="1326">
        <v>167</v>
      </c>
      <c r="J221" s="1326">
        <v>971300</v>
      </c>
      <c r="K221" s="1326">
        <v>0</v>
      </c>
      <c r="L221" s="1326">
        <v>0</v>
      </c>
      <c r="M221" s="1326">
        <v>0</v>
      </c>
      <c r="N221" s="1326">
        <v>0</v>
      </c>
      <c r="O221" s="1327">
        <v>0</v>
      </c>
      <c r="P221" s="1327">
        <v>0</v>
      </c>
      <c r="Q221" s="1327">
        <v>0</v>
      </c>
      <c r="R221" s="1327">
        <v>0</v>
      </c>
      <c r="S221" s="1327">
        <v>0</v>
      </c>
      <c r="T221" s="1327">
        <v>0</v>
      </c>
      <c r="U221" s="1327">
        <v>0</v>
      </c>
      <c r="V221" s="1327">
        <v>0</v>
      </c>
      <c r="W221" s="1327">
        <v>0</v>
      </c>
      <c r="X221" s="1327">
        <v>0</v>
      </c>
      <c r="Y221" s="1327">
        <v>0</v>
      </c>
      <c r="Z221" s="1327">
        <v>0</v>
      </c>
      <c r="AA221" s="1327">
        <v>0</v>
      </c>
      <c r="AB221" s="1327">
        <v>0</v>
      </c>
      <c r="AC221" s="1327">
        <v>0</v>
      </c>
      <c r="AD221" s="1327">
        <v>0</v>
      </c>
      <c r="AE221" s="1327">
        <v>0</v>
      </c>
      <c r="AF221" s="1327">
        <v>0</v>
      </c>
      <c r="AG221" s="1327">
        <v>0</v>
      </c>
      <c r="AH221" s="1327">
        <v>0</v>
      </c>
      <c r="AI221" s="1327">
        <v>0</v>
      </c>
      <c r="AJ221" s="1327">
        <v>0</v>
      </c>
      <c r="AK221" s="1327">
        <v>0</v>
      </c>
      <c r="AL221" s="1327">
        <v>0</v>
      </c>
      <c r="AM221" s="1327">
        <v>0</v>
      </c>
      <c r="AN221" s="1327">
        <v>0</v>
      </c>
      <c r="AO221" s="1327">
        <v>0</v>
      </c>
      <c r="AP221" s="1327">
        <v>0</v>
      </c>
      <c r="AQ221" s="1327">
        <v>0</v>
      </c>
      <c r="AR221" s="1327">
        <v>0</v>
      </c>
      <c r="AS221" s="1327">
        <v>2695</v>
      </c>
      <c r="AT221" s="1327">
        <v>17493593</v>
      </c>
      <c r="AU221" s="1327">
        <v>4450.3985303456411</v>
      </c>
      <c r="AV221" s="1327">
        <v>25297369</v>
      </c>
      <c r="AW221" s="1327">
        <v>5613.6061761770843</v>
      </c>
      <c r="AX221" s="1327">
        <v>30929289</v>
      </c>
      <c r="AY221" s="1349">
        <v>693.51170000000002</v>
      </c>
      <c r="AZ221" s="1349">
        <v>4665521</v>
      </c>
    </row>
    <row r="222" spans="1:52" x14ac:dyDescent="0.25">
      <c r="A222" s="1324"/>
      <c r="B222" s="1325"/>
      <c r="C222" s="1326"/>
      <c r="D222" s="1326"/>
      <c r="E222" s="1326"/>
      <c r="F222" s="1326"/>
      <c r="G222" s="1326"/>
      <c r="H222" s="1326"/>
      <c r="I222" s="1326"/>
      <c r="J222" s="1326"/>
      <c r="K222" s="1326"/>
      <c r="L222" s="1326"/>
      <c r="M222" s="1326"/>
      <c r="N222" s="1326"/>
      <c r="O222" s="1326"/>
      <c r="P222" s="1326"/>
      <c r="Q222" s="1326"/>
      <c r="R222" s="1326"/>
      <c r="S222" s="1326"/>
      <c r="T222" s="1326"/>
      <c r="U222" s="1337"/>
      <c r="V222" s="1337"/>
      <c r="W222" s="1327"/>
      <c r="X222" s="1326"/>
      <c r="Y222" s="1326"/>
      <c r="Z222" s="1326"/>
      <c r="AA222" s="1327"/>
      <c r="AB222" s="1327"/>
      <c r="AC222" s="1326"/>
      <c r="AD222" s="1326"/>
      <c r="AE222" s="1327"/>
      <c r="AF222" s="1327"/>
      <c r="AG222" s="1327"/>
      <c r="AH222" s="1327"/>
      <c r="AI222" s="1327"/>
      <c r="AJ222" s="1327"/>
      <c r="AK222" s="1327"/>
      <c r="AL222" s="1327"/>
      <c r="AM222" s="1327"/>
      <c r="AN222" s="1327"/>
      <c r="AO222" s="1327"/>
      <c r="AP222" s="1327"/>
      <c r="AQ222" s="1327"/>
      <c r="AR222" s="1327"/>
      <c r="AS222" s="1327"/>
      <c r="AT222" s="1327"/>
      <c r="AU222" s="1327"/>
      <c r="AV222" s="1327"/>
      <c r="AW222" s="1349"/>
      <c r="AX222" s="1349"/>
      <c r="AY222" s="1352"/>
      <c r="AZ222" s="1352"/>
    </row>
    <row r="223" spans="1:52" x14ac:dyDescent="0.25">
      <c r="A223" s="215" t="s">
        <v>504</v>
      </c>
      <c r="B223" s="216" t="s">
        <v>166</v>
      </c>
      <c r="C223" s="201">
        <v>4640</v>
      </c>
      <c r="D223" s="201">
        <v>48810</v>
      </c>
      <c r="E223" s="201">
        <v>159</v>
      </c>
      <c r="F223" s="201">
        <v>1590</v>
      </c>
      <c r="G223" s="201">
        <v>0</v>
      </c>
      <c r="H223" s="201">
        <v>0</v>
      </c>
      <c r="I223" s="201">
        <v>429</v>
      </c>
      <c r="J223" s="201">
        <v>7040</v>
      </c>
      <c r="K223" s="201">
        <v>56</v>
      </c>
      <c r="L223" s="201">
        <v>840</v>
      </c>
      <c r="M223" s="201">
        <v>423</v>
      </c>
      <c r="N223" s="201">
        <v>7275</v>
      </c>
      <c r="O223" s="201">
        <v>615</v>
      </c>
      <c r="P223" s="201">
        <v>9245</v>
      </c>
      <c r="Q223" s="201">
        <v>657</v>
      </c>
      <c r="R223" s="201">
        <v>13142</v>
      </c>
      <c r="S223" s="201">
        <v>1409</v>
      </c>
      <c r="T223" s="201">
        <v>28226</v>
      </c>
      <c r="U223" s="201">
        <v>1165</v>
      </c>
      <c r="V223" s="201">
        <v>146416</v>
      </c>
      <c r="W223" s="201">
        <v>306</v>
      </c>
      <c r="X223" s="201">
        <v>54268</v>
      </c>
      <c r="Y223" s="201">
        <v>43</v>
      </c>
      <c r="Z223" s="201">
        <v>7691</v>
      </c>
      <c r="AA223" s="202">
        <v>580</v>
      </c>
      <c r="AB223" s="202">
        <v>103018</v>
      </c>
      <c r="AC223" s="201">
        <v>308</v>
      </c>
      <c r="AD223" s="201">
        <v>54754</v>
      </c>
      <c r="AE223" s="202">
        <v>0</v>
      </c>
      <c r="AF223" s="202">
        <v>0</v>
      </c>
      <c r="AG223" s="202">
        <v>0</v>
      </c>
      <c r="AH223" s="202">
        <v>0</v>
      </c>
      <c r="AI223" s="202">
        <v>0</v>
      </c>
      <c r="AJ223" s="202">
        <v>0</v>
      </c>
      <c r="AK223" s="202">
        <v>0</v>
      </c>
      <c r="AL223" s="202">
        <v>0</v>
      </c>
      <c r="AM223" s="202">
        <v>0</v>
      </c>
      <c r="AN223" s="202">
        <v>0</v>
      </c>
      <c r="AO223" s="202">
        <v>0</v>
      </c>
      <c r="AP223" s="202">
        <v>0</v>
      </c>
      <c r="AQ223" s="202">
        <v>0</v>
      </c>
      <c r="AR223" s="202">
        <v>0</v>
      </c>
      <c r="AS223" s="202">
        <v>0</v>
      </c>
      <c r="AT223" s="202">
        <v>0</v>
      </c>
      <c r="AU223" s="202">
        <v>0</v>
      </c>
      <c r="AV223" s="202">
        <v>0</v>
      </c>
      <c r="AW223" s="202">
        <v>0</v>
      </c>
      <c r="AX223" s="202">
        <v>0</v>
      </c>
      <c r="AY223" s="202">
        <v>0</v>
      </c>
      <c r="AZ223" s="202">
        <v>0</v>
      </c>
    </row>
    <row r="224" spans="1:52" x14ac:dyDescent="0.25">
      <c r="A224" s="215"/>
      <c r="B224" s="216"/>
      <c r="C224" s="201"/>
      <c r="D224" s="201"/>
      <c r="E224" s="201"/>
      <c r="F224" s="201"/>
      <c r="G224" s="201"/>
      <c r="H224" s="201"/>
      <c r="I224" s="201"/>
      <c r="J224" s="201"/>
      <c r="K224" s="201"/>
      <c r="L224" s="201"/>
      <c r="M224" s="201"/>
      <c r="N224" s="201"/>
      <c r="O224" s="201"/>
      <c r="P224" s="201"/>
      <c r="Q224" s="201"/>
      <c r="R224" s="201"/>
      <c r="S224" s="201"/>
      <c r="T224" s="201"/>
      <c r="U224" s="202"/>
      <c r="V224" s="202"/>
      <c r="W224" s="202"/>
      <c r="X224" s="201"/>
      <c r="Y224" s="201"/>
      <c r="Z224" s="201"/>
      <c r="AA224" s="202"/>
      <c r="AB224" s="202"/>
      <c r="AC224" s="201"/>
      <c r="AD224" s="201"/>
      <c r="AE224" s="202"/>
      <c r="AF224" s="202"/>
      <c r="AG224" s="202"/>
      <c r="AH224" s="202"/>
      <c r="AI224" s="202"/>
      <c r="AJ224" s="202"/>
      <c r="AK224" s="202"/>
      <c r="AL224" s="202"/>
      <c r="AM224" s="202"/>
      <c r="AN224" s="202"/>
      <c r="AQ224" s="202"/>
      <c r="AR224" s="202"/>
      <c r="AS224" s="202"/>
      <c r="AT224" s="202"/>
      <c r="AU224" s="202"/>
      <c r="AV224" s="202"/>
      <c r="AW224" s="223"/>
      <c r="AX224" s="223"/>
      <c r="AY224" s="239"/>
      <c r="AZ224" s="239"/>
    </row>
    <row r="225" spans="1:52" x14ac:dyDescent="0.25">
      <c r="A225" s="242" t="s">
        <v>250</v>
      </c>
      <c r="B225" s="243"/>
      <c r="C225" s="244"/>
      <c r="D225" s="245">
        <f>D227-D182</f>
        <v>15634703815</v>
      </c>
      <c r="E225" s="244"/>
      <c r="F225" s="246">
        <f>F227-F182</f>
        <v>2413726118</v>
      </c>
      <c r="G225" s="244"/>
      <c r="H225" s="246">
        <f>H227-H182</f>
        <v>2392080425</v>
      </c>
      <c r="I225" s="244"/>
      <c r="J225" s="246">
        <f>J227-J182</f>
        <v>3046052124</v>
      </c>
      <c r="K225" s="244"/>
      <c r="L225" s="246">
        <f>L227-L182</f>
        <v>3321472019</v>
      </c>
      <c r="M225" s="244"/>
      <c r="N225" s="246">
        <f>N227-N182</f>
        <v>3788892028</v>
      </c>
      <c r="O225" s="244"/>
      <c r="P225" s="246">
        <f>P227-P182</f>
        <v>4619643170</v>
      </c>
      <c r="Q225" s="244"/>
      <c r="R225" s="246">
        <f>R227-R182</f>
        <v>4902057293</v>
      </c>
      <c r="S225" s="244"/>
      <c r="T225" s="246">
        <f>T227-T182</f>
        <v>5559432708.1999998</v>
      </c>
      <c r="U225" s="247"/>
      <c r="V225" s="248">
        <f>V227-V182</f>
        <v>6482434780</v>
      </c>
      <c r="W225" s="247"/>
      <c r="X225" s="246">
        <f>X227-X182</f>
        <v>8588544659.2000008</v>
      </c>
      <c r="Y225" s="244"/>
      <c r="Z225" s="246">
        <f>Z227-Z182</f>
        <v>9745992909</v>
      </c>
      <c r="AA225" s="247"/>
      <c r="AB225" s="248">
        <f>AB227-AB182</f>
        <v>9612062194.3999996</v>
      </c>
      <c r="AC225" s="244"/>
      <c r="AD225" s="246">
        <f>AD227-AD182</f>
        <v>9518375904</v>
      </c>
      <c r="AE225" s="247"/>
      <c r="AF225" s="248">
        <f>AF227-AF182</f>
        <v>9929132572</v>
      </c>
      <c r="AG225" s="247"/>
      <c r="AH225" s="248">
        <f>AH227-AH182</f>
        <v>9808995761</v>
      </c>
      <c r="AI225" s="247"/>
      <c r="AJ225" s="248">
        <f>AJ227-AJ182</f>
        <v>10955749953</v>
      </c>
      <c r="AK225" s="247"/>
      <c r="AL225" s="248">
        <f>AL227-AL182</f>
        <v>11388031775.356386</v>
      </c>
      <c r="AM225" s="247"/>
      <c r="AN225" s="248">
        <f>AN227-AN182</f>
        <v>12262207259.583641</v>
      </c>
      <c r="AO225" s="247"/>
      <c r="AP225" s="248">
        <f>AP227-AP182</f>
        <v>13322248845</v>
      </c>
      <c r="AQ225" s="247"/>
      <c r="AR225" s="248">
        <f>AR227-AR182</f>
        <v>12191852411.666513</v>
      </c>
      <c r="AS225" s="247"/>
      <c r="AT225" s="248">
        <f>AT227-AT182</f>
        <v>15794010503.422035</v>
      </c>
      <c r="AU225" s="247"/>
      <c r="AV225" s="248">
        <f>AV227-AV182</f>
        <v>17327540780.648415</v>
      </c>
      <c r="AW225" s="249"/>
      <c r="AX225" s="250">
        <f>AX227-AX182</f>
        <v>17065415798</v>
      </c>
      <c r="AY225" s="251"/>
      <c r="AZ225" s="250">
        <f>AZ227-AZ182</f>
        <v>16995215413.330002</v>
      </c>
    </row>
    <row r="226" spans="1:52" x14ac:dyDescent="0.25">
      <c r="A226" s="252"/>
      <c r="B226" s="252"/>
      <c r="C226" s="1353"/>
      <c r="D226" s="1353"/>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c r="AA226" s="252"/>
      <c r="AB226" s="252"/>
      <c r="AC226" s="252"/>
      <c r="AD226" s="252"/>
      <c r="AE226" s="244"/>
      <c r="AF226" s="244"/>
      <c r="AG226" s="252"/>
      <c r="AH226" s="252"/>
      <c r="AI226" s="252"/>
      <c r="AJ226" s="252"/>
      <c r="AK226" s="252"/>
      <c r="AL226" s="252"/>
      <c r="AM226" s="252"/>
      <c r="AN226" s="252"/>
      <c r="AO226" s="247"/>
      <c r="AP226" s="247"/>
      <c r="AQ226" s="252"/>
      <c r="AR226" s="252"/>
      <c r="AS226" s="252"/>
      <c r="AT226" s="252"/>
      <c r="AU226" s="252"/>
      <c r="AV226" s="252"/>
      <c r="AW226" s="252"/>
      <c r="AX226" s="252"/>
      <c r="AY226" s="258"/>
      <c r="AZ226" s="258"/>
    </row>
    <row r="227" spans="1:52" x14ac:dyDescent="0.25">
      <c r="A227" s="242" t="s">
        <v>251</v>
      </c>
      <c r="B227" s="252"/>
      <c r="C227" s="245"/>
      <c r="D227" s="245">
        <f>D16+D18+D20+D22+D29+D31+D42+D44+D46+D59+D61+D69+D71+D73+D86+D110+D112+D114+D116+D118+D133+D138+D145+D150+D152+D154+D156+D169+D171+D173+D182+D184+D189+D191+D193+D199+D201+D203+D205+D207+D214+D219+D221+D223</f>
        <v>16619181608</v>
      </c>
      <c r="E227" s="245"/>
      <c r="F227" s="245">
        <v>2708313125</v>
      </c>
      <c r="G227" s="245"/>
      <c r="H227" s="245">
        <v>2699976770</v>
      </c>
      <c r="I227" s="245"/>
      <c r="J227" s="245">
        <v>3341192354</v>
      </c>
      <c r="K227" s="245"/>
      <c r="L227" s="245">
        <v>3677428832</v>
      </c>
      <c r="M227" s="245"/>
      <c r="N227" s="245">
        <v>4177624611</v>
      </c>
      <c r="O227" s="245"/>
      <c r="P227" s="245">
        <v>5233201179</v>
      </c>
      <c r="Q227" s="245"/>
      <c r="R227" s="245">
        <f>R16+R31+R42+R46+R59+R61+R69+R71+R73+R86+R110+R114+R118+R133+R138+R145+R150+R152+R154+R169+R173+R182+R188+R193+R199+R201+R205+R207+R214+R221+R223</f>
        <v>5485424979</v>
      </c>
      <c r="S227" s="245"/>
      <c r="T227" s="245">
        <f>T16+T31+T42+T46+T59+T61+T69+T71+T73+T86+T110+T114+T118+T133+T138+T145+T150+T152+T154+T169+T173+T182+T188+T193+T199+T201+T205+T207+T214+T221+T223</f>
        <v>6335662557.1999998</v>
      </c>
      <c r="U227" s="253"/>
      <c r="V227" s="245">
        <f>V16+V31+V42+V46+V59+V61+V69+V71+V73+V86+V110+V114+V118+V133+V138+V145+V150+V152+V154+V169+V173+V182+V188+V193+V199+V201+V205+V207+V214+V221+V223</f>
        <v>7176228736</v>
      </c>
      <c r="W227" s="254"/>
      <c r="X227" s="245">
        <f>X16+X31+X42+X46+X59+X61+X69+X71+X73+X86+X110+X114+X118+X133+X138+X145+X150+X152+X154+X169+X173+X182+X188+X193+X199+X201+X205+X207+X214+X221+X223</f>
        <v>9590712045.2000008</v>
      </c>
      <c r="Y227" s="245"/>
      <c r="Z227" s="245">
        <f>Z16+Z31+Z42+Z46+Z59+Z61+Z69+Z71+Z73+Z86+Z110+Z114+Z118+Z133+Z138+Z145+Z150+Z152+Z154+Z169+Z173+Z182+Z188+Z193+Z199+Z201+Z205+Z207+Z214+Z221+Z223</f>
        <v>11977641391</v>
      </c>
      <c r="AA227" s="253"/>
      <c r="AB227" s="245">
        <f>AB16+AB31+AB42+AB46+AB59+AB61+AB69+AB71+AB73+AB86+AB110+AB114+AB118+AB133+AB138+AB145+AB150+AB152+AB154+AB169+AB173+AB182+AB188+AB193+AB199+AB201+AB205+AB207+AB214+AB221+AB223</f>
        <v>12157379170.4</v>
      </c>
      <c r="AC227" s="245"/>
      <c r="AD227" s="245">
        <f>AD16+AD31+AD42+AD46+AD59+AD61+AD69+AD71+AD73+AD86+AD110+AD114+AD118+AD133+AD138+AD145+AD150+AD152+AD154+AD169+AD173+AD182+AD188+AD193+AD199+AD201+AD205+AD207+AD214+AD221+AD223</f>
        <v>12137870814</v>
      </c>
      <c r="AE227" s="253"/>
      <c r="AF227" s="245">
        <f>AF16+AF31+AF42+AF46+AF59+AF61+AF69+AF71+AF73+AF86+AF110+AF114+AF118+AF133+AF138+AF145+AF150+AF152+AF154+AF169+AF173+AF182+AF188+AF193+AF199+AF201+AF205+AF207+AF214+AF221+AF223</f>
        <v>12419140609</v>
      </c>
      <c r="AG227" s="253"/>
      <c r="AH227" s="245">
        <f>AH16+AH31+AH42+AH46+AH59+AH61+AH69+AH71+AH73+AH86+AH110+AH114+AH118+AH133+AH138+AH145+AH150+AH152+AH154+AH169+AH173+AH182+AH188+AH193+AH199+AH201+AH205+AH207+AH214+AH221+AH223</f>
        <v>13313867454</v>
      </c>
      <c r="AI227" s="253"/>
      <c r="AJ227" s="245">
        <f>AJ16+AJ31+AJ42+AJ46+AJ59+AJ61+AJ69+AJ71+AJ73+AJ86+AJ110+AJ114+AJ118+AJ133+AJ138+AJ145+AJ150+AJ152+AJ154+AJ169+AJ173+AJ182+AJ188+AJ193+AJ199+AJ201+AJ205+AJ207+AJ214+AJ221+AJ223</f>
        <v>15163367586</v>
      </c>
      <c r="AK227" s="253"/>
      <c r="AL227" s="245">
        <f>AL16+AL31+AL42+AL46+AL59+AL61+AL69+AL71+AL73+AL86+AL110+AL114+AL118+AL133+AL138+AL145+AL150+AL152+AL154+AL169+AL173+AL182+AL188+AL193+AL199+AL201+AL205+AL207+AL214+AL221+AL223</f>
        <v>16479030222.356386</v>
      </c>
      <c r="AM227" s="253"/>
      <c r="AN227" s="245">
        <f>AN16+AN31+AN42+AN46+AN59+AN61+AN69+AN71+AN73+AN86+AN110+AN114+AN118+AN133+AN138+AN145+AN150+AN152+AN154+AN169+AN173+AN182+AN188+AN193+AN199+AN201+AN205+AN207+AN214+AN221+AN223</f>
        <v>17419300728.13364</v>
      </c>
      <c r="AO227" s="253"/>
      <c r="AP227" s="245">
        <f>AP16+AP31+AP42+AP46+AP59+AP61+AP69+AP71+AP73+AP86+AP110+AP114+AP118+AP133+AP138+AP145+AP150+AP152+AP154+AP169+AP173+AP182+AP188+AP193+AP199+AP201+AP205+AP207+AP214+AP221+AP223</f>
        <v>17779448966</v>
      </c>
      <c r="AQ227" s="253"/>
      <c r="AR227" s="245">
        <f>AR16+AR31+AR42+AR46+AR59+AR61+AR69+AR71+AR73+AR86+AR110+AR114+AR118+AR133+AR138+AR145+AR150+AR152+AR154+AR169+AR173+AR182+AR188+AR193+AR199+AR201+AR205+AR207+AR214+AR221+AR223</f>
        <v>17466533637.446514</v>
      </c>
      <c r="AS227" s="253"/>
      <c r="AT227" s="245">
        <f>AT16+AT31+AT42+AT46+AT59+AT61+AT69+AT71+AT73+AT86+AT110+AT114+AT118+AT133+AT138+AT145+AT150+AT152+AT154+AT169+AT173+AT182+AT188+AT193+AT199+AT201+AT205+AT207+AT214+AT221+AT223</f>
        <v>26216137904.155067</v>
      </c>
      <c r="AU227" s="255"/>
      <c r="AV227" s="245">
        <f>AV16+AV31+AV42+AV46+AV59+AV61+AV69+AV71+AV73+AV86+AV110+AV114+AV118+AV133+AV138+AV145+AV150+AV152+AV154+AV169+AV173+AV182+AV188+AV193+AV199+AV201+AV205+AV207+AV214+AV221+AV223</f>
        <v>27893967339.36834</v>
      </c>
      <c r="AW227" s="256"/>
      <c r="AX227" s="256">
        <f>AX16+AX31+AX42+AX46+AX59+AX61+AX69+AX71+AX73+AX86+AX110+AX114+AX118+AX133+AX138+AX145+AX150+AX152+AX154+AX169+AX173+AX182+AX188+AX193+AX199+AX201+AX205+AX207+AX214+AX221+AX223</f>
        <v>27484757977</v>
      </c>
      <c r="AY227" s="257"/>
      <c r="AZ227" s="256">
        <f>AZ16+AZ31+AZ42+AZ46+AZ59+AZ61+AZ69+AZ71+AZ73+AZ86+AZ110+AZ114+AZ118+AZ133+AZ138+AZ145+AZ150+AZ152+AZ154+AZ169+AZ173+AZ182+AZ188+AZ193+AZ199+AZ201+AZ205+AZ207+AZ214+AZ221+AZ223</f>
        <v>26685925730.330002</v>
      </c>
    </row>
    <row r="228" spans="1:52" x14ac:dyDescent="0.25">
      <c r="A228" s="252"/>
      <c r="B228" s="252"/>
      <c r="C228" s="252"/>
      <c r="D228" s="247"/>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c r="AA228" s="252"/>
      <c r="AB228" s="252"/>
      <c r="AC228" s="252"/>
      <c r="AD228" s="252"/>
      <c r="AE228" s="252"/>
      <c r="AF228" s="252"/>
      <c r="AG228" s="252"/>
      <c r="AH228" s="252"/>
      <c r="AI228" s="252"/>
      <c r="AJ228" s="252"/>
      <c r="AK228" s="252"/>
      <c r="AL228" s="252"/>
      <c r="AM228" s="252"/>
      <c r="AN228" s="252"/>
      <c r="AO228" s="252"/>
      <c r="AP228" s="252"/>
      <c r="AQ228" s="252"/>
      <c r="AR228" s="252"/>
      <c r="AS228" s="252"/>
      <c r="AT228" s="252"/>
      <c r="AU228" s="252"/>
      <c r="AV228" s="252"/>
      <c r="AW228" s="244"/>
      <c r="AX228" s="247"/>
      <c r="AY228" s="258"/>
      <c r="AZ228" s="244"/>
    </row>
    <row r="229" spans="1:52" x14ac:dyDescent="0.25">
      <c r="A229"/>
      <c r="C229" s="29"/>
      <c r="D229" s="29"/>
      <c r="AE229" s="29"/>
      <c r="AF229" s="29"/>
      <c r="AO229" s="29"/>
      <c r="AP229" s="29"/>
      <c r="AW229" s="201"/>
      <c r="AX229" s="201"/>
      <c r="AZ229" s="222"/>
    </row>
    <row r="230" spans="1:52" x14ac:dyDescent="0.25">
      <c r="A230"/>
      <c r="M230" s="201"/>
      <c r="N230" s="201"/>
      <c r="Q230" s="201"/>
      <c r="R230" s="201"/>
      <c r="W230" s="216"/>
      <c r="X230" s="216"/>
      <c r="Y230" s="216"/>
      <c r="Z230" s="216"/>
      <c r="AA230" s="259"/>
      <c r="AB230" s="259"/>
      <c r="AC230" s="216"/>
      <c r="AD230" s="216"/>
      <c r="AG230" s="259"/>
      <c r="AH230" s="259"/>
      <c r="AI230" s="216"/>
      <c r="AJ230" s="216"/>
      <c r="AK230" s="216"/>
      <c r="AL230" s="216"/>
      <c r="AO230" s="219"/>
      <c r="AP230" s="219"/>
      <c r="AW230" s="201"/>
      <c r="AX230" s="201"/>
    </row>
  </sheetData>
  <mergeCells count="26">
    <mergeCell ref="BB9:BD9"/>
    <mergeCell ref="BF9:BH9"/>
    <mergeCell ref="AM9:AN9"/>
    <mergeCell ref="AO9:AP9"/>
    <mergeCell ref="AS9:AT9"/>
    <mergeCell ref="AU9:AV9"/>
    <mergeCell ref="AW9:AX9"/>
    <mergeCell ref="AY9:AZ9"/>
    <mergeCell ref="AK9:AL9"/>
    <mergeCell ref="O9:P9"/>
    <mergeCell ref="Q9:R9"/>
    <mergeCell ref="S9:T9"/>
    <mergeCell ref="U9:V9"/>
    <mergeCell ref="W9:X9"/>
    <mergeCell ref="Y9:Z9"/>
    <mergeCell ref="AA9:AB9"/>
    <mergeCell ref="AC9:AD9"/>
    <mergeCell ref="AE9:AF9"/>
    <mergeCell ref="AG9:AH9"/>
    <mergeCell ref="AI9:AJ9"/>
    <mergeCell ref="M9:N9"/>
    <mergeCell ref="C9:D9"/>
    <mergeCell ref="E9:F9"/>
    <mergeCell ref="G9:H9"/>
    <mergeCell ref="I9:J9"/>
    <mergeCell ref="K9:L9"/>
  </mergeCells>
  <pageMargins left="0.75" right="0.75" top="1" bottom="1" header="0.5" footer="0.5"/>
  <pageSetup paperSize="8" orientation="landscape" r:id="rId1"/>
  <headerFooter alignWithMargins="0"/>
  <ignoredErrors>
    <ignoredError sqref="D10" 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85E82-F383-45A9-A000-8ADB55E6999F}">
  <dimension ref="A7:AV107"/>
  <sheetViews>
    <sheetView showGridLines="0" zoomScale="85" zoomScaleNormal="85" workbookViewId="0">
      <pane xSplit="2" ySplit="11" topLeftCell="C12" activePane="bottomRight" state="frozen"/>
      <selection pane="topRight"/>
      <selection pane="bottomLeft"/>
      <selection pane="bottomRight"/>
    </sheetView>
  </sheetViews>
  <sheetFormatPr defaultColWidth="9.140625" defaultRowHeight="15" x14ac:dyDescent="0.25"/>
  <cols>
    <col min="1" max="1" width="40.7109375" style="29" customWidth="1"/>
    <col min="2" max="2" width="8.42578125" style="216" customWidth="1"/>
    <col min="3" max="3" width="13.28515625" style="216" customWidth="1"/>
    <col min="4" max="4" width="17.5703125" style="216" customWidth="1"/>
    <col min="5" max="5" width="13.85546875" style="29" customWidth="1"/>
    <col min="6" max="6" width="15.7109375" style="29" customWidth="1"/>
    <col min="7" max="7" width="13.85546875" style="29" customWidth="1"/>
    <col min="8" max="8" width="15.7109375" style="29" customWidth="1"/>
    <col min="9" max="9" width="13.42578125" style="29" customWidth="1"/>
    <col min="10" max="10" width="16.42578125" style="29" customWidth="1"/>
    <col min="11" max="11" width="13.42578125" style="29" customWidth="1"/>
    <col min="12" max="12" width="15.28515625" style="29" customWidth="1"/>
    <col min="13" max="13" width="13.42578125" style="29" customWidth="1"/>
    <col min="14" max="14" width="15.28515625" style="29" customWidth="1"/>
    <col min="15" max="15" width="13.42578125" style="29" customWidth="1"/>
    <col min="16" max="16" width="15.28515625" style="29" customWidth="1"/>
    <col min="17" max="17" width="13.42578125" style="29" customWidth="1"/>
    <col min="18" max="18" width="15.85546875" style="29" customWidth="1"/>
    <col min="19" max="19" width="13.42578125" style="29" customWidth="1"/>
    <col min="20" max="20" width="15.28515625" style="29" customWidth="1"/>
    <col min="21" max="21" width="13.42578125" style="29" customWidth="1"/>
    <col min="22" max="22" width="17" style="29" customWidth="1"/>
    <col min="23" max="23" width="13.42578125" style="29" customWidth="1"/>
    <col min="24" max="24" width="17" style="29" customWidth="1"/>
    <col min="25" max="25" width="13.28515625" style="29" customWidth="1"/>
    <col min="26" max="26" width="17.5703125" style="29" bestFit="1" customWidth="1"/>
    <col min="27" max="29" width="17.5703125" style="29" customWidth="1"/>
    <col min="30" max="30" width="20.42578125" style="29" customWidth="1"/>
    <col min="31" max="46" width="17.5703125" customWidth="1"/>
    <col min="47" max="48" width="21" style="29" customWidth="1"/>
    <col min="49" max="49" width="6.140625" style="29" customWidth="1"/>
    <col min="50" max="50" width="19.140625" style="29" bestFit="1" customWidth="1"/>
    <col min="51" max="53" width="9.140625" style="29"/>
    <col min="54" max="54" width="12.28515625" style="29" bestFit="1" customWidth="1"/>
    <col min="55" max="56" width="10.85546875" style="29" bestFit="1" customWidth="1"/>
    <col min="57" max="16384" width="9.140625" style="29"/>
  </cols>
  <sheetData>
    <row r="7" spans="1:48" x14ac:dyDescent="0.25">
      <c r="A7" s="27" t="s">
        <v>505</v>
      </c>
      <c r="AM7" s="260"/>
      <c r="AN7" s="260"/>
      <c r="AO7" s="260"/>
      <c r="AP7" s="260"/>
      <c r="AQ7" s="260"/>
      <c r="AR7" s="260"/>
      <c r="AS7" s="260"/>
      <c r="AT7" s="260"/>
    </row>
    <row r="8" spans="1:48" s="64" customFormat="1" x14ac:dyDescent="0.25">
      <c r="B8" s="131"/>
      <c r="C8" s="131"/>
      <c r="D8" s="131"/>
      <c r="AJ8"/>
      <c r="AK8"/>
      <c r="AL8"/>
      <c r="AM8" s="261"/>
      <c r="AN8" s="261"/>
      <c r="AO8" s="261"/>
      <c r="AP8" s="261"/>
      <c r="AQ8" s="261"/>
      <c r="AR8" s="261"/>
      <c r="AS8" s="261"/>
      <c r="AT8" s="261"/>
    </row>
    <row r="9" spans="1:48" x14ac:dyDescent="0.25">
      <c r="A9" s="207"/>
      <c r="B9" s="205"/>
      <c r="C9" s="1388">
        <v>2004</v>
      </c>
      <c r="D9" s="1388"/>
      <c r="E9" s="1388">
        <v>2005</v>
      </c>
      <c r="F9" s="1388"/>
      <c r="G9" s="1388">
        <v>2006</v>
      </c>
      <c r="H9" s="1388"/>
      <c r="I9" s="1388">
        <v>2007</v>
      </c>
      <c r="J9" s="1388"/>
      <c r="K9" s="1388">
        <v>2008</v>
      </c>
      <c r="L9" s="1388"/>
      <c r="M9" s="1388">
        <v>2009</v>
      </c>
      <c r="N9" s="1388"/>
      <c r="O9" s="1388">
        <v>2010</v>
      </c>
      <c r="P9" s="1388"/>
      <c r="Q9" s="1388">
        <v>2011</v>
      </c>
      <c r="R9" s="1388"/>
      <c r="S9" s="1388">
        <v>2012</v>
      </c>
      <c r="T9" s="1388"/>
      <c r="U9" s="1388">
        <v>2013</v>
      </c>
      <c r="V9" s="1388"/>
      <c r="W9" s="1388">
        <v>2014</v>
      </c>
      <c r="X9" s="1388"/>
      <c r="Y9" s="1388">
        <v>2015</v>
      </c>
      <c r="Z9" s="1388"/>
      <c r="AA9" s="1388">
        <v>2016</v>
      </c>
      <c r="AB9" s="1388"/>
      <c r="AC9" s="1388">
        <v>2017</v>
      </c>
      <c r="AD9" s="1388"/>
      <c r="AE9" s="1389">
        <v>2018</v>
      </c>
      <c r="AF9" s="1389"/>
      <c r="AG9" s="1389">
        <v>2019</v>
      </c>
      <c r="AH9" s="1389"/>
      <c r="AI9" s="1389">
        <v>2020</v>
      </c>
      <c r="AJ9" s="1389"/>
      <c r="AK9" s="1389">
        <v>2021</v>
      </c>
      <c r="AL9" s="1389"/>
      <c r="AM9" s="1389">
        <v>2022</v>
      </c>
      <c r="AN9" s="1389"/>
      <c r="AO9" s="1389">
        <v>2023</v>
      </c>
      <c r="AP9" s="1389"/>
      <c r="AQ9" s="1389">
        <v>2024</v>
      </c>
      <c r="AR9" s="1389"/>
      <c r="AS9" s="1389">
        <v>2025</v>
      </c>
      <c r="AT9" s="1389"/>
      <c r="AU9" s="1388" t="s">
        <v>506</v>
      </c>
      <c r="AV9" s="1388"/>
    </row>
    <row r="10" spans="1:48" x14ac:dyDescent="0.25">
      <c r="A10" s="207" t="s">
        <v>181</v>
      </c>
      <c r="B10" s="205" t="s">
        <v>182</v>
      </c>
      <c r="C10" s="205" t="str">
        <f>CONCATENATE(C9, " Quantity")</f>
        <v>2004 Quantity</v>
      </c>
      <c r="D10" s="205" t="str">
        <f>CONCATENATE(C9, " Value $")</f>
        <v>2004 Value $</v>
      </c>
      <c r="E10" s="205" t="str">
        <f t="shared" ref="E10" si="0">CONCATENATE(E9, " Quantity")</f>
        <v>2005 Quantity</v>
      </c>
      <c r="F10" s="205" t="str">
        <f t="shared" ref="F10" si="1">CONCATENATE(E9, " Value $")</f>
        <v>2005 Value $</v>
      </c>
      <c r="G10" s="205" t="str">
        <f t="shared" ref="G10" si="2">CONCATENATE(G9, " Quantity")</f>
        <v>2006 Quantity</v>
      </c>
      <c r="H10" s="205" t="str">
        <f t="shared" ref="H10" si="3">CONCATENATE(G9, " Value $")</f>
        <v>2006 Value $</v>
      </c>
      <c r="I10" s="205" t="str">
        <f t="shared" ref="I10" si="4">CONCATENATE(I9, " Quantity")</f>
        <v>2007 Quantity</v>
      </c>
      <c r="J10" s="205" t="str">
        <f t="shared" ref="J10" si="5">CONCATENATE(I9, " Value $")</f>
        <v>2007 Value $</v>
      </c>
      <c r="K10" s="205" t="str">
        <f t="shared" ref="K10" si="6">CONCATENATE(K9, " Quantity")</f>
        <v>2008 Quantity</v>
      </c>
      <c r="L10" s="205" t="str">
        <f t="shared" ref="L10" si="7">CONCATENATE(K9, " Value $")</f>
        <v>2008 Value $</v>
      </c>
      <c r="M10" s="205" t="str">
        <f t="shared" ref="M10" si="8">CONCATENATE(M9, " Quantity")</f>
        <v>2009 Quantity</v>
      </c>
      <c r="N10" s="205" t="str">
        <f t="shared" ref="N10" si="9">CONCATENATE(M9, " Value $")</f>
        <v>2009 Value $</v>
      </c>
      <c r="O10" s="205" t="str">
        <f t="shared" ref="O10" si="10">CONCATENATE(O9, " Quantity")</f>
        <v>2010 Quantity</v>
      </c>
      <c r="P10" s="205" t="str">
        <f t="shared" ref="P10" si="11">CONCATENATE(O9, " Value $")</f>
        <v>2010 Value $</v>
      </c>
      <c r="Q10" s="205" t="str">
        <f t="shared" ref="Q10" si="12">CONCATENATE(Q9, " Quantity")</f>
        <v>2011 Quantity</v>
      </c>
      <c r="R10" s="205" t="str">
        <f t="shared" ref="R10" si="13">CONCATENATE(Q9, " Value $")</f>
        <v>2011 Value $</v>
      </c>
      <c r="S10" s="205" t="str">
        <f t="shared" ref="S10" si="14">CONCATENATE(S9, " Quantity")</f>
        <v>2012 Quantity</v>
      </c>
      <c r="T10" s="205" t="str">
        <f t="shared" ref="T10" si="15">CONCATENATE(S9, " Value $")</f>
        <v>2012 Value $</v>
      </c>
      <c r="U10" s="205" t="str">
        <f t="shared" ref="U10" si="16">CONCATENATE(U9, " Quantity")</f>
        <v>2013 Quantity</v>
      </c>
      <c r="V10" s="205" t="str">
        <f t="shared" ref="V10" si="17">CONCATENATE(U9, " Value $")</f>
        <v>2013 Value $</v>
      </c>
      <c r="W10" s="205" t="str">
        <f t="shared" ref="W10" si="18">CONCATENATE(W9, " Quantity")</f>
        <v>2014 Quantity</v>
      </c>
      <c r="X10" s="205" t="str">
        <f t="shared" ref="X10" si="19">CONCATENATE(W9, " Value $")</f>
        <v>2014 Value $</v>
      </c>
      <c r="Y10" s="205" t="str">
        <f t="shared" ref="Y10" si="20">CONCATENATE(Y9, " Quantity")</f>
        <v>2015 Quantity</v>
      </c>
      <c r="Z10" s="205" t="str">
        <f t="shared" ref="Z10" si="21">CONCATENATE(Y9, " Value $")</f>
        <v>2015 Value $</v>
      </c>
      <c r="AA10" s="205" t="str">
        <f t="shared" ref="AA10" si="22">CONCATENATE(AA9, " Quantity")</f>
        <v>2016 Quantity</v>
      </c>
      <c r="AB10" s="205" t="str">
        <f t="shared" ref="AB10" si="23">CONCATENATE(AA9, " Value $")</f>
        <v>2016 Value $</v>
      </c>
      <c r="AC10" s="205" t="str">
        <f t="shared" ref="AC10" si="24">CONCATENATE(AC9, " Quantity")</f>
        <v>2017 Quantity</v>
      </c>
      <c r="AD10" s="205" t="str">
        <f t="shared" ref="AD10" si="25">CONCATENATE(AC9, " Value $")</f>
        <v>2017 Value $</v>
      </c>
      <c r="AE10" s="262" t="str">
        <f t="shared" ref="AE10" si="26">CONCATENATE(AE9, " Quantity")</f>
        <v>2018 Quantity</v>
      </c>
      <c r="AF10" s="262" t="str">
        <f t="shared" ref="AF10" si="27">CONCATENATE(AE9, " Value $")</f>
        <v>2018 Value $</v>
      </c>
      <c r="AG10" s="262" t="str">
        <f t="shared" ref="AG10:AM10" si="28">CONCATENATE(AG9, " Quantity")</f>
        <v>2019 Quantity</v>
      </c>
      <c r="AH10" s="262" t="str">
        <f t="shared" ref="AH10:AJ10" si="29">CONCATENATE(AG9, " Value $")</f>
        <v>2019 Value $</v>
      </c>
      <c r="AI10" s="262" t="str">
        <f t="shared" si="28"/>
        <v>2020 Quantity</v>
      </c>
      <c r="AJ10" s="262" t="str">
        <f t="shared" si="29"/>
        <v>2020 Value $</v>
      </c>
      <c r="AK10" s="262" t="str">
        <f t="shared" si="28"/>
        <v>2021 Quantity</v>
      </c>
      <c r="AL10" s="262" t="str">
        <f t="shared" ref="AL10" si="30">CONCATENATE(AK9, " Value $")</f>
        <v>2021 Value $</v>
      </c>
      <c r="AM10" s="262" t="str">
        <f t="shared" si="28"/>
        <v>2022 Quantity</v>
      </c>
      <c r="AN10" s="262" t="str">
        <f t="shared" ref="AN10" si="31">CONCATENATE(AM9, " Value $")</f>
        <v>2022 Value $</v>
      </c>
      <c r="AO10" s="262" t="str">
        <f>CONCATENATE(AO9, " Quantity")</f>
        <v>2023 Quantity</v>
      </c>
      <c r="AP10" s="262" t="str">
        <f t="shared" ref="AP10" si="32">CONCATENATE(AO9, " Value $")</f>
        <v>2023 Value $</v>
      </c>
      <c r="AQ10" s="262" t="str">
        <f>CONCATENATE(AQ9, " Quantity")</f>
        <v>2024 Quantity</v>
      </c>
      <c r="AR10" s="262" t="str">
        <f t="shared" ref="AR10" si="33">CONCATENATE(AQ9, " Value $")</f>
        <v>2024 Value $</v>
      </c>
      <c r="AS10" s="262" t="str">
        <f>CONCATENATE(AS9, " Quantity")</f>
        <v>2025 Quantity</v>
      </c>
      <c r="AT10" s="262" t="str">
        <f t="shared" ref="AT10" si="34">CONCATENATE(AS9, " Value $")</f>
        <v>2025 Value $</v>
      </c>
      <c r="AU10" s="205" t="s">
        <v>507</v>
      </c>
      <c r="AV10" s="205" t="s">
        <v>508</v>
      </c>
    </row>
    <row r="11" spans="1:48" hidden="1" x14ac:dyDescent="0.25">
      <c r="A11" s="207"/>
      <c r="B11" s="205"/>
      <c r="C11" s="262">
        <v>1</v>
      </c>
      <c r="D11" s="262">
        <v>0</v>
      </c>
      <c r="E11" s="262">
        <v>1</v>
      </c>
      <c r="F11" s="262">
        <v>0</v>
      </c>
      <c r="G11" s="262">
        <v>1</v>
      </c>
      <c r="H11" s="262">
        <v>0</v>
      </c>
      <c r="I11" s="262">
        <v>1</v>
      </c>
      <c r="J11" s="262">
        <v>0</v>
      </c>
      <c r="K11" s="262">
        <v>1</v>
      </c>
      <c r="L11" s="262">
        <v>0</v>
      </c>
      <c r="M11" s="262">
        <v>1</v>
      </c>
      <c r="N11" s="262">
        <v>0</v>
      </c>
      <c r="O11" s="262">
        <v>1</v>
      </c>
      <c r="P11" s="262">
        <v>0</v>
      </c>
      <c r="Q11" s="262">
        <v>1</v>
      </c>
      <c r="R11" s="262">
        <v>0</v>
      </c>
      <c r="S11" s="262">
        <v>1</v>
      </c>
      <c r="T11" s="262">
        <v>0</v>
      </c>
      <c r="U11" s="262">
        <v>1</v>
      </c>
      <c r="V11" s="262">
        <v>0</v>
      </c>
      <c r="W11" s="262">
        <v>1</v>
      </c>
      <c r="X11" s="262">
        <v>0</v>
      </c>
      <c r="Y11" s="262">
        <v>1</v>
      </c>
      <c r="Z11" s="262">
        <v>0</v>
      </c>
      <c r="AA11" s="262">
        <v>1</v>
      </c>
      <c r="AB11" s="262">
        <v>0</v>
      </c>
      <c r="AC11" s="262">
        <v>1</v>
      </c>
      <c r="AD11" s="262">
        <v>0</v>
      </c>
      <c r="AE11" s="262">
        <v>1</v>
      </c>
      <c r="AF11" s="262">
        <v>0</v>
      </c>
      <c r="AG11" s="262">
        <v>1</v>
      </c>
      <c r="AH11" s="262">
        <v>0</v>
      </c>
      <c r="AI11" s="262">
        <v>1</v>
      </c>
      <c r="AJ11" s="262">
        <v>0</v>
      </c>
      <c r="AK11" s="262">
        <v>1</v>
      </c>
      <c r="AL11" s="262">
        <v>0</v>
      </c>
      <c r="AM11" s="262">
        <v>1</v>
      </c>
      <c r="AN11" s="262">
        <v>0</v>
      </c>
      <c r="AO11" s="262">
        <v>1</v>
      </c>
      <c r="AP11" s="262">
        <v>0</v>
      </c>
      <c r="AQ11" s="262">
        <v>1</v>
      </c>
      <c r="AR11" s="262">
        <v>0</v>
      </c>
      <c r="AS11" s="262">
        <v>1</v>
      </c>
      <c r="AT11" s="262">
        <v>0</v>
      </c>
      <c r="AU11" s="205"/>
      <c r="AV11" s="205"/>
    </row>
    <row r="12" spans="1:48" s="64" customFormat="1" x14ac:dyDescent="0.25">
      <c r="A12" s="263"/>
      <c r="B12" s="263"/>
      <c r="C12" s="264"/>
      <c r="D12" s="264"/>
      <c r="E12" s="264"/>
      <c r="F12" s="264"/>
      <c r="G12" s="264"/>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c r="AG12" s="264"/>
      <c r="AH12" s="264"/>
      <c r="AI12" s="264"/>
      <c r="AJ12" s="264"/>
      <c r="AK12" s="264"/>
      <c r="AL12" s="264"/>
      <c r="AM12" s="264"/>
      <c r="AN12" s="264"/>
      <c r="AO12" s="264"/>
      <c r="AP12" s="264"/>
      <c r="AQ12" s="264"/>
      <c r="AR12" s="264"/>
      <c r="AS12" s="264"/>
      <c r="AT12" s="264"/>
      <c r="AU12" s="264"/>
      <c r="AV12" s="264"/>
    </row>
    <row r="13" spans="1:48" x14ac:dyDescent="0.25">
      <c r="A13" s="210" t="s">
        <v>183</v>
      </c>
      <c r="B13" s="212"/>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66"/>
      <c r="AF13" s="266"/>
      <c r="AG13" s="266"/>
      <c r="AH13" s="266"/>
      <c r="AI13" s="266"/>
      <c r="AJ13" s="266"/>
      <c r="AK13" s="266"/>
      <c r="AL13" s="266"/>
      <c r="AM13" s="266"/>
      <c r="AN13" s="266"/>
      <c r="AO13" s="266"/>
      <c r="AP13" s="266"/>
      <c r="AQ13" s="266"/>
      <c r="AR13" s="266"/>
      <c r="AS13" s="266"/>
      <c r="AT13" s="266"/>
      <c r="AU13" s="211"/>
      <c r="AV13" s="211"/>
    </row>
    <row r="14" spans="1:48" x14ac:dyDescent="0.25">
      <c r="A14" s="213" t="s">
        <v>165</v>
      </c>
      <c r="B14" s="212" t="s">
        <v>166</v>
      </c>
      <c r="C14" s="211">
        <f>SUMIF('Alumina and Bauxite - Q&amp;V'!$H10:$H252,'Q&amp;V CY 2004 to Now'!C9,'Alumina and Bauxite - Q&amp;V'!$B10:$B252)*1000000</f>
        <v>10988386</v>
      </c>
      <c r="D14" s="211">
        <f>SUMIF('Alumina and Bauxite - Q&amp;V'!$H10:$H252,'Q&amp;V CY 2004 to Now'!C9,'Alumina and Bauxite - Q&amp;V'!$C10:$C252)*1000000</f>
        <v>3178952432.7800002</v>
      </c>
      <c r="E14" s="211">
        <f>SUMIF('Alumina and Bauxite - Q&amp;V'!$H10:$H252,'Q&amp;V CY 2004 to Now'!E9,'Alumina and Bauxite - Q&amp;V'!$B10:$B252)*1000000</f>
        <v>11352183</v>
      </c>
      <c r="F14" s="211">
        <f>SUMIF('Alumina and Bauxite - Q&amp;V'!$H10:$H252,'Q&amp;V CY 2004 to Now'!E9,'Alumina and Bauxite - Q&amp;V'!$C10:$C252)*1000000</f>
        <v>3594857487.9999995</v>
      </c>
      <c r="G14" s="211">
        <f>SUMIF('Alumina and Bauxite - Q&amp;V'!$H10:$H252,'Q&amp;V CY 2004 to Now'!G9,'Alumina and Bauxite - Q&amp;V'!$B10:$B252)*1000000</f>
        <v>11821747.75</v>
      </c>
      <c r="H14" s="211">
        <f>SUMIF('Alumina and Bauxite - Q&amp;V'!$H10:$H252,'Q&amp;V CY 2004 to Now'!G9,'Alumina and Bauxite - Q&amp;V'!$C10:$C252)*1000000</f>
        <v>4921721511.4200001</v>
      </c>
      <c r="I14" s="211">
        <f>SUMIF('Alumina and Bauxite - Q&amp;V'!$H10:$H252,'Q&amp;V CY 2004 to Now'!I9,'Alumina and Bauxite - Q&amp;V'!$B10:$B252)*1000000</f>
        <v>12193625.759000001</v>
      </c>
      <c r="J14" s="211">
        <f>SUMIF('Alumina and Bauxite - Q&amp;V'!$H10:$H252,'Q&amp;V CY 2004 to Now'!I9,'Alumina and Bauxite - Q&amp;V'!$C10:$C252)*1000000</f>
        <v>5048349872.8499994</v>
      </c>
      <c r="K14" s="211">
        <f>SUMIF('Alumina and Bauxite - Q&amp;V'!$H10:$H252,'Q&amp;V CY 2004 to Now'!K9,'Alumina and Bauxite - Q&amp;V'!$B10:$B252)*1000000</f>
        <v>12245763.095999999</v>
      </c>
      <c r="L14" s="211">
        <f>SUMIF('Alumina and Bauxite - Q&amp;V'!$H10:$H252,'Q&amp;V CY 2004 to Now'!K9,'Alumina and Bauxite - Q&amp;V'!$C10:$C252)*1000000</f>
        <v>4759510952.3999996</v>
      </c>
      <c r="M14" s="211">
        <f>SUMIF('Alumina and Bauxite - Q&amp;V'!$H10:$H252,'Q&amp;V CY 2004 to Now'!M9,'Alumina and Bauxite - Q&amp;V'!$B10:$B252)*1000000</f>
        <v>12421970</v>
      </c>
      <c r="N14" s="211">
        <f>SUMIF('Alumina and Bauxite - Q&amp;V'!$H10:$H252,'Q&amp;V CY 2004 to Now'!M9,'Alumina and Bauxite - Q&amp;V'!$C10:$C252)*1000000</f>
        <v>3800773509.1799998</v>
      </c>
      <c r="O14" s="211">
        <f>SUMIF('Alumina and Bauxite - Q&amp;V'!$H10:$H252,'Q&amp;V CY 2004 to Now'!O9,'Alumina and Bauxite - Q&amp;V'!$B10:$B252)*1000000</f>
        <v>12563285</v>
      </c>
      <c r="P14" s="211">
        <f>SUMIF('Alumina and Bauxite - Q&amp;V'!$H10:$H252,'Q&amp;V CY 2004 to Now'!O9,'Alumina and Bauxite - Q&amp;V'!$C10:$C252)*1000000</f>
        <v>3959414750.8300004</v>
      </c>
      <c r="Q14" s="211">
        <f>SUMIF('Alumina and Bauxite - Q&amp;V'!$H10:$H252,'Q&amp;V CY 2004 to Now'!Q9,'Alumina and Bauxite - Q&amp;V'!$B10:$B252)*1000000</f>
        <v>12291484</v>
      </c>
      <c r="R14" s="211">
        <f>SUMIF('Alumina and Bauxite - Q&amp;V'!$H10:$H252,'Q&amp;V CY 2004 to Now'!Q9,'Alumina and Bauxite - Q&amp;V'!$C10:$C252)*1000000</f>
        <v>4189465679.9999995</v>
      </c>
      <c r="S14" s="211">
        <f>SUMIF('Alumina and Bauxite - Q&amp;V'!$H10:$H252,'Q&amp;V CY 2004 to Now'!S9,'Alumina and Bauxite - Q&amp;V'!$B10:$B252)*1000000</f>
        <v>12811549.390000001</v>
      </c>
      <c r="T14" s="211">
        <f>SUMIF('Alumina and Bauxite - Q&amp;V'!$H10:$H252,'Q&amp;V CY 2004 to Now'!S9,'Alumina and Bauxite - Q&amp;V'!$C10:$C252)*1000000</f>
        <v>3831147471.9999995</v>
      </c>
      <c r="U14" s="211">
        <f>SUMIF('Alumina and Bauxite - Q&amp;V'!$H10:$H252,'Q&amp;V CY 2004 to Now'!U9,'Alumina and Bauxite - Q&amp;V'!$B10:$B252)*1000000</f>
        <v>13625703.529999999</v>
      </c>
      <c r="V14" s="211">
        <f>SUMIF('Alumina and Bauxite - Q&amp;V'!$H10:$H252,'Q&amp;V CY 2004 to Now'!U9,'Alumina and Bauxite - Q&amp;V'!$C10:$C252)*1000000</f>
        <v>4147050892.9999995</v>
      </c>
      <c r="W14" s="211">
        <f>SUMIF('Alumina and Bauxite - Q&amp;V'!$H10:$H252,'Q&amp;V CY 2004 to Now'!W9,'Alumina and Bauxite - Q&amp;V'!$B10:$B252)*1000000</f>
        <v>13876846.26</v>
      </c>
      <c r="X14" s="211">
        <f>SUMIF('Alumina and Bauxite - Q&amp;V'!$H10:$H252,'Q&amp;V CY 2004 to Now'!W9,'Alumina and Bauxite - Q&amp;V'!$C10:$C252)*1000000</f>
        <v>4561739159</v>
      </c>
      <c r="Y14" s="211">
        <f>SUMIF('Alumina and Bauxite - Q&amp;V'!$H10:$H252,'Q&amp;V CY 2004 to Now'!Y9,'Alumina and Bauxite - Q&amp;V'!$B10:$B252)*1000000</f>
        <v>13778493.585999997</v>
      </c>
      <c r="Z14" s="211">
        <f>SUMIF('Alumina and Bauxite - Q&amp;V'!$H10:$H252,'Q&amp;V CY 2004 to Now'!Y9,'Alumina and Bauxite - Q&amp;V'!$C10:$C252)*1000000</f>
        <v>5290382611.999999</v>
      </c>
      <c r="AA14" s="211">
        <f>SUMIF('Alumina and Bauxite - Q&amp;V'!$H10:$H252,'Q&amp;V CY 2004 to Now'!AA9,'Alumina and Bauxite - Q&amp;V'!$B10:$B252)*1000000</f>
        <v>13829773.889999999</v>
      </c>
      <c r="AB14" s="211">
        <f>SUMIF('Alumina and Bauxite - Q&amp;V'!$H10:$H252,'Q&amp;V CY 2004 to Now'!AA9,'Alumina and Bauxite - Q&amp;V'!$C10:$C252)*1000000</f>
        <v>4580248644</v>
      </c>
      <c r="AC14" s="211">
        <f>SUMIF('Alumina and Bauxite - Q&amp;V'!$H10:$H252,'Q&amp;V CY 2004 to Now'!AC9,'Alumina and Bauxite - Q&amp;V'!$B10:$B252)*1000000</f>
        <v>13847004.060000001</v>
      </c>
      <c r="AD14" s="211">
        <f>SUMIF('Alumina and Bauxite - Q&amp;V'!$H10:$H252,'Q&amp;V CY 2004 to Now'!AC9,'Alumina and Bauxite - Q&amp;V'!$C10:$C252)*1000000</f>
        <v>5839516020</v>
      </c>
      <c r="AE14" s="211">
        <f>SUMIF('Alumina and Bauxite - Q&amp;V'!$H10:$H252,'Q&amp;V CY 2004 to Now'!AE9,'Alumina and Bauxite - Q&amp;V'!$B10:$B252)*1000000</f>
        <v>13498431.119999999</v>
      </c>
      <c r="AF14" s="211">
        <f>SUMIF('Alumina and Bauxite - Q&amp;V'!$H10:$H252,'Q&amp;V CY 2004 to Now'!AE9,'Alumina and Bauxite - Q&amp;V'!$C10:$C252)*1000000</f>
        <v>7868937610.999999</v>
      </c>
      <c r="AG14" s="211">
        <f>SUMIF('Alumina and Bauxite - Q&amp;V'!$H10:$H252,'Q&amp;V CY 2004 to Now'!AG9,'Alumina and Bauxite - Q&amp;V'!$B10:$B252)*1000000</f>
        <v>14019717.422999999</v>
      </c>
      <c r="AH14" s="211">
        <f>SUMIF('Alumina and Bauxite - Q&amp;V'!$H10:$H252,'Q&amp;V CY 2004 to Now'!AG9,'Alumina and Bauxite - Q&amp;V'!$C10:$C252)*1000000</f>
        <v>7291304693</v>
      </c>
      <c r="AI14" s="211">
        <f>SUMIF('Alumina and Bauxite - Q&amp;V'!$H10:$H252,'Q&amp;V CY 2004 to Now'!AI9,'Alumina and Bauxite - Q&amp;V'!$B10:$B252)*1000000</f>
        <v>14242609.689999998</v>
      </c>
      <c r="AJ14" s="211">
        <f>SUMIF('Alumina and Bauxite - Q&amp;V'!$H10:$H252,'Q&amp;V CY 2004 to Now'!AI9,'Alumina and Bauxite - Q&amp;V'!$C10:$C252)*1000000</f>
        <v>5788299191.999999</v>
      </c>
      <c r="AK14" s="211">
        <f>SUMIF('Alumina and Bauxite - Q&amp;V'!$H10:$H252,'Q&amp;V CY 2004 to Now'!AK9,'Alumina and Bauxite - Q&amp;V'!$B10:$B252)*1000000</f>
        <v>14193521.710000001</v>
      </c>
      <c r="AL14" s="211">
        <f>SUMIF('Alumina and Bauxite - Q&amp;V'!$H10:$H252,'Q&amp;V CY 2004 to Now'!AK9,'Alumina and Bauxite - Q&amp;V'!$C10:$C252)*1000000</f>
        <v>5890745194</v>
      </c>
      <c r="AM14" s="211">
        <f>SUMIF('Alumina and Bauxite - Q&amp;V'!$H10:$H252,'Q&amp;V CY 2004 to Now'!AM9,'Alumina and Bauxite - Q&amp;V'!$B10:$B252)*1000000</f>
        <v>13451525.954000002</v>
      </c>
      <c r="AN14" s="211">
        <f>SUMIF('Alumina and Bauxite - Q&amp;V'!$H10:$H252,'Q&amp;V CY 2004 to Now'!AM9,'Alumina and Bauxite - Q&amp;V'!$C10:$C252)*1000000</f>
        <v>6855199075.999999</v>
      </c>
      <c r="AO14" s="211">
        <f>SUMIF('Alumina and Bauxite - Q&amp;V'!$H10:$H252,'Q&amp;V CY 2004 to Now'!AO9,'Alumina and Bauxite - Q&amp;V'!$B10:$B252)*1000000</f>
        <v>12733554.529999999</v>
      </c>
      <c r="AP14" s="211">
        <f>SUMIF('Alumina and Bauxite - Q&amp;V'!$H10:$H252,'Q&amp;V CY 2004 to Now'!AO9,'Alumina and Bauxite - Q&amp;V'!$C10:$C252)*1000000</f>
        <v>6566738464</v>
      </c>
      <c r="AQ14" s="211">
        <f>SUMIF('Alumina and Bauxite - Q&amp;V'!$H10:$H252,'Q&amp;V CY 2004 to Now'!AQ9,'Alumina and Bauxite - Q&amp;V'!$B10:$B252)*1000000</f>
        <v>11422483.994000001</v>
      </c>
      <c r="AR14" s="211">
        <f>SUMIF('Alumina and Bauxite - Q&amp;V'!$H10:$H252,'Q&amp;V CY 2004 to Now'!AQ9,'Alumina and Bauxite - Q&amp;V'!$C10:$C252)*1000000</f>
        <v>7367903014</v>
      </c>
      <c r="AS14" s="211">
        <f>SUMIF('Alumina and Bauxite - Q&amp;V'!$H10:$H252,'Q&amp;V CY 2004 to Now'!AS9,'Alumina and Bauxite - Q&amp;V'!$B10:$B252)*1000000</f>
        <v>10998568.908</v>
      </c>
      <c r="AT14" s="211">
        <f>SUMIF('Alumina and Bauxite - Q&amp;V'!$H10:$H252,'Q&amp;V CY 2004 to Now'!AS9,'Alumina and Bauxite - Q&amp;V'!$C10:$C252)*1000000</f>
        <v>7702562001.999999</v>
      </c>
      <c r="AU14" s="211">
        <f>SUMIF($C$11:AT$11, 1, $C14:AT14)</f>
        <v>282208228.64999998</v>
      </c>
      <c r="AV14" s="211">
        <f>SUMIF($C$11:AT$11, 0, $C14:AT14)</f>
        <v>117034820243.45999</v>
      </c>
    </row>
    <row r="15" spans="1:48" x14ac:dyDescent="0.25">
      <c r="A15" s="213" t="s">
        <v>184</v>
      </c>
      <c r="B15" s="212" t="s">
        <v>166</v>
      </c>
      <c r="C15" s="211">
        <f>SUMIF('Alumina and Bauxite - Q&amp;V'!$H10:$H252,'Q&amp;V CY 2004 to Now'!C9,'Alumina and Bauxite - Q&amp;V'!$D10:$D252)*1000000</f>
        <v>0</v>
      </c>
      <c r="D15" s="211">
        <f>SUMIF('Alumina and Bauxite - Q&amp;V'!$H10:$H252,'Q&amp;V CY 2004 to Now'!C9,'Alumina and Bauxite - Q&amp;V'!$E10:$E252)*1000000</f>
        <v>0</v>
      </c>
      <c r="E15" s="211">
        <f>SUMIF('Alumina and Bauxite - Q&amp;V'!$H10:$H252,'Q&amp;V CY 2004 to Now'!E9,'Alumina and Bauxite - Q&amp;V'!$D10:$D252)*1000000</f>
        <v>0</v>
      </c>
      <c r="F15" s="211">
        <f>SUMIF('Alumina and Bauxite - Q&amp;V'!$H10:$H252,'Q&amp;V CY 2004 to Now'!E9,'Alumina and Bauxite - Q&amp;V'!$E10:$E252)*1000000</f>
        <v>0</v>
      </c>
      <c r="G15" s="211">
        <f>SUMIF('Alumina and Bauxite - Q&amp;V'!$H10:$H252,'Q&amp;V CY 2004 to Now'!G9,'Alumina and Bauxite - Q&amp;V'!$D10:$D252)*1000000</f>
        <v>0</v>
      </c>
      <c r="H15" s="211">
        <f>SUMIF('Alumina and Bauxite - Q&amp;V'!$H10:$H252,'Q&amp;V CY 2004 to Now'!G9,'Alumina and Bauxite - Q&amp;V'!$E10:$E252)*1000000</f>
        <v>0</v>
      </c>
      <c r="I15" s="211">
        <f>SUMIF('Alumina and Bauxite - Q&amp;V'!$H10:$H252,'Q&amp;V CY 2004 to Now'!I9,'Alumina and Bauxite - Q&amp;V'!$D10:$D252)*1000000</f>
        <v>0</v>
      </c>
      <c r="J15" s="211">
        <f>SUMIF('Alumina and Bauxite - Q&amp;V'!$H10:$H252,'Q&amp;V CY 2004 to Now'!I9,'Alumina and Bauxite - Q&amp;V'!$E10:$E252)*1000000</f>
        <v>0</v>
      </c>
      <c r="K15" s="211">
        <f>SUMIF('Alumina and Bauxite - Q&amp;V'!$H10:$H252,'Q&amp;V CY 2004 to Now'!K9,'Alumina and Bauxite - Q&amp;V'!$D10:$D252)*1000000</f>
        <v>0</v>
      </c>
      <c r="L15" s="211">
        <f>SUMIF('Alumina and Bauxite - Q&amp;V'!$H10:$H252,'Q&amp;V CY 2004 to Now'!K9,'Alumina and Bauxite - Q&amp;V'!$E10:$E252)*1000000</f>
        <v>0</v>
      </c>
      <c r="M15" s="211">
        <f>SUMIF('Alumina and Bauxite - Q&amp;V'!$H10:$H252,'Q&amp;V CY 2004 to Now'!M9,'Alumina and Bauxite - Q&amp;V'!$D10:$D252)*1000000</f>
        <v>0</v>
      </c>
      <c r="N15" s="211">
        <f>SUMIF('Alumina and Bauxite - Q&amp;V'!$H10:$H252,'Q&amp;V CY 2004 to Now'!M9,'Alumina and Bauxite - Q&amp;V'!$E10:$E252)*1000000</f>
        <v>0</v>
      </c>
      <c r="O15" s="211">
        <f>SUMIF('Alumina and Bauxite - Q&amp;V'!$H10:$H252,'Q&amp;V CY 2004 to Now'!O9,'Alumina and Bauxite - Q&amp;V'!$D10:$D252)*1000000</f>
        <v>0</v>
      </c>
      <c r="P15" s="211">
        <f>SUMIF('Alumina and Bauxite - Q&amp;V'!$H10:$H252,'Q&amp;V CY 2004 to Now'!O9,'Alumina and Bauxite - Q&amp;V'!$E10:$E252)*1000000</f>
        <v>0</v>
      </c>
      <c r="Q15" s="211">
        <f>SUMIF('Alumina and Bauxite - Q&amp;V'!$H10:$H252,'Q&amp;V CY 2004 to Now'!Q9,'Alumina and Bauxite - Q&amp;V'!$D10:$D252)*1000000</f>
        <v>0</v>
      </c>
      <c r="R15" s="211">
        <f>SUMIF('Alumina and Bauxite - Q&amp;V'!$H10:$H252,'Q&amp;V CY 2004 to Now'!Q9,'Alumina and Bauxite - Q&amp;V'!$E10:$E252)*1000000</f>
        <v>0</v>
      </c>
      <c r="S15" s="211">
        <f>SUMIF('Alumina and Bauxite - Q&amp;V'!$H10:$H252,'Q&amp;V CY 2004 to Now'!S9,'Alumina and Bauxite - Q&amp;V'!$D10:$D252)*1000000</f>
        <v>0</v>
      </c>
      <c r="T15" s="211">
        <f>SUMIF('Alumina and Bauxite - Q&amp;V'!$H10:$H252,'Q&amp;V CY 2004 to Now'!S9,'Alumina and Bauxite - Q&amp;V'!$E10:$E252)*1000000</f>
        <v>0</v>
      </c>
      <c r="U15" s="211">
        <f>SUMIF('Alumina and Bauxite - Q&amp;V'!$H10:$H252,'Q&amp;V CY 2004 to Now'!U9,'Alumina and Bauxite - Q&amp;V'!$D10:$D252)*1000000</f>
        <v>0</v>
      </c>
      <c r="V15" s="211">
        <f>SUMIF('Alumina and Bauxite - Q&amp;V'!$H10:$H252,'Q&amp;V CY 2004 to Now'!U9,'Alumina and Bauxite - Q&amp;V'!$E10:$E252)*1000000</f>
        <v>0</v>
      </c>
      <c r="W15" s="211">
        <f>SUMIF('Alumina and Bauxite - Q&amp;V'!$H10:$H252,'Q&amp;V CY 2004 to Now'!W9,'Alumina and Bauxite - Q&amp;V'!$D10:$D252)*1000000</f>
        <v>0</v>
      </c>
      <c r="X15" s="211">
        <f>SUMIF('Alumina and Bauxite - Q&amp;V'!$H10:$H252,'Q&amp;V CY 2004 to Now'!W9,'Alumina and Bauxite - Q&amp;V'!$E10:$E252)*1000000</f>
        <v>0</v>
      </c>
      <c r="Y15" s="211">
        <f>SUMIF('Alumina and Bauxite - Q&amp;V'!$H10:$H252,'Q&amp;V CY 2004 to Now'!Y9,'Alumina and Bauxite - Q&amp;V'!$D10:$D252)*1000000</f>
        <v>0</v>
      </c>
      <c r="Z15" s="211">
        <f>SUMIF('Alumina and Bauxite - Q&amp;V'!$H10:$H252,'Q&amp;V CY 2004 to Now'!Y9,'Alumina and Bauxite - Q&amp;V'!$E10:$E252)*1000000</f>
        <v>0</v>
      </c>
      <c r="AA15" s="211">
        <f>SUMIF('Alumina and Bauxite - Q&amp;V'!$H10:$H252,'Q&amp;V CY 2004 to Now'!AA9,'Alumina and Bauxite - Q&amp;V'!$D10:$D252)*1000000</f>
        <v>92315</v>
      </c>
      <c r="AB15" s="211">
        <f>SUMIF('Alumina and Bauxite - Q&amp;V'!$H10:$H252,'Q&amp;V CY 2004 to Now'!AA9,'Alumina and Bauxite - Q&amp;V'!$E10:$E252)*1000000</f>
        <v>3947034.9999999995</v>
      </c>
      <c r="AC15" s="211">
        <f>SUMIF('Alumina and Bauxite - Q&amp;V'!$H10:$H252,'Q&amp;V CY 2004 to Now'!AC9,'Alumina and Bauxite - Q&amp;V'!$D10:$D252)*1000000</f>
        <v>824002.3899999999</v>
      </c>
      <c r="AD15" s="211">
        <f>SUMIF('Alumina and Bauxite - Q&amp;V'!$H10:$H252,'Q&amp;V CY 2004 to Now'!AC9,'Alumina and Bauxite - Q&amp;V'!$E10:$E252)*1000000</f>
        <v>38833832</v>
      </c>
      <c r="AE15" s="211">
        <f>SUMIF('Alumina and Bauxite - Q&amp;V'!$H10:$H252,'Q&amp;V CY 2004 to Now'!AE9,'Alumina and Bauxite - Q&amp;V'!$D10:$D252)*1000000</f>
        <v>1480962.6799999997</v>
      </c>
      <c r="AF15" s="211">
        <f>SUMIF('Alumina and Bauxite - Q&amp;V'!$H10:$H252,'Q&amp;V CY 2004 to Now'!AE9,'Alumina and Bauxite - Q&amp;V'!$E10:$E252)*1000000</f>
        <v>55917261.999999993</v>
      </c>
      <c r="AG15" s="211">
        <f>SUMIF('Alumina and Bauxite - Q&amp;V'!$H10:$H252,'Q&amp;V CY 2004 to Now'!AG9,'Alumina and Bauxite - Q&amp;V'!$D10:$D252)*1000000</f>
        <v>1866166.03</v>
      </c>
      <c r="AH15" s="211">
        <f>SUMIF('Alumina and Bauxite - Q&amp;V'!$H10:$H252,'Q&amp;V CY 2004 to Now'!AG9,'Alumina and Bauxite - Q&amp;V'!$E10:$E252)*1000000</f>
        <v>69905999.000000015</v>
      </c>
      <c r="AI15" s="211">
        <f>SUMIF('Alumina and Bauxite - Q&amp;V'!$H10:$H252,'Q&amp;V CY 2004 to Now'!AI9,'Alumina and Bauxite - Q&amp;V'!$D10:$D252)*1000000</f>
        <v>1955861.3</v>
      </c>
      <c r="AJ15" s="211">
        <f>SUMIF('Alumina and Bauxite - Q&amp;V'!$H10:$H252,'Q&amp;V CY 2004 to Now'!AI9,'Alumina and Bauxite - Q&amp;V'!$E10:$E252)*1000000</f>
        <v>67441130</v>
      </c>
      <c r="AK15" s="211">
        <f>SUMIF('Alumina and Bauxite - Q&amp;V'!$H10:$H252,'Q&amp;V CY 2004 to Now'!AK9,'Alumina and Bauxite - Q&amp;V'!$D10:$D252)*1000000</f>
        <v>1071050.49</v>
      </c>
      <c r="AL15" s="211">
        <f>SUMIF('Alumina and Bauxite - Q&amp;V'!$H10:$H252,'Q&amp;V CY 2004 to Now'!AK9,'Alumina and Bauxite - Q&amp;V'!$E10:$E252)*1000000</f>
        <v>33914753</v>
      </c>
      <c r="AM15" s="211">
        <f>SUMIF('Alumina and Bauxite - Q&amp;V'!$H10:$H252,'Q&amp;V CY 2004 to Now'!AM9,'Alumina and Bauxite - Q&amp;V'!$D10:$D252)*1000000</f>
        <v>0</v>
      </c>
      <c r="AN15" s="211">
        <f>SUMIF('Alumina and Bauxite - Q&amp;V'!$H10:$H252,'Q&amp;V CY 2004 to Now'!AM9,'Alumina and Bauxite - Q&amp;V'!$E10:$E252)*1000000</f>
        <v>0</v>
      </c>
      <c r="AO15" s="211">
        <f>SUMIF('Alumina and Bauxite - Q&amp;V'!$H10:$H252,'Q&amp;V CY 2004 to Now'!AO9,'Alumina and Bauxite - Q&amp;V'!$D10:$D252)*1000000</f>
        <v>0</v>
      </c>
      <c r="AP15" s="211">
        <f>SUMIF('Alumina and Bauxite - Q&amp;V'!$H10:$H252,'Q&amp;V CY 2004 to Now'!AO9,'Alumina and Bauxite - Q&amp;V'!$E10:$E252)*1000000</f>
        <v>0</v>
      </c>
      <c r="AQ15" s="211">
        <f>SUMIF('Alumina and Bauxite - Q&amp;V'!$H10:$H252,'Q&amp;V CY 2004 to Now'!AQ9,'Alumina and Bauxite - Q&amp;V'!$D10:$D252)*1000000</f>
        <v>0</v>
      </c>
      <c r="AR15" s="211">
        <f>SUMIF('Alumina and Bauxite - Q&amp;V'!$H10:$H252,'Q&amp;V CY 2004 to Now'!AQ9,'Alumina and Bauxite - Q&amp;V'!$E10:$E252)*1000000</f>
        <v>0</v>
      </c>
      <c r="AS15" s="211">
        <f>SUMIF('Alumina and Bauxite - Q&amp;V'!$H10:$H252,'Q&amp;V CY 2004 to Now'!AS9,'Alumina and Bauxite - Q&amp;V'!$D10:$D252)*1000000</f>
        <v>0</v>
      </c>
      <c r="AT15" s="211">
        <f>SUMIF('Alumina and Bauxite - Q&amp;V'!$H10:$H252,'Q&amp;V CY 2004 to Now'!AS9,'Alumina and Bauxite - Q&amp;V'!$E10:$E252)*1000000</f>
        <v>0</v>
      </c>
      <c r="AU15" s="211">
        <f>SUMIF($C$11:AT$11, 1, $C15:AT15)</f>
        <v>7290357.8899999997</v>
      </c>
      <c r="AV15" s="211">
        <f>SUMIF($C$11:AT$11, 0, $C15:AT15)</f>
        <v>269960011</v>
      </c>
    </row>
    <row r="16" spans="1:48" x14ac:dyDescent="0.25">
      <c r="A16" s="214" t="s">
        <v>187</v>
      </c>
      <c r="B16" s="212"/>
      <c r="C16" s="267"/>
      <c r="D16" s="267">
        <f t="shared" ref="D16:P16" si="35">SUM(D14:D15)</f>
        <v>3178952432.7800002</v>
      </c>
      <c r="E16" s="267"/>
      <c r="F16" s="267">
        <f t="shared" si="35"/>
        <v>3594857487.9999995</v>
      </c>
      <c r="G16" s="267"/>
      <c r="H16" s="267">
        <f t="shared" si="35"/>
        <v>4921721511.4200001</v>
      </c>
      <c r="I16" s="267"/>
      <c r="J16" s="267">
        <f t="shared" si="35"/>
        <v>5048349872.8499994</v>
      </c>
      <c r="K16" s="267"/>
      <c r="L16" s="267">
        <f t="shared" si="35"/>
        <v>4759510952.3999996</v>
      </c>
      <c r="M16" s="267"/>
      <c r="N16" s="267">
        <f t="shared" si="35"/>
        <v>3800773509.1799998</v>
      </c>
      <c r="O16" s="267"/>
      <c r="P16" s="267">
        <f t="shared" si="35"/>
        <v>3959414750.8300004</v>
      </c>
      <c r="Q16" s="267"/>
      <c r="R16" s="267">
        <f t="shared" ref="R16" si="36">SUM(R14:R15)</f>
        <v>4189465679.9999995</v>
      </c>
      <c r="S16" s="267"/>
      <c r="T16" s="267">
        <f t="shared" ref="T16" si="37">SUM(T14:T15)</f>
        <v>3831147471.9999995</v>
      </c>
      <c r="U16" s="267"/>
      <c r="V16" s="267">
        <f t="shared" ref="V16" si="38">SUM(V14:V15)</f>
        <v>4147050892.9999995</v>
      </c>
      <c r="W16" s="267"/>
      <c r="X16" s="267">
        <f t="shared" ref="X16" si="39">SUM(X14:X15)</f>
        <v>4561739159</v>
      </c>
      <c r="Y16" s="267"/>
      <c r="Z16" s="267">
        <f t="shared" ref="Z16" si="40">SUM(Z14:Z15)</f>
        <v>5290382611.999999</v>
      </c>
      <c r="AA16" s="267"/>
      <c r="AB16" s="267">
        <f t="shared" ref="AB16" si="41">SUM(AB14:AB15)</f>
        <v>4584195679</v>
      </c>
      <c r="AC16" s="267"/>
      <c r="AD16" s="267">
        <f t="shared" ref="AD16" si="42">SUM(AD14:AD15)</f>
        <v>5878349852</v>
      </c>
      <c r="AE16" s="267"/>
      <c r="AF16" s="267">
        <f t="shared" ref="AF16" si="43">SUM(AF14:AF15)</f>
        <v>7924854872.999999</v>
      </c>
      <c r="AG16" s="267"/>
      <c r="AH16" s="267">
        <f t="shared" ref="AH16" si="44">SUM(AH14:AH15)</f>
        <v>7361210692</v>
      </c>
      <c r="AI16" s="267"/>
      <c r="AJ16" s="267">
        <f t="shared" ref="AJ16" si="45">SUM(AJ14:AJ15)</f>
        <v>5855740321.999999</v>
      </c>
      <c r="AK16" s="267"/>
      <c r="AL16" s="267">
        <f t="shared" ref="AL16" si="46">SUM(AL14:AL15)</f>
        <v>5924659947</v>
      </c>
      <c r="AM16" s="267"/>
      <c r="AN16" s="267">
        <f t="shared" ref="AN16" si="47">SUM(AN14:AN15)</f>
        <v>6855199075.999999</v>
      </c>
      <c r="AO16" s="267"/>
      <c r="AP16" s="267">
        <f t="shared" ref="AP16:AT16" si="48">SUM(AP14:AP15)</f>
        <v>6566738464</v>
      </c>
      <c r="AQ16" s="267"/>
      <c r="AR16" s="267">
        <f t="shared" ref="AR16" si="49">SUM(AR14:AR15)</f>
        <v>7367903014</v>
      </c>
      <c r="AS16" s="267"/>
      <c r="AT16" s="267">
        <f t="shared" si="48"/>
        <v>7702562001.999999</v>
      </c>
      <c r="AU16" s="267"/>
      <c r="AV16" s="211">
        <f>SUMIF($C$11:AT$11, 0, $C16:AT16)</f>
        <v>117304780254.45999</v>
      </c>
    </row>
    <row r="17" spans="1:48" x14ac:dyDescent="0.25">
      <c r="A17" s="269"/>
      <c r="B17" s="270"/>
      <c r="C17" s="271"/>
      <c r="D17" s="271"/>
      <c r="E17" s="201"/>
      <c r="F17" s="201"/>
      <c r="G17" s="201"/>
      <c r="H17" s="201"/>
      <c r="I17" s="271"/>
      <c r="J17" s="271"/>
      <c r="K17" s="201"/>
      <c r="L17" s="201"/>
      <c r="M17" s="201"/>
      <c r="N17" s="201"/>
      <c r="O17" s="201"/>
      <c r="P17" s="201"/>
      <c r="Q17" s="201"/>
      <c r="R17" s="201"/>
      <c r="S17" s="201"/>
      <c r="T17" s="201"/>
      <c r="U17" s="201"/>
      <c r="V17" s="201"/>
      <c r="W17" s="201"/>
      <c r="X17" s="201"/>
      <c r="Y17" s="201"/>
      <c r="Z17" s="201"/>
      <c r="AA17" s="201"/>
      <c r="AB17" s="272"/>
      <c r="AC17" s="272"/>
      <c r="AD17" s="272"/>
      <c r="AE17" s="273"/>
      <c r="AF17" s="273"/>
      <c r="AG17" s="273"/>
      <c r="AH17" s="273"/>
      <c r="AI17" s="273"/>
      <c r="AJ17" s="273"/>
      <c r="AK17" s="273"/>
      <c r="AL17" s="273"/>
      <c r="AM17" s="273"/>
      <c r="AN17" s="273"/>
      <c r="AO17" s="273"/>
      <c r="AP17" s="273"/>
      <c r="AQ17" s="273"/>
      <c r="AR17" s="273"/>
      <c r="AS17" s="273"/>
      <c r="AT17" s="273"/>
      <c r="AU17" s="201"/>
      <c r="AV17" s="201"/>
    </row>
    <row r="18" spans="1:48" x14ac:dyDescent="0.25">
      <c r="A18" s="215" t="s">
        <v>190</v>
      </c>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72"/>
      <c r="AC18" s="272"/>
      <c r="AD18" s="272"/>
      <c r="AE18" s="273"/>
      <c r="AF18" s="273"/>
      <c r="AG18" s="273"/>
      <c r="AH18" s="273"/>
      <c r="AI18" s="273"/>
      <c r="AJ18" s="273"/>
      <c r="AK18" s="273"/>
      <c r="AL18" s="273"/>
      <c r="AM18" s="273"/>
      <c r="AN18" s="273"/>
      <c r="AO18" s="273"/>
      <c r="AP18" s="273"/>
      <c r="AQ18" s="273"/>
      <c r="AR18" s="273"/>
      <c r="AS18" s="273"/>
      <c r="AT18" s="273"/>
      <c r="AU18" s="201"/>
      <c r="AV18" s="201"/>
    </row>
    <row r="19" spans="1:48" x14ac:dyDescent="0.25">
      <c r="A19" s="229" t="s">
        <v>191</v>
      </c>
      <c r="B19" s="219" t="s">
        <v>166</v>
      </c>
      <c r="C19" s="201">
        <f>SUMIF('Copper-Lead-Zinc - Q&amp;V'!$H9:$H251,'Q&amp;V CY 2004 to Now'!C9,'Copper-Lead-Zinc - Q&amp;V'!$B9:$B251)*1000</f>
        <v>42260.094000000005</v>
      </c>
      <c r="D19" s="201">
        <f>SUMIF('Copper-Lead-Zinc - Q&amp;V'!$H9:$H251,'Q&amp;V CY 2004 to Now'!C9,'Copper-Lead-Zinc - Q&amp;V'!$C9:$C251)*1000000</f>
        <v>168134375.94999999</v>
      </c>
      <c r="E19" s="201">
        <f>SUMIF('Copper-Lead-Zinc - Q&amp;V'!$H9:$H251,'Q&amp;V CY 2004 to Now'!E9,'Copper-Lead-Zinc - Q&amp;V'!$B9:$B251)*1000</f>
        <v>85220.481</v>
      </c>
      <c r="F19" s="201">
        <f>SUMIF('Copper-Lead-Zinc - Q&amp;V'!$H9:$H251,'Q&amp;V CY 2004 to Now'!E9,'Copper-Lead-Zinc - Q&amp;V'!$C9:$C251)*1000000</f>
        <v>471208395.87999994</v>
      </c>
      <c r="G19" s="201">
        <f>SUMIF('Copper-Lead-Zinc - Q&amp;V'!$H9:$H251,'Q&amp;V CY 2004 to Now'!G9,'Copper-Lead-Zinc - Q&amp;V'!$B9:$B251)*1000</f>
        <v>99242.47099999999</v>
      </c>
      <c r="H19" s="201">
        <f>SUMIF('Copper-Lead-Zinc - Q&amp;V'!$H9:$H251,'Q&amp;V CY 2004 to Now'!G9,'Copper-Lead-Zinc - Q&amp;V'!$C9:$C251)*1000000</f>
        <v>865000194.02999985</v>
      </c>
      <c r="I19" s="201">
        <f>SUMIF('Copper-Lead-Zinc - Q&amp;V'!$H9:$H251,'Q&amp;V CY 2004 to Now'!I9,'Copper-Lead-Zinc - Q&amp;V'!$B9:$B251)*1000</f>
        <v>105404.98599999999</v>
      </c>
      <c r="J19" s="201">
        <f>SUMIF('Copper-Lead-Zinc - Q&amp;V'!$H9:$H251,'Q&amp;V CY 2004 to Now'!I9,'Copper-Lead-Zinc - Q&amp;V'!$C9:$C251)*1000000</f>
        <v>885582785.29999995</v>
      </c>
      <c r="K19" s="201">
        <f>SUMIF('Copper-Lead-Zinc - Q&amp;V'!$H9:$H251,'Q&amp;V CY 2004 to Now'!K9,'Copper-Lead-Zinc - Q&amp;V'!$B9:$B251)*1000</f>
        <v>119055.948</v>
      </c>
      <c r="L19" s="201">
        <f>SUMIF('Copper-Lead-Zinc - Q&amp;V'!$H9:$H251,'Q&amp;V CY 2004 to Now'!K9,'Copper-Lead-Zinc - Q&amp;V'!$C9:$C251)*1000000</f>
        <v>832515153.68000007</v>
      </c>
      <c r="M19" s="201">
        <f>SUMIF('Copper-Lead-Zinc - Q&amp;V'!$H9:$H251,'Q&amp;V CY 2004 to Now'!M9,'Copper-Lead-Zinc - Q&amp;V'!$B9:$B251)*1000</f>
        <v>151496.43399999998</v>
      </c>
      <c r="N19" s="201">
        <f>SUMIF('Copper-Lead-Zinc - Q&amp;V'!$H9:$H251,'Q&amp;V CY 2004 to Now'!M9,'Copper-Lead-Zinc - Q&amp;V'!$C9:$C251)*1000000</f>
        <v>933123284.94000006</v>
      </c>
      <c r="O19" s="201">
        <f>SUMIF('Copper-Lead-Zinc - Q&amp;V'!$H9:$H251,'Q&amp;V CY 2004 to Now'!O9,'Copper-Lead-Zinc - Q&amp;V'!$B9:$B251)*1000</f>
        <v>155650.68099999998</v>
      </c>
      <c r="P19" s="201">
        <f>SUMIF('Copper-Lead-Zinc - Q&amp;V'!$H9:$H251,'Q&amp;V CY 2004 to Now'!O9,'Copper-Lead-Zinc - Q&amp;V'!$C9:$C251)*1000000</f>
        <v>1302148086.0799999</v>
      </c>
      <c r="Q19" s="201">
        <f>SUMIF('Copper-Lead-Zinc - Q&amp;V'!$H9:$H251,'Q&amp;V CY 2004 to Now'!Q9,'Copper-Lead-Zinc - Q&amp;V'!$B9:$B251)*1000</f>
        <v>144958.04783199998</v>
      </c>
      <c r="R19" s="201">
        <f>SUMIF('Copper-Lead-Zinc - Q&amp;V'!$H9:$H251,'Q&amp;V CY 2004 to Now'!Q9,'Copper-Lead-Zinc - Q&amp;V'!$C9:$C251)*1000000</f>
        <v>1195223608.26</v>
      </c>
      <c r="S19" s="201">
        <f>SUMIF('Copper-Lead-Zinc - Q&amp;V'!$H9:$H251,'Q&amp;V CY 2004 to Now'!S9,'Copper-Lead-Zinc - Q&amp;V'!$B9:$B251)*1000</f>
        <v>185750.019937</v>
      </c>
      <c r="T19" s="201">
        <f>SUMIF('Copper-Lead-Zinc - Q&amp;V'!$H9:$H251,'Q&amp;V CY 2004 to Now'!S9,'Copper-Lead-Zinc - Q&amp;V'!$C9:$C251)*1000000</f>
        <v>1370450102.3600001</v>
      </c>
      <c r="U19" s="201">
        <f>SUMIF('Copper-Lead-Zinc - Q&amp;V'!$H9:$H251,'Q&amp;V CY 2004 to Now'!U9,'Copper-Lead-Zinc - Q&amp;V'!$B9:$B251)*1000</f>
        <v>216056.61499999999</v>
      </c>
      <c r="V19" s="201">
        <f>SUMIF('Copper-Lead-Zinc - Q&amp;V'!$H9:$H251,'Q&amp;V CY 2004 to Now'!U9,'Copper-Lead-Zinc - Q&amp;V'!$C9:$C251)*1000000</f>
        <v>1492764432.9999998</v>
      </c>
      <c r="W19" s="201">
        <f>SUMIF('Copper-Lead-Zinc - Q&amp;V'!$H9:$H251,'Q&amp;V CY 2004 to Now'!W9,'Copper-Lead-Zinc - Q&amp;V'!$B9:$B251)*1000</f>
        <v>197080.71799999999</v>
      </c>
      <c r="X19" s="201">
        <f>SUMIF('Copper-Lead-Zinc - Q&amp;V'!$H9:$H251,'Q&amp;V CY 2004 to Now'!W9,'Copper-Lead-Zinc - Q&amp;V'!$C9:$C251)*1000000</f>
        <v>1401605650.9999998</v>
      </c>
      <c r="Y19" s="201">
        <f>SUMIF('Copper-Lead-Zinc - Q&amp;V'!$H9:$H251,'Q&amp;V CY 2004 to Now'!Y9,'Copper-Lead-Zinc - Q&amp;V'!$B9:$B251)*1000</f>
        <v>189414.35100000002</v>
      </c>
      <c r="Z19" s="201">
        <f>SUMIF('Copper-Lead-Zinc - Q&amp;V'!$H9:$H251,'Q&amp;V CY 2004 to Now'!Y9,'Copper-Lead-Zinc - Q&amp;V'!$C9:$C251)*1000000</f>
        <v>1244427187</v>
      </c>
      <c r="AA19" s="201">
        <f>SUMIF('Copper-Lead-Zinc - Q&amp;V'!$H9:$H251,'Q&amp;V CY 2004 to Now'!AA9,'Copper-Lead-Zinc - Q&amp;V'!$B9:$B251)*1000</f>
        <v>181536.03299999997</v>
      </c>
      <c r="AB19" s="272">
        <f>SUMIF('Copper-Lead-Zinc - Q&amp;V'!$H9:$H251,'Q&amp;V CY 2004 to Now'!AA9,'Copper-Lead-Zinc - Q&amp;V'!$C9:$C251)*1000000</f>
        <v>1188452887.9999998</v>
      </c>
      <c r="AC19" s="272">
        <f>SUMIF('Copper-Lead-Zinc - Q&amp;V'!$H9:$H251,'Q&amp;V CY 2004 to Now'!AC9,'Copper-Lead-Zinc - Q&amp;V'!$B9:$B251)*1000</f>
        <v>160276.40700000001</v>
      </c>
      <c r="AD19" s="272">
        <f>SUMIF('Copper-Lead-Zinc - Q&amp;V'!$H9:$H251,'Q&amp;V CY 2004 to Now'!AC9,'Copper-Lead-Zinc - Q&amp;V'!$C9:$C251)*1000000</f>
        <v>1244437386</v>
      </c>
      <c r="AE19" s="273">
        <f>SUMIF('Copper-Lead-Zinc - Q&amp;V'!$H9:$H251,'Q&amp;V CY 2004 to Now'!AE9,'Copper-Lead-Zinc - Q&amp;V'!$B9:$B251)*1000</f>
        <v>165920.576</v>
      </c>
      <c r="AF19" s="273">
        <f>SUMIF('Copper-Lead-Zinc - Q&amp;V'!$H9:$H251,'Q&amp;V CY 2004 to Now'!AE9,'Copper-Lead-Zinc - Q&amp;V'!$C9:$C251)*1000000</f>
        <v>1349693643</v>
      </c>
      <c r="AG19" s="273">
        <f>SUMIF('Copper-Lead-Zinc - Q&amp;V'!$H9:$H251,'Q&amp;V CY 2004 to Now'!AG9,'Copper-Lead-Zinc - Q&amp;V'!$B9:$B251)*1000</f>
        <v>172114.37</v>
      </c>
      <c r="AH19" s="273">
        <f>SUMIF('Copper-Lead-Zinc - Q&amp;V'!$H9:$H251,'Q&amp;V CY 2004 to Now'!AG9,'Copper-Lead-Zinc - Q&amp;V'!$C9:$C251)*1000000</f>
        <v>1415099730</v>
      </c>
      <c r="AI19" s="273">
        <f>SUMIF('Copper-Lead-Zinc - Q&amp;V'!$H9:$H251,'Q&amp;V CY 2004 to Now'!AI9,'Copper-Lead-Zinc - Q&amp;V'!$B9:$B251)*1000</f>
        <v>147235.82699999996</v>
      </c>
      <c r="AJ19" s="273">
        <f>SUMIF('Copper-Lead-Zinc - Q&amp;V'!$H9:$H251,'Q&amp;V CY 2004 to Now'!AI9,'Copper-Lead-Zinc - Q&amp;V'!$C9:$C251)*1000000</f>
        <v>1294538494</v>
      </c>
      <c r="AK19" s="273">
        <f>SUMIF('Copper-Lead-Zinc - Q&amp;V'!$H9:$H251,'Q&amp;V CY 2004 to Now'!AK9,'Copper-Lead-Zinc - Q&amp;V'!$B9:$B251)*1000</f>
        <v>148743.04399999999</v>
      </c>
      <c r="AL19" s="273">
        <f>SUMIF('Copper-Lead-Zinc - Q&amp;V'!$H9:$H251,'Q&amp;V CY 2004 to Now'!AK9,'Copper-Lead-Zinc - Q&amp;V'!$C9:$C251)*1000000</f>
        <v>1827938921</v>
      </c>
      <c r="AM19" s="273">
        <f>SUMIF('Copper-Lead-Zinc - Q&amp;V'!$H9:$H251,'Q&amp;V CY 2004 to Now'!AM9,'Copper-Lead-Zinc - Q&amp;V'!$B9:$B251)*1000</f>
        <v>144100.00300000003</v>
      </c>
      <c r="AN19" s="273">
        <f>SUMIF('Copper-Lead-Zinc - Q&amp;V'!$H9:$H251,'Q&amp;V CY 2004 to Now'!AM9,'Copper-Lead-Zinc - Q&amp;V'!$C9:$C251)*1000000</f>
        <v>1705563696.9999998</v>
      </c>
      <c r="AO19" s="273">
        <f>SUMIF('Copper-Lead-Zinc - Q&amp;V'!$H9:$H251,'Q&amp;V CY 2004 to Now'!AO9,'Copper-Lead-Zinc - Q&amp;V'!$B9:$B251)*1000</f>
        <v>107194.8804225264</v>
      </c>
      <c r="AP19" s="273">
        <f>SUMIF('Copper-Lead-Zinc - Q&amp;V'!$H9:$H251,'Q&amp;V CY 2004 to Now'!AO9,'Copper-Lead-Zinc - Q&amp;V'!$C9:$C251)*1000000</f>
        <v>1303182820.9999998</v>
      </c>
      <c r="AQ19" s="273">
        <f>SUMIF('Copper-Lead-Zinc - Q&amp;V'!$H9:$H251,'Q&amp;V CY 2004 to Now'!AQ9,'Copper-Lead-Zinc - Q&amp;V'!$B9:$B251)*1000</f>
        <v>72314.514999999999</v>
      </c>
      <c r="AR19" s="273">
        <f>SUMIF('Copper-Lead-Zinc - Q&amp;V'!$H9:$H251,'Q&amp;V CY 2004 to Now'!AQ9,'Copper-Lead-Zinc - Q&amp;V'!$C9:$C251)*1000000</f>
        <v>977034617.59847713</v>
      </c>
      <c r="AS19" s="273">
        <f>SUMIF('Copper-Lead-Zinc - Q&amp;V'!$H9:$H251,'Q&amp;V CY 2004 to Now'!AS9,'Copper-Lead-Zinc - Q&amp;V'!$B9:$B251)*1000</f>
        <v>66017.858000000007</v>
      </c>
      <c r="AT19" s="273">
        <f>SUMIF('Copper-Lead-Zinc - Q&amp;V'!$H9:$H251,'Q&amp;V CY 2004 to Now'!AS9,'Copper-Lead-Zinc - Q&amp;V'!$C9:$C251)*1000000</f>
        <v>1038982544</v>
      </c>
      <c r="AU19" s="201">
        <f>SUMIF($C$11:AT$11, 1, $C19:AT19)</f>
        <v>3057044.3601915273</v>
      </c>
      <c r="AV19" s="201">
        <f>SUMIF($C$11:AT$11, 0, $C19:AT19)</f>
        <v>25507107999.07848</v>
      </c>
    </row>
    <row r="20" spans="1:48" x14ac:dyDescent="0.25">
      <c r="A20" s="229" t="s">
        <v>192</v>
      </c>
      <c r="B20" s="219" t="s">
        <v>166</v>
      </c>
      <c r="C20" s="201">
        <f>SUMIF('Copper-Lead-Zinc - Q&amp;V'!$H9:$H251,'Q&amp;V CY 2004 to Now'!C9,'Copper-Lead-Zinc - Q&amp;V'!$D9:$D251)*1000</f>
        <v>1174.7399999999998</v>
      </c>
      <c r="D20" s="201">
        <f>SUMIF('Copper-Lead-Zinc - Q&amp;V'!$H9:$H251,'Q&amp;V CY 2004 to Now'!C9,'Copper-Lead-Zinc - Q&amp;V'!$E9:$E251)*1000000</f>
        <v>1544615.84</v>
      </c>
      <c r="E20" s="201">
        <f>SUMIF('Copper-Lead-Zinc - Q&amp;V'!$H9:$H251,'Q&amp;V CY 2004 to Now'!E9,'Copper-Lead-Zinc - Q&amp;V'!$D9:$D251)*1000</f>
        <v>28595.314999999999</v>
      </c>
      <c r="F20" s="201">
        <f>SUMIF('Copper-Lead-Zinc - Q&amp;V'!$H9:$H251,'Q&amp;V CY 2004 to Now'!E9,'Copper-Lead-Zinc - Q&amp;V'!$E9:$E251)*1000000</f>
        <v>39773083.839999996</v>
      </c>
      <c r="G20" s="201">
        <f>SUMIF('Copper-Lead-Zinc - Q&amp;V'!$H9:$H251,'Q&amp;V CY 2004 to Now'!G9,'Copper-Lead-Zinc - Q&amp;V'!$D9:$D251)*1000</f>
        <v>70953.488999999987</v>
      </c>
      <c r="H20" s="201">
        <f>SUMIF('Copper-Lead-Zinc - Q&amp;V'!$H9:$H251,'Q&amp;V CY 2004 to Now'!G9,'Copper-Lead-Zinc - Q&amp;V'!$E9:$E251)*1000000</f>
        <v>127854540.53</v>
      </c>
      <c r="I20" s="201">
        <f>SUMIF('Copper-Lead-Zinc - Q&amp;V'!$H9:$H251,'Q&amp;V CY 2004 to Now'!I9,'Copper-Lead-Zinc - Q&amp;V'!$D9:$D251)*1000</f>
        <v>37091.524999999994</v>
      </c>
      <c r="J20" s="201">
        <f>SUMIF('Copper-Lead-Zinc - Q&amp;V'!$H9:$H251,'Q&amp;V CY 2004 to Now'!I9,'Copper-Lead-Zinc - Q&amp;V'!$E9:$E251)*1000000</f>
        <v>96781479.340000004</v>
      </c>
      <c r="K20" s="201">
        <f>SUMIF('Copper-Lead-Zinc - Q&amp;V'!$H9:$H251,'Q&amp;V CY 2004 to Now'!K9,'Copper-Lead-Zinc - Q&amp;V'!$D9:$D251)*1000</f>
        <v>18538.827999999998</v>
      </c>
      <c r="L20" s="201">
        <f>SUMIF('Copper-Lead-Zinc - Q&amp;V'!$H9:$H251,'Q&amp;V CY 2004 to Now'!K9,'Copper-Lead-Zinc - Q&amp;V'!$E9:$E251)*1000000</f>
        <v>28815419.949999999</v>
      </c>
      <c r="M20" s="201">
        <f>SUMIF('Copper-Lead-Zinc - Q&amp;V'!$H9:$H251,'Q&amp;V CY 2004 to Now'!M9,'Copper-Lead-Zinc - Q&amp;V'!$D9:$D251)*1000</f>
        <v>22755.433000000005</v>
      </c>
      <c r="N20" s="201">
        <f>SUMIF('Copper-Lead-Zinc - Q&amp;V'!$H9:$H251,'Q&amp;V CY 2004 to Now'!M9,'Copper-Lead-Zinc - Q&amp;V'!$E9:$E251)*1000000</f>
        <v>48874789.219999999</v>
      </c>
      <c r="O20" s="201">
        <f>SUMIF('Copper-Lead-Zinc - Q&amp;V'!$H9:$H251,'Q&amp;V CY 2004 to Now'!O9,'Copper-Lead-Zinc - Q&amp;V'!$D9:$D251)*1000</f>
        <v>52922.928999999996</v>
      </c>
      <c r="P20" s="201">
        <f>SUMIF('Copper-Lead-Zinc - Q&amp;V'!$H9:$H251,'Q&amp;V CY 2004 to Now'!O9,'Copper-Lead-Zinc - Q&amp;V'!$E9:$E251)*1000000</f>
        <v>126644762.31999999</v>
      </c>
      <c r="Q20" s="201">
        <f>SUMIF('Copper-Lead-Zinc - Q&amp;V'!$H9:$H251,'Q&amp;V CY 2004 to Now'!Q9,'Copper-Lead-Zinc - Q&amp;V'!$D9:$D251)*1000</f>
        <v>8342.9220000000005</v>
      </c>
      <c r="R20" s="201">
        <f>SUMIF('Copper-Lead-Zinc - Q&amp;V'!$H9:$H251,'Q&amp;V CY 2004 to Now'!Q9,'Copper-Lead-Zinc - Q&amp;V'!$E9:$E251)*1000000</f>
        <v>19576467.120000001</v>
      </c>
      <c r="S20" s="201">
        <f>SUMIF('Copper-Lead-Zinc - Q&amp;V'!$H9:$H251,'Q&amp;V CY 2004 to Now'!S9,'Copper-Lead-Zinc - Q&amp;V'!$D9:$D251)*1000</f>
        <v>8135.2939999999999</v>
      </c>
      <c r="T20" s="201">
        <f>SUMIF('Copper-Lead-Zinc - Q&amp;V'!$H9:$H251,'Q&amp;V CY 2004 to Now'!S9,'Copper-Lead-Zinc - Q&amp;V'!$E9:$E251)*1000000</f>
        <v>16534423.209999999</v>
      </c>
      <c r="U20" s="201">
        <f>SUMIF('Copper-Lead-Zinc - Q&amp;V'!$H9:$H251,'Q&amp;V CY 2004 to Now'!U9,'Copper-Lead-Zinc - Q&amp;V'!$D9:$D251)*1000</f>
        <v>52261.51</v>
      </c>
      <c r="V20" s="201">
        <f>SUMIF('Copper-Lead-Zinc - Q&amp;V'!$H9:$H251,'Q&amp;V CY 2004 to Now'!U9,'Copper-Lead-Zinc - Q&amp;V'!$E9:$E251)*1000000</f>
        <v>116056679</v>
      </c>
      <c r="W20" s="201">
        <f>SUMIF('Copper-Lead-Zinc - Q&amp;V'!$H9:$H251,'Q&amp;V CY 2004 to Now'!W9,'Copper-Lead-Zinc - Q&amp;V'!$D9:$D251)*1000</f>
        <v>80888.5</v>
      </c>
      <c r="X20" s="201">
        <f>SUMIF('Copper-Lead-Zinc - Q&amp;V'!$H9:$H251,'Q&amp;V CY 2004 to Now'!W9,'Copper-Lead-Zinc - Q&amp;V'!$E9:$E251)*1000000</f>
        <v>184890067</v>
      </c>
      <c r="Y20" s="201">
        <f>SUMIF('Copper-Lead-Zinc - Q&amp;V'!$H9:$H251,'Q&amp;V CY 2004 to Now'!Y9,'Copper-Lead-Zinc - Q&amp;V'!$D9:$D251)*1000</f>
        <v>20259.03</v>
      </c>
      <c r="Z20" s="201">
        <f>SUMIF('Copper-Lead-Zinc - Q&amp;V'!$H9:$H251,'Q&amp;V CY 2004 to Now'!Y9,'Copper-Lead-Zinc - Q&amp;V'!$E9:$E251)*1000000</f>
        <v>48685219</v>
      </c>
      <c r="AA20" s="201">
        <f>SUMIF('Copper-Lead-Zinc - Q&amp;V'!$H9:$H251,'Q&amp;V CY 2004 to Now'!AA9,'Copper-Lead-Zinc - Q&amp;V'!$D9:$D251)*1000</f>
        <v>4760.91</v>
      </c>
      <c r="AB20" s="272">
        <f>SUMIF('Copper-Lead-Zinc - Q&amp;V'!$H9:$H251,'Q&amp;V CY 2004 to Now'!AA9,'Copper-Lead-Zinc - Q&amp;V'!$E9:$E251)*1000000</f>
        <v>12782990</v>
      </c>
      <c r="AC20" s="272">
        <f>SUMIF('Copper-Lead-Zinc - Q&amp;V'!$H9:$H251,'Q&amp;V CY 2004 to Now'!AC9,'Copper-Lead-Zinc - Q&amp;V'!$D9:$D251)*1000</f>
        <v>5901.08</v>
      </c>
      <c r="AD20" s="272">
        <f>SUMIF('Copper-Lead-Zinc - Q&amp;V'!$H9:$H251,'Q&amp;V CY 2004 to Now'!AC9,'Copper-Lead-Zinc - Q&amp;V'!$E9:$E251)*1000000</f>
        <v>18548734</v>
      </c>
      <c r="AE20" s="273">
        <f>SUMIF('Copper-Lead-Zinc - Q&amp;V'!$H9:$H251,'Q&amp;V CY 2004 to Now'!AE9,'Copper-Lead-Zinc - Q&amp;V'!$D9:$D251)*1000</f>
        <v>6091.0000000000009</v>
      </c>
      <c r="AF20" s="273">
        <f>SUMIF('Copper-Lead-Zinc - Q&amp;V'!$H9:$H251,'Q&amp;V CY 2004 to Now'!AE9,'Copper-Lead-Zinc - Q&amp;V'!$E9:$E251)*1000000</f>
        <v>17155192</v>
      </c>
      <c r="AG20" s="273">
        <f>SUMIF('Copper-Lead-Zinc - Q&amp;V'!$H9:$H251,'Q&amp;V CY 2004 to Now'!AG9,'Copper-Lead-Zinc - Q&amp;V'!$D9:$D251)*1000</f>
        <v>2916.8</v>
      </c>
      <c r="AH20" s="273">
        <f>SUMIF('Copper-Lead-Zinc - Q&amp;V'!$H9:$H251,'Q&amp;V CY 2004 to Now'!AG9,'Copper-Lead-Zinc - Q&amp;V'!$E9:$E251)*1000000</f>
        <v>8350650.9999999991</v>
      </c>
      <c r="AI20" s="273">
        <f>SUMIF('Copper-Lead-Zinc - Q&amp;V'!$H9:$H251,'Q&amp;V CY 2004 to Now'!AI9,'Copper-Lead-Zinc - Q&amp;V'!$D9:$D251)*1000</f>
        <v>1374.5150000000001</v>
      </c>
      <c r="AJ20" s="273">
        <f>SUMIF('Copper-Lead-Zinc - Q&amp;V'!$H9:$H251,'Q&amp;V CY 2004 to Now'!AI9,'Copper-Lead-Zinc - Q&amp;V'!$E9:$E251)*1000000</f>
        <v>3321639</v>
      </c>
      <c r="AK20" s="273">
        <f>SUMIF('Copper-Lead-Zinc - Q&amp;V'!$H9:$H251,'Q&amp;V CY 2004 to Now'!AK9,'Copper-Lead-Zinc - Q&amp;V'!$D9:$D251)*1000</f>
        <v>1265.635</v>
      </c>
      <c r="AL20" s="273">
        <f>SUMIF('Copper-Lead-Zinc - Q&amp;V'!$H9:$H251,'Q&amp;V CY 2004 to Now'!AK9,'Copper-Lead-Zinc - Q&amp;V'!$E9:$E251)*1000000</f>
        <v>3968739</v>
      </c>
      <c r="AM20" s="273">
        <f>SUMIF('Copper-Lead-Zinc - Q&amp;V'!$H9:$H251,'Q&amp;V CY 2004 to Now'!AM9,'Copper-Lead-Zinc - Q&amp;V'!$D9:$D251)*1000</f>
        <v>0</v>
      </c>
      <c r="AN20" s="273">
        <f>SUMIF('Copper-Lead-Zinc - Q&amp;V'!$H9:$H251,'Q&amp;V CY 2004 to Now'!AM9,'Copper-Lead-Zinc - Q&amp;V'!$E9:$E251)*1000000</f>
        <v>0</v>
      </c>
      <c r="AO20" s="273">
        <f>SUMIF('Copper-Lead-Zinc - Q&amp;V'!$H9:$H251,'Q&amp;V CY 2004 to Now'!AO9,'Copper-Lead-Zinc - Q&amp;V'!$D9:$D251)*1000</f>
        <v>36339.978000000003</v>
      </c>
      <c r="AP20" s="273">
        <f>SUMIF('Copper-Lead-Zinc - Q&amp;V'!$H9:$H251,'Q&amp;V CY 2004 to Now'!AO9,'Copper-Lead-Zinc - Q&amp;V'!$E9:$E251)*1000000</f>
        <v>116594882.99999999</v>
      </c>
      <c r="AQ20" s="273">
        <f>SUMIF('Copper-Lead-Zinc - Q&amp;V'!$H9:$H251,'Q&amp;V CY 2004 to Now'!AQ9,'Copper-Lead-Zinc - Q&amp;V'!$D9:$D251)*1000</f>
        <v>56217.292000000001</v>
      </c>
      <c r="AR20" s="273">
        <f>SUMIF('Copper-Lead-Zinc - Q&amp;V'!$H9:$H251,'Q&amp;V CY 2004 to Now'!AQ9,'Copper-Lead-Zinc - Q&amp;V'!$E9:$E251)*1000000</f>
        <v>176078417.99999997</v>
      </c>
      <c r="AS20" s="273">
        <f>SUMIF('Copper-Lead-Zinc - Q&amp;V'!$H9:$H251,'Q&amp;V CY 2004 to Now'!AS9,'Copper-Lead-Zinc - Q&amp;V'!$D9:$D251)*1000</f>
        <v>71909.516000000003</v>
      </c>
      <c r="AT20" s="273">
        <f>SUMIF('Copper-Lead-Zinc - Q&amp;V'!$H9:$H251,'Q&amp;V CY 2004 to Now'!AS9,'Copper-Lead-Zinc - Q&amp;V'!$E9:$E251)*1000000</f>
        <v>222747699.99999997</v>
      </c>
      <c r="AU20" s="201">
        <f>SUMIF($C$11:AT$11, 1, $C20:AT20)</f>
        <v>588696.24100000004</v>
      </c>
      <c r="AV20" s="201">
        <f>SUMIF($C$11:AT$11, 0, $C20:AT20)</f>
        <v>1435580492.3699999</v>
      </c>
    </row>
    <row r="21" spans="1:48" x14ac:dyDescent="0.25">
      <c r="A21" s="229" t="s">
        <v>194</v>
      </c>
      <c r="B21" s="219" t="s">
        <v>166</v>
      </c>
      <c r="C21" s="201">
        <f>SUMIF('Copper-Lead-Zinc - Q&amp;V'!$H9:$H251,'Q&amp;V CY 2004 to Now'!C9,'Copper-Lead-Zinc - Q&amp;V'!$F9:$F251)*1000</f>
        <v>51783.87</v>
      </c>
      <c r="D21" s="201">
        <f>SUMIF('Copper-Lead-Zinc - Q&amp;V'!$H9:$H251,'Q&amp;V CY 2004 to Now'!C9,'Copper-Lead-Zinc - Q&amp;V'!$G9:$G251)*1000000</f>
        <v>71168342.370000005</v>
      </c>
      <c r="E21" s="201">
        <f>SUMIF('Copper-Lead-Zinc - Q&amp;V'!$H9:$H251,'Q&amp;V CY 2004 to Now'!E9,'Copper-Lead-Zinc - Q&amp;V'!$F9:$F251)*1000</f>
        <v>59104.380000000005</v>
      </c>
      <c r="F21" s="201">
        <f>SUMIF('Copper-Lead-Zinc - Q&amp;V'!$H9:$H251,'Q&amp;V CY 2004 to Now'!E9,'Copper-Lead-Zinc - Q&amp;V'!$G9:$G251)*1000000</f>
        <v>126895319.62</v>
      </c>
      <c r="G21" s="201">
        <f>SUMIF('Copper-Lead-Zinc - Q&amp;V'!$H9:$H251,'Q&amp;V CY 2004 to Now'!G9,'Copper-Lead-Zinc - Q&amp;V'!$F9:$F251)*1000</f>
        <v>109063.391</v>
      </c>
      <c r="H21" s="201">
        <f>SUMIF('Copper-Lead-Zinc - Q&amp;V'!$H9:$H251,'Q&amp;V CY 2004 to Now'!G9,'Copper-Lead-Zinc - Q&amp;V'!$G9:$G251)*1000000</f>
        <v>491080469.87</v>
      </c>
      <c r="I21" s="201">
        <f>SUMIF('Copper-Lead-Zinc - Q&amp;V'!$H9:$H251,'Q&amp;V CY 2004 to Now'!I9,'Copper-Lead-Zinc - Q&amp;V'!$F9:$F251)*1000</f>
        <v>173337.80000000002</v>
      </c>
      <c r="J21" s="201">
        <f>SUMIF('Copper-Lead-Zinc - Q&amp;V'!$H9:$H251,'Q&amp;V CY 2004 to Now'!I9,'Copper-Lead-Zinc - Q&amp;V'!$G9:$G251)*1000000</f>
        <v>482884677.58000004</v>
      </c>
      <c r="K21" s="201">
        <f>SUMIF('Copper-Lead-Zinc - Q&amp;V'!$H9:$H251,'Q&amp;V CY 2004 to Now'!K9,'Copper-Lead-Zinc - Q&amp;V'!$F9:$F251)*1000</f>
        <v>189811.95299999998</v>
      </c>
      <c r="L21" s="201">
        <f>SUMIF('Copper-Lead-Zinc - Q&amp;V'!$H9:$H251,'Q&amp;V CY 2004 to Now'!K9,'Copper-Lead-Zinc - Q&amp;V'!$G9:$G251)*1000000</f>
        <v>293492480.21000004</v>
      </c>
      <c r="M21" s="201">
        <f>SUMIF('Copper-Lead-Zinc - Q&amp;V'!$H9:$H251,'Q&amp;V CY 2004 to Now'!M9,'Copper-Lead-Zinc - Q&amp;V'!$F9:$F251)*1000</f>
        <v>99811.695999999982</v>
      </c>
      <c r="N21" s="201">
        <f>SUMIF('Copper-Lead-Zinc - Q&amp;V'!$H9:$H251,'Q&amp;V CY 2004 to Now'!M9,'Copper-Lead-Zinc - Q&amp;V'!$G9:$G251)*1000000</f>
        <v>215924510.84</v>
      </c>
      <c r="O21" s="201">
        <f>SUMIF('Copper-Lead-Zinc - Q&amp;V'!$H9:$H251,'Q&amp;V CY 2004 to Now'!O9,'Copper-Lead-Zinc - Q&amp;V'!$F9:$F251)*1000</f>
        <v>81515.22</v>
      </c>
      <c r="P21" s="201">
        <f>SUMIF('Copper-Lead-Zinc - Q&amp;V'!$H9:$H251,'Q&amp;V CY 2004 to Now'!O9,'Copper-Lead-Zinc - Q&amp;V'!$G9:$G251)*1000000</f>
        <v>191884134.72000003</v>
      </c>
      <c r="Q21" s="201">
        <f>SUMIF('Copper-Lead-Zinc - Q&amp;V'!$H9:$H251,'Q&amp;V CY 2004 to Now'!Q9,'Copper-Lead-Zinc - Q&amp;V'!$F9:$F251)*1000</f>
        <v>74400.736999999994</v>
      </c>
      <c r="R21" s="201">
        <f>SUMIF('Copper-Lead-Zinc - Q&amp;V'!$H9:$H251,'Q&amp;V CY 2004 to Now'!Q9,'Copper-Lead-Zinc - Q&amp;V'!$G9:$G251)*1000000</f>
        <v>153041130.46000001</v>
      </c>
      <c r="S21" s="201">
        <f>SUMIF('Copper-Lead-Zinc - Q&amp;V'!$H9:$H251,'Q&amp;V CY 2004 to Now'!S9,'Copper-Lead-Zinc - Q&amp;V'!$F9:$F251)*1000</f>
        <v>57112.677000000003</v>
      </c>
      <c r="T21" s="201">
        <f>SUMIF('Copper-Lead-Zinc - Q&amp;V'!$H9:$H251,'Q&amp;V CY 2004 to Now'!S9,'Copper-Lead-Zinc - Q&amp;V'!$G9:$G251)*1000000</f>
        <v>107302473.5</v>
      </c>
      <c r="U21" s="201">
        <f>SUMIF('Copper-Lead-Zinc - Q&amp;V'!$H9:$H251,'Q&amp;V CY 2004 to Now'!U9,'Copper-Lead-Zinc - Q&amp;V'!$F9:$F251)*1000</f>
        <v>47985.600000000006</v>
      </c>
      <c r="V21" s="201">
        <f>SUMIF('Copper-Lead-Zinc - Q&amp;V'!$H9:$H251,'Q&amp;V CY 2004 to Now'!U9,'Copper-Lead-Zinc - Q&amp;V'!$G9:$G251)*1000000</f>
        <v>96281335</v>
      </c>
      <c r="W21" s="201">
        <f>SUMIF('Copper-Lead-Zinc - Q&amp;V'!$H9:$H251,'Q&amp;V CY 2004 to Now'!W9,'Copper-Lead-Zinc - Q&amp;V'!$F9:$F251)*1000</f>
        <v>72763.53</v>
      </c>
      <c r="X21" s="201">
        <f>SUMIF('Copper-Lead-Zinc - Q&amp;V'!$H9:$H251,'Q&amp;V CY 2004 to Now'!W9,'Copper-Lead-Zinc - Q&amp;V'!$G9:$G251)*1000000</f>
        <v>173001879</v>
      </c>
      <c r="Y21" s="201">
        <f>SUMIF('Copper-Lead-Zinc - Q&amp;V'!$H9:$H251,'Q&amp;V CY 2004 to Now'!Y9,'Copper-Lead-Zinc - Q&amp;V'!$F9:$F251)*1000</f>
        <v>77178.319999999992</v>
      </c>
      <c r="Z21" s="201">
        <f>SUMIF('Copper-Lead-Zinc - Q&amp;V'!$H9:$H251,'Q&amp;V CY 2004 to Now'!Y9,'Copper-Lead-Zinc - Q&amp;V'!$G9:$G251)*1000000</f>
        <v>185219379</v>
      </c>
      <c r="AA21" s="201">
        <f>SUMIF('Copper-Lead-Zinc - Q&amp;V'!$H9:$H251,'Q&amp;V CY 2004 to Now'!AA9,'Copper-Lead-Zinc - Q&amp;V'!$F9:$F251)*1000</f>
        <v>94963.54</v>
      </c>
      <c r="AB21" s="272">
        <f>SUMIF('Copper-Lead-Zinc - Q&amp;V'!$H9:$H251,'Q&amp;V CY 2004 to Now'!AA9,'Copper-Lead-Zinc - Q&amp;V'!$G9:$G251)*1000000</f>
        <v>204523975.99999997</v>
      </c>
      <c r="AC21" s="272">
        <f>SUMIF('Copper-Lead-Zinc - Q&amp;V'!$H9:$H251,'Q&amp;V CY 2004 to Now'!AC9,'Copper-Lead-Zinc - Q&amp;V'!$F9:$F251)*1000</f>
        <v>71788.228000000003</v>
      </c>
      <c r="AD21" s="272">
        <f>SUMIF('Copper-Lead-Zinc - Q&amp;V'!$H9:$H251,'Q&amp;V CY 2004 to Now'!AC9,'Copper-Lead-Zinc - Q&amp;V'!$G9:$G251)*1000000</f>
        <v>292122964.99999994</v>
      </c>
      <c r="AE21" s="273">
        <f>SUMIF('Copper-Lead-Zinc - Q&amp;V'!$H9:$H251,'Q&amp;V CY 2004 to Now'!AE9,'Copper-Lead-Zinc - Q&amp;V'!$F9:$F251)*1000</f>
        <v>68823.993000000002</v>
      </c>
      <c r="AF21" s="273">
        <f>SUMIF('Copper-Lead-Zinc - Q&amp;V'!$H9:$H251,'Q&amp;V CY 2004 to Now'!AE9,'Copper-Lead-Zinc - Q&amp;V'!$G9:$G251)*1000000</f>
        <v>256932685</v>
      </c>
      <c r="AG21" s="273">
        <f>SUMIF('Copper-Lead-Zinc - Q&amp;V'!$H9:$H251,'Q&amp;V CY 2004 to Now'!AG9,'Copper-Lead-Zinc - Q&amp;V'!$F9:$F251)*1000</f>
        <v>77819.27</v>
      </c>
      <c r="AH21" s="273">
        <f>SUMIF('Copper-Lead-Zinc - Q&amp;V'!$H9:$H251,'Q&amp;V CY 2004 to Now'!AG9,'Copper-Lead-Zinc - Q&amp;V'!$G9:$G251)*1000000</f>
        <v>262556072.99999997</v>
      </c>
      <c r="AI21" s="273">
        <f>SUMIF('Copper-Lead-Zinc - Q&amp;V'!$H9:$H251,'Q&amp;V CY 2004 to Now'!AI9,'Copper-Lead-Zinc - Q&amp;V'!$F9:$F251)*1000</f>
        <v>62050.920000000006</v>
      </c>
      <c r="AJ21" s="273">
        <f>SUMIF('Copper-Lead-Zinc - Q&amp;V'!$H9:$H251,'Q&amp;V CY 2004 to Now'!AI9,'Copper-Lead-Zinc - Q&amp;V'!$G9:$G251)*1000000</f>
        <v>204010912</v>
      </c>
      <c r="AK21" s="273">
        <f>SUMIF('Copper-Lead-Zinc - Q&amp;V'!$H9:$H251,'Q&amp;V CY 2004 to Now'!AK9,'Copper-Lead-Zinc - Q&amp;V'!$F9:$F251)*1000</f>
        <v>69051.431000000011</v>
      </c>
      <c r="AL21" s="273">
        <f>SUMIF('Copper-Lead-Zinc - Q&amp;V'!$H9:$H251,'Q&amp;V CY 2004 to Now'!AK9,'Copper-Lead-Zinc - Q&amp;V'!$G9:$G251)*1000000</f>
        <v>285996232.99999994</v>
      </c>
      <c r="AM21" s="273">
        <f>SUMIF('Copper-Lead-Zinc - Q&amp;V'!$H9:$H251,'Q&amp;V CY 2004 to Now'!AM9,'Copper-Lead-Zinc - Q&amp;V'!$F9:$F251)*1000</f>
        <v>70478.444999999992</v>
      </c>
      <c r="AN21" s="273">
        <f>SUMIF('Copper-Lead-Zinc - Q&amp;V'!$H9:$H251,'Q&amp;V CY 2004 to Now'!AM9,'Copper-Lead-Zinc - Q&amp;V'!$G9:$G251)*1000000</f>
        <v>336064136</v>
      </c>
      <c r="AO21" s="273">
        <f>SUMIF('Copper-Lead-Zinc - Q&amp;V'!$H9:$H251,'Q&amp;V CY 2004 to Now'!AO9,'Copper-Lead-Zinc - Q&amp;V'!$F9:$F251)*1000</f>
        <v>48765.287000000004</v>
      </c>
      <c r="AP21" s="273">
        <f>SUMIF('Copper-Lead-Zinc - Q&amp;V'!$H9:$H251,'Q&amp;V CY 2004 to Now'!AO9,'Copper-Lead-Zinc - Q&amp;V'!$G9:$G251)*1000000</f>
        <v>193153370</v>
      </c>
      <c r="AQ21" s="273">
        <f>SUMIF('Copper-Lead-Zinc - Q&amp;V'!$H9:$H251,'Q&amp;V CY 2004 to Now'!AQ9,'Copper-Lead-Zinc - Q&amp;V'!$F9:$F251)*1000</f>
        <v>53413.8</v>
      </c>
      <c r="AR21" s="273">
        <f>SUMIF('Copper-Lead-Zinc - Q&amp;V'!$H9:$H251,'Q&amp;V CY 2004 to Now'!AQ9,'Copper-Lead-Zinc - Q&amp;V'!$G9:$G251)*1000000</f>
        <v>225068680.99999997</v>
      </c>
      <c r="AS21" s="273">
        <f>SUMIF('Copper-Lead-Zinc - Q&amp;V'!$H9:$H251,'Q&amp;V CY 2004 to Now'!AS9,'Copper-Lead-Zinc - Q&amp;V'!$F9:$F251)*1000</f>
        <v>32779.46</v>
      </c>
      <c r="AT21" s="273">
        <f>SUMIF('Copper-Lead-Zinc - Q&amp;V'!$H9:$H251,'Q&amp;V CY 2004 to Now'!AS9,'Copper-Lead-Zinc - Q&amp;V'!$G9:$G251)*1000000</f>
        <v>141401339</v>
      </c>
      <c r="AU21" s="201">
        <f>SUMIF($C$11:AT$11, 1, $C21:AT21)</f>
        <v>1743803.548</v>
      </c>
      <c r="AV21" s="201">
        <f>SUMIF($C$11:AT$11, 0, $C21:AT21)</f>
        <v>4990006502.1700001</v>
      </c>
    </row>
    <row r="22" spans="1:48" x14ac:dyDescent="0.25">
      <c r="A22" s="218" t="s">
        <v>195</v>
      </c>
      <c r="B22" s="219"/>
      <c r="C22" s="201"/>
      <c r="D22" s="201">
        <f>SUM(D19:D21)</f>
        <v>240847334.16</v>
      </c>
      <c r="E22" s="201"/>
      <c r="F22" s="201">
        <f>SUM(F19:F21)</f>
        <v>637876799.33999991</v>
      </c>
      <c r="G22" s="201"/>
      <c r="H22" s="201">
        <f>SUM(H19:H21)</f>
        <v>1483935204.4299998</v>
      </c>
      <c r="I22" s="201"/>
      <c r="J22" s="201">
        <f>SUM(J19:J21)</f>
        <v>1465248942.22</v>
      </c>
      <c r="K22" s="201"/>
      <c r="L22" s="201">
        <f>SUM(L19:L21)</f>
        <v>1154823053.8400002</v>
      </c>
      <c r="M22" s="201"/>
      <c r="N22" s="201">
        <f>SUM(N19:N21)</f>
        <v>1197922585</v>
      </c>
      <c r="O22" s="201"/>
      <c r="P22" s="201">
        <f>SUM(P19:P21)</f>
        <v>1620676983.1199999</v>
      </c>
      <c r="Q22" s="201"/>
      <c r="R22" s="201">
        <f>SUM(R19:R21)</f>
        <v>1367841205.8399999</v>
      </c>
      <c r="S22" s="201"/>
      <c r="T22" s="201">
        <f>SUM(T19:T21)</f>
        <v>1494286999.0700002</v>
      </c>
      <c r="U22" s="201"/>
      <c r="V22" s="201">
        <f>SUM(V19:V21)</f>
        <v>1705102446.9999998</v>
      </c>
      <c r="W22" s="201"/>
      <c r="X22" s="201">
        <f>SUM(X19:X21)</f>
        <v>1759497596.9999998</v>
      </c>
      <c r="Y22" s="201"/>
      <c r="Z22" s="201">
        <f>SUM(Z19:Z21)</f>
        <v>1478331785</v>
      </c>
      <c r="AA22" s="201"/>
      <c r="AB22" s="272">
        <f>SUM(AB19:AB21)</f>
        <v>1405759853.9999998</v>
      </c>
      <c r="AC22" s="272"/>
      <c r="AD22" s="272">
        <f>SUM(AD19:AD21)</f>
        <v>1555109085</v>
      </c>
      <c r="AE22" s="273"/>
      <c r="AF22" s="273">
        <f>SUM(AF19:AF21)</f>
        <v>1623781520</v>
      </c>
      <c r="AG22" s="273"/>
      <c r="AH22" s="273">
        <f>SUM(AH19:AH21)</f>
        <v>1686006454</v>
      </c>
      <c r="AI22" s="273"/>
      <c r="AJ22" s="273">
        <f>SUM(AJ19:AJ21)</f>
        <v>1501871045</v>
      </c>
      <c r="AK22" s="273"/>
      <c r="AL22" s="273">
        <f>SUM(AL19:AL21)</f>
        <v>2117903893</v>
      </c>
      <c r="AM22" s="273"/>
      <c r="AN22" s="273">
        <f>SUM(AN19:AN21)</f>
        <v>2041627832.9999998</v>
      </c>
      <c r="AO22" s="273"/>
      <c r="AP22" s="273">
        <f>SUM(AP19:AP21)</f>
        <v>1612931073.9999998</v>
      </c>
      <c r="AQ22" s="273"/>
      <c r="AR22" s="273">
        <f>SUM(AR19:AR21)</f>
        <v>1378181716.5984771</v>
      </c>
      <c r="AS22" s="273"/>
      <c r="AT22" s="273">
        <f>SUM(AT19:AT21)</f>
        <v>1403131583</v>
      </c>
      <c r="AU22" s="201"/>
      <c r="AV22" s="201">
        <f>SUMIF($C$11:AT$11, 0, $C22:AT22)</f>
        <v>31932694993.618473</v>
      </c>
    </row>
    <row r="23" spans="1:48" x14ac:dyDescent="0.25">
      <c r="A23" s="215"/>
      <c r="C23" s="201"/>
      <c r="D23" s="201"/>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72"/>
      <c r="AC23" s="272"/>
      <c r="AD23" s="272"/>
      <c r="AE23" s="273"/>
      <c r="AF23" s="273"/>
      <c r="AG23" s="273"/>
      <c r="AH23" s="273"/>
      <c r="AI23" s="273"/>
      <c r="AJ23" s="273"/>
      <c r="AK23" s="273"/>
      <c r="AL23" s="273"/>
      <c r="AM23" s="272"/>
      <c r="AN23" s="272"/>
      <c r="AO23" s="272"/>
      <c r="AP23" s="272"/>
      <c r="AQ23" s="272"/>
      <c r="AR23" s="272"/>
      <c r="AS23" s="272"/>
      <c r="AT23" s="272"/>
      <c r="AU23" s="201"/>
      <c r="AV23" s="201"/>
    </row>
    <row r="24" spans="1:48" x14ac:dyDescent="0.25">
      <c r="A24" s="210" t="s">
        <v>197</v>
      </c>
      <c r="B24" s="274" t="s">
        <v>166</v>
      </c>
      <c r="C24" s="211">
        <v>102085.4</v>
      </c>
      <c r="D24" s="211">
        <v>38956692</v>
      </c>
      <c r="E24" s="211">
        <v>90259.48</v>
      </c>
      <c r="F24" s="211">
        <v>36482458</v>
      </c>
      <c r="G24" s="211">
        <v>101288</v>
      </c>
      <c r="H24" s="211">
        <v>44417038.469999999</v>
      </c>
      <c r="I24" s="211">
        <v>110729</v>
      </c>
      <c r="J24" s="211">
        <v>71319703.840000004</v>
      </c>
      <c r="K24" s="211">
        <v>87635.33</v>
      </c>
      <c r="L24" s="211" t="s">
        <v>509</v>
      </c>
      <c r="M24" s="211">
        <v>74898.460000000006</v>
      </c>
      <c r="N24" s="211" t="s">
        <v>509</v>
      </c>
      <c r="O24" s="211">
        <v>59033.54</v>
      </c>
      <c r="P24" s="211" t="s">
        <v>509</v>
      </c>
      <c r="Q24" s="211">
        <v>81925.06</v>
      </c>
      <c r="R24" s="211" t="s">
        <v>509</v>
      </c>
      <c r="S24" s="211">
        <v>164219.49</v>
      </c>
      <c r="T24" s="211" t="s">
        <v>509</v>
      </c>
      <c r="U24" s="211">
        <v>137702.02000000002</v>
      </c>
      <c r="V24" s="211" t="s">
        <v>509</v>
      </c>
      <c r="W24" s="211">
        <v>10519.14</v>
      </c>
      <c r="X24" s="211" t="s">
        <v>509</v>
      </c>
      <c r="Y24" s="267">
        <v>0</v>
      </c>
      <c r="Z24" s="267">
        <v>0</v>
      </c>
      <c r="AA24" s="267">
        <v>0</v>
      </c>
      <c r="AB24" s="267">
        <v>0</v>
      </c>
      <c r="AC24" s="267">
        <v>0</v>
      </c>
      <c r="AD24" s="267">
        <v>0</v>
      </c>
      <c r="AE24" s="268">
        <v>0</v>
      </c>
      <c r="AF24" s="268">
        <v>0</v>
      </c>
      <c r="AG24" s="268">
        <v>0</v>
      </c>
      <c r="AH24" s="268">
        <v>0</v>
      </c>
      <c r="AI24" s="268">
        <v>0</v>
      </c>
      <c r="AJ24" s="268">
        <v>0</v>
      </c>
      <c r="AK24" s="268">
        <v>0</v>
      </c>
      <c r="AL24" s="268">
        <v>0</v>
      </c>
      <c r="AM24" s="267">
        <v>0</v>
      </c>
      <c r="AN24" s="267">
        <v>0</v>
      </c>
      <c r="AO24" s="267">
        <v>0</v>
      </c>
      <c r="AP24" s="267">
        <v>0</v>
      </c>
      <c r="AQ24" s="267">
        <v>0</v>
      </c>
      <c r="AR24" s="267">
        <v>0</v>
      </c>
      <c r="AS24" s="267">
        <v>0</v>
      </c>
      <c r="AT24" s="267">
        <v>0</v>
      </c>
      <c r="AU24" s="211">
        <f>SUMIF($C$11:AT$11, 1, $C24:AT24)</f>
        <v>1020294.92</v>
      </c>
      <c r="AV24" s="211">
        <f>SUMIF($C$11:AT$11, 0, $C24:AT24)</f>
        <v>191175892.31</v>
      </c>
    </row>
    <row r="25" spans="1:48" x14ac:dyDescent="0.25">
      <c r="A25" s="210"/>
      <c r="B25" s="212"/>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67"/>
      <c r="AC25" s="267"/>
      <c r="AD25" s="267"/>
      <c r="AE25" s="268"/>
      <c r="AF25" s="268"/>
      <c r="AG25" s="268"/>
      <c r="AH25" s="268"/>
      <c r="AI25" s="268"/>
      <c r="AJ25" s="268"/>
      <c r="AK25" s="268"/>
      <c r="AL25" s="268"/>
      <c r="AM25" s="267"/>
      <c r="AN25" s="267"/>
      <c r="AO25" s="267"/>
      <c r="AP25" s="267"/>
      <c r="AQ25" s="267"/>
      <c r="AR25" s="267"/>
      <c r="AS25" s="267"/>
      <c r="AT25" s="267"/>
      <c r="AU25" s="211"/>
      <c r="AV25" s="211"/>
    </row>
    <row r="26" spans="1:48" x14ac:dyDescent="0.25">
      <c r="A26" s="215" t="s">
        <v>198</v>
      </c>
      <c r="B26" s="275" t="s">
        <v>166</v>
      </c>
      <c r="C26" s="276">
        <v>90190.98</v>
      </c>
      <c r="D26" s="201">
        <v>1999715</v>
      </c>
      <c r="E26" s="201" t="s">
        <v>172</v>
      </c>
      <c r="F26" s="201">
        <v>1421038</v>
      </c>
      <c r="G26" s="201" t="s">
        <v>172</v>
      </c>
      <c r="H26" s="201">
        <v>1843547</v>
      </c>
      <c r="I26" s="201" t="s">
        <v>172</v>
      </c>
      <c r="J26" s="201">
        <v>1787130</v>
      </c>
      <c r="K26" s="201">
        <v>63696.81</v>
      </c>
      <c r="L26" s="201">
        <v>1225758</v>
      </c>
      <c r="M26" s="201">
        <v>57846.130000000005</v>
      </c>
      <c r="N26" s="201">
        <v>1089071</v>
      </c>
      <c r="O26" s="201">
        <v>67833.58</v>
      </c>
      <c r="P26" s="201">
        <v>1255153</v>
      </c>
      <c r="Q26" s="201">
        <v>63335.62</v>
      </c>
      <c r="R26" s="201">
        <v>1444176.96</v>
      </c>
      <c r="S26" s="201">
        <v>61290.51</v>
      </c>
      <c r="T26" s="201">
        <v>1446577.4</v>
      </c>
      <c r="U26" s="201">
        <v>13463.23</v>
      </c>
      <c r="V26" s="201">
        <v>641478</v>
      </c>
      <c r="W26" s="201">
        <v>14667.4</v>
      </c>
      <c r="X26" s="201">
        <v>875823</v>
      </c>
      <c r="Y26" s="201">
        <v>21009.03</v>
      </c>
      <c r="Z26" s="201">
        <v>1089867</v>
      </c>
      <c r="AA26" s="277">
        <v>17373.75</v>
      </c>
      <c r="AB26" s="278">
        <v>1031538</v>
      </c>
      <c r="AC26" s="279">
        <v>21135.109999999997</v>
      </c>
      <c r="AD26" s="279">
        <v>1460815</v>
      </c>
      <c r="AE26" s="280">
        <v>18898.59</v>
      </c>
      <c r="AF26" s="280">
        <v>1425918</v>
      </c>
      <c r="AG26" s="280">
        <v>19616.55</v>
      </c>
      <c r="AH26" s="280">
        <v>1944713</v>
      </c>
      <c r="AI26" s="280">
        <v>20461.116999999998</v>
      </c>
      <c r="AJ26" s="280">
        <v>2289802</v>
      </c>
      <c r="AK26" s="279">
        <v>25356.176000000003</v>
      </c>
      <c r="AL26" s="279">
        <v>2399181</v>
      </c>
      <c r="AM26" s="279">
        <v>27855.844999999998</v>
      </c>
      <c r="AN26" s="279">
        <v>3127660</v>
      </c>
      <c r="AO26" s="279">
        <v>21585.138000000003</v>
      </c>
      <c r="AP26" s="279">
        <v>2414179</v>
      </c>
      <c r="AQ26" s="279">
        <v>32315.917000000001</v>
      </c>
      <c r="AR26" s="279">
        <v>3849978</v>
      </c>
      <c r="AS26" s="279">
        <v>64691.678</v>
      </c>
      <c r="AT26" s="279">
        <v>9895749.8734791148</v>
      </c>
      <c r="AU26" s="201">
        <f>SUMIF($C$11:AT$11, 1, $C26:AT26)</f>
        <v>722623.16099999996</v>
      </c>
      <c r="AV26" s="201" t="s">
        <v>509</v>
      </c>
    </row>
    <row r="27" spans="1:48" x14ac:dyDescent="0.25">
      <c r="A27" s="231"/>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72"/>
      <c r="AC27" s="272"/>
      <c r="AD27" s="272"/>
      <c r="AE27" s="273"/>
      <c r="AF27" s="273"/>
      <c r="AG27" s="273"/>
      <c r="AH27" s="273"/>
      <c r="AI27" s="273"/>
      <c r="AJ27" s="273"/>
      <c r="AK27" s="272"/>
      <c r="AL27" s="272"/>
      <c r="AM27" s="272"/>
      <c r="AN27" s="272"/>
      <c r="AO27" s="272"/>
      <c r="AP27" s="272"/>
      <c r="AQ27" s="272"/>
      <c r="AR27" s="272"/>
      <c r="AS27" s="272"/>
      <c r="AT27" s="272"/>
      <c r="AU27" s="201"/>
      <c r="AV27" s="201"/>
    </row>
    <row r="28" spans="1:48" x14ac:dyDescent="0.25">
      <c r="A28" s="210" t="s">
        <v>201</v>
      </c>
      <c r="B28" s="212" t="s">
        <v>166</v>
      </c>
      <c r="C28" s="211">
        <f>SUMIFS('Other Minerals - Q&amp;V'!$D$11:$D$743, 'Other Minerals - Q&amp;V'!$A$11:$A$743, "&gt;=" &amp; DATE(C$9, 1, 1), 'Other Minerals - Q&amp;V'!$A$11:$A$743, "&lt;" &amp; DATE(C$9+1, 1, 1))*10^6</f>
        <v>6301445</v>
      </c>
      <c r="D28" s="211">
        <f>SUMIFS('Other Minerals - Q&amp;V'!$E$11:$E$743, 'Other Minerals - Q&amp;V'!$A$11:$A$743, "&gt;=" &amp; DATE(C$9, 1, 1), 'Other Minerals - Q&amp;V'!$A$11:$A$743, "&lt;" &amp; DATE(C$9+1, 1, 1))*10^6</f>
        <v>281457719</v>
      </c>
      <c r="E28" s="211">
        <f>SUMIFS('Other Minerals - Q&amp;V'!$D$11:$D$743, 'Other Minerals - Q&amp;V'!$A$11:$A$743, "&gt;=" &amp; DATE(E$9, 1, 1), 'Other Minerals - Q&amp;V'!$A$11:$A$743, "&lt;" &amp; DATE(E$9+1, 1, 1))*10^6</f>
        <v>6334484</v>
      </c>
      <c r="F28" s="211">
        <f>SUMIFS('Other Minerals - Q&amp;V'!$E$11:$E$743, 'Other Minerals - Q&amp;V'!$A$11:$A$743, "&gt;=" &amp; DATE(E$9, 1, 1), 'Other Minerals - Q&amp;V'!$A$11:$A$743, "&lt;" &amp; DATE(E$9+1, 1, 1))*10^6</f>
        <v>280186535</v>
      </c>
      <c r="G28" s="211">
        <f>SUMIFS('Other Minerals - Q&amp;V'!$D$11:$D$743, 'Other Minerals - Q&amp;V'!$A$11:$A$743, "&gt;=" &amp; DATE(G$9, 1, 1), 'Other Minerals - Q&amp;V'!$A$11:$A$743, "&lt;" &amp; DATE(G$9+1, 1, 1))*10^6</f>
        <v>6611423</v>
      </c>
      <c r="H28" s="211">
        <f>SUMIFS('Other Minerals - Q&amp;V'!$E$11:$E$743, 'Other Minerals - Q&amp;V'!$A$11:$A$743, "&gt;=" &amp; DATE(G$9, 1, 1), 'Other Minerals - Q&amp;V'!$A$11:$A$743, "&lt;" &amp; DATE(G$9+1, 1, 1))*10^6</f>
        <v>289726141</v>
      </c>
      <c r="I28" s="211">
        <f>SUMIFS('Other Minerals - Q&amp;V'!$D$11:$D$743, 'Other Minerals - Q&amp;V'!$A$11:$A$743, "&gt;=" &amp; DATE(I$9, 1, 1), 'Other Minerals - Q&amp;V'!$A$11:$A$743, "&lt;" &amp; DATE(I$9+1, 1, 1))*10^6</f>
        <v>5810092</v>
      </c>
      <c r="J28" s="211">
        <f>SUMIFS('Other Minerals - Q&amp;V'!$E$11:$E$743, 'Other Minerals - Q&amp;V'!$A$11:$A$743, "&gt;=" &amp; DATE(I$9, 1, 1), 'Other Minerals - Q&amp;V'!$A$11:$A$743, "&lt;" &amp; DATE(I$9+1, 1, 1))*10^6</f>
        <v>263961627.00000003</v>
      </c>
      <c r="K28" s="211">
        <f>SUMIFS('Other Minerals - Q&amp;V'!$D$11:$D$743, 'Other Minerals - Q&amp;V'!$A$11:$A$743, "&gt;=" &amp; DATE(K$9, 1, 1), 'Other Minerals - Q&amp;V'!$A$11:$A$743, "&lt;" &amp; DATE(K$9+1, 1, 1))*10^6</f>
        <v>6731266</v>
      </c>
      <c r="L28" s="211">
        <f>SUMIFS('Other Minerals - Q&amp;V'!$E$11:$E$743, 'Other Minerals - Q&amp;V'!$A$11:$A$743, "&gt;=" &amp; DATE(K$9, 1, 1), 'Other Minerals - Q&amp;V'!$A$11:$A$743, "&lt;" &amp; DATE(K$9+1, 1, 1))*10^6</f>
        <v>305499633</v>
      </c>
      <c r="M28" s="211">
        <f>SUMIFS('Other Minerals - Q&amp;V'!$D$11:$D$743, 'Other Minerals - Q&amp;V'!$A$11:$A$743, "&gt;=" &amp; DATE(M$9, 1, 1), 'Other Minerals - Q&amp;V'!$A$11:$A$743, "&lt;" &amp; DATE(M$9+1, 1, 1))*10^6</f>
        <v>6558857</v>
      </c>
      <c r="N28" s="211">
        <f>SUMIFS('Other Minerals - Q&amp;V'!$E$11:$E$743, 'Other Minerals - Q&amp;V'!$A$11:$A$743, "&gt;=" &amp; DATE(M$9, 1, 1), 'Other Minerals - Q&amp;V'!$A$11:$A$743, "&lt;" &amp; DATE(M$9+1, 1, 1))*10^6</f>
        <v>308156873.99999994</v>
      </c>
      <c r="O28" s="211">
        <f>SUMIFS('Other Minerals - Q&amp;V'!$D$11:$D$743, 'Other Minerals - Q&amp;V'!$A$11:$A$743, "&gt;=" &amp; DATE(O$9, 1, 1), 'Other Minerals - Q&amp;V'!$A$11:$A$743, "&lt;" &amp; DATE(O$9+1, 1, 1))*10^6</f>
        <v>6998521</v>
      </c>
      <c r="P28" s="211">
        <f>SUMIFS('Other Minerals - Q&amp;V'!$E$11:$E$743, 'Other Minerals - Q&amp;V'!$A$11:$A$743, "&gt;=" &amp; DATE(O$9, 1, 1), 'Other Minerals - Q&amp;V'!$A$11:$A$743, "&lt;" &amp; DATE(O$9+1, 1, 1))*10^6</f>
        <v>318268201</v>
      </c>
      <c r="Q28" s="211">
        <f>SUMIFS('Other Minerals - Q&amp;V'!$D$11:$D$743, 'Other Minerals - Q&amp;V'!$A$11:$A$743, "&gt;=" &amp; DATE(Q$9, 1, 1), 'Other Minerals - Q&amp;V'!$A$11:$A$743, "&lt;" &amp; DATE(Q$9+1, 1, 1))*10^6</f>
        <v>6981907</v>
      </c>
      <c r="R28" s="211">
        <f>SUMIFS('Other Minerals - Q&amp;V'!$E$11:$E$743, 'Other Minerals - Q&amp;V'!$A$11:$A$743, "&gt;=" &amp; DATE(Q$9, 1, 1), 'Other Minerals - Q&amp;V'!$A$11:$A$743, "&lt;" &amp; DATE(Q$9+1, 1, 1))*10^6</f>
        <v>283495535</v>
      </c>
      <c r="S28" s="211">
        <f>SUMIFS('Other Minerals - Q&amp;V'!$D$11:$D$743, 'Other Minerals - Q&amp;V'!$A$11:$A$743, "&gt;=" &amp; DATE(S$9, 1, 1), 'Other Minerals - Q&amp;V'!$A$11:$A$743, "&lt;" &amp; DATE(S$9+1, 1, 1))*10^6</f>
        <v>7458256</v>
      </c>
      <c r="T28" s="211">
        <f>SUMIFS('Other Minerals - Q&amp;V'!$E$11:$E$743, 'Other Minerals - Q&amp;V'!$A$11:$A$743, "&gt;=" &amp; DATE(S$9, 1, 1), 'Other Minerals - Q&amp;V'!$A$11:$A$743, "&lt;" &amp; DATE(S$9+1, 1, 1))*10^6</f>
        <v>315086290</v>
      </c>
      <c r="U28" s="211">
        <f>SUMIFS('Other Minerals - Q&amp;V'!$D$11:$D$743, 'Other Minerals - Q&amp;V'!$A$11:$A$743, "&gt;=" &amp; DATE(U$9, 1, 1), 'Other Minerals - Q&amp;V'!$A$11:$A$743, "&lt;" &amp; DATE(U$9+1, 1, 1))*10^6</f>
        <v>7110277.4699999988</v>
      </c>
      <c r="V28" s="211">
        <f>SUMIFS('Other Minerals - Q&amp;V'!$E$11:$E$743, 'Other Minerals - Q&amp;V'!$A$11:$A$743, "&gt;=" &amp; DATE(U$9, 1, 1), 'Other Minerals - Q&amp;V'!$A$11:$A$743, "&lt;" &amp; DATE(U$9+1, 1, 1))*10^6</f>
        <v>297127291</v>
      </c>
      <c r="W28" s="211">
        <f>SUMIFS('Other Minerals - Q&amp;V'!$D$11:$D$743, 'Other Minerals - Q&amp;V'!$A$11:$A$743, "&gt;=" &amp; DATE(W$9, 1, 1), 'Other Minerals - Q&amp;V'!$A$11:$A$743, "&lt;" &amp; DATE(W$9+1, 1, 1))*10^6</f>
        <v>6224128.0099999998</v>
      </c>
      <c r="X28" s="211">
        <f>SUMIFS('Other Minerals - Q&amp;V'!$E$11:$E$743, 'Other Minerals - Q&amp;V'!$A$11:$A$743, "&gt;=" &amp; DATE(W$9, 1, 1), 'Other Minerals - Q&amp;V'!$A$11:$A$743, "&lt;" &amp; DATE(W$9+1, 1, 1))*10^6</f>
        <v>267188314</v>
      </c>
      <c r="Y28" s="211">
        <f>SUMIFS('Other Minerals - Q&amp;V'!$D$11:$D$743, 'Other Minerals - Q&amp;V'!$A$11:$A$743, "&gt;=" &amp; DATE(Y$9, 1, 1), 'Other Minerals - Q&amp;V'!$A$11:$A$743, "&lt;" &amp; DATE(Y$9+1, 1, 1))*10^6</f>
        <v>6945779.1399999997</v>
      </c>
      <c r="Z28" s="211">
        <f>SUMIFS('Other Minerals - Q&amp;V'!$E$11:$E$743, 'Other Minerals - Q&amp;V'!$A$11:$A$743, "&gt;=" &amp; DATE(Y$9, 1, 1), 'Other Minerals - Q&amp;V'!$A$11:$A$743, "&lt;" &amp; DATE(Y$9+1, 1, 1))*10^6</f>
        <v>341452392</v>
      </c>
      <c r="AA28" s="211">
        <f>SUMIFS('Other Minerals - Q&amp;V'!$D$11:$D$743, 'Other Minerals - Q&amp;V'!$A$11:$A$743, "&gt;=" &amp; DATE(AA$9, 1, 1), 'Other Minerals - Q&amp;V'!$A$11:$A$743, "&lt;" &amp; DATE(AA$9+1, 1, 1))*10^6</f>
        <v>6738517.4010000005</v>
      </c>
      <c r="AB28" s="267">
        <f>SUMIFS('Other Minerals - Q&amp;V'!$E$11:$E$743, 'Other Minerals - Q&amp;V'!$A$11:$A$743, "&gt;=" &amp; DATE(AA$9, 1, 1), 'Other Minerals - Q&amp;V'!$A$11:$A$743, "&lt;" &amp; DATE(AA$9+1, 1, 1))*10^6</f>
        <v>329402521</v>
      </c>
      <c r="AC28" s="267">
        <f>SUMIFS('Other Minerals - Q&amp;V'!$D$11:$D$743, 'Other Minerals - Q&amp;V'!$A$11:$A$743, "&gt;=" &amp; DATE(AC$9, 1, 1), 'Other Minerals - Q&amp;V'!$A$11:$A$743, "&lt;" &amp; DATE(AC$9+1, 1, 1))*10^6</f>
        <v>6814665.1800000006</v>
      </c>
      <c r="AD28" s="267">
        <f>SUMIFS('Other Minerals - Q&amp;V'!$E$11:$E$743, 'Other Minerals - Q&amp;V'!$A$11:$A$743, "&gt;=" &amp; DATE(AC$9, 1, 1), 'Other Minerals - Q&amp;V'!$A$11:$A$743, "&lt;" &amp; DATE(AC$9+1, 1, 1))*10^6</f>
        <v>338945632</v>
      </c>
      <c r="AE28" s="268">
        <f>SUMIFS('Other Minerals - Q&amp;V'!$D$11:$D$743, 'Other Minerals - Q&amp;V'!$A$11:$A$743, "&gt;=" &amp; DATE(AE$9, 1, 1), 'Other Minerals - Q&amp;V'!$A$11:$A$743, "&lt;" &amp; DATE(AE$9+1, 1, 1))*10^6</f>
        <v>6465666.2699999986</v>
      </c>
      <c r="AF28" s="268">
        <f>SUMIFS('Other Minerals - Q&amp;V'!$E$11:$E$743, 'Other Minerals - Q&amp;V'!$A$11:$A$743, "&gt;=" &amp; DATE(AE$9, 1, 1), 'Other Minerals - Q&amp;V'!$A$11:$A$743, "&lt;" &amp; DATE(AE$9+1, 1, 1))*10^6</f>
        <v>327376363.99999994</v>
      </c>
      <c r="AG28" s="268">
        <f>SUMIFS('Other Minerals - Q&amp;V'!$D$11:$D$743, 'Other Minerals - Q&amp;V'!$A$11:$A$743, "&gt;=" &amp; DATE(AG$9, 1, 1), 'Other Minerals - Q&amp;V'!$A$11:$A$743, "&lt;" &amp; DATE(AG$9+1, 1, 1))*10^6</f>
        <v>6239250.9469999997</v>
      </c>
      <c r="AH28" s="268">
        <f>SUMIFS('Other Minerals - Q&amp;V'!$E$11:$E$743, 'Other Minerals - Q&amp;V'!$A$11:$A$743, "&gt;=" &amp; DATE(AG$9, 1, 1), 'Other Minerals - Q&amp;V'!$A$11:$A$743, "&lt;" &amp; DATE(AG$9+1, 1, 1))*10^6</f>
        <v>323369284</v>
      </c>
      <c r="AI28" s="268">
        <f>SUMIFS('Other Minerals - Q&amp;V'!$D$11:$D$743, 'Other Minerals - Q&amp;V'!$A$11:$A$743, "&gt;=" &amp; DATE(AI$9, 1, 1), 'Other Minerals - Q&amp;V'!$A$11:$A$743, "&lt;" &amp; DATE(AI$9+1, 1, 1))*10^6</f>
        <v>5619507.2599999998</v>
      </c>
      <c r="AJ28" s="268">
        <f>SUMIFS('Other Minerals - Q&amp;V'!$E$11:$E$743, 'Other Minerals - Q&amp;V'!$A$11:$A$743, "&gt;=" &amp; DATE(AI$9, 1, 1), 'Other Minerals - Q&amp;V'!$A$11:$A$743, "&lt;" &amp; DATE(AI$9+1, 1, 1))*10^6</f>
        <v>309397638.99999994</v>
      </c>
      <c r="AK28" s="267">
        <f>SUMIFS('Other Minerals - Q&amp;V'!$D$11:$D$743, 'Other Minerals - Q&amp;V'!$A$11:$A$743, "&gt;=" &amp; DATE(AK$9, 1, 1), 'Other Minerals - Q&amp;V'!$A$11:$A$743, "&lt;" &amp; DATE(AK$9+1, 1, 1))*10^6</f>
        <v>5273179.959999999</v>
      </c>
      <c r="AL28" s="267">
        <f>SUMIFS('Other Minerals - Q&amp;V'!$E$11:$E$743, 'Other Minerals - Q&amp;V'!$A$11:$A$743, "&gt;=" &amp; DATE(AK$9, 1, 1), 'Other Minerals - Q&amp;V'!$A$11:$A$743, "&lt;" &amp; DATE(AK$9+1, 1, 1))*10^6</f>
        <v>318066262</v>
      </c>
      <c r="AM28" s="267">
        <f>SUMIFS('Other Minerals - Q&amp;V'!$D$11:$D$743, 'Other Minerals - Q&amp;V'!$A$11:$A$743, "&gt;=" &amp; DATE(AM$9, 1, 1), 'Other Minerals - Q&amp;V'!$A$11:$A$743, "&lt;" &amp; DATE(AM$9+1, 1, 1))*10^6</f>
        <v>4789361.46</v>
      </c>
      <c r="AN28" s="267">
        <f>SUMIFS('Other Minerals - Q&amp;V'!$E$11:$E$743, 'Other Minerals - Q&amp;V'!$A$11:$A$743, "&gt;=" &amp; DATE(AM$9, 1, 1), 'Other Minerals - Q&amp;V'!$A$11:$A$743, "&lt;" &amp; DATE(AM$9+1, 1, 1))*10^6</f>
        <v>313923338</v>
      </c>
      <c r="AO28" s="267">
        <f>SUMIFS('Other Minerals - Q&amp;V'!$D$11:$D$743, 'Other Minerals - Q&amp;V'!$A$11:$A$743, "&gt;=" &amp; DATE(AO$9, 1, 1), 'Other Minerals - Q&amp;V'!$A$11:$A$743, "&lt;" &amp; DATE(AO$9+1, 1, 1))*10^6</f>
        <v>5260182.3899999997</v>
      </c>
      <c r="AP28" s="267">
        <f>SUMIFS('Other Minerals - Q&amp;V'!$E$11:$E$743, 'Other Minerals - Q&amp;V'!$A$11:$A$743, "&gt;=" &amp; DATE(AO$9, 1, 1), 'Other Minerals - Q&amp;V'!$A$11:$A$743, "&lt;" &amp; DATE(AO$9+1, 1, 1))*10^6</f>
        <v>456172675.99999994</v>
      </c>
      <c r="AQ28" s="267">
        <f>SUMIFS('Other Minerals - Q&amp;V'!$D$11:$D$743, 'Other Minerals - Q&amp;V'!$A$11:$A$743, "&gt;=" &amp; DATE(AQ$9, 1, 1), 'Other Minerals - Q&amp;V'!$A$11:$A$743, "&lt;" &amp; DATE(AQ$9+1, 1, 1))*10^6</f>
        <v>5038696.8600000003</v>
      </c>
      <c r="AR28" s="267">
        <f>SUMIFS('Other Minerals - Q&amp;V'!$E$11:$E$743, 'Other Minerals - Q&amp;V'!$A$11:$A$743, "&gt;=" &amp; DATE(AQ$9, 1, 1), 'Other Minerals - Q&amp;V'!$A$11:$A$743, "&lt;" &amp; DATE(AQ$9+1, 1, 1))*10^6</f>
        <v>461663981.00000006</v>
      </c>
      <c r="AS28" s="267">
        <f>SUMIFS('Other Minerals - Q&amp;V'!$D$11:$D$743, 'Other Minerals - Q&amp;V'!$A$11:$A$743, "&gt;=" &amp; DATE(AS$9, 1, 1), 'Other Minerals - Q&amp;V'!$A$11:$A$743, "&lt;" &amp; DATE(AS$9+1, 1, 1))*10^6</f>
        <v>5587624.9999999991</v>
      </c>
      <c r="AT28" s="267">
        <f>SUMIFS('Other Minerals - Q&amp;V'!$E$11:$E$743, 'Other Minerals - Q&amp;V'!$A$11:$A$743, "&gt;=" &amp; DATE(AS$9, 1, 1), 'Other Minerals - Q&amp;V'!$A$11:$A$743, "&lt;" &amp; DATE(AS$9+1, 1, 1))*10^6</f>
        <v>529332469.00000006</v>
      </c>
      <c r="AU28" s="211">
        <f>SUMIF($C$11:AT$11, 1, $C28:AT28)</f>
        <v>137893088.34799999</v>
      </c>
      <c r="AV28" s="211">
        <f>SUMIF($C$11:AT$11, 0, $C28:AT28)</f>
        <v>7259256718</v>
      </c>
    </row>
    <row r="29" spans="1:48" x14ac:dyDescent="0.25">
      <c r="A29" s="210"/>
      <c r="B29" s="212"/>
      <c r="C29" s="211"/>
      <c r="D29" s="211"/>
      <c r="E29" s="211"/>
      <c r="F29" s="211"/>
      <c r="G29" s="211"/>
      <c r="H29" s="211"/>
      <c r="I29" s="211"/>
      <c r="J29" s="211"/>
      <c r="K29" s="211"/>
      <c r="L29" s="211"/>
      <c r="M29" s="211"/>
      <c r="N29" s="211"/>
      <c r="O29" s="211"/>
      <c r="P29" s="211"/>
      <c r="Q29" s="211"/>
      <c r="R29" s="211"/>
      <c r="S29" s="211"/>
      <c r="T29" s="211"/>
      <c r="U29" s="211"/>
      <c r="V29" s="211"/>
      <c r="W29" s="211"/>
      <c r="X29" s="211"/>
      <c r="Y29" s="211"/>
      <c r="Z29" s="211"/>
      <c r="AA29" s="211"/>
      <c r="AB29" s="267"/>
      <c r="AC29" s="267"/>
      <c r="AD29" s="267"/>
      <c r="AE29" s="268"/>
      <c r="AF29" s="268"/>
      <c r="AG29" s="268"/>
      <c r="AH29" s="268"/>
      <c r="AI29" s="268"/>
      <c r="AJ29" s="268"/>
      <c r="AK29" s="267"/>
      <c r="AL29" s="267"/>
      <c r="AM29" s="267"/>
      <c r="AN29" s="267"/>
      <c r="AO29" s="267"/>
      <c r="AP29" s="267"/>
      <c r="AQ29" s="267"/>
      <c r="AR29" s="267"/>
      <c r="AS29" s="267"/>
      <c r="AT29" s="267"/>
      <c r="AU29" s="211"/>
      <c r="AV29" s="211"/>
    </row>
    <row r="30" spans="1:48" x14ac:dyDescent="0.25">
      <c r="A30" s="215" t="s">
        <v>203</v>
      </c>
      <c r="B30" s="216" t="s">
        <v>166</v>
      </c>
      <c r="C30" s="201">
        <f>SUMIFS('Other Minerals - Q&amp;V'!$J$11:$J$743, 'Other Minerals - Q&amp;V'!$A$11:$A$743, "&gt;=" &amp; DATE(C$9, 1, 1), 'Other Minerals - Q&amp;V'!$A$11:$A$743, "&lt;" &amp; DATE(C$9+1, 1, 1))*10^3</f>
        <v>4396.8679999999995</v>
      </c>
      <c r="D30" s="201">
        <f>SUMIFS('Other Minerals - Q&amp;V'!$K$11:$K$743, 'Other Minerals - Q&amp;V'!$A$11:$A$743, "&gt;=" &amp; DATE(C$9, 1, 1), 'Other Minerals - Q&amp;V'!$A$11:$A$743, "&lt;" &amp; DATE(C$9+1, 1, 1))*10^6</f>
        <v>261187543</v>
      </c>
      <c r="E30" s="201">
        <f>SUMIFS('Other Minerals - Q&amp;V'!$J$11:$J$743, 'Other Minerals - Q&amp;V'!$A$11:$A$743, "&gt;=" &amp; DATE(E$9, 1, 1), 'Other Minerals - Q&amp;V'!$A$11:$A$743, "&lt;" &amp; DATE(E$9+1, 1, 1))*10^3</f>
        <v>4567.4600000000009</v>
      </c>
      <c r="F30" s="201">
        <f>SUMIFS('Other Minerals - Q&amp;V'!$K$11:$K$743, 'Other Minerals - Q&amp;V'!$A$11:$A$743, "&gt;=" &amp; DATE(E$9, 1, 1), 'Other Minerals - Q&amp;V'!$A$11:$A$743, "&lt;" &amp; DATE(E$9+1, 1, 1))*10^6</f>
        <v>166932800</v>
      </c>
      <c r="G30" s="201">
        <f>SUMIFS('Other Minerals - Q&amp;V'!$J$11:$J$743, 'Other Minerals - Q&amp;V'!$A$11:$A$743, "&gt;=" &amp; DATE(G$9, 1, 1), 'Other Minerals - Q&amp;V'!$A$11:$A$743, "&lt;" &amp; DATE(G$9+1, 1, 1))*10^3</f>
        <v>5128.8249999999998</v>
      </c>
      <c r="H30" s="201">
        <f>SUMIFS('Other Minerals - Q&amp;V'!$K$11:$K$743, 'Other Minerals - Q&amp;V'!$A$11:$A$743, "&gt;=" &amp; DATE(G$9, 1, 1), 'Other Minerals - Q&amp;V'!$A$11:$A$743, "&lt;" &amp; DATE(G$9+1, 1, 1))*10^6</f>
        <v>220425176</v>
      </c>
      <c r="I30" s="201">
        <f>SUMIFS('Other Minerals - Q&amp;V'!$J$11:$J$743, 'Other Minerals - Q&amp;V'!$A$11:$A$743, "&gt;=" &amp; DATE(I$9, 1, 1), 'Other Minerals - Q&amp;V'!$A$11:$A$743, "&lt;" &amp; DATE(I$9+1, 1, 1))*10^3</f>
        <v>4730.3459999999995</v>
      </c>
      <c r="J30" s="201">
        <f>SUMIFS('Other Minerals - Q&amp;V'!$K$11:$K$743, 'Other Minerals - Q&amp;V'!$A$11:$A$743, "&gt;=" &amp; DATE(I$9, 1, 1), 'Other Minerals - Q&amp;V'!$A$11:$A$743, "&lt;" &amp; DATE(I$9+1, 1, 1))*10^6</f>
        <v>348990785</v>
      </c>
      <c r="K30" s="201">
        <f>SUMIFS('Other Minerals - Q&amp;V'!$J$11:$J$743, 'Other Minerals - Q&amp;V'!$A$11:$A$743, "&gt;=" &amp; DATE(K$9, 1, 1), 'Other Minerals - Q&amp;V'!$A$11:$A$743, "&lt;" &amp; DATE(K$9+1, 1, 1))*10^3</f>
        <v>4784.6750000000002</v>
      </c>
      <c r="L30" s="201">
        <f>SUMIFS('Other Minerals - Q&amp;V'!$K$11:$K$743, 'Other Minerals - Q&amp;V'!$A$11:$A$743, "&gt;=" &amp; DATE(K$9, 1, 1), 'Other Minerals - Q&amp;V'!$A$11:$A$743, "&lt;" &amp; DATE(K$9+1, 1, 1))*10^6</f>
        <v>377659792.00000006</v>
      </c>
      <c r="M30" s="201">
        <f>SUMIFS('Other Minerals - Q&amp;V'!$J$11:$J$743, 'Other Minerals - Q&amp;V'!$A$11:$A$743, "&gt;=" &amp; DATE(M$9, 1, 1), 'Other Minerals - Q&amp;V'!$A$11:$A$743, "&lt;" &amp; DATE(M$9+1, 1, 1))*10^3</f>
        <v>4670.387999999999</v>
      </c>
      <c r="N30" s="201">
        <f>SUMIFS('Other Minerals - Q&amp;V'!$K$11:$K$743, 'Other Minerals - Q&amp;V'!$A$11:$A$743, "&gt;=" &amp; DATE(M$9, 1, 1), 'Other Minerals - Q&amp;V'!$A$11:$A$743, "&lt;" &amp; DATE(M$9+1, 1, 1))*10^6</f>
        <v>183872077</v>
      </c>
      <c r="O30" s="201">
        <f>SUMIFS('Other Minerals - Q&amp;V'!$J$11:$J$743, 'Other Minerals - Q&amp;V'!$A$11:$A$743, "&gt;=" &amp; DATE(O$9, 1, 1), 'Other Minerals - Q&amp;V'!$A$11:$A$743, "&lt;" &amp; DATE(O$9+1, 1, 1))*10^3</f>
        <v>3943.0120000000006</v>
      </c>
      <c r="P30" s="201">
        <f>SUMIFS('Other Minerals - Q&amp;V'!$K$11:$K$743, 'Other Minerals - Q&amp;V'!$A$11:$A$743, "&gt;=" &amp; DATE(O$9, 1, 1), 'Other Minerals - Q&amp;V'!$A$11:$A$743, "&lt;" &amp; DATE(O$9+1, 1, 1))*10^6</f>
        <v>173787236</v>
      </c>
      <c r="Q30" s="201">
        <f>SUMIFS('Other Minerals - Q&amp;V'!$J$11:$J$743, 'Other Minerals - Q&amp;V'!$A$11:$A$743, "&gt;=" &amp; DATE(Q$9, 1, 1), 'Other Minerals - Q&amp;V'!$A$11:$A$743, "&lt;" &amp; DATE(Q$9+1, 1, 1))*10^3</f>
        <v>3880</v>
      </c>
      <c r="R30" s="201">
        <f>SUMIFS('Other Minerals - Q&amp;V'!$K$11:$K$743, 'Other Minerals - Q&amp;V'!$A$11:$A$743, "&gt;=" &amp; DATE(Q$9, 1, 1), 'Other Minerals - Q&amp;V'!$A$11:$A$743, "&lt;" &amp; DATE(Q$9+1, 1, 1))*10^6</f>
        <v>127995275.99999999</v>
      </c>
      <c r="S30" s="201">
        <f>SUMIFS('Other Minerals - Q&amp;V'!$J$11:$J$743, 'Other Minerals - Q&amp;V'!$A$11:$A$743, "&gt;=" &amp; DATE(S$9, 1, 1), 'Other Minerals - Q&amp;V'!$A$11:$A$743, "&lt;" &amp; DATE(S$9+1, 1, 1))*10^3</f>
        <v>5910</v>
      </c>
      <c r="T30" s="201">
        <f>SUMIFS('Other Minerals - Q&amp;V'!$K$11:$K$743, 'Other Minerals - Q&amp;V'!$A$11:$A$743, "&gt;=" &amp; DATE(S$9, 1, 1), 'Other Minerals - Q&amp;V'!$A$11:$A$743, "&lt;" &amp; DATE(S$9+1, 1, 1))*10^6</f>
        <v>155449318</v>
      </c>
      <c r="U30" s="201">
        <f>SUMIFS('Other Minerals - Q&amp;V'!$J$11:$J$743, 'Other Minerals - Q&amp;V'!$A$11:$A$743, "&gt;=" &amp; DATE(U$9, 1, 1), 'Other Minerals - Q&amp;V'!$A$11:$A$743, "&lt;" &amp; DATE(U$9+1, 1, 1))*10^3</f>
        <v>6404.8789999999999</v>
      </c>
      <c r="V30" s="201">
        <f>SUMIFS('Other Minerals - Q&amp;V'!$K$11:$K$743, 'Other Minerals - Q&amp;V'!$A$11:$A$743, "&gt;=" &amp; DATE(U$9, 1, 1), 'Other Minerals - Q&amp;V'!$A$11:$A$743, "&lt;" &amp; DATE(U$9+1, 1, 1))*10^6</f>
        <v>171749883</v>
      </c>
      <c r="W30" s="201">
        <f>SUMIFS('Other Minerals - Q&amp;V'!$J$11:$J$743, 'Other Minerals - Q&amp;V'!$A$11:$A$743, "&gt;=" &amp; DATE(W$9, 1, 1), 'Other Minerals - Q&amp;V'!$A$11:$A$743, "&lt;" &amp; DATE(W$9+1, 1, 1))*10^3</f>
        <v>6201.2560000000003</v>
      </c>
      <c r="X30" s="201">
        <f>SUMIFS('Other Minerals - Q&amp;V'!$K$11:$K$743, 'Other Minerals - Q&amp;V'!$A$11:$A$743, "&gt;=" &amp; DATE(W$9, 1, 1), 'Other Minerals - Q&amp;V'!$A$11:$A$743, "&lt;" &amp; DATE(W$9+1, 1, 1))*10^6</f>
        <v>197576142</v>
      </c>
      <c r="Y30" s="201">
        <f>SUMIFS('Other Minerals - Q&amp;V'!$J$11:$J$743, 'Other Minerals - Q&amp;V'!$A$11:$A$743, "&gt;=" &amp; DATE(Y$9, 1, 1), 'Other Minerals - Q&amp;V'!$A$11:$A$743, "&lt;" &amp; DATE(Y$9+1, 1, 1))*10^3</f>
        <v>5720.6819999999998</v>
      </c>
      <c r="Z30" s="201">
        <f>SUMIFS('Other Minerals - Q&amp;V'!$K$11:$K$743, 'Other Minerals - Q&amp;V'!$A$11:$A$743, "&gt;=" &amp; DATE(Y$9, 1, 1), 'Other Minerals - Q&amp;V'!$A$11:$A$743, "&lt;" &amp; DATE(Y$9+1, 1, 1))*10^6</f>
        <v>199471951</v>
      </c>
      <c r="AA30" s="201">
        <f>SUMIFS('Other Minerals - Q&amp;V'!$J$11:$J$743, 'Other Minerals - Q&amp;V'!$A$11:$A$743, "&gt;=" &amp; DATE(AA$9, 1, 1), 'Other Minerals - Q&amp;V'!$A$11:$A$743, "&lt;" &amp; DATE(AA$9+1, 1, 1))*10^3</f>
        <v>5139.7489999999998</v>
      </c>
      <c r="AB30" s="278">
        <f>SUMIFS('Other Minerals - Q&amp;V'!$K$11:$K$743, 'Other Minerals - Q&amp;V'!$A$11:$A$743, "&gt;=" &amp; DATE(AA$9, 1, 1), 'Other Minerals - Q&amp;V'!$A$11:$A$743, "&lt;" &amp; DATE(AA$9+1, 1, 1))*10^6</f>
        <v>169378671</v>
      </c>
      <c r="AC30" s="278">
        <f>SUMIFS('Other Minerals - Q&amp;V'!$J$11:$J$743, 'Other Minerals - Q&amp;V'!$A$11:$A$743, "&gt;=" &amp; DATE(AC$9, 1, 1), 'Other Minerals - Q&amp;V'!$A$11:$A$743, "&lt;" &amp; DATE(AC$9+1, 1, 1))*10^3</f>
        <v>5033.8279999999995</v>
      </c>
      <c r="AD30" s="278">
        <f>SUMIFS('Other Minerals - Q&amp;V'!$K$11:$K$743, 'Other Minerals - Q&amp;V'!$A$11:$A$743, "&gt;=" &amp; DATE(AC$9, 1, 1), 'Other Minerals - Q&amp;V'!$A$11:$A$743, "&lt;" &amp; DATE(AC$9+1, 1, 1))*10^6</f>
        <v>382689369</v>
      </c>
      <c r="AE30" s="281">
        <f>SUMIFS('Other Minerals - Q&amp;V'!$J$11:$J$743, 'Other Minerals - Q&amp;V'!$A$11:$A$743, "&gt;=" &amp; DATE(AE$9, 1, 1), 'Other Minerals - Q&amp;V'!$A$11:$A$743, "&lt;" &amp; DATE(AE$9+1, 1, 1))*10^3</f>
        <v>4878.0980000000009</v>
      </c>
      <c r="AF30" s="281">
        <f>SUMIFS('Other Minerals - Q&amp;V'!$K$11:$K$743, 'Other Minerals - Q&amp;V'!$A$11:$A$743, "&gt;=" &amp; DATE(AE$9, 1, 1), 'Other Minerals - Q&amp;V'!$A$11:$A$743, "&lt;" &amp; DATE(AE$9+1, 1, 1))*10^6</f>
        <v>503216707.99999994</v>
      </c>
      <c r="AG30" s="281">
        <f>SUMIFS('Other Minerals - Q&amp;V'!$J$11:$J$743, 'Other Minerals - Q&amp;V'!$A$11:$A$743, "&gt;=" &amp; DATE(AG$9, 1, 1), 'Other Minerals - Q&amp;V'!$A$11:$A$743, "&lt;" &amp; DATE(AG$9+1, 1, 1))*10^3</f>
        <v>5745.7169999999996</v>
      </c>
      <c r="AH30" s="281">
        <f>SUMIFS('Other Minerals - Q&amp;V'!$K$11:$K$743, 'Other Minerals - Q&amp;V'!$A$11:$A$743, "&gt;=" &amp; DATE(AG$9, 1, 1), 'Other Minerals - Q&amp;V'!$A$11:$A$743, "&lt;" &amp; DATE(AG$9+1, 1, 1))*10^6</f>
        <v>261048068.99999994</v>
      </c>
      <c r="AI30" s="281">
        <f>SUMIFS('Other Minerals - Q&amp;V'!$J$11:$J$743, 'Other Minerals - Q&amp;V'!$A$11:$A$743, "&gt;=" &amp; DATE(AI$9, 1, 1), 'Other Minerals - Q&amp;V'!$A$11:$A$743, "&lt;" &amp; DATE(AI$9+1, 1, 1))*10^3</f>
        <v>5631.1479999999992</v>
      </c>
      <c r="AJ30" s="281">
        <f>SUMIFS('Other Minerals - Q&amp;V'!$K$11:$K$743, 'Other Minerals - Q&amp;V'!$A$11:$A$743, "&gt;=" &amp; DATE(AI$9, 1, 1), 'Other Minerals - Q&amp;V'!$A$11:$A$743, "&lt;" &amp; DATE(AI$9+1, 1, 1))*10^6</f>
        <v>281159671</v>
      </c>
      <c r="AK30" s="278">
        <f>SUMIFS('Other Minerals - Q&amp;V'!$J$11:$J$743, 'Other Minerals - Q&amp;V'!$A$11:$A$743, "&gt;=" &amp; DATE(AK$9, 1, 1), 'Other Minerals - Q&amp;V'!$A$11:$A$743, "&lt;" &amp; DATE(AK$9+1, 1, 1))*10^3</f>
        <v>5232.1670000000004</v>
      </c>
      <c r="AL30" s="278">
        <f>SUMIFS('Other Minerals - Q&amp;V'!$K$11:$K$743, 'Other Minerals - Q&amp;V'!$A$11:$A$743, "&gt;=" &amp; DATE(AK$9, 1, 1), 'Other Minerals - Q&amp;V'!$A$11:$A$743, "&lt;" &amp; DATE(AK$9+1, 1, 1))*10^6</f>
        <v>388679774.99999994</v>
      </c>
      <c r="AM30" s="278">
        <f>SUMIFS('Other Minerals - Q&amp;V'!$J$11:$J$743, 'Other Minerals - Q&amp;V'!$A$11:$A$743, "&gt;=" &amp; DATE(AM$9, 1, 1), 'Other Minerals - Q&amp;V'!$A$11:$A$743, "&lt;" &amp; DATE(AM$9+1, 1, 1))*10^3</f>
        <v>5857.2520000000004</v>
      </c>
      <c r="AN30" s="278">
        <f>SUMIFS('Other Minerals - Q&amp;V'!$K$11:$K$743, 'Other Minerals - Q&amp;V'!$A$11:$A$743, "&gt;=" &amp; DATE(AM$9, 1, 1), 'Other Minerals - Q&amp;V'!$A$11:$A$743, "&lt;" &amp; DATE(AM$9+1, 1, 1))*10^6</f>
        <v>524643611.99999994</v>
      </c>
      <c r="AO30" s="278">
        <f>SUMIFS('Other Minerals - Q&amp;V'!$J$11:$J$743, 'Other Minerals - Q&amp;V'!$A$11:$A$743, "&gt;=" &amp; DATE(AO$9, 1, 1), 'Other Minerals - Q&amp;V'!$A$11:$A$743, "&lt;" &amp; DATE(AO$9+1, 1, 1))*10^3</f>
        <v>5136.7089999999998</v>
      </c>
      <c r="AP30" s="278">
        <f>SUMIFS('Other Minerals - Q&amp;V'!$K$11:$K$743, 'Other Minerals - Q&amp;V'!$A$11:$A$743, "&gt;=" &amp; DATE(AO$9, 1, 1), 'Other Minerals - Q&amp;V'!$A$11:$A$743, "&lt;" &amp; DATE(AO$9+1, 1, 1))*10^6</f>
        <v>254040240.99999997</v>
      </c>
      <c r="AQ30" s="278">
        <f>SUMIFS('Other Minerals - Q&amp;V'!$J$11:$J$743, 'Other Minerals - Q&amp;V'!$A$11:$A$743, "&gt;=" &amp; DATE(AQ$9, 1, 1), 'Other Minerals - Q&amp;V'!$A$11:$A$743, "&lt;" &amp; DATE(AQ$9+1, 1, 1))*10^3</f>
        <v>4760.9319999999998</v>
      </c>
      <c r="AR30" s="278">
        <f>SUMIFS('Other Minerals - Q&amp;V'!$K$11:$K$743, 'Other Minerals - Q&amp;V'!$A$11:$A$743, "&gt;=" &amp; DATE(AQ$9, 1, 1), 'Other Minerals - Q&amp;V'!$A$11:$A$743, "&lt;" &amp; DATE(AQ$9+1, 1, 1))*10^6</f>
        <v>178876126.52552658</v>
      </c>
      <c r="AS30" s="278">
        <f>SUMIFS('Other Minerals - Q&amp;V'!$J$11:$J$743, 'Other Minerals - Q&amp;V'!$A$11:$A$743, "&gt;=" &amp; DATE(AS$9, 1, 1), 'Other Minerals - Q&amp;V'!$A$11:$A$743, "&lt;" &amp; DATE(AS$9+1, 1, 1))*10^3</f>
        <v>3050.04</v>
      </c>
      <c r="AT30" s="278">
        <f>SUMIFS('Other Minerals - Q&amp;V'!$K$11:$K$743, 'Other Minerals - Q&amp;V'!$A$11:$A$743, "&gt;=" &amp; DATE(AS$9, 1, 1), 'Other Minerals - Q&amp;V'!$A$11:$A$743, "&lt;" &amp; DATE(AS$9+1, 1, 1))*10^6</f>
        <v>167861474</v>
      </c>
      <c r="AU30" s="232">
        <f>SUMIF($C$11:AT$11, 1, $C30:AT30)</f>
        <v>110804.031</v>
      </c>
      <c r="AV30" s="201">
        <f>SUMIF($C$11:AT$11, 0, $C30:AT30)</f>
        <v>5696691695.525527</v>
      </c>
    </row>
    <row r="31" spans="1:48" x14ac:dyDescent="0.25">
      <c r="A31" s="215"/>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72"/>
      <c r="AC31" s="272"/>
      <c r="AD31" s="272"/>
      <c r="AE31" s="273"/>
      <c r="AF31" s="273"/>
      <c r="AG31" s="273"/>
      <c r="AH31" s="273"/>
      <c r="AI31" s="273"/>
      <c r="AJ31" s="273"/>
      <c r="AK31" s="272"/>
      <c r="AL31" s="272"/>
      <c r="AM31" s="272"/>
      <c r="AN31" s="272"/>
      <c r="AO31" s="272"/>
      <c r="AP31" s="272"/>
      <c r="AQ31" s="272"/>
      <c r="AR31" s="272"/>
      <c r="AS31" s="272"/>
      <c r="AT31" s="272"/>
      <c r="AU31" s="201"/>
      <c r="AV31" s="201"/>
    </row>
    <row r="32" spans="1:48" x14ac:dyDescent="0.25">
      <c r="A32" s="210" t="s">
        <v>204</v>
      </c>
      <c r="B32" s="206"/>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67"/>
      <c r="AC32" s="267"/>
      <c r="AD32" s="267"/>
      <c r="AE32" s="268"/>
      <c r="AF32" s="268"/>
      <c r="AG32" s="268"/>
      <c r="AH32" s="268"/>
      <c r="AI32" s="268"/>
      <c r="AJ32" s="268"/>
      <c r="AK32" s="267"/>
      <c r="AL32" s="267"/>
      <c r="AM32" s="267"/>
      <c r="AN32" s="267"/>
      <c r="AO32" s="267"/>
      <c r="AP32" s="267"/>
      <c r="AQ32" s="267"/>
      <c r="AR32" s="267"/>
      <c r="AS32" s="267"/>
      <c r="AT32" s="267"/>
      <c r="AU32" s="211"/>
      <c r="AV32" s="211"/>
    </row>
    <row r="33" spans="1:48" x14ac:dyDescent="0.25">
      <c r="A33" s="213" t="s">
        <v>205</v>
      </c>
      <c r="B33" s="274" t="s">
        <v>166</v>
      </c>
      <c r="C33" s="211">
        <v>438919.92</v>
      </c>
      <c r="D33" s="211">
        <v>3721753</v>
      </c>
      <c r="E33" s="211">
        <v>847864.56</v>
      </c>
      <c r="F33" s="211">
        <v>11198184</v>
      </c>
      <c r="G33" s="211">
        <v>1343612</v>
      </c>
      <c r="H33" s="211">
        <v>34323278</v>
      </c>
      <c r="I33" s="211">
        <v>1526310.94</v>
      </c>
      <c r="J33" s="211">
        <v>38398371</v>
      </c>
      <c r="K33" s="211">
        <v>2619510.9500000002</v>
      </c>
      <c r="L33" s="211">
        <v>65067523</v>
      </c>
      <c r="M33" s="211">
        <v>3067021.98</v>
      </c>
      <c r="N33" s="211">
        <v>82023027.300000012</v>
      </c>
      <c r="O33" s="211">
        <v>2367976.85</v>
      </c>
      <c r="P33" s="211">
        <v>57783933.350000001</v>
      </c>
      <c r="Q33" s="211">
        <v>2662483.5300000003</v>
      </c>
      <c r="R33" s="211">
        <v>61840425.085480474</v>
      </c>
      <c r="S33" s="211">
        <v>3996233.29</v>
      </c>
      <c r="T33" s="211">
        <v>128795715.78</v>
      </c>
      <c r="U33" s="211">
        <v>5527501.5200000014</v>
      </c>
      <c r="V33" s="211">
        <v>193222493.1379045</v>
      </c>
      <c r="W33" s="211">
        <v>4424394.8750000009</v>
      </c>
      <c r="X33" s="211">
        <v>155247936.1086098</v>
      </c>
      <c r="Y33" s="211">
        <v>1760644.7900000003</v>
      </c>
      <c r="Z33" s="211">
        <v>61630727.443872832</v>
      </c>
      <c r="AA33" s="282">
        <v>1080618.1740000001</v>
      </c>
      <c r="AB33" s="283">
        <v>35437613.085250005</v>
      </c>
      <c r="AC33" s="284">
        <v>1406421.9459999998</v>
      </c>
      <c r="AD33" s="284">
        <v>46870249.748304099</v>
      </c>
      <c r="AE33" s="285">
        <v>1592560.6640000001</v>
      </c>
      <c r="AF33" s="285">
        <v>50101908.401595332</v>
      </c>
      <c r="AG33" s="285">
        <v>2378855</v>
      </c>
      <c r="AH33" s="285">
        <v>73798099.035583675</v>
      </c>
      <c r="AI33" s="285">
        <v>3500348.2340000002</v>
      </c>
      <c r="AJ33" s="285">
        <v>86295769.243998289</v>
      </c>
      <c r="AK33" s="284">
        <v>2510162.5699999998</v>
      </c>
      <c r="AL33" s="284">
        <v>73272504.876642644</v>
      </c>
      <c r="AM33" s="284">
        <v>2465322.7949999999</v>
      </c>
      <c r="AN33" s="284">
        <v>73847523.706279874</v>
      </c>
      <c r="AO33" s="284">
        <v>3879101.5699999994</v>
      </c>
      <c r="AP33" s="284">
        <v>143584034.89063162</v>
      </c>
      <c r="AQ33" s="284">
        <v>3472301.01</v>
      </c>
      <c r="AR33" s="284">
        <v>143952254.92932034</v>
      </c>
      <c r="AS33" s="284">
        <v>2905504.4700000007</v>
      </c>
      <c r="AT33" s="284">
        <v>128084665.62869975</v>
      </c>
      <c r="AU33" s="211">
        <f>SUMIF($C$11:AT$11, 1, $C33:AT33)</f>
        <v>55773671.637999989</v>
      </c>
      <c r="AV33" s="211">
        <f>SUMIF($C$11:AT$11, 0, $C33:AT33)</f>
        <v>1748497990.7521734</v>
      </c>
    </row>
    <row r="34" spans="1:48" x14ac:dyDescent="0.25">
      <c r="A34" s="213" t="s">
        <v>206</v>
      </c>
      <c r="B34" s="274" t="s">
        <v>166</v>
      </c>
      <c r="C34" s="211">
        <v>204635.72</v>
      </c>
      <c r="D34" s="211">
        <v>850481</v>
      </c>
      <c r="E34" s="211">
        <v>125718.55</v>
      </c>
      <c r="F34" s="211">
        <v>897176</v>
      </c>
      <c r="G34" s="211">
        <v>134269</v>
      </c>
      <c r="H34" s="211">
        <v>865579</v>
      </c>
      <c r="I34" s="211">
        <v>202620.14</v>
      </c>
      <c r="J34" s="211">
        <v>1499391.5</v>
      </c>
      <c r="K34" s="211">
        <v>145591.63999999998</v>
      </c>
      <c r="L34" s="211">
        <v>1321716.5</v>
      </c>
      <c r="M34" s="211">
        <v>188799.99</v>
      </c>
      <c r="N34" s="211">
        <v>1612635.5</v>
      </c>
      <c r="O34" s="211">
        <v>124505.59</v>
      </c>
      <c r="P34" s="211">
        <v>1021717.1</v>
      </c>
      <c r="Q34" s="211">
        <v>265338.94</v>
      </c>
      <c r="R34" s="211">
        <v>2360577.75</v>
      </c>
      <c r="S34" s="211">
        <v>448457.62000000005</v>
      </c>
      <c r="T34" s="211">
        <v>3317758.3</v>
      </c>
      <c r="U34" s="211">
        <v>393890.821</v>
      </c>
      <c r="V34" s="211">
        <v>3143046.1581358267</v>
      </c>
      <c r="W34" s="211">
        <v>222590.42999999996</v>
      </c>
      <c r="X34" s="211">
        <v>1427564.6991291926</v>
      </c>
      <c r="Y34" s="211">
        <v>159021.71000000002</v>
      </c>
      <c r="Z34" s="211">
        <v>1027390.2474311654</v>
      </c>
      <c r="AA34" s="282">
        <v>223961.78</v>
      </c>
      <c r="AB34" s="283">
        <v>1559054.8839840624</v>
      </c>
      <c r="AC34" s="284">
        <v>349224.79000000004</v>
      </c>
      <c r="AD34" s="284">
        <v>2463915.9711690429</v>
      </c>
      <c r="AE34" s="285">
        <v>185831.80000000002</v>
      </c>
      <c r="AF34" s="285">
        <v>2133893.6080478565</v>
      </c>
      <c r="AG34" s="285">
        <v>202338.76999999996</v>
      </c>
      <c r="AH34" s="285">
        <v>2867300.8017564081</v>
      </c>
      <c r="AI34" s="285">
        <v>168340.99999999994</v>
      </c>
      <c r="AJ34" s="285">
        <v>2063704.8133779175</v>
      </c>
      <c r="AK34" s="284">
        <v>334776.58600000001</v>
      </c>
      <c r="AL34" s="284">
        <v>2451140.8465159601</v>
      </c>
      <c r="AM34" s="284">
        <v>361045.51799999998</v>
      </c>
      <c r="AN34" s="284">
        <v>5254050.3506710334</v>
      </c>
      <c r="AO34" s="284">
        <v>295792.39999999967</v>
      </c>
      <c r="AP34" s="284">
        <v>2516743.0746334274</v>
      </c>
      <c r="AQ34" s="284">
        <v>73610.469999999972</v>
      </c>
      <c r="AR34" s="284">
        <v>1044997.1969098144</v>
      </c>
      <c r="AS34" s="284">
        <v>663359.21000000008</v>
      </c>
      <c r="AT34" s="284">
        <v>7045647.6204593787</v>
      </c>
      <c r="AU34" s="211">
        <f>SUMIF($C$11:AT$11, 1, $C34:AT34)</f>
        <v>5473722.4749999987</v>
      </c>
      <c r="AV34" s="211">
        <f>SUMIF($C$11:AT$11, 0, $C34:AT34)</f>
        <v>48745482.922221087</v>
      </c>
    </row>
    <row r="35" spans="1:48" x14ac:dyDescent="0.25">
      <c r="A35" s="213" t="s">
        <v>207</v>
      </c>
      <c r="B35" s="274" t="s">
        <v>166</v>
      </c>
      <c r="C35" s="211">
        <v>329811.94</v>
      </c>
      <c r="D35" s="211">
        <v>1839366</v>
      </c>
      <c r="E35" s="211">
        <v>433744.37</v>
      </c>
      <c r="F35" s="211">
        <v>3558885</v>
      </c>
      <c r="G35" s="211">
        <v>525548</v>
      </c>
      <c r="H35" s="211">
        <v>4940420</v>
      </c>
      <c r="I35" s="211">
        <v>785965.24</v>
      </c>
      <c r="J35" s="211">
        <v>12530094</v>
      </c>
      <c r="K35" s="211">
        <v>1229299.4500000002</v>
      </c>
      <c r="L35" s="211">
        <v>19925191</v>
      </c>
      <c r="M35" s="211">
        <v>1136843.9099999999</v>
      </c>
      <c r="N35" s="211">
        <v>16099075</v>
      </c>
      <c r="O35" s="211">
        <v>449223.78</v>
      </c>
      <c r="P35" s="211">
        <v>7668172</v>
      </c>
      <c r="Q35" s="211">
        <v>303452.32</v>
      </c>
      <c r="R35" s="211">
        <v>2917833.25</v>
      </c>
      <c r="S35" s="211">
        <v>1019203.45</v>
      </c>
      <c r="T35" s="211">
        <v>22663022.960000001</v>
      </c>
      <c r="U35" s="211">
        <v>1224288.79</v>
      </c>
      <c r="V35" s="211">
        <v>19854062.227167632</v>
      </c>
      <c r="W35" s="211">
        <v>1503035.88</v>
      </c>
      <c r="X35" s="211">
        <v>40567868.965893194</v>
      </c>
      <c r="Y35" s="211">
        <v>831443.5399999998</v>
      </c>
      <c r="Z35" s="211">
        <v>18980936.590697806</v>
      </c>
      <c r="AA35" s="282">
        <v>281622.37</v>
      </c>
      <c r="AB35" s="283">
        <v>2686293.6999312122</v>
      </c>
      <c r="AC35" s="284">
        <v>673836.08000000019</v>
      </c>
      <c r="AD35" s="284">
        <v>10057323.480784893</v>
      </c>
      <c r="AE35" s="285">
        <v>380617.07000000007</v>
      </c>
      <c r="AF35" s="285">
        <v>5396237.6638776669</v>
      </c>
      <c r="AG35" s="285">
        <v>530922.23999999999</v>
      </c>
      <c r="AH35" s="285">
        <v>8859059.7484897356</v>
      </c>
      <c r="AI35" s="285">
        <v>369422.84499999991</v>
      </c>
      <c r="AJ35" s="285">
        <v>5464775.7645661123</v>
      </c>
      <c r="AK35" s="284">
        <v>1063887.78</v>
      </c>
      <c r="AL35" s="284">
        <v>24175625.318069957</v>
      </c>
      <c r="AM35" s="284">
        <v>945138.48599999992</v>
      </c>
      <c r="AN35" s="284">
        <v>14895228.163750349</v>
      </c>
      <c r="AO35" s="284">
        <v>1741505.0050000001</v>
      </c>
      <c r="AP35" s="284">
        <v>37742143.36056339</v>
      </c>
      <c r="AQ35" s="284">
        <v>1478133.1600000006</v>
      </c>
      <c r="AR35" s="284">
        <v>29061367.717911348</v>
      </c>
      <c r="AS35" s="284">
        <v>1385696.74</v>
      </c>
      <c r="AT35" s="284">
        <v>30044918.90944013</v>
      </c>
      <c r="AU35" s="211">
        <f>SUMIF($C$11:AT$11, 1, $C35:AT35)</f>
        <v>18622642.445999999</v>
      </c>
      <c r="AV35" s="211">
        <f>SUMIF($C$11:AT$11, 0, $C35:AT35)</f>
        <v>339927900.82114351</v>
      </c>
    </row>
    <row r="36" spans="1:48" x14ac:dyDescent="0.25">
      <c r="A36" s="213" t="s">
        <v>208</v>
      </c>
      <c r="B36" s="274" t="s">
        <v>166</v>
      </c>
      <c r="C36" s="211">
        <v>2627705.5</v>
      </c>
      <c r="D36" s="211">
        <v>13231776.119999999</v>
      </c>
      <c r="E36" s="211">
        <v>3135474.1</v>
      </c>
      <c r="F36" s="211">
        <v>17517077.399999999</v>
      </c>
      <c r="G36" s="211">
        <v>3932959</v>
      </c>
      <c r="H36" s="211">
        <v>24019139</v>
      </c>
      <c r="I36" s="211">
        <v>4103626.72</v>
      </c>
      <c r="J36" s="211">
        <v>21867179.049999997</v>
      </c>
      <c r="K36" s="211">
        <v>3362306.3699999987</v>
      </c>
      <c r="L36" s="211">
        <v>25160242.099999998</v>
      </c>
      <c r="M36" s="211">
        <v>3872160.2800000003</v>
      </c>
      <c r="N36" s="211">
        <v>29499489.211281963</v>
      </c>
      <c r="O36" s="211">
        <v>3818957.6699999985</v>
      </c>
      <c r="P36" s="211">
        <v>29911942.450000003</v>
      </c>
      <c r="Q36" s="211">
        <v>5731340.4500000011</v>
      </c>
      <c r="R36" s="211">
        <v>45345204.100000001</v>
      </c>
      <c r="S36" s="211">
        <v>5889916.6280000014</v>
      </c>
      <c r="T36" s="211">
        <v>58176758.129999988</v>
      </c>
      <c r="U36" s="211">
        <v>6122052.9139999989</v>
      </c>
      <c r="V36" s="211">
        <v>70658809.262125134</v>
      </c>
      <c r="W36" s="211">
        <v>7319221.5520000001</v>
      </c>
      <c r="X36" s="211">
        <v>60563191.86682912</v>
      </c>
      <c r="Y36" s="211">
        <v>4908492.6119999969</v>
      </c>
      <c r="Z36" s="211">
        <v>47387315.393462658</v>
      </c>
      <c r="AA36" s="282">
        <v>2534115.8380000014</v>
      </c>
      <c r="AB36" s="283">
        <v>26060875.356639635</v>
      </c>
      <c r="AC36" s="284">
        <v>2956031.5039999997</v>
      </c>
      <c r="AD36" s="284">
        <v>25950841.993039574</v>
      </c>
      <c r="AE36" s="285">
        <v>3665674.1749999998</v>
      </c>
      <c r="AF36" s="285">
        <v>29127482.051860929</v>
      </c>
      <c r="AG36" s="285">
        <v>2200848.189999999</v>
      </c>
      <c r="AH36" s="285">
        <v>30127326.921307012</v>
      </c>
      <c r="AI36" s="285">
        <v>2540215.5229999991</v>
      </c>
      <c r="AJ36" s="285">
        <v>29538004.964658175</v>
      </c>
      <c r="AK36" s="284">
        <v>3782167.4689999982</v>
      </c>
      <c r="AL36" s="284">
        <v>42135725.092470787</v>
      </c>
      <c r="AM36" s="284">
        <v>4086132.3050000002</v>
      </c>
      <c r="AN36" s="284">
        <v>39547323.539817698</v>
      </c>
      <c r="AO36" s="284">
        <v>3881061.8469999982</v>
      </c>
      <c r="AP36" s="284">
        <v>43307170.631789014</v>
      </c>
      <c r="AQ36" s="284">
        <v>4994718.909</v>
      </c>
      <c r="AR36" s="284">
        <v>57654753.476349927</v>
      </c>
      <c r="AS36" s="284">
        <v>6522266.4489999991</v>
      </c>
      <c r="AT36" s="284">
        <v>77550165.236915186</v>
      </c>
      <c r="AU36" s="211">
        <f>SUMIF($C$11:AT$11, 1, $C36:AT36)</f>
        <v>91987446.00499998</v>
      </c>
      <c r="AV36" s="211">
        <f>SUMIF($C$11:AT$11, 0, $C36:AT36)</f>
        <v>844337793.34854662</v>
      </c>
    </row>
    <row r="37" spans="1:48" x14ac:dyDescent="0.25">
      <c r="A37" s="213" t="s">
        <v>623</v>
      </c>
      <c r="B37" s="206"/>
      <c r="C37" s="211"/>
      <c r="D37" s="211">
        <v>521019</v>
      </c>
      <c r="E37" s="211"/>
      <c r="F37" s="211">
        <v>0</v>
      </c>
      <c r="G37" s="211"/>
      <c r="H37" s="211">
        <v>0</v>
      </c>
      <c r="I37" s="211"/>
      <c r="J37" s="211">
        <v>0</v>
      </c>
      <c r="K37" s="211"/>
      <c r="L37" s="211">
        <v>0</v>
      </c>
      <c r="M37" s="211"/>
      <c r="N37" s="211">
        <v>0</v>
      </c>
      <c r="O37" s="211"/>
      <c r="P37" s="211">
        <v>0</v>
      </c>
      <c r="Q37" s="211"/>
      <c r="R37" s="211">
        <v>0</v>
      </c>
      <c r="S37" s="211"/>
      <c r="T37" s="211">
        <v>0</v>
      </c>
      <c r="U37" s="211"/>
      <c r="V37" s="211">
        <v>0</v>
      </c>
      <c r="W37" s="211"/>
      <c r="X37" s="211">
        <v>0</v>
      </c>
      <c r="Y37" s="211"/>
      <c r="Z37" s="211">
        <v>0</v>
      </c>
      <c r="AA37" s="211"/>
      <c r="AB37" s="211">
        <v>0</v>
      </c>
      <c r="AC37" s="211"/>
      <c r="AD37" s="211">
        <v>0</v>
      </c>
      <c r="AE37" s="266"/>
      <c r="AF37" s="266">
        <v>0</v>
      </c>
      <c r="AG37" s="266"/>
      <c r="AH37" s="266">
        <v>0</v>
      </c>
      <c r="AI37" s="266"/>
      <c r="AJ37" s="266">
        <v>0</v>
      </c>
      <c r="AK37" s="284"/>
      <c r="AL37" s="284">
        <v>0</v>
      </c>
      <c r="AM37" s="284"/>
      <c r="AN37" s="284">
        <v>0</v>
      </c>
      <c r="AO37" s="284"/>
      <c r="AP37" s="284">
        <v>0</v>
      </c>
      <c r="AQ37" s="284"/>
      <c r="AR37" s="284">
        <v>0</v>
      </c>
      <c r="AS37" s="284"/>
      <c r="AT37" s="284">
        <v>0</v>
      </c>
      <c r="AU37" s="211"/>
      <c r="AV37" s="211">
        <f>SUMIF($C$11:AT$11, 0, $C37:AT37)</f>
        <v>521019</v>
      </c>
    </row>
    <row r="38" spans="1:48" x14ac:dyDescent="0.25">
      <c r="A38" s="214" t="s">
        <v>209</v>
      </c>
      <c r="B38" s="206"/>
      <c r="C38" s="211"/>
      <c r="D38" s="211">
        <f>SUM(D33:D37)</f>
        <v>20164395.119999997</v>
      </c>
      <c r="E38" s="211"/>
      <c r="F38" s="211">
        <f>SUM(F33:F37)</f>
        <v>33171322.399999999</v>
      </c>
      <c r="G38" s="211"/>
      <c r="H38" s="211">
        <f>SUM(H33:H37)</f>
        <v>64148416</v>
      </c>
      <c r="I38" s="211"/>
      <c r="J38" s="211">
        <f>SUM(J33:J37)</f>
        <v>74295035.549999997</v>
      </c>
      <c r="K38" s="211"/>
      <c r="L38" s="211">
        <f>SUM(L33:L37)</f>
        <v>111474672.59999999</v>
      </c>
      <c r="M38" s="211"/>
      <c r="N38" s="211">
        <f>SUM(N33:N37)</f>
        <v>129234227.01128197</v>
      </c>
      <c r="O38" s="211"/>
      <c r="P38" s="211">
        <f>SUM(P33:P37)</f>
        <v>96385764.900000006</v>
      </c>
      <c r="Q38" s="211"/>
      <c r="R38" s="211">
        <f>SUM(R33:R37)</f>
        <v>112464040.18548048</v>
      </c>
      <c r="S38" s="211"/>
      <c r="T38" s="211">
        <f>SUM(T33:T37)</f>
        <v>212953255.16999999</v>
      </c>
      <c r="U38" s="211"/>
      <c r="V38" s="211">
        <f>SUM(V33:V37)</f>
        <v>286878410.7853331</v>
      </c>
      <c r="W38" s="211"/>
      <c r="X38" s="211">
        <f>SUM(X33:X37)</f>
        <v>257806561.6404613</v>
      </c>
      <c r="Y38" s="211"/>
      <c r="Z38" s="211">
        <f>SUM(Z33:Z37)</f>
        <v>129026369.67546447</v>
      </c>
      <c r="AA38" s="282"/>
      <c r="AB38" s="283">
        <f>SUM(AB33:AB37)</f>
        <v>65743837.025804907</v>
      </c>
      <c r="AC38" s="284"/>
      <c r="AD38" s="284">
        <f>SUM(AD33:AD37)</f>
        <v>85342331.19329761</v>
      </c>
      <c r="AE38" s="285"/>
      <c r="AF38" s="285">
        <f>SUM(AF33:AF37)</f>
        <v>86759521.725381792</v>
      </c>
      <c r="AG38" s="285"/>
      <c r="AH38" s="285">
        <f>SUM(AH33:AH37)</f>
        <v>115651786.50713684</v>
      </c>
      <c r="AI38" s="285"/>
      <c r="AJ38" s="285">
        <f>SUM(AJ33:AJ37)</f>
        <v>123362254.78660049</v>
      </c>
      <c r="AK38" s="284"/>
      <c r="AL38" s="284">
        <f>SUM(AL33:AL37)</f>
        <v>142034996.13369936</v>
      </c>
      <c r="AM38" s="284"/>
      <c r="AN38" s="284">
        <f>SUM(AN33:AN37)</f>
        <v>133544125.76051897</v>
      </c>
      <c r="AO38" s="284"/>
      <c r="AP38" s="284">
        <f>SUM(AP33:AP37)</f>
        <v>227150091.95761746</v>
      </c>
      <c r="AQ38" s="284"/>
      <c r="AR38" s="284">
        <f>SUM(AR33:AR37)</f>
        <v>231713373.3204914</v>
      </c>
      <c r="AS38" s="284"/>
      <c r="AT38" s="284">
        <f>SUM(AT33:AT37)</f>
        <v>242725397.39551443</v>
      </c>
      <c r="AU38" s="211"/>
      <c r="AV38" s="211">
        <f>SUMIF($C$11:AT$11, 0, $C38:AT38)</f>
        <v>2982030186.8440843</v>
      </c>
    </row>
    <row r="39" spans="1:48" x14ac:dyDescent="0.25">
      <c r="A39" s="214"/>
      <c r="B39" s="206"/>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67"/>
      <c r="AC39" s="267"/>
      <c r="AD39" s="267"/>
      <c r="AE39" s="268"/>
      <c r="AF39" s="268"/>
      <c r="AG39" s="268"/>
      <c r="AH39" s="268"/>
      <c r="AI39" s="268"/>
      <c r="AJ39" s="268"/>
      <c r="AK39" s="267"/>
      <c r="AL39" s="267"/>
      <c r="AM39" s="267"/>
      <c r="AN39" s="267"/>
      <c r="AO39" s="267"/>
      <c r="AP39" s="267"/>
      <c r="AQ39" s="267"/>
      <c r="AR39" s="267"/>
      <c r="AS39" s="267"/>
      <c r="AT39" s="267"/>
      <c r="AU39" s="211"/>
      <c r="AV39" s="211"/>
    </row>
    <row r="40" spans="1:48" x14ac:dyDescent="0.25">
      <c r="A40" s="215" t="s">
        <v>210</v>
      </c>
      <c r="B40" s="219" t="s">
        <v>211</v>
      </c>
      <c r="C40" s="201">
        <f>SUMIFS('Other Minerals - Q&amp;V'!$H$11:$H$743, 'Other Minerals - Q&amp;V'!$A$11:$A$743, "&gt;=" &amp; DATE(C$9, 1, 1), 'Other Minerals - Q&amp;V'!$A$11:$A$743, "&lt;" &amp; DATE(C$9+1, 1, 1))*10^6</f>
        <v>24225123</v>
      </c>
      <c r="D40" s="201">
        <f>SUMIFS('Other Minerals - Q&amp;V'!$I$11:$I$743, 'Other Minerals - Q&amp;V'!$A$11:$A$743, "&gt;=" &amp; DATE(C$9, 1, 1), 'Other Minerals - Q&amp;V'!$A$11:$A$743, "&lt;" &amp; DATE(C$9+1, 1, 1))*10^6</f>
        <v>420744555</v>
      </c>
      <c r="E40" s="201">
        <f>SUMIFS('Other Minerals - Q&amp;V'!$H$11:$H$743, 'Other Minerals - Q&amp;V'!$A$11:$A$743, "&gt;=" &amp; DATE(E$9, 1, 1), 'Other Minerals - Q&amp;V'!$A$11:$A$743, "&lt;" &amp; DATE(E$9+1, 1, 1))*10^6</f>
        <v>34306878.999999993</v>
      </c>
      <c r="F40" s="201">
        <f>SUMIFS('Other Minerals - Q&amp;V'!$I$11:$I$743, 'Other Minerals - Q&amp;V'!$A$11:$A$743, "&gt;=" &amp; DATE(E$9, 1, 1), 'Other Minerals - Q&amp;V'!$A$11:$A$743, "&lt;" &amp; DATE(E$9+1, 1, 1))*10^6</f>
        <v>740148613</v>
      </c>
      <c r="G40" s="201">
        <f>SUMIFS('Other Minerals - Q&amp;V'!$H$11:$H$743, 'Other Minerals - Q&amp;V'!$A$11:$A$743, "&gt;=" &amp; DATE(G$9, 1, 1), 'Other Minerals - Q&amp;V'!$A$11:$A$743, "&lt;" &amp; DATE(G$9+1, 1, 1))*10^6</f>
        <v>17070388</v>
      </c>
      <c r="H40" s="201">
        <f>SUMIFS('Other Minerals - Q&amp;V'!$I$11:$I$743, 'Other Minerals - Q&amp;V'!$A$11:$A$743, "&gt;=" &amp; DATE(G$9, 1, 1), 'Other Minerals - Q&amp;V'!$A$11:$A$743, "&lt;" &amp; DATE(G$9+1, 1, 1))*10^6</f>
        <v>462457560.99999994</v>
      </c>
      <c r="I40" s="201">
        <f>SUMIFS('Other Minerals - Q&amp;V'!$H$11:$H$743, 'Other Minerals - Q&amp;V'!$A$11:$A$743, "&gt;=" &amp; DATE(I$9, 1, 1), 'Other Minerals - Q&amp;V'!$A$11:$A$743, "&lt;" &amp; DATE(I$9+1, 1, 1))*10^6</f>
        <v>23536777</v>
      </c>
      <c r="J40" s="201">
        <f>SUMIFS('Other Minerals - Q&amp;V'!$I$11:$I$743, 'Other Minerals - Q&amp;V'!$A$11:$A$743, "&gt;=" &amp; DATE(I$9, 1, 1), 'Other Minerals - Q&amp;V'!$A$11:$A$743, "&lt;" &amp; DATE(I$9+1, 1, 1))*10^6</f>
        <v>560730419.00000012</v>
      </c>
      <c r="K40" s="201">
        <f>SUMIFS('Other Minerals - Q&amp;V'!$H$11:$H$743, 'Other Minerals - Q&amp;V'!$A$11:$A$743, "&gt;=" &amp; DATE(K$9, 1, 1), 'Other Minerals - Q&amp;V'!$A$11:$A$743, "&lt;" &amp; DATE(K$9+1, 1, 1))*10^6</f>
        <v>35240545</v>
      </c>
      <c r="L40" s="201">
        <f>SUMIFS('Other Minerals - Q&amp;V'!$I$11:$I$743, 'Other Minerals - Q&amp;V'!$A$11:$A$743, "&gt;=" &amp; DATE(K$9, 1, 1), 'Other Minerals - Q&amp;V'!$A$11:$A$743, "&lt;" &amp; DATE(K$9+1, 1, 1))*10^6</f>
        <v>502741709</v>
      </c>
      <c r="M40" s="201">
        <f>SUMIFS('Other Minerals - Q&amp;V'!$H$11:$H$743, 'Other Minerals - Q&amp;V'!$A$11:$A$743, "&gt;=" &amp; DATE(M$9, 1, 1), 'Other Minerals - Q&amp;V'!$A$11:$A$743, "&lt;" &amp; DATE(M$9+1, 1, 1))*10^6</f>
        <v>11899603</v>
      </c>
      <c r="N40" s="201">
        <f>SUMIFS('Other Minerals - Q&amp;V'!$I$11:$I$743, 'Other Minerals - Q&amp;V'!$A$11:$A$743, "&gt;=" &amp; DATE(M$9, 1, 1), 'Other Minerals - Q&amp;V'!$A$11:$A$743, "&lt;" &amp; DATE(M$9+1, 1, 1))*10^6</f>
        <v>231502138</v>
      </c>
      <c r="O40" s="201">
        <f>SUMIFS('Other Minerals - Q&amp;V'!$H$11:$H$743, 'Other Minerals - Q&amp;V'!$A$11:$A$743, "&gt;=" &amp; DATE(O$9, 1, 1), 'Other Minerals - Q&amp;V'!$A$11:$A$743, "&lt;" &amp; DATE(O$9+1, 1, 1))*10^6</f>
        <v>14416656</v>
      </c>
      <c r="P40" s="201">
        <f>SUMIFS('Other Minerals - Q&amp;V'!$I$11:$I$743, 'Other Minerals - Q&amp;V'!$A$11:$A$743, "&gt;=" &amp; DATE(O$9, 1, 1), 'Other Minerals - Q&amp;V'!$A$11:$A$743, "&lt;" &amp; DATE(O$9+1, 1, 1))*10^6</f>
        <v>345543720.99999994</v>
      </c>
      <c r="Q40" s="201">
        <f>SUMIFS('Other Minerals - Q&amp;V'!$H$11:$H$743, 'Other Minerals - Q&amp;V'!$A$11:$A$743, "&gt;=" &amp; DATE(Q$9, 1, 1), 'Other Minerals - Q&amp;V'!$A$11:$A$743, "&lt;" &amp; DATE(Q$9+1, 1, 1))*10^6</f>
        <v>7634725</v>
      </c>
      <c r="R40" s="201">
        <f>SUMIFS('Other Minerals - Q&amp;V'!$I$11:$I$743, 'Other Minerals - Q&amp;V'!$A$11:$A$743, "&gt;=" &amp; DATE(Q$9, 1, 1), 'Other Minerals - Q&amp;V'!$A$11:$A$743, "&lt;" &amp; DATE(Q$9+1, 1, 1))*10^6</f>
        <v>291177856</v>
      </c>
      <c r="S40" s="201">
        <f>SUMIFS('Other Minerals - Q&amp;V'!$H$11:$H$743, 'Other Minerals - Q&amp;V'!$A$11:$A$743, "&gt;=" &amp; DATE(S$9, 1, 1), 'Other Minerals - Q&amp;V'!$A$11:$A$743, "&lt;" &amp; DATE(S$9+1, 1, 1))*10^6</f>
        <v>9878125</v>
      </c>
      <c r="T40" s="201">
        <f>SUMIFS('Other Minerals - Q&amp;V'!$I$11:$I$743, 'Other Minerals - Q&amp;V'!$A$11:$A$743, "&gt;=" &amp; DATE(S$9, 1, 1), 'Other Minerals - Q&amp;V'!$A$11:$A$743, "&lt;" &amp; DATE(S$9+1, 1, 1))*10^6</f>
        <v>350402676.00000006</v>
      </c>
      <c r="U40" s="201">
        <f>SUMIFS('Other Minerals - Q&amp;V'!$H$11:$H$743, 'Other Minerals - Q&amp;V'!$A$11:$A$743, "&gt;=" &amp; DATE(U$9, 1, 1), 'Other Minerals - Q&amp;V'!$A$11:$A$743, "&lt;" &amp; DATE(U$9+1, 1, 1))*10^6</f>
        <v>10694365.27</v>
      </c>
      <c r="V40" s="201">
        <f>SUMIFS('Other Minerals - Q&amp;V'!$I$11:$I$743, 'Other Minerals - Q&amp;V'!$A$11:$A$743, "&gt;=" &amp; DATE(U$9, 1, 1), 'Other Minerals - Q&amp;V'!$A$11:$A$743, "&lt;" &amp; DATE(U$9+1, 1, 1))*10^6</f>
        <v>389650511</v>
      </c>
      <c r="W40" s="201">
        <f>SUMIFS('Other Minerals - Q&amp;V'!$H$11:$H$743, 'Other Minerals - Q&amp;V'!$A$11:$A$743, "&gt;=" &amp; DATE(W$9, 1, 1), 'Other Minerals - Q&amp;V'!$A$11:$A$743, "&lt;" &amp; DATE(W$9+1, 1, 1))*10^6</f>
        <v>10629381.780000001</v>
      </c>
      <c r="X40" s="201">
        <f>SUMIFS('Other Minerals - Q&amp;V'!$I$11:$I$743, 'Other Minerals - Q&amp;V'!$A$11:$A$743, "&gt;=" &amp; DATE(W$9, 1, 1), 'Other Minerals - Q&amp;V'!$A$11:$A$743, "&lt;" &amp; DATE(W$9+1, 1, 1))*10^6</f>
        <v>370620755</v>
      </c>
      <c r="Y40" s="201">
        <f>SUMIFS('Other Minerals - Q&amp;V'!$H$11:$H$743, 'Other Minerals - Q&amp;V'!$A$11:$A$743, "&gt;=" &amp; DATE(Y$9, 1, 1), 'Other Minerals - Q&amp;V'!$A$11:$A$743, "&lt;" &amp; DATE(Y$9+1, 1, 1))*10^6</f>
        <v>12643318.07</v>
      </c>
      <c r="Z40" s="201">
        <f>SUMIFS('Other Minerals - Q&amp;V'!$I$11:$I$743, 'Other Minerals - Q&amp;V'!$A$11:$A$743, "&gt;=" &amp; DATE(Y$9, 1, 1), 'Other Minerals - Q&amp;V'!$A$11:$A$743, "&lt;" &amp; DATE(Y$9+1, 1, 1))*10^6</f>
        <v>350487381</v>
      </c>
      <c r="AA40" s="201">
        <f>SUMIFS('Other Minerals - Q&amp;V'!$H$11:$H$743, 'Other Minerals - Q&amp;V'!$A$11:$A$743, "&gt;=" &amp; DATE(AA$9, 1, 1), 'Other Minerals - Q&amp;V'!$A$11:$A$743, "&lt;" &amp; DATE(AA$9+1, 1, 1))*10^6</f>
        <v>9996252.0299999993</v>
      </c>
      <c r="AB40" s="272">
        <f>SUMIFS('Other Minerals - Q&amp;V'!$I$11:$I$743, 'Other Minerals - Q&amp;V'!$A$11:$A$743, "&gt;=" &amp; DATE(AA$9, 1, 1), 'Other Minerals - Q&amp;V'!$A$11:$A$743, "&lt;" &amp; DATE(AA$9+1, 1, 1))*10^6</f>
        <v>277059195</v>
      </c>
      <c r="AC40" s="201">
        <f>SUMIFS('Other Minerals - Q&amp;V'!$H$11:$H$743, 'Other Minerals - Q&amp;V'!$A$11:$A$743, "&gt;=" &amp; DATE(AC$9, 1, 1), 'Other Minerals - Q&amp;V'!$A$11:$A$743, "&lt;" &amp; DATE(AC$9+1, 1, 1))*10^6</f>
        <v>15477909.889999999</v>
      </c>
      <c r="AD40" s="272">
        <f>SUMIFS('Other Minerals - Q&amp;V'!$I$11:$I$743, 'Other Minerals - Q&amp;V'!$A$11:$A$743, "&gt;=" &amp; DATE(AC$9, 1, 1), 'Other Minerals - Q&amp;V'!$A$11:$A$743, "&lt;" &amp; DATE(AC$9+1, 1, 1))*10^6</f>
        <v>267062677</v>
      </c>
      <c r="AE40" s="232">
        <f>SUMIFS('Other Minerals - Q&amp;V'!$H$11:$H$743, 'Other Minerals - Q&amp;V'!$A$11:$A$743, "&gt;=" &amp; DATE(AE$9, 1, 1), 'Other Minerals - Q&amp;V'!$A$11:$A$743, "&lt;" &amp; DATE(AE$9+1, 1, 1))*10^6</f>
        <v>15977354.379999999</v>
      </c>
      <c r="AF40" s="273">
        <f>SUMIFS('Other Minerals - Q&amp;V'!$I$11:$I$743, 'Other Minerals - Q&amp;V'!$A$11:$A$743, "&gt;=" &amp; DATE(AE$9, 1, 1), 'Other Minerals - Q&amp;V'!$A$11:$A$743, "&lt;" &amp; DATE(AE$9+1, 1, 1))*10^6</f>
        <v>258785251.99999997</v>
      </c>
      <c r="AG40" s="273">
        <f>SUMIFS('Other Minerals - Q&amp;V'!$H$11:$H$743, 'Other Minerals - Q&amp;V'!$A$11:$A$743, "&gt;=" &amp; DATE(AG$9, 1, 1), 'Other Minerals - Q&amp;V'!$A$11:$A$743, "&lt;" &amp; DATE(AG$9+1, 1, 1))*10^6</f>
        <v>15763761.609999998</v>
      </c>
      <c r="AH40" s="273">
        <f>SUMIFS('Other Minerals - Q&amp;V'!$I$11:$I$743, 'Other Minerals - Q&amp;V'!$A$11:$A$743, "&gt;=" &amp; DATE(AG$9, 1, 1), 'Other Minerals - Q&amp;V'!$A$11:$A$743, "&lt;" &amp; DATE(AG$9+1, 1, 1))*10^6</f>
        <v>304278103</v>
      </c>
      <c r="AI40" s="273">
        <f>SUMIFS('Other Minerals - Q&amp;V'!$H$11:$H$743, 'Other Minerals - Q&amp;V'!$A$11:$A$743, "&gt;=" &amp; DATE(AI$9, 1, 1), 'Other Minerals - Q&amp;V'!$A$11:$A$743, "&lt;" &amp; DATE(AI$9+1, 1, 1))*10^6</f>
        <v>13911341.17</v>
      </c>
      <c r="AJ40" s="273">
        <f>SUMIFS('Other Minerals - Q&amp;V'!$I$11:$I$743, 'Other Minerals - Q&amp;V'!$A$11:$A$743, "&gt;=" &amp; DATE(AI$9, 1, 1), 'Other Minerals - Q&amp;V'!$A$11:$A$743, "&lt;" &amp; DATE(AI$9+1, 1, 1))*10^6</f>
        <v>190381171</v>
      </c>
      <c r="AK40" s="273">
        <f>SUMIFS('Other Minerals - Q&amp;V'!$H$11:$H$743, 'Other Minerals - Q&amp;V'!$A$11:$A$743, "&gt;=" &amp; DATE(AK$9, 1, 1), 'Other Minerals - Q&amp;V'!$A$11:$A$743, "&lt;" &amp; DATE(AK$9+1, 1, 1))*10^6</f>
        <v>45506.81</v>
      </c>
      <c r="AL40" s="273">
        <f>SUMIFS('Other Minerals - Q&amp;V'!$I$11:$I$743, 'Other Minerals - Q&amp;V'!$A$11:$A$743, "&gt;=" &amp; DATE(AK$9, 1, 1), 'Other Minerals - Q&amp;V'!$A$11:$A$743, "&lt;" &amp; DATE(AK$9+1, 1, 1))*10^6</f>
        <v>2122740</v>
      </c>
      <c r="AM40" s="272">
        <f>SUMIFS('Other Minerals - Q&amp;V'!$H$11:$H$743, 'Other Minerals - Q&amp;V'!$A$11:$A$743, "&gt;=" &amp; DATE(AM$9, 1, 1), 'Other Minerals - Q&amp;V'!$A$11:$A$743, "&lt;" &amp; DATE(AM$9+1, 1, 1))*10^6</f>
        <v>0</v>
      </c>
      <c r="AN40" s="272">
        <f>SUMIFS('Other Minerals - Q&amp;V'!$I$11:$I$743, 'Other Minerals - Q&amp;V'!$A$11:$A$743, "&gt;=" &amp; DATE(AM$9, 1, 1), 'Other Minerals - Q&amp;V'!$A$11:$A$743, "&lt;" &amp; DATE(AM$9+1, 1, 1))*10^6</f>
        <v>0</v>
      </c>
      <c r="AO40" s="272">
        <f>SUMIFS('Other Minerals - Q&amp;V'!$H$11:$H$743, 'Other Minerals - Q&amp;V'!$A$11:$A$743, "&gt;=" &amp; DATE(AO$9, 1, 1), 'Other Minerals - Q&amp;V'!$A$11:$A$743, "&lt;" &amp; DATE(AO$9+1, 1, 1))*10^6</f>
        <v>0</v>
      </c>
      <c r="AP40" s="272">
        <f>SUMIFS('Other Minerals - Q&amp;V'!$I$11:$I$743, 'Other Minerals - Q&amp;V'!$A$11:$A$743, "&gt;=" &amp; DATE(AO$9, 1, 1), 'Other Minerals - Q&amp;V'!$A$11:$A$743, "&lt;" &amp; DATE(AO$9+1, 1, 1))*10^6</f>
        <v>0</v>
      </c>
      <c r="AQ40" s="272">
        <f>SUMIFS('Other Minerals - Q&amp;V'!$H$11:$H$743, 'Other Minerals - Q&amp;V'!$A$11:$A$743, "&gt;=" &amp; DATE(AQ$9, 1, 1), 'Other Minerals - Q&amp;V'!$A$11:$A$743, "&lt;" &amp; DATE(AQ$9+1, 1, 1))*10^6</f>
        <v>6658.29</v>
      </c>
      <c r="AR40" s="272">
        <f>SUMIFS('Other Minerals - Q&amp;V'!$I$11:$I$743, 'Other Minerals - Q&amp;V'!$A$11:$A$743, "&gt;=" &amp; DATE(AQ$9, 1, 1), 'Other Minerals - Q&amp;V'!$A$11:$A$743, "&lt;" &amp; DATE(AQ$9+1, 1, 1))*10^6</f>
        <v>1760119</v>
      </c>
      <c r="AS40" s="272">
        <f>SUMIFS('Other Minerals - Q&amp;V'!$H$11:$H$743, 'Other Minerals - Q&amp;V'!$A$11:$A$743, "&gt;=" &amp; DATE(AS$9, 1, 1), 'Other Minerals - Q&amp;V'!$A$11:$A$743, "&lt;" &amp; DATE(AS$9+1, 1, 1))*10^6</f>
        <v>18212</v>
      </c>
      <c r="AT40" s="272">
        <f>SUMIFS('Other Minerals - Q&amp;V'!$I$11:$I$743, 'Other Minerals - Q&amp;V'!$A$11:$A$743, "&gt;=" &amp; DATE(AS$9, 1, 1), 'Other Minerals - Q&amp;V'!$A$11:$A$743, "&lt;" &amp; DATE(AS$9+1, 1, 1))*10^6</f>
        <v>3360138.9999999995</v>
      </c>
      <c r="AU40" s="201">
        <f>SUMIF($C$11:AT$11, 1, $C40:AT40)</f>
        <v>283372882.30000001</v>
      </c>
      <c r="AV40" s="201">
        <f>SUMIF($C$11:AT$11, 0, $C40:AT40)</f>
        <v>6321017291</v>
      </c>
    </row>
    <row r="41" spans="1:48" x14ac:dyDescent="0.25">
      <c r="A41" s="23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72"/>
      <c r="AC41" s="272"/>
      <c r="AD41" s="272"/>
      <c r="AE41" s="273"/>
      <c r="AF41" s="273"/>
      <c r="AG41" s="273"/>
      <c r="AH41" s="273"/>
      <c r="AI41" s="273"/>
      <c r="AJ41" s="273"/>
      <c r="AK41" s="273"/>
      <c r="AL41" s="273"/>
      <c r="AM41" s="272"/>
      <c r="AN41" s="272"/>
      <c r="AO41" s="272"/>
      <c r="AP41" s="272"/>
      <c r="AQ41" s="272"/>
      <c r="AR41" s="272"/>
      <c r="AS41" s="272"/>
      <c r="AT41" s="272"/>
      <c r="AU41" s="201"/>
      <c r="AV41" s="201"/>
    </row>
    <row r="42" spans="1:48" x14ac:dyDescent="0.25">
      <c r="A42" s="210" t="s">
        <v>212</v>
      </c>
      <c r="B42" s="274" t="s">
        <v>166</v>
      </c>
      <c r="C42" s="211">
        <v>8669.94</v>
      </c>
      <c r="D42" s="211">
        <v>1793961</v>
      </c>
      <c r="E42" s="211">
        <v>6192.2939999999999</v>
      </c>
      <c r="F42" s="211">
        <v>1319717</v>
      </c>
      <c r="G42" s="211">
        <v>1932</v>
      </c>
      <c r="H42" s="211">
        <v>324543</v>
      </c>
      <c r="I42" s="211">
        <v>522.17999999999995</v>
      </c>
      <c r="J42" s="211">
        <v>140804</v>
      </c>
      <c r="K42" s="211">
        <v>1468.1200000000001</v>
      </c>
      <c r="L42" s="211">
        <v>312173</v>
      </c>
      <c r="M42" s="211">
        <v>5980.43</v>
      </c>
      <c r="N42" s="211">
        <v>333130</v>
      </c>
      <c r="O42" s="211">
        <v>5161.84</v>
      </c>
      <c r="P42" s="211">
        <v>728675</v>
      </c>
      <c r="Q42" s="211">
        <v>11281.03</v>
      </c>
      <c r="R42" s="211">
        <v>1074311.3999999999</v>
      </c>
      <c r="S42" s="211">
        <v>3497.88</v>
      </c>
      <c r="T42" s="211">
        <v>1513547</v>
      </c>
      <c r="U42" s="211">
        <v>4894.9399999999996</v>
      </c>
      <c r="V42" s="211">
        <v>1121013</v>
      </c>
      <c r="W42" s="211">
        <v>5931.1920000000009</v>
      </c>
      <c r="X42" s="211">
        <v>2813350.6658633249</v>
      </c>
      <c r="Y42" s="211">
        <v>5371.6919999999991</v>
      </c>
      <c r="Z42" s="211">
        <v>2299106.2127028769</v>
      </c>
      <c r="AA42" s="282">
        <v>4699.8</v>
      </c>
      <c r="AB42" s="283">
        <v>2026110.0224842213</v>
      </c>
      <c r="AC42" s="283">
        <v>5557.35</v>
      </c>
      <c r="AD42" s="283">
        <v>2311461.1762276404</v>
      </c>
      <c r="AE42" s="286">
        <v>9372.119999999999</v>
      </c>
      <c r="AF42" s="286">
        <v>2652747.2359774793</v>
      </c>
      <c r="AG42" s="286">
        <v>6395.3249999999998</v>
      </c>
      <c r="AH42" s="286">
        <v>2190256.0341956578</v>
      </c>
      <c r="AI42" s="286">
        <v>11533.182000000003</v>
      </c>
      <c r="AJ42" s="286">
        <v>2642269.1784343659</v>
      </c>
      <c r="AK42" s="283">
        <v>7689.3540000000003</v>
      </c>
      <c r="AL42" s="283">
        <v>2774981</v>
      </c>
      <c r="AM42" s="283">
        <v>6721.5660000000016</v>
      </c>
      <c r="AN42" s="283">
        <v>2631663.9566302798</v>
      </c>
      <c r="AO42" s="283">
        <v>4479.4179999999997</v>
      </c>
      <c r="AP42" s="283">
        <v>2922618.8</v>
      </c>
      <c r="AQ42" s="283">
        <v>17877.164000000001</v>
      </c>
      <c r="AR42" s="283">
        <v>5983615.3846643325</v>
      </c>
      <c r="AS42" s="283">
        <v>15437.309999999998</v>
      </c>
      <c r="AT42" s="283">
        <v>10286106.535639692</v>
      </c>
      <c r="AU42" s="211">
        <f>SUMIF($C$11:AT$11, 1, $C42:AT42)</f>
        <v>150666.12700000001</v>
      </c>
      <c r="AV42" s="211">
        <f>SUMIF($C$11:AT$11, 0, $C42:AT42)</f>
        <v>50196160.602819875</v>
      </c>
    </row>
    <row r="43" spans="1:48" x14ac:dyDescent="0.25">
      <c r="A43" s="214"/>
      <c r="B43" s="206"/>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87"/>
      <c r="AB43" s="288"/>
      <c r="AC43" s="288"/>
      <c r="AD43" s="288"/>
      <c r="AE43" s="289"/>
      <c r="AF43" s="289"/>
      <c r="AG43" s="289"/>
      <c r="AH43" s="289"/>
      <c r="AI43" s="289"/>
      <c r="AJ43" s="289"/>
      <c r="AK43" s="288"/>
      <c r="AL43" s="288"/>
      <c r="AM43" s="288"/>
      <c r="AN43" s="288"/>
      <c r="AO43" s="288"/>
      <c r="AP43" s="288"/>
      <c r="AQ43" s="288"/>
      <c r="AR43" s="288"/>
      <c r="AS43" s="288"/>
      <c r="AT43" s="288"/>
      <c r="AU43" s="211"/>
      <c r="AV43" s="211"/>
    </row>
    <row r="44" spans="1:48" x14ac:dyDescent="0.25">
      <c r="A44" s="215" t="s">
        <v>510</v>
      </c>
      <c r="B44" s="216" t="s">
        <v>214</v>
      </c>
      <c r="C44" s="201">
        <v>370275.9</v>
      </c>
      <c r="D44" s="201">
        <v>257986</v>
      </c>
      <c r="E44" s="201">
        <v>274497.34399999998</v>
      </c>
      <c r="F44" s="201">
        <v>227582</v>
      </c>
      <c r="G44" s="201">
        <v>321678</v>
      </c>
      <c r="H44" s="201">
        <v>267986</v>
      </c>
      <c r="I44" s="201">
        <v>263683.34000000003</v>
      </c>
      <c r="J44" s="201">
        <v>206222</v>
      </c>
      <c r="K44" s="201">
        <v>3007059.02</v>
      </c>
      <c r="L44" s="201">
        <v>402977.18</v>
      </c>
      <c r="M44" s="201">
        <v>387998.06</v>
      </c>
      <c r="N44" s="201">
        <v>317449</v>
      </c>
      <c r="O44" s="201">
        <v>508983.76</v>
      </c>
      <c r="P44" s="201">
        <v>364163</v>
      </c>
      <c r="Q44" s="201">
        <v>147262.32999999999</v>
      </c>
      <c r="R44" s="201">
        <v>133026</v>
      </c>
      <c r="S44" s="201">
        <v>274927.67199999996</v>
      </c>
      <c r="T44" s="201">
        <v>344291.28</v>
      </c>
      <c r="U44" s="201">
        <v>360320.48200000002</v>
      </c>
      <c r="V44" s="201">
        <v>464280</v>
      </c>
      <c r="W44" s="201">
        <v>664220.70200000005</v>
      </c>
      <c r="X44" s="201">
        <v>1346627</v>
      </c>
      <c r="Y44" s="201">
        <v>289145.21600000001</v>
      </c>
      <c r="Z44" s="201">
        <v>719571</v>
      </c>
      <c r="AA44" s="277">
        <v>185105.27640000003</v>
      </c>
      <c r="AB44" s="278">
        <v>391906</v>
      </c>
      <c r="AC44" s="278">
        <v>292294.93439999997</v>
      </c>
      <c r="AD44" s="278">
        <v>538643</v>
      </c>
      <c r="AE44" s="281">
        <v>238438.598</v>
      </c>
      <c r="AF44" s="281">
        <v>263357</v>
      </c>
      <c r="AG44" s="281">
        <v>186702.95300000001</v>
      </c>
      <c r="AH44" s="281">
        <v>442783</v>
      </c>
      <c r="AI44" s="281">
        <v>174769.53</v>
      </c>
      <c r="AJ44" s="281">
        <v>354908</v>
      </c>
      <c r="AK44" s="278">
        <v>638936.67999999993</v>
      </c>
      <c r="AL44" s="278">
        <v>804039</v>
      </c>
      <c r="AM44" s="278">
        <v>522355.66</v>
      </c>
      <c r="AN44" s="278">
        <v>1029680</v>
      </c>
      <c r="AO44" s="278">
        <v>482536.60800000001</v>
      </c>
      <c r="AP44" s="278">
        <v>1287028</v>
      </c>
      <c r="AQ44" s="278">
        <v>172070.77</v>
      </c>
      <c r="AR44" s="278">
        <v>502033</v>
      </c>
      <c r="AS44" s="278">
        <v>239443</v>
      </c>
      <c r="AT44" s="278">
        <v>582068</v>
      </c>
      <c r="AU44" s="201">
        <f>SUMIF($C$11:AT$11, 1, $C44:AT44)</f>
        <v>10002705.8358</v>
      </c>
      <c r="AV44" s="201">
        <f>SUMIF($C$11:AT$11, 0, $C44:AT44)</f>
        <v>11248605.460000001</v>
      </c>
    </row>
    <row r="45" spans="1:48" x14ac:dyDescent="0.25">
      <c r="A45" s="231"/>
      <c r="C45" s="201"/>
      <c r="D45" s="201"/>
      <c r="E45" s="201"/>
      <c r="F45" s="201"/>
      <c r="G45" s="201"/>
      <c r="H45" s="201"/>
      <c r="I45" s="201"/>
      <c r="J45" s="201"/>
      <c r="K45" s="201"/>
      <c r="L45" s="201"/>
      <c r="M45" s="201"/>
      <c r="N45" s="201"/>
      <c r="O45" s="201"/>
      <c r="P45" s="201"/>
      <c r="Q45" s="201"/>
      <c r="R45" s="201"/>
      <c r="S45" s="201"/>
      <c r="T45" s="201"/>
      <c r="U45" s="201"/>
      <c r="V45" s="201"/>
      <c r="W45" s="201"/>
      <c r="X45" s="201"/>
      <c r="Y45" s="201"/>
      <c r="Z45" s="201"/>
      <c r="AA45" s="201"/>
      <c r="AB45" s="272"/>
      <c r="AC45" s="272"/>
      <c r="AD45" s="272"/>
      <c r="AE45" s="273"/>
      <c r="AF45" s="273"/>
      <c r="AG45" s="273"/>
      <c r="AH45" s="273"/>
      <c r="AI45" s="273"/>
      <c r="AJ45" s="273"/>
      <c r="AK45" s="272"/>
      <c r="AL45" s="272"/>
      <c r="AM45" s="272"/>
      <c r="AN45" s="272"/>
      <c r="AO45" s="272"/>
      <c r="AP45" s="272"/>
      <c r="AQ45" s="272"/>
      <c r="AR45" s="272"/>
      <c r="AS45" s="272"/>
      <c r="AT45" s="272"/>
      <c r="AU45" s="201"/>
      <c r="AV45" s="201"/>
    </row>
    <row r="46" spans="1:48" x14ac:dyDescent="0.25">
      <c r="A46" s="210" t="s">
        <v>215</v>
      </c>
      <c r="B46" s="212" t="s">
        <v>214</v>
      </c>
      <c r="C46" s="211">
        <v>178958.9</v>
      </c>
      <c r="D46" s="211">
        <v>3199913329</v>
      </c>
      <c r="E46" s="211">
        <f>SUMIF('Gold - Q&amp;V'!$D9:$D251,'Q&amp;V CY 2004 to Now'!E9,'Gold - Q&amp;V'!$B9:$B251)*1000</f>
        <v>167285.08118838118</v>
      </c>
      <c r="F46" s="211">
        <f>SUMIF('Gold - Q&amp;V'!$D9:$D251,'Q&amp;V CY 2004 to Now'!E9,'Gold - Q&amp;V'!$C9:$C251)*1000000</f>
        <v>3144134798</v>
      </c>
      <c r="G46" s="211">
        <f>SUMIF('Gold - Q&amp;V'!$D9:$D251,'Q&amp;V CY 2004 to Now'!G9,'Gold - Q&amp;V'!$B9:$B251)*1000</f>
        <v>162968.85743588494</v>
      </c>
      <c r="H46" s="211">
        <f>SUMIF('Gold - Q&amp;V'!$D9:$D251,'Q&amp;V CY 2004 to Now'!G9,'Gold - Q&amp;V'!$C9:$C251)*1000000</f>
        <v>4208332569.9999995</v>
      </c>
      <c r="I46" s="211">
        <f>SUMIF('Gold - Q&amp;V'!$D9:$D251,'Q&amp;V CY 2004 to Now'!I9,'Gold - Q&amp;V'!$B9:$B251)*1000</f>
        <v>151448.61969554541</v>
      </c>
      <c r="J46" s="211">
        <f>SUMIF('Gold - Q&amp;V'!$D9:$D251,'Q&amp;V CY 2004 to Now'!I9,'Gold - Q&amp;V'!$C9:$C251)*1000000</f>
        <v>4039057728.9999995</v>
      </c>
      <c r="K46" s="211">
        <f>SUMIF('Gold - Q&amp;V'!$D9:$D251,'Q&amp;V CY 2004 to Now'!K9,'Gold - Q&amp;V'!$B9:$B251)*1000</f>
        <v>132074.06222857139</v>
      </c>
      <c r="L46" s="211">
        <f>SUMIF('Gold - Q&amp;V'!$D9:$D251,'Q&amp;V CY 2004 to Now'!K9,'Gold - Q&amp;V'!$C9:$C251)*1000000</f>
        <v>4399513068</v>
      </c>
      <c r="M46" s="211">
        <f>SUMIF('Gold - Q&amp;V'!$D9:$D251,'Q&amp;V CY 2004 to Now'!M9,'Gold - Q&amp;V'!$B9:$B251)*1000</f>
        <v>146427.69796810049</v>
      </c>
      <c r="N46" s="211">
        <f>SUMIF('Gold - Q&amp;V'!$D9:$D251,'Q&amp;V CY 2004 to Now'!M9,'Gold - Q&amp;V'!$C9:$C251)*1000000</f>
        <v>5814421613</v>
      </c>
      <c r="O46" s="211">
        <f>SUMIF('Gold - Q&amp;V'!$D9:$D251,'Q&amp;V CY 2004 to Now'!O9,'Gold - Q&amp;V'!$B9:$B251)*1000</f>
        <v>182899.2881222211</v>
      </c>
      <c r="P46" s="211">
        <f>SUMIF('Gold - Q&amp;V'!$D9:$D251,'Q&amp;V CY 2004 to Now'!O9,'Gold - Q&amp;V'!$C9:$C251)*1000000</f>
        <v>7849131459</v>
      </c>
      <c r="Q46" s="211">
        <f>SUMIF('Gold - Q&amp;V'!$D9:$D251,'Q&amp;V CY 2004 to Now'!Q9,'Gold - Q&amp;V'!$B9:$B251)*1000</f>
        <v>179607.91441262091</v>
      </c>
      <c r="R46" s="211">
        <f>SUMIF('Gold - Q&amp;V'!$D9:$D251,'Q&amp;V CY 2004 to Now'!Q9,'Gold - Q&amp;V'!$C9:$C251)*1000000</f>
        <v>8793892579</v>
      </c>
      <c r="S46" s="211">
        <f>SUMIF('Gold - Q&amp;V'!$D9:$D251,'Q&amp;V CY 2004 to Now'!S9,'Gold - Q&amp;V'!$B9:$B251)*1000</f>
        <v>181290.90201866298</v>
      </c>
      <c r="T46" s="211">
        <f>SUMIF('Gold - Q&amp;V'!$D9:$D251,'Q&amp;V CY 2004 to Now'!S9,'Gold - Q&amp;V'!$C9:$C251)*1000000</f>
        <v>9380539610</v>
      </c>
      <c r="U46" s="211">
        <f>SUMIF('Gold - Q&amp;V'!$D9:$D251,'Q&amp;V CY 2004 to Now'!U9,'Gold - Q&amp;V'!$B9:$B251)*1000</f>
        <v>187461.83645020102</v>
      </c>
      <c r="V46" s="211">
        <f>SUMIF('Gold - Q&amp;V'!$D9:$D251,'Q&amp;V CY 2004 to Now'!U9,'Gold - Q&amp;V'!$C9:$C251)*1000000</f>
        <v>8743033222.9999981</v>
      </c>
      <c r="W46" s="211">
        <f>SUMIF('Gold - Q&amp;V'!$D9:$D251,'Q&amp;V CY 2004 to Now'!W9,'Gold - Q&amp;V'!$B9:$B251)*1000</f>
        <v>194615.77561329448</v>
      </c>
      <c r="X46" s="211">
        <f>SUMIF('Gold - Q&amp;V'!$D9:$D251,'Q&amp;V CY 2004 to Now'!W9,'Gold - Q&amp;V'!$C9:$C251)*1000000</f>
        <v>8780646553.9999981</v>
      </c>
      <c r="Y46" s="211">
        <f>SUMIF('Gold - Q&amp;V'!$D9:$D251,'Q&amp;V CY 2004 to Now'!Y9,'Gold - Q&amp;V'!$B9:$B251)*1000</f>
        <v>194471.44014692842</v>
      </c>
      <c r="Z46" s="211">
        <f>SUMIF('Gold - Q&amp;V'!$D9:$D251,'Q&amp;V CY 2004 to Now'!Y9,'Gold - Q&amp;V'!$C9:$C251)*1000000</f>
        <v>9627651376.9999981</v>
      </c>
      <c r="AA46" s="211">
        <f>SUMIF('Gold - Q&amp;V'!$D9:$D251,'Q&amp;V CY 2004 to Now'!AA9,'Gold - Q&amp;V'!$B9:$B251)*1000</f>
        <v>197072.33863062316</v>
      </c>
      <c r="AB46" s="267">
        <f>SUMIF('Gold - Q&amp;V'!$D9:$D251,'Q&amp;V CY 2004 to Now'!AA9,'Gold - Q&amp;V'!$C9:$C251)*1000000</f>
        <v>10629362480</v>
      </c>
      <c r="AC46" s="267">
        <f>SUMIF('Gold - Q&amp;V'!$D9:$D251,'Q&amp;V CY 2004 to Now'!AC9,'Gold - Q&amp;V'!$B9:$B251)*1000</f>
        <v>210991.82809083629</v>
      </c>
      <c r="AD46" s="267">
        <f>SUMIF('Gold - Q&amp;V'!$D9:$D251,'Q&amp;V CY 2004 to Now'!AC9,'Gold - Q&amp;V'!$C9:$C251)*1000000</f>
        <v>11126621227</v>
      </c>
      <c r="AE46" s="268">
        <f>SUMIF('Gold - Q&amp;V'!$D9:$D251,'Q&amp;V CY 2004 to Now'!AE9,'Gold - Q&amp;V'!$B9:$B251)*1000</f>
        <v>211095.9853300112</v>
      </c>
      <c r="AF46" s="268">
        <f>SUMIF('Gold - Q&amp;V'!$D9:$D251,'Q&amp;V CY 2004 to Now'!AE9,'Gold - Q&amp;V'!$C9:$C251)*1000000</f>
        <v>11515697427.999998</v>
      </c>
      <c r="AG46" s="268">
        <f>SUMIF('Gold - Q&amp;V'!$D9:$D251,'Q&amp;V CY 2004 to Now'!AG9,'Gold - Q&amp;V'!$B9:$B251)*1000</f>
        <v>213876.97104706592</v>
      </c>
      <c r="AH46" s="268">
        <f>SUMIF('Gold - Q&amp;V'!$D9:$D251,'Q&amp;V CY 2004 to Now'!AG9,'Gold - Q&amp;V'!$C9:$C251)*1000000</f>
        <v>13810689890</v>
      </c>
      <c r="AI46" s="268">
        <f>SUMIF('Gold - Q&amp;V'!$D9:$D251,'Q&amp;V CY 2004 to Now'!AI9,'Gold - Q&amp;V'!$B9:$B251)*1000</f>
        <v>209726.45486184582</v>
      </c>
      <c r="AJ46" s="268">
        <f>SUMIF('Gold - Q&amp;V'!$D9:$D251,'Q&amp;V CY 2004 to Now'!AI9,'Gold - Q&amp;V'!$C9:$C251)*1000000</f>
        <v>17270493809</v>
      </c>
      <c r="AK46" s="267">
        <f>SUMIF('Gold - Q&amp;V'!$D9:$D251,'Q&amp;V CY 2004 to Now'!AK9,'Gold - Q&amp;V'!$B9:$B251)*1000</f>
        <v>207376.80836642938</v>
      </c>
      <c r="AL46" s="267">
        <f>SUMIF('Gold - Q&amp;V'!$D9:$D251,'Q&amp;V CY 2004 to Now'!AK9,'Gold - Q&amp;V'!$C9:$C251)*1000000</f>
        <v>15981479809.999996</v>
      </c>
      <c r="AM46" s="267">
        <f>SUMIF('Gold - Q&amp;V'!$D9:$D251,'Q&amp;V CY 2004 to Now'!AM9,'Gold - Q&amp;V'!$B9:$B251)*1000</f>
        <v>214569.49247739956</v>
      </c>
      <c r="AN46" s="267">
        <f>SUMIF('Gold - Q&amp;V'!$D9:$D251,'Q&amp;V CY 2004 to Now'!AM9,'Gold - Q&amp;V'!$C9:$C251)*1000000</f>
        <v>17877996871</v>
      </c>
      <c r="AO46" s="267">
        <f>SUMIF('Gold - Q&amp;V'!$D9:$D251,'Q&amp;V CY 2004 to Now'!AO9,'Gold - Q&amp;V'!$B9:$B251)*1000</f>
        <v>211616.86685804211</v>
      </c>
      <c r="AP46" s="267">
        <f>SUMIF('Gold - Q&amp;V'!$D9:$D251,'Q&amp;V CY 2004 to Now'!AO9,'Gold - Q&amp;V'!$C9:$C251)*1000000</f>
        <v>19929109067</v>
      </c>
      <c r="AQ46" s="267">
        <f>SUMIF('Gold - Q&amp;V'!$D9:$D251,'Q&amp;V CY 2004 to Now'!AQ9,'Gold - Q&amp;V'!$B9:$B251)*1000</f>
        <v>203251.35831764498</v>
      </c>
      <c r="AR46" s="267">
        <f>SUMIF('Gold - Q&amp;V'!$D9:$D251,'Q&amp;V CY 2004 to Now'!AQ9,'Gold - Q&amp;V'!$C9:$C251)*1000000</f>
        <v>23720697940</v>
      </c>
      <c r="AS46" s="267">
        <f>SUMIF('Gold - Q&amp;V'!$D9:$D251,'Q&amp;V CY 2004 to Now'!AS9,'Gold - Q&amp;V'!$B9:$B251)*1000</f>
        <v>212216.06656741363</v>
      </c>
      <c r="AT46" s="267">
        <f>SUMIF('Gold - Q&amp;V'!$D9:$D251,'Q&amp;V CY 2004 to Now'!AS9,'Gold - Q&amp;V'!$C9:$C251)*1000000</f>
        <v>36318524899</v>
      </c>
      <c r="AU46" s="211">
        <f>SUMIF($C$11:AT$11, 1, $C46:AT46)</f>
        <v>4151304.545827725</v>
      </c>
      <c r="AV46" s="211">
        <f>SUMIF($C$11:AT$11, 0, $C46:AT46)</f>
        <v>256160941330</v>
      </c>
    </row>
    <row r="47" spans="1:48" x14ac:dyDescent="0.25">
      <c r="A47" s="238"/>
      <c r="B47" s="206"/>
      <c r="C47" s="211"/>
      <c r="D47" s="211"/>
      <c r="E47" s="211"/>
      <c r="F47" s="211"/>
      <c r="G47" s="211"/>
      <c r="H47" s="211"/>
      <c r="I47" s="211"/>
      <c r="J47" s="211"/>
      <c r="K47" s="211"/>
      <c r="L47" s="211"/>
      <c r="M47" s="211"/>
      <c r="N47" s="211"/>
      <c r="O47" s="211"/>
      <c r="P47" s="211"/>
      <c r="Q47" s="211"/>
      <c r="R47" s="211"/>
      <c r="S47" s="211"/>
      <c r="T47" s="211"/>
      <c r="U47" s="211"/>
      <c r="V47" s="211"/>
      <c r="W47" s="211"/>
      <c r="X47" s="211"/>
      <c r="Y47" s="290"/>
      <c r="Z47" s="290"/>
      <c r="AA47" s="290"/>
      <c r="AB47" s="291"/>
      <c r="AC47" s="291"/>
      <c r="AD47" s="291"/>
      <c r="AE47" s="292"/>
      <c r="AF47" s="292"/>
      <c r="AG47" s="292"/>
      <c r="AH47" s="292"/>
      <c r="AI47" s="292"/>
      <c r="AJ47" s="292"/>
      <c r="AK47" s="293"/>
      <c r="AL47" s="293"/>
      <c r="AM47" s="293"/>
      <c r="AN47" s="293"/>
      <c r="AO47" s="293"/>
      <c r="AP47" s="293"/>
      <c r="AQ47" s="293"/>
      <c r="AR47" s="293"/>
      <c r="AS47" s="293"/>
      <c r="AT47" s="293"/>
      <c r="AU47" s="211"/>
      <c r="AV47" s="211"/>
    </row>
    <row r="48" spans="1:48" x14ac:dyDescent="0.25">
      <c r="A48" s="215" t="s">
        <v>216</v>
      </c>
      <c r="B48" s="219" t="s">
        <v>166</v>
      </c>
      <c r="C48" s="201">
        <v>1578043</v>
      </c>
      <c r="D48" s="201">
        <v>26207706.609999999</v>
      </c>
      <c r="E48" s="201">
        <v>1406082</v>
      </c>
      <c r="F48" s="201">
        <v>23112327.91</v>
      </c>
      <c r="G48" s="201">
        <v>1548611</v>
      </c>
      <c r="H48" s="201">
        <v>28127147.52</v>
      </c>
      <c r="I48" s="201">
        <v>1281736</v>
      </c>
      <c r="J48" s="201">
        <v>20753890.079999998</v>
      </c>
      <c r="K48" s="201">
        <v>914370</v>
      </c>
      <c r="L48" s="201">
        <v>15420741</v>
      </c>
      <c r="M48" s="201">
        <v>784374</v>
      </c>
      <c r="N48" s="201">
        <v>17122457</v>
      </c>
      <c r="O48" s="201">
        <v>891282</v>
      </c>
      <c r="P48" s="201">
        <v>17145292</v>
      </c>
      <c r="Q48" s="201">
        <v>357356</v>
      </c>
      <c r="R48" s="201">
        <v>5674505</v>
      </c>
      <c r="S48" s="201">
        <v>245829</v>
      </c>
      <c r="T48" s="201">
        <v>3850828</v>
      </c>
      <c r="U48" s="201">
        <v>1635755.3099999998</v>
      </c>
      <c r="V48" s="201">
        <v>31723360.504294485</v>
      </c>
      <c r="W48" s="201">
        <v>627753.75999999989</v>
      </c>
      <c r="X48" s="201">
        <v>12684340.936495107</v>
      </c>
      <c r="Y48" s="201">
        <v>579166.68599999999</v>
      </c>
      <c r="Z48" s="201">
        <v>13462618.806845281</v>
      </c>
      <c r="AA48" s="277">
        <v>497982.67499999987</v>
      </c>
      <c r="AB48" s="278">
        <v>12917673.561733</v>
      </c>
      <c r="AC48" s="278">
        <v>683217.70700000017</v>
      </c>
      <c r="AD48" s="278">
        <v>17653711.356814753</v>
      </c>
      <c r="AE48" s="281">
        <v>855350.88</v>
      </c>
      <c r="AF48" s="281">
        <v>21810577.406521793</v>
      </c>
      <c r="AG48" s="281">
        <v>1070831.4500000002</v>
      </c>
      <c r="AH48" s="281">
        <v>25105729.343945257</v>
      </c>
      <c r="AI48" s="281">
        <v>510295.75000000012</v>
      </c>
      <c r="AJ48" s="281">
        <v>11825853.821645437</v>
      </c>
      <c r="AK48" s="278">
        <v>1013893.525</v>
      </c>
      <c r="AL48" s="278">
        <v>22787509.552097738</v>
      </c>
      <c r="AM48" s="278">
        <v>1442979.6799999997</v>
      </c>
      <c r="AN48" s="278">
        <v>35465327.012187786</v>
      </c>
      <c r="AO48" s="278">
        <v>1597591.7650000004</v>
      </c>
      <c r="AP48" s="278">
        <v>44403244</v>
      </c>
      <c r="AQ48" s="278">
        <v>1562951.7719999996</v>
      </c>
      <c r="AR48" s="278">
        <v>44771646.290936992</v>
      </c>
      <c r="AS48" s="278">
        <v>1459700.9699999997</v>
      </c>
      <c r="AT48" s="278">
        <v>47446040.737601429</v>
      </c>
      <c r="AU48" s="201">
        <f>SUMIF($C$11:AT$11, 1, $C48:AT48)</f>
        <v>22545154.93</v>
      </c>
      <c r="AV48" s="201">
        <f>SUMIF($C$11:AT$11, 0, $C48:AT48)</f>
        <v>499472528.45111907</v>
      </c>
    </row>
    <row r="49" spans="1:48" x14ac:dyDescent="0.25">
      <c r="A49" s="215"/>
      <c r="C49" s="201"/>
      <c r="D49" s="201"/>
      <c r="E49" s="201"/>
      <c r="F49" s="201"/>
      <c r="G49" s="201"/>
      <c r="H49" s="201"/>
      <c r="I49" s="201"/>
      <c r="J49" s="201"/>
      <c r="K49" s="201"/>
      <c r="L49" s="201"/>
      <c r="M49" s="201"/>
      <c r="N49" s="201"/>
      <c r="O49" s="201"/>
      <c r="P49" s="201"/>
      <c r="Q49" s="201"/>
      <c r="R49" s="201"/>
      <c r="S49" s="201"/>
      <c r="T49" s="201"/>
      <c r="U49" s="201"/>
      <c r="V49" s="201"/>
      <c r="W49" s="201"/>
      <c r="X49" s="201"/>
      <c r="Y49" s="201"/>
      <c r="Z49" s="201"/>
      <c r="AA49" s="201"/>
      <c r="AB49" s="272"/>
      <c r="AC49" s="272"/>
      <c r="AD49" s="272"/>
      <c r="AE49" s="273"/>
      <c r="AF49" s="273"/>
      <c r="AG49" s="273"/>
      <c r="AH49" s="273"/>
      <c r="AI49" s="273"/>
      <c r="AJ49" s="273"/>
      <c r="AK49" s="272"/>
      <c r="AL49" s="272"/>
      <c r="AM49" s="272"/>
      <c r="AN49" s="272"/>
      <c r="AO49" s="272"/>
      <c r="AP49" s="272"/>
      <c r="AQ49" s="272"/>
      <c r="AR49" s="272"/>
      <c r="AS49" s="272"/>
      <c r="AT49" s="272"/>
      <c r="AU49" s="201"/>
      <c r="AV49" s="201"/>
    </row>
    <row r="50" spans="1:48" x14ac:dyDescent="0.25">
      <c r="A50" s="210" t="s">
        <v>217</v>
      </c>
      <c r="B50" s="212" t="s">
        <v>166</v>
      </c>
      <c r="C50" s="211">
        <f>SUMIF('Iron Ore - Q&amp;V'!$D9:$D251,'Q&amp;V CY 2004 to Now'!C9,'Iron Ore - Q&amp;V'!$B9:$B251)*1000000</f>
        <v>213531629.07000002</v>
      </c>
      <c r="D50" s="211">
        <f>SUMIF('Iron Ore - Q&amp;V'!$D9:$D251,'Q&amp;V CY 2004 to Now'!C9,'Iron Ore - Q&amp;V'!$C9:$C251)*1000000</f>
        <v>6192976319.1399994</v>
      </c>
      <c r="E50" s="211">
        <f>SUMIF('Iron Ore - Q&amp;V'!$D9:$D251,'Q&amp;V CY 2004 to Now'!E9,'Iron Ore - Q&amp;V'!$B9:$B251)*1000000</f>
        <v>240501673.69000003</v>
      </c>
      <c r="F50" s="211">
        <f>SUMIF('Iron Ore - Q&amp;V'!$D9:$D251,'Q&amp;V CY 2004 to Now'!E9,'Iron Ore - Q&amp;V'!$C9:$C251)*1000000</f>
        <v>11308717944.99</v>
      </c>
      <c r="G50" s="211">
        <f>SUMIF('Iron Ore - Q&amp;V'!$D9:$D251,'Q&amp;V CY 2004 to Now'!G9,'Iron Ore - Q&amp;V'!$B9:$B251)*1000000</f>
        <v>250325766.36199999</v>
      </c>
      <c r="H50" s="211">
        <f>SUMIF('Iron Ore - Q&amp;V'!$D9:$D251,'Q&amp;V CY 2004 to Now'!G9,'Iron Ore - Q&amp;V'!$C9:$C251)*1000000</f>
        <v>14780092745.67</v>
      </c>
      <c r="I50" s="211">
        <f>SUMIF('Iron Ore - Q&amp;V'!$D9:$D251,'Q&amp;V CY 2004 to Now'!I9,'Iron Ore - Q&amp;V'!$B9:$B251)*1000000</f>
        <v>264449152.05099994</v>
      </c>
      <c r="J50" s="211">
        <f>SUMIF('Iron Ore - Q&amp;V'!$D9:$D251,'Q&amp;V CY 2004 to Now'!I9,'Iron Ore - Q&amp;V'!$C9:$C251)*1000000</f>
        <v>16135903953.440001</v>
      </c>
      <c r="K50" s="211">
        <f>SUMIF('Iron Ore - Q&amp;V'!$D9:$D251,'Q&amp;V CY 2004 to Now'!K9,'Iron Ore - Q&amp;V'!$B9:$B251)*1000000</f>
        <v>305884472.68200004</v>
      </c>
      <c r="L50" s="211">
        <f>SUMIF('Iron Ore - Q&amp;V'!$D9:$D251,'Q&amp;V CY 2004 to Now'!K9,'Iron Ore - Q&amp;V'!$C9:$C251)*1000000</f>
        <v>31909855018.219997</v>
      </c>
      <c r="M50" s="211">
        <f>SUMIF('Iron Ore - Q&amp;V'!$D9:$D251,'Q&amp;V CY 2004 to Now'!M9,'Iron Ore - Q&amp;V'!$B9:$B251)*1000000</f>
        <v>356069646.30899996</v>
      </c>
      <c r="N50" s="211">
        <f>SUMIF('Iron Ore - Q&amp;V'!$D9:$D251,'Q&amp;V CY 2004 to Now'!M9,'Iron Ore - Q&amp;V'!$C9:$C251)*1000000</f>
        <v>28133427135.669998</v>
      </c>
      <c r="O50" s="211">
        <f>SUMIF('Iron Ore - Q&amp;V'!$D9:$D251,'Q&amp;V CY 2004 to Now'!O9,'Iron Ore - Q&amp;V'!$B9:$B251)*1000000</f>
        <v>393851157.06600004</v>
      </c>
      <c r="P50" s="211">
        <f>SUMIF('Iron Ore - Q&amp;V'!$D9:$D251,'Q&amp;V CY 2004 to Now'!O9,'Iron Ore - Q&amp;V'!$C9:$C251)*1000000</f>
        <v>50262149327.229996</v>
      </c>
      <c r="Q50" s="211">
        <f>SUMIF('Iron Ore - Q&amp;V'!$D9:$D251,'Q&amp;V CY 2004 to Now'!Q9,'Iron Ore - Q&amp;V'!$B9:$B251)*1000000</f>
        <v>426672879.69499999</v>
      </c>
      <c r="R50" s="211">
        <f>SUMIF('Iron Ore - Q&amp;V'!$D9:$D251,'Q&amp;V CY 2004 to Now'!Q9,'Iron Ore - Q&amp;V'!$C9:$C251)*1000000</f>
        <v>62863290517.729996</v>
      </c>
      <c r="S50" s="211">
        <f>SUMIF('Iron Ore - Q&amp;V'!$D9:$D251,'Q&amp;V CY 2004 to Now'!S9,'Iron Ore - Q&amp;V'!$B9:$B251)*1000000</f>
        <v>478326216.88999999</v>
      </c>
      <c r="T50" s="211">
        <f>SUMIF('Iron Ore - Q&amp;V'!$D9:$D251,'Q&amp;V CY 2004 to Now'!S9,'Iron Ore - Q&amp;V'!$C9:$C251)*1000000</f>
        <v>52823916640.019997</v>
      </c>
      <c r="U50" s="211">
        <f>SUMIF('Iron Ore - Q&amp;V'!$D9:$D251,'Q&amp;V CY 2004 to Now'!U9,'Iron Ore - Q&amp;V'!$B9:$B251)*1000000</f>
        <v>544937833.37199998</v>
      </c>
      <c r="V50" s="211">
        <f>SUMIF('Iron Ore - Q&amp;V'!$D9:$D251,'Q&amp;V CY 2004 to Now'!U9,'Iron Ore - Q&amp;V'!$C9:$C251)*1000000</f>
        <v>71124725320</v>
      </c>
      <c r="W50" s="211">
        <f>SUMIF('Iron Ore - Q&amp;V'!$D9:$D251,'Q&amp;V CY 2004 to Now'!W9,'Iron Ore - Q&amp;V'!$B9:$B251)*1000000</f>
        <v>686233153.13900006</v>
      </c>
      <c r="X50" s="211">
        <f>SUMIF('Iron Ore - Q&amp;V'!$D9:$D251,'Q&amp;V CY 2004 to Now'!W9,'Iron Ore - Q&amp;V'!$C9:$C251)*1000000</f>
        <v>65059737040</v>
      </c>
      <c r="Y50" s="211">
        <f>SUMIF('Iron Ore - Q&amp;V'!$D9:$D251,'Q&amp;V CY 2004 to Now'!Y9,'Iron Ore - Q&amp;V'!$B9:$B251)*1000000</f>
        <v>742409840.31599998</v>
      </c>
      <c r="Z50" s="211">
        <f>SUMIF('Iron Ore - Q&amp;V'!$D9:$D251,'Q&amp;V CY 2004 to Now'!Y9,'Iron Ore - Q&amp;V'!$C9:$C251)*1000000</f>
        <v>49630774951</v>
      </c>
      <c r="AA50" s="211">
        <f>SUMIF('Iron Ore - Q&amp;V'!$D9:$D251,'Q&amp;V CY 2004 to Now'!AA9,'Iron Ore - Q&amp;V'!$B9:$B251)*1000000</f>
        <v>795715471.45499992</v>
      </c>
      <c r="AB50" s="267">
        <f>SUMIF('Iron Ore - Q&amp;V'!$D9:$D251,'Q&amp;V CY 2004 to Now'!AA9,'Iron Ore - Q&amp;V'!$C9:$C251)*1000000</f>
        <v>55609172696.999992</v>
      </c>
      <c r="AC50" s="267">
        <f>SUMIF('Iron Ore - Q&amp;V'!$D9:$D251,'Q&amp;V CY 2004 to Now'!AC9,'Iron Ore - Q&amp;V'!$B9:$B251)*1000000</f>
        <v>814120944.74599981</v>
      </c>
      <c r="AD50" s="267">
        <f>SUMIF('Iron Ore - Q&amp;V'!$D9:$D251,'Q&amp;V CY 2004 to Now'!AC9,'Iron Ore - Q&amp;V'!$C9:$C251)*1000000</f>
        <v>63830848204.999985</v>
      </c>
      <c r="AE50" s="268">
        <f>SUMIF('Iron Ore - Q&amp;V'!$D9:$D251,'Q&amp;V CY 2004 to Now'!AE9,'Iron Ore - Q&amp;V'!$B9:$B251)*1000000</f>
        <v>813577818.96700001</v>
      </c>
      <c r="AF50" s="268">
        <f>SUMIF('Iron Ore - Q&amp;V'!$D9:$D251,'Q&amp;V CY 2004 to Now'!AE9,'Iron Ore - Q&amp;V'!$C9:$C251)*1000000</f>
        <v>65755563037.999992</v>
      </c>
      <c r="AG50" s="268">
        <f>SUMIF('Iron Ore - Q&amp;V'!$D9:$D251,'Q&amp;V CY 2004 to Now'!AG9,'Iron Ore - Q&amp;V'!$B9:$B251)*1000000</f>
        <v>811787886.45099998</v>
      </c>
      <c r="AH50" s="268">
        <f>SUMIF('Iron Ore - Q&amp;V'!$D9:$D251,'Q&amp;V CY 2004 to Now'!AG9,'Iron Ore - Q&amp;V'!$C9:$C251)*1000000</f>
        <v>99729341920</v>
      </c>
      <c r="AI50" s="268">
        <f>SUMIF('Iron Ore - Q&amp;V'!$D9:$D251,'Q&amp;V CY 2004 to Now'!AI9,'Iron Ore - Q&amp;V'!$B9:$B251)*1000000</f>
        <v>847132426.77499998</v>
      </c>
      <c r="AJ50" s="268">
        <f>SUMIF('Iron Ore - Q&amp;V'!$D9:$D251,'Q&amp;V CY 2004 to Now'!AI9,'Iron Ore - Q&amp;V'!$C9:$C251)*1000000</f>
        <v>118437941051</v>
      </c>
      <c r="AK50" s="267">
        <f>SUMIF('Iron Ore - Q&amp;V'!$D9:$D251,'Q&amp;V CY 2004 to Now'!AK9,'Iron Ore - Q&amp;V'!$B9:$B251)*1000000</f>
        <v>838291914.62300003</v>
      </c>
      <c r="AL50" s="267">
        <f>SUMIF('Iron Ore - Q&amp;V'!$D9:$D251,'Q&amp;V CY 2004 to Now'!AK9,'Iron Ore - Q&amp;V'!$C9:$C251)*1000000</f>
        <v>157824714034.99997</v>
      </c>
      <c r="AM50" s="267">
        <f>SUMIF('Iron Ore - Q&amp;V'!$D9:$D251,'Q&amp;V CY 2004 to Now'!AM9,'Iron Ore - Q&amp;V'!$B9:$B251)*1000000</f>
        <v>855787329.36100018</v>
      </c>
      <c r="AN50" s="267">
        <f>SUMIF('Iron Ore - Q&amp;V'!$D9:$D251,'Q&amp;V CY 2004 to Now'!AM9,'Iron Ore - Q&amp;V'!$C9:$C251)*1000000</f>
        <v>128090478127</v>
      </c>
      <c r="AO50" s="267">
        <f>SUMIF('Iron Ore - Q&amp;V'!$D9:$D251,'Q&amp;V CY 2004 to Now'!AO9,'Iron Ore - Q&amp;V'!$B9:$B251)*1000000</f>
        <v>860243265.15400004</v>
      </c>
      <c r="AP50" s="267">
        <f>SUMIF('Iron Ore - Q&amp;V'!$D9:$D251,'Q&amp;V CY 2004 to Now'!AO9,'Iron Ore - Q&amp;V'!$C9:$C251)*1000000</f>
        <v>139783544344</v>
      </c>
      <c r="AQ50" s="267">
        <f>SUMIF('Iron Ore - Q&amp;V'!$D9:$D251,'Q&amp;V CY 2004 to Now'!AQ9,'Iron Ore - Q&amp;V'!$B9:$B251)*1000000</f>
        <v>866569640.41099989</v>
      </c>
      <c r="AR50" s="267">
        <f>SUMIF('Iron Ore - Q&amp;V'!$D9:$D251,'Q&amp;V CY 2004 to Now'!AQ9,'Iron Ore - Q&amp;V'!$C9:$C251)*1000000</f>
        <v>136103459788.99998</v>
      </c>
      <c r="AS50" s="267">
        <f>SUMIF('Iron Ore - Q&amp;V'!$D9:$D251,'Q&amp;V CY 2004 to Now'!AS9,'Iron Ore - Q&amp;V'!$B9:$B251)*1000000</f>
        <v>889482555.27969992</v>
      </c>
      <c r="AT50" s="267">
        <f>SUMIF('Iron Ore - Q&amp;V'!$D9:$D251,'Q&amp;V CY 2004 to Now'!AS9,'Iron Ore - Q&amp;V'!$C9:$C251)*1000000</f>
        <v>126234285720.37709</v>
      </c>
      <c r="AU50" s="211">
        <f>SUMIF($C$11:AT$11, 1, $C50:AT50)</f>
        <v>13295902673.864698</v>
      </c>
      <c r="AV50" s="211">
        <f>SUMIF($C$11:AT$11, 0, $C50:AT50)</f>
        <v>1551624915839.4871</v>
      </c>
    </row>
    <row r="52" spans="1:48" x14ac:dyDescent="0.25">
      <c r="A52" s="215" t="s">
        <v>218</v>
      </c>
      <c r="B52" s="216" t="s">
        <v>166</v>
      </c>
      <c r="C52" s="201">
        <v>4259360</v>
      </c>
      <c r="D52" s="201">
        <v>37974548</v>
      </c>
      <c r="E52" s="201" t="s">
        <v>172</v>
      </c>
      <c r="F52" s="201">
        <v>50236068</v>
      </c>
      <c r="G52" s="201" t="s">
        <v>172</v>
      </c>
      <c r="H52" s="201">
        <v>28682258</v>
      </c>
      <c r="I52" s="201">
        <v>3814743.85</v>
      </c>
      <c r="J52" s="201">
        <v>19304520.800000001</v>
      </c>
      <c r="K52" s="201">
        <v>3833242.0500000007</v>
      </c>
      <c r="L52" s="201">
        <v>17526640.550000001</v>
      </c>
      <c r="M52" s="201">
        <v>3921431.5100000002</v>
      </c>
      <c r="N52" s="201">
        <v>20451346.75</v>
      </c>
      <c r="O52" s="201">
        <v>3855380.6700000004</v>
      </c>
      <c r="P52" s="201">
        <v>22740018.316345755</v>
      </c>
      <c r="Q52" s="201">
        <v>3784238.875</v>
      </c>
      <c r="R52" s="201">
        <v>53609417.941440143</v>
      </c>
      <c r="S52" s="201">
        <v>4459433.9040000001</v>
      </c>
      <c r="T52" s="201">
        <v>67727045.263144106</v>
      </c>
      <c r="U52" s="201">
        <v>4787806.7430000007</v>
      </c>
      <c r="V52" s="201">
        <v>50465123.79442627</v>
      </c>
      <c r="W52" s="201">
        <v>5289294.4999999991</v>
      </c>
      <c r="X52" s="201">
        <v>41897989.426043965</v>
      </c>
      <c r="Y52" s="201">
        <v>4880193.4349999977</v>
      </c>
      <c r="Z52" s="201">
        <v>35846840.928178839</v>
      </c>
      <c r="AA52" s="277">
        <v>4431947.2029999997</v>
      </c>
      <c r="AB52" s="278">
        <v>30555782.026639652</v>
      </c>
      <c r="AC52" s="278">
        <v>4090232.8599999989</v>
      </c>
      <c r="AD52" s="278">
        <v>26865144.656152826</v>
      </c>
      <c r="AE52" s="281">
        <v>3966144.3660000004</v>
      </c>
      <c r="AF52" s="281">
        <v>28627135.803376414</v>
      </c>
      <c r="AG52" s="281">
        <v>4404169.3599999994</v>
      </c>
      <c r="AH52" s="281">
        <v>31033533.542498533</v>
      </c>
      <c r="AI52" s="281">
        <v>4667690.4310000008</v>
      </c>
      <c r="AJ52" s="281">
        <v>47553723.688565418</v>
      </c>
      <c r="AK52" s="278">
        <v>5308313.4340000013</v>
      </c>
      <c r="AL52" s="278">
        <v>52895991.567372024</v>
      </c>
      <c r="AM52" s="278">
        <v>5588730.362999998</v>
      </c>
      <c r="AN52" s="278">
        <v>58554038.188103035</v>
      </c>
      <c r="AO52" s="278">
        <v>5604008.5050000008</v>
      </c>
      <c r="AP52" s="278">
        <v>57065296.355573811</v>
      </c>
      <c r="AQ52" s="278">
        <v>4196770.7020000014</v>
      </c>
      <c r="AR52" s="278">
        <v>44195479.493739732</v>
      </c>
      <c r="AS52" s="278">
        <v>4220664.1430000002</v>
      </c>
      <c r="AT52" s="278">
        <v>46673099.616720349</v>
      </c>
      <c r="AU52" s="201">
        <f>SUMIF($C$11:AT$11, 1, $C52:AT52)</f>
        <v>89363796.903999999</v>
      </c>
      <c r="AV52" s="201">
        <f>SUMIF($C$11:AT$11, 0, $C52:AT52)</f>
        <v>870481042.70832086</v>
      </c>
    </row>
    <row r="53" spans="1:48" x14ac:dyDescent="0.25">
      <c r="A53" s="231"/>
      <c r="B53" s="29"/>
      <c r="C53" s="201"/>
      <c r="D53" s="201"/>
      <c r="E53" s="201"/>
      <c r="F53" s="201"/>
      <c r="G53" s="201"/>
      <c r="H53" s="201"/>
      <c r="I53" s="201"/>
      <c r="J53" s="201"/>
      <c r="K53" s="201"/>
      <c r="L53" s="201"/>
      <c r="M53" s="201"/>
      <c r="N53" s="201"/>
      <c r="O53" s="201"/>
      <c r="P53" s="201"/>
      <c r="Q53" s="201"/>
      <c r="R53" s="201"/>
      <c r="S53" s="201"/>
      <c r="T53" s="201"/>
      <c r="U53" s="201"/>
      <c r="V53" s="201"/>
      <c r="W53" s="201"/>
      <c r="X53" s="201"/>
      <c r="Y53" s="201"/>
      <c r="Z53" s="201"/>
      <c r="AA53" s="294"/>
      <c r="AB53" s="295"/>
      <c r="AC53" s="295"/>
      <c r="AD53" s="295"/>
      <c r="AE53" s="296"/>
      <c r="AF53" s="296"/>
      <c r="AG53" s="296"/>
      <c r="AH53" s="296"/>
      <c r="AI53" s="296"/>
      <c r="AJ53" s="296"/>
      <c r="AK53" s="295"/>
      <c r="AL53" s="295"/>
      <c r="AM53" s="295"/>
      <c r="AN53" s="295"/>
      <c r="AO53" s="295"/>
      <c r="AP53" s="295"/>
      <c r="AQ53" s="295"/>
      <c r="AR53" s="295"/>
      <c r="AS53" s="295"/>
      <c r="AT53" s="295"/>
      <c r="AU53" s="201"/>
      <c r="AV53" s="201"/>
    </row>
    <row r="54" spans="1:48" x14ac:dyDescent="0.25">
      <c r="A54" s="210" t="s">
        <v>219</v>
      </c>
      <c r="B54" s="43"/>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66"/>
      <c r="AF54" s="266"/>
      <c r="AG54" s="266"/>
      <c r="AH54" s="266"/>
      <c r="AI54" s="266"/>
      <c r="AJ54" s="266"/>
      <c r="AK54" s="211"/>
      <c r="AL54" s="211"/>
      <c r="AM54" s="211"/>
      <c r="AN54" s="211"/>
      <c r="AO54" s="211"/>
      <c r="AP54" s="211"/>
      <c r="AQ54" s="211"/>
      <c r="AR54" s="211"/>
      <c r="AS54" s="211"/>
      <c r="AT54" s="211"/>
      <c r="AU54" s="211"/>
      <c r="AV54" s="211"/>
    </row>
    <row r="55" spans="1:48" x14ac:dyDescent="0.25">
      <c r="A55" s="213" t="s">
        <v>220</v>
      </c>
      <c r="B55" s="206" t="s">
        <v>166</v>
      </c>
      <c r="C55" s="211">
        <f>SUMIF('Lithium - Q&amp;V'!$D$9:$D$253,'Q&amp;V CY 2004 to Now'!C$9,'Lithium - Q&amp;V'!$B$9:$B$253)*1000</f>
        <v>110256</v>
      </c>
      <c r="D55" s="211">
        <f>SUMIF('Lithium - Q&amp;V'!$D$9:$D$253,'Q&amp;V CY 2004 to Now'!C$9,'Lithium - Q&amp;V'!$C$9:$C$253)*1000000</f>
        <v>24199351</v>
      </c>
      <c r="E55" s="211">
        <f>SUMIF('Lithium - Q&amp;V'!$D$9:$D$253,'Q&amp;V CY 2004 to Now'!E$9,'Lithium - Q&amp;V'!$B$9:$B$253)*1000</f>
        <v>173635</v>
      </c>
      <c r="F55" s="211">
        <f>SUMIF('Lithium - Q&amp;V'!$D$9:$D$253,'Q&amp;V CY 2004 to Now'!E$9,'Lithium - Q&amp;V'!$C$9:$C$253)*1000000</f>
        <v>30318278.999999996</v>
      </c>
      <c r="G55" s="211">
        <f>SUMIF('Lithium - Q&amp;V'!$D$9:$D$253,'Q&amp;V CY 2004 to Now'!G$9,'Lithium - Q&amp;V'!$B$9:$B$253)*1000</f>
        <v>222101</v>
      </c>
      <c r="H55" s="211">
        <f>SUMIF('Lithium - Q&amp;V'!$D$9:$D$253,'Q&amp;V CY 2004 to Now'!G$9,'Lithium - Q&amp;V'!$C$9:$C$253)*1000000</f>
        <v>51784586.000000007</v>
      </c>
      <c r="I55" s="211">
        <f>SUMIF('Lithium - Q&amp;V'!$D$9:$D$253,'Q&amp;V CY 2004 to Now'!I$9,'Lithium - Q&amp;V'!$B$9:$B$253)*1000</f>
        <v>245279</v>
      </c>
      <c r="J55" s="211">
        <f>SUMIF('Lithium - Q&amp;V'!$D$9:$D$253,'Q&amp;V CY 2004 to Now'!I$9,'Lithium - Q&amp;V'!$C$9:$C$253)*1000000</f>
        <v>67904725</v>
      </c>
      <c r="K55" s="211">
        <f>SUMIF('Lithium - Q&amp;V'!$D$9:$D$253,'Q&amp;V CY 2004 to Now'!K$9,'Lithium - Q&amp;V'!$B$9:$B$253)*1000</f>
        <v>239528.00000000003</v>
      </c>
      <c r="L55" s="211">
        <f>SUMIF('Lithium - Q&amp;V'!$D$9:$D$253,'Q&amp;V CY 2004 to Now'!K$9,'Lithium - Q&amp;V'!$C$9:$C$253)*1000000</f>
        <v>73337527.329999998</v>
      </c>
      <c r="M55" s="211">
        <f>SUMIF('Lithium - Q&amp;V'!$D$9:$D$253,'Q&amp;V CY 2004 to Now'!M$9,'Lithium - Q&amp;V'!$B$9:$B$253)*1000</f>
        <v>197482.15</v>
      </c>
      <c r="N55" s="211">
        <f>SUMIF('Lithium - Q&amp;V'!$D$9:$D$253,'Q&amp;V CY 2004 to Now'!M$9,'Lithium - Q&amp;V'!$C$9:$C$253)*1000000</f>
        <v>71703547</v>
      </c>
      <c r="O55" s="211">
        <f>SUMIF('Lithium - Q&amp;V'!$D$9:$D$253,'Q&amp;V CY 2004 to Now'!O$9,'Lithium - Q&amp;V'!$B$9:$B$253)*1000</f>
        <v>326864.99999999994</v>
      </c>
      <c r="P55" s="211">
        <f>SUMIF('Lithium - Q&amp;V'!$D$9:$D$253,'Q&amp;V CY 2004 to Now'!O$9,'Lithium - Q&amp;V'!$C$9:$C$253)*1000000</f>
        <v>92182259.810000002</v>
      </c>
      <c r="Q55" s="211">
        <f>SUMIF('Lithium - Q&amp;V'!$D$9:$D$253,'Q&amp;V CY 2004 to Now'!Q$9,'Lithium - Q&amp;V'!$B$9:$B$253)*1000</f>
        <v>401535.85</v>
      </c>
      <c r="R55" s="211">
        <f>SUMIF('Lithium - Q&amp;V'!$D$9:$D$253,'Q&amp;V CY 2004 to Now'!Q$9,'Lithium - Q&amp;V'!$C$9:$C$253)*1000000</f>
        <v>117327288.90000001</v>
      </c>
      <c r="S55" s="211">
        <f>SUMIF('Lithium - Q&amp;V'!$D$9:$D$253,'Q&amp;V CY 2004 to Now'!S$9,'Lithium - Q&amp;V'!$B$9:$B$253)*1000</f>
        <v>500898.55</v>
      </c>
      <c r="T55" s="211">
        <f>SUMIF('Lithium - Q&amp;V'!$D$9:$D$253,'Q&amp;V CY 2004 to Now'!S$9,'Lithium - Q&amp;V'!$C$9:$C$253)*1000000</f>
        <v>162189381.88999999</v>
      </c>
      <c r="U55" s="211">
        <f>SUMIF('Lithium - Q&amp;V'!$D$9:$D$253,'Q&amp;V CY 2004 to Now'!U$9,'Lithium - Q&amp;V'!$B$9:$B$253)*1000</f>
        <v>405119</v>
      </c>
      <c r="V55" s="211">
        <f>SUMIF('Lithium - Q&amp;V'!$D$9:$D$253,'Q&amp;V CY 2004 to Now'!U$9,'Lithium - Q&amp;V'!$C$9:$C$253)*1000000</f>
        <v>169286544</v>
      </c>
      <c r="W55" s="211">
        <f>SUMIF('Lithium - Q&amp;V'!$D$9:$D$253,'Q&amp;V CY 2004 to Now'!W$9,'Lithium - Q&amp;V'!$B$9:$B$253)*1000</f>
        <v>444546</v>
      </c>
      <c r="X55" s="211">
        <f>SUMIF('Lithium - Q&amp;V'!$D$9:$D$253,'Q&amp;V CY 2004 to Now'!W$9,'Lithium - Q&amp;V'!$C$9:$C$253)*1000000</f>
        <v>201517762</v>
      </c>
      <c r="Y55" s="211">
        <f>SUMIF('Lithium - Q&amp;V'!$D$9:$D$253,'Q&amp;V CY 2004 to Now'!Y$9,'Lithium - Q&amp;V'!$B$9:$B$253)*1000</f>
        <v>439514</v>
      </c>
      <c r="Z55" s="211">
        <f>SUMIF('Lithium - Q&amp;V'!$D$9:$D$253,'Q&amp;V CY 2004 to Now'!Y$9,'Lithium - Q&amp;V'!$C$9:$C$253)*1000000</f>
        <v>240178272.00000003</v>
      </c>
      <c r="AA55" s="282">
        <f>SUMIF('Lithium - Q&amp;V'!$D$9:$D$253,'Q&amp;V CY 2004 to Now'!AA$9,'Lithium - Q&amp;V'!$B$9:$B$253)*1000</f>
        <v>522181.00000000006</v>
      </c>
      <c r="AB55" s="282">
        <f>SUMIF('Lithium - Q&amp;V'!$D$9:$D$253,'Q&amp;V CY 2004 to Now'!AA$9,'Lithium - Q&amp;V'!$C$9:$C$253)*1000000</f>
        <v>293859642</v>
      </c>
      <c r="AC55" s="282">
        <f>SUMIF('Lithium - Q&amp;V'!$D$9:$D$253,'Q&amp;V CY 2004 to Now'!AC$9,'Lithium - Q&amp;V'!$B$9:$B$253)*1000</f>
        <v>1706618.61</v>
      </c>
      <c r="AD55" s="282">
        <f>SUMIF('Lithium - Q&amp;V'!$D$9:$D$253,'Q&amp;V CY 2004 to Now'!AC$9,'Lithium - Q&amp;V'!$C$9:$C$253)*1000000</f>
        <v>1198528566.9999998</v>
      </c>
      <c r="AE55" s="282">
        <f>SUMIF('Lithium - Q&amp;V'!$D$9:$D$253,'Q&amp;V CY 2004 to Now'!AE$9,'Lithium - Q&amp;V'!$B$9:$B$253)*1000</f>
        <v>1965912.4324999999</v>
      </c>
      <c r="AF55" s="282">
        <f>SUMIF('Lithium - Q&amp;V'!$D$9:$D$253,'Q&amp;V CY 2004 to Now'!AE$9,'Lithium - Q&amp;V'!$C$9:$C$253)*1000000</f>
        <v>1864999282.9999998</v>
      </c>
      <c r="AG55" s="282">
        <f>SUMIF('Lithium - Q&amp;V'!$D$9:$D$253,'Q&amp;V CY 2004 to Now'!AG$9,'Lithium - Q&amp;V'!$B$9:$B$253)*1000</f>
        <v>1588263.0230000003</v>
      </c>
      <c r="AH55" s="282">
        <f>SUMIF('Lithium - Q&amp;V'!$D$9:$D$253,'Q&amp;V CY 2004 to Now'!AG$9,'Lithium - Q&amp;V'!$C$9:$C$253)*1000000</f>
        <v>1317353541</v>
      </c>
      <c r="AI55" s="297">
        <f>SUMIF('Lithium - Q&amp;V'!$D$9:$D$253,'Q&amp;V CY 2004 to Now'!AI$9,'Lithium - Q&amp;V'!$B$9:$B$253)*1000</f>
        <v>1477090.0270000002</v>
      </c>
      <c r="AJ55" s="297">
        <f>SUMIF('Lithium - Q&amp;V'!$D$9:$D$253,'Q&amp;V CY 2004 to Now'!AI$9,'Lithium - Q&amp;V'!$C$9:$C$253)*1000000</f>
        <v>822770815</v>
      </c>
      <c r="AK55" s="282">
        <f>SUMIF('Lithium - Q&amp;V'!$D$9:$D$253,'Q&amp;V CY 2004 to Now'!AK$9,'Lithium - Q&amp;V'!$B$9:$B$253)*1000</f>
        <v>1966744.338</v>
      </c>
      <c r="AL55" s="282">
        <f>SUMIF('Lithium - Q&amp;V'!$D$9:$D$253,'Q&amp;V CY 2004 to Now'!AK$9,'Lithium - Q&amp;V'!$C$9:$C$253)*1000000</f>
        <v>2687782333.9999995</v>
      </c>
      <c r="AM55" s="282">
        <f>SUMIF('Lithium - Q&amp;V'!$D$9:$D$253,'Q&amp;V CY 2004 to Now'!AM$9,'Lithium - Q&amp;V'!$B$9:$B$253)*1000</f>
        <v>2825374.9280000003</v>
      </c>
      <c r="AN55" s="282">
        <f>SUMIF('Lithium - Q&amp;V'!$D$9:$D$253,'Q&amp;V CY 2004 to Now'!AM$9,'Lithium - Q&amp;V'!$C$9:$C$253)*1000000</f>
        <v>17034832617</v>
      </c>
      <c r="AO55" s="282">
        <f>SUMIF('Lithium - Q&amp;V'!$D$9:$D$253,'Q&amp;V CY 2004 to Now'!AO$9,'Lithium - Q&amp;V'!$B$9:$B$253)*1000</f>
        <v>3398261.2950000004</v>
      </c>
      <c r="AP55" s="282">
        <f>SUMIF('Lithium - Q&amp;V'!$D$9:$D$253,'Q&amp;V CY 2004 to Now'!AO$9,'Lithium - Q&amp;V'!$C$9:$C$253)*1000000</f>
        <v>15990229719.999998</v>
      </c>
      <c r="AQ55" s="282">
        <f>SUMIF('Lithium - Q&amp;V'!$D$9:$D$253,'Q&amp;V CY 2004 to Now'!AQ$9,'Lithium - Q&amp;V'!$B$9:$B$253)*1000</f>
        <v>3796099.287</v>
      </c>
      <c r="AR55" s="282">
        <f>SUMIF('Lithium - Q&amp;V'!$D$9:$D$253,'Q&amp;V CY 2004 to Now'!AQ$9,'Lithium - Q&amp;V'!$C$9:$C$253)*1000000</f>
        <v>5032697656</v>
      </c>
      <c r="AS55" s="282">
        <f>SUMIF('Lithium - Q&amp;V'!$D$9:$D$253,'Q&amp;V CY 2004 to Now'!AS$9,'Lithium - Q&amp;V'!$B$9:$B$253)*1000</f>
        <v>3956263.5719999992</v>
      </c>
      <c r="AT55" s="282">
        <f>SUMIF('Lithium - Q&amp;V'!$D$9:$D$253,'Q&amp;V CY 2004 to Now'!AS$9,'Lithium - Q&amp;V'!$C$9:$C$253)*1000000</f>
        <v>4461877910.1333876</v>
      </c>
      <c r="AU55" s="211">
        <f>SUMIF($C$11:AT$11, 1, $C55:AT55)</f>
        <v>26909568.062500004</v>
      </c>
      <c r="AV55" s="211">
        <f>SUMIF($C$11:AT$11, 0, $C55:AT55)</f>
        <v>52006861609.063385</v>
      </c>
    </row>
    <row r="56" spans="1:48" x14ac:dyDescent="0.25">
      <c r="A56" s="213" t="s">
        <v>221</v>
      </c>
      <c r="B56" s="206" t="s">
        <v>166</v>
      </c>
      <c r="C56" s="282">
        <v>0</v>
      </c>
      <c r="D56" s="282">
        <v>0</v>
      </c>
      <c r="E56" s="282">
        <v>0</v>
      </c>
      <c r="F56" s="282">
        <v>0</v>
      </c>
      <c r="G56" s="282">
        <v>0</v>
      </c>
      <c r="H56" s="282">
        <v>0</v>
      </c>
      <c r="I56" s="282">
        <v>0</v>
      </c>
      <c r="J56" s="282">
        <v>0</v>
      </c>
      <c r="K56" s="282">
        <v>0</v>
      </c>
      <c r="L56" s="282">
        <v>0</v>
      </c>
      <c r="M56" s="282">
        <v>0</v>
      </c>
      <c r="N56" s="282">
        <v>0</v>
      </c>
      <c r="O56" s="282">
        <v>0</v>
      </c>
      <c r="P56" s="282">
        <v>0</v>
      </c>
      <c r="Q56" s="282">
        <v>0</v>
      </c>
      <c r="R56" s="282">
        <v>0</v>
      </c>
      <c r="S56" s="282">
        <v>0</v>
      </c>
      <c r="T56" s="282">
        <v>0</v>
      </c>
      <c r="U56" s="282">
        <v>0</v>
      </c>
      <c r="V56" s="282">
        <v>0</v>
      </c>
      <c r="W56" s="282">
        <v>0</v>
      </c>
      <c r="X56" s="282">
        <v>0</v>
      </c>
      <c r="Y56" s="282">
        <v>0</v>
      </c>
      <c r="Z56" s="282">
        <v>0</v>
      </c>
      <c r="AA56" s="282">
        <v>0</v>
      </c>
      <c r="AB56" s="282">
        <v>0</v>
      </c>
      <c r="AC56" s="282">
        <v>0</v>
      </c>
      <c r="AD56" s="282">
        <v>0</v>
      </c>
      <c r="AE56" s="282">
        <v>0</v>
      </c>
      <c r="AF56" s="282">
        <v>0</v>
      </c>
      <c r="AG56" s="282">
        <v>0</v>
      </c>
      <c r="AH56" s="282">
        <v>0</v>
      </c>
      <c r="AI56" s="297">
        <v>0</v>
      </c>
      <c r="AJ56" s="297">
        <v>0</v>
      </c>
      <c r="AK56" s="282">
        <v>0</v>
      </c>
      <c r="AL56" s="282">
        <v>0</v>
      </c>
      <c r="AM56" s="282">
        <v>0</v>
      </c>
      <c r="AN56" s="282">
        <v>0</v>
      </c>
      <c r="AO56" s="282">
        <v>0</v>
      </c>
      <c r="AP56" s="282">
        <v>0</v>
      </c>
      <c r="AQ56" s="282">
        <v>0</v>
      </c>
      <c r="AR56" s="282">
        <v>0</v>
      </c>
      <c r="AS56" s="282">
        <v>0</v>
      </c>
      <c r="AT56" s="282">
        <v>0</v>
      </c>
      <c r="AU56" s="211">
        <f>SUMIF($C$11:AT$11, 1, $C56:AT56)</f>
        <v>0</v>
      </c>
      <c r="AV56" s="211">
        <f>SUMIF($C$11:AT$11, 0, $C56:AT56)</f>
        <v>0</v>
      </c>
    </row>
    <row r="57" spans="1:48" x14ac:dyDescent="0.25">
      <c r="A57" s="214" t="s">
        <v>222</v>
      </c>
      <c r="B57" s="43"/>
      <c r="C57" s="211"/>
      <c r="D57" s="211">
        <v>24199351</v>
      </c>
      <c r="E57" s="211"/>
      <c r="F57" s="211">
        <v>30318278.999999996</v>
      </c>
      <c r="G57" s="211"/>
      <c r="H57" s="211">
        <v>51784586.000000007</v>
      </c>
      <c r="I57" s="211"/>
      <c r="J57" s="211">
        <v>67904725</v>
      </c>
      <c r="K57" s="211"/>
      <c r="L57" s="211">
        <v>73337527.329999998</v>
      </c>
      <c r="M57" s="211"/>
      <c r="N57" s="211">
        <v>71703547</v>
      </c>
      <c r="O57" s="211"/>
      <c r="P57" s="211">
        <v>92182259.810000002</v>
      </c>
      <c r="Q57" s="211"/>
      <c r="R57" s="211">
        <v>117327288.90000001</v>
      </c>
      <c r="S57" s="211"/>
      <c r="T57" s="211">
        <v>162189381.88999999</v>
      </c>
      <c r="U57" s="211"/>
      <c r="V57" s="211">
        <v>169286544.41999999</v>
      </c>
      <c r="W57" s="211"/>
      <c r="X57" s="211">
        <v>201517762</v>
      </c>
      <c r="Y57" s="211"/>
      <c r="Z57" s="211">
        <v>240178272.00000003</v>
      </c>
      <c r="AA57" s="282"/>
      <c r="AB57" s="282">
        <v>293859642</v>
      </c>
      <c r="AC57" s="282"/>
      <c r="AD57" s="282">
        <v>1198528566.9999998</v>
      </c>
      <c r="AE57" s="282"/>
      <c r="AF57" s="282">
        <v>1864999282.9999998</v>
      </c>
      <c r="AG57" s="282"/>
      <c r="AH57" s="282">
        <f>AH55+AH56</f>
        <v>1317353541</v>
      </c>
      <c r="AI57" s="297"/>
      <c r="AJ57" s="297">
        <f>AJ55+AJ56</f>
        <v>822770815</v>
      </c>
      <c r="AK57" s="282"/>
      <c r="AL57" s="282">
        <f>AL55+AL56</f>
        <v>2687782333.9999995</v>
      </c>
      <c r="AM57" s="282"/>
      <c r="AN57" s="282">
        <f>AN55+AN56</f>
        <v>17034832617</v>
      </c>
      <c r="AO57" s="282"/>
      <c r="AP57" s="282">
        <f>AP55+AP56</f>
        <v>15990229719.999998</v>
      </c>
      <c r="AQ57" s="282"/>
      <c r="AR57" s="282">
        <f>AR55+AR56</f>
        <v>5032697656</v>
      </c>
      <c r="AS57" s="282"/>
      <c r="AT57" s="282">
        <f>AT55+AT56</f>
        <v>4461877910.1333876</v>
      </c>
      <c r="AU57" s="211"/>
      <c r="AV57" s="211">
        <f>SUMIF($C$11:AT$11, 0, $C57:AT57)</f>
        <v>52006861609.483383</v>
      </c>
    </row>
    <row r="58" spans="1:48" x14ac:dyDescent="0.25">
      <c r="A58" s="214"/>
      <c r="B58" s="43"/>
      <c r="C58" s="211"/>
      <c r="D58" s="211"/>
      <c r="E58" s="211"/>
      <c r="F58" s="211"/>
      <c r="G58" s="211"/>
      <c r="H58" s="211"/>
      <c r="I58" s="211"/>
      <c r="J58" s="211"/>
      <c r="K58" s="211"/>
      <c r="L58" s="211"/>
      <c r="M58" s="211"/>
      <c r="N58" s="211"/>
      <c r="O58" s="211"/>
      <c r="P58" s="211"/>
      <c r="Q58" s="211"/>
      <c r="R58" s="211"/>
      <c r="S58" s="211"/>
      <c r="T58" s="211"/>
      <c r="U58" s="211"/>
      <c r="V58" s="211"/>
      <c r="W58" s="211"/>
      <c r="X58" s="211"/>
      <c r="Y58" s="211"/>
      <c r="Z58" s="211"/>
      <c r="AA58" s="282"/>
      <c r="AB58" s="282"/>
      <c r="AC58" s="282"/>
      <c r="AD58" s="282"/>
      <c r="AE58" s="297"/>
      <c r="AF58" s="297"/>
      <c r="AG58" s="297"/>
      <c r="AH58" s="297"/>
      <c r="AI58" s="297"/>
      <c r="AJ58" s="297"/>
      <c r="AK58" s="282"/>
      <c r="AL58" s="282"/>
      <c r="AM58" s="282"/>
      <c r="AN58" s="282"/>
      <c r="AO58" s="282"/>
      <c r="AP58" s="282"/>
      <c r="AQ58" s="282"/>
      <c r="AR58" s="282"/>
      <c r="AS58" s="282"/>
      <c r="AT58" s="282"/>
      <c r="AU58" s="211"/>
      <c r="AV58" s="211"/>
    </row>
    <row r="59" spans="1:48" x14ac:dyDescent="0.25">
      <c r="A59" s="215" t="s">
        <v>223</v>
      </c>
      <c r="B59" s="216" t="s">
        <v>166</v>
      </c>
      <c r="C59" s="201">
        <v>275612</v>
      </c>
      <c r="D59" s="201">
        <v>109660229.37</v>
      </c>
      <c r="E59" s="201">
        <v>352402</v>
      </c>
      <c r="F59" s="201">
        <v>129363992.7</v>
      </c>
      <c r="G59" s="201">
        <v>409047</v>
      </c>
      <c r="H59" s="201">
        <v>121674018.04000001</v>
      </c>
      <c r="I59" s="201">
        <v>398980</v>
      </c>
      <c r="J59" s="201">
        <v>190869179.15000001</v>
      </c>
      <c r="K59" s="201">
        <v>341672</v>
      </c>
      <c r="L59" s="201">
        <v>358971004</v>
      </c>
      <c r="M59" s="201">
        <v>630321</v>
      </c>
      <c r="N59" s="201">
        <v>282389057</v>
      </c>
      <c r="O59" s="201">
        <v>744859</v>
      </c>
      <c r="P59" s="201">
        <v>421520073</v>
      </c>
      <c r="Q59" s="201">
        <v>1044534</v>
      </c>
      <c r="R59" s="201" t="s">
        <v>509</v>
      </c>
      <c r="S59" s="201">
        <v>640160</v>
      </c>
      <c r="T59" s="201" t="s">
        <v>509</v>
      </c>
      <c r="U59" s="201">
        <v>718296</v>
      </c>
      <c r="V59" s="201" t="s">
        <v>509</v>
      </c>
      <c r="W59" s="201">
        <v>821197</v>
      </c>
      <c r="X59" s="201">
        <v>432732665</v>
      </c>
      <c r="Y59" s="201">
        <v>543407.54</v>
      </c>
      <c r="Z59" s="201" t="s">
        <v>509</v>
      </c>
      <c r="AA59" s="277">
        <v>359331.52999999991</v>
      </c>
      <c r="AB59" s="278">
        <v>85265180</v>
      </c>
      <c r="AC59" s="278">
        <v>189450.23999999999</v>
      </c>
      <c r="AD59" s="278" t="s">
        <v>509</v>
      </c>
      <c r="AE59" s="281">
        <v>554822.48</v>
      </c>
      <c r="AF59" s="281">
        <v>458734560</v>
      </c>
      <c r="AG59" s="281">
        <v>559757.24099999992</v>
      </c>
      <c r="AH59" s="281" t="s">
        <v>509</v>
      </c>
      <c r="AI59" s="281">
        <v>545644.46</v>
      </c>
      <c r="AJ59" s="232" t="s">
        <v>509</v>
      </c>
      <c r="AK59" s="201">
        <v>523587.13237000006</v>
      </c>
      <c r="AL59" s="201">
        <v>308510923</v>
      </c>
      <c r="AM59" s="201">
        <v>460616.549</v>
      </c>
      <c r="AN59" s="201">
        <v>279876621</v>
      </c>
      <c r="AO59" s="201">
        <v>495199.19270000001</v>
      </c>
      <c r="AP59" s="201">
        <v>303453191</v>
      </c>
      <c r="AQ59" s="201">
        <v>594689.68800000008</v>
      </c>
      <c r="AR59" s="201">
        <v>427004987</v>
      </c>
      <c r="AS59" s="201">
        <v>607195.94700000004</v>
      </c>
      <c r="AT59" s="201">
        <v>369287848</v>
      </c>
      <c r="AU59" s="201">
        <f>SUMIF($C$11:AT$11, 1, $C59:AT59)</f>
        <v>11810782.000070002</v>
      </c>
      <c r="AV59" s="201" t="s">
        <v>509</v>
      </c>
    </row>
    <row r="60" spans="1:48" x14ac:dyDescent="0.25">
      <c r="A60" s="298"/>
      <c r="B60" s="145"/>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72"/>
      <c r="AC60" s="272"/>
      <c r="AD60" s="272"/>
      <c r="AE60" s="273"/>
      <c r="AF60" s="273"/>
      <c r="AG60" s="273"/>
      <c r="AH60" s="273"/>
      <c r="AI60" s="273"/>
      <c r="AJ60" s="273"/>
      <c r="AK60" s="272"/>
      <c r="AL60" s="272"/>
      <c r="AM60" s="272"/>
      <c r="AN60" s="272"/>
      <c r="AO60" s="272"/>
      <c r="AP60" s="272"/>
      <c r="AQ60" s="272"/>
      <c r="AR60" s="272"/>
      <c r="AS60" s="272"/>
      <c r="AT60" s="272"/>
      <c r="AU60" s="201"/>
      <c r="AV60" s="201"/>
    </row>
    <row r="61" spans="1:48" x14ac:dyDescent="0.25">
      <c r="A61" s="210" t="s">
        <v>224</v>
      </c>
      <c r="B61" s="206"/>
      <c r="C61" s="211"/>
      <c r="D61" s="211"/>
      <c r="E61" s="211"/>
      <c r="F61" s="211"/>
      <c r="G61" s="211"/>
      <c r="H61" s="211"/>
      <c r="I61" s="211"/>
      <c r="J61" s="211"/>
      <c r="K61" s="211"/>
      <c r="L61" s="211"/>
      <c r="M61" s="211"/>
      <c r="N61" s="211"/>
      <c r="O61" s="211"/>
      <c r="P61" s="211"/>
      <c r="Q61" s="211"/>
      <c r="R61" s="211"/>
      <c r="S61" s="211"/>
      <c r="T61" s="211"/>
      <c r="U61" s="299"/>
      <c r="V61" s="299"/>
      <c r="W61" s="211"/>
      <c r="X61" s="211"/>
      <c r="Y61" s="299"/>
      <c r="Z61" s="299"/>
      <c r="AA61" s="299"/>
      <c r="AB61" s="300"/>
      <c r="AC61" s="300"/>
      <c r="AD61" s="300"/>
      <c r="AE61" s="268"/>
      <c r="AF61" s="268"/>
      <c r="AG61" s="268"/>
      <c r="AH61" s="268"/>
      <c r="AI61" s="268"/>
      <c r="AJ61" s="268"/>
      <c r="AK61" s="267"/>
      <c r="AL61" s="267"/>
      <c r="AM61" s="268"/>
      <c r="AN61" s="268"/>
      <c r="AO61" s="268"/>
      <c r="AP61" s="268"/>
      <c r="AQ61" s="268"/>
      <c r="AR61" s="268"/>
      <c r="AS61" s="268"/>
      <c r="AT61" s="268"/>
      <c r="AU61" s="211"/>
      <c r="AV61" s="211"/>
    </row>
    <row r="62" spans="1:48" x14ac:dyDescent="0.25">
      <c r="A62" s="213" t="s">
        <v>225</v>
      </c>
      <c r="B62" s="274" t="s">
        <v>166</v>
      </c>
      <c r="C62" s="211">
        <v>134761.07999999999</v>
      </c>
      <c r="D62" s="211" t="s">
        <v>509</v>
      </c>
      <c r="E62" s="211">
        <v>246128.25</v>
      </c>
      <c r="F62" s="211" t="s">
        <v>509</v>
      </c>
      <c r="G62" s="211">
        <v>278233</v>
      </c>
      <c r="H62" s="211" t="s">
        <v>509</v>
      </c>
      <c r="I62" s="211">
        <v>294006.77</v>
      </c>
      <c r="J62" s="211" t="s">
        <v>509</v>
      </c>
      <c r="K62" s="211">
        <v>298290.28000000003</v>
      </c>
      <c r="L62" s="211" t="s">
        <v>509</v>
      </c>
      <c r="M62" s="211">
        <v>275559.82999999996</v>
      </c>
      <c r="N62" s="211" t="s">
        <v>509</v>
      </c>
      <c r="O62" s="211">
        <v>196839.06999999998</v>
      </c>
      <c r="P62" s="211" t="s">
        <v>509</v>
      </c>
      <c r="Q62" s="211">
        <v>308139.42</v>
      </c>
      <c r="R62" s="211" t="s">
        <v>509</v>
      </c>
      <c r="S62" s="211">
        <v>266224.46000000002</v>
      </c>
      <c r="T62" s="211" t="s">
        <v>509</v>
      </c>
      <c r="U62" s="211">
        <v>395840.81</v>
      </c>
      <c r="V62" s="211" t="s">
        <v>509</v>
      </c>
      <c r="W62" s="211">
        <v>274662</v>
      </c>
      <c r="X62" s="211" t="s">
        <v>509</v>
      </c>
      <c r="Y62" s="211">
        <v>283108</v>
      </c>
      <c r="Z62" s="211" t="s">
        <v>509</v>
      </c>
      <c r="AA62" s="282">
        <v>574659.56999999995</v>
      </c>
      <c r="AB62" s="283" t="s">
        <v>509</v>
      </c>
      <c r="AC62" s="283">
        <v>363572.54000000004</v>
      </c>
      <c r="AD62" s="283" t="s">
        <v>509</v>
      </c>
      <c r="AE62" s="283">
        <v>360132.95999999996</v>
      </c>
      <c r="AF62" s="283" t="s">
        <v>509</v>
      </c>
      <c r="AG62" s="283">
        <v>352977.58</v>
      </c>
      <c r="AH62" s="283" t="s">
        <v>509</v>
      </c>
      <c r="AI62" s="283">
        <v>296050.51</v>
      </c>
      <c r="AJ62" s="283" t="s">
        <v>509</v>
      </c>
      <c r="AK62" s="283">
        <v>321339.88</v>
      </c>
      <c r="AL62" s="283" t="s">
        <v>509</v>
      </c>
      <c r="AM62" s="283">
        <v>387893.54000000004</v>
      </c>
      <c r="AN62" s="283">
        <v>115607042</v>
      </c>
      <c r="AO62" s="283">
        <v>324764.39999999997</v>
      </c>
      <c r="AP62" s="283">
        <v>125519056</v>
      </c>
      <c r="AQ62" s="283">
        <v>348429.74999999994</v>
      </c>
      <c r="AR62" s="283">
        <v>127055785</v>
      </c>
      <c r="AS62" s="283">
        <v>460162.34</v>
      </c>
      <c r="AT62" s="283">
        <v>175534494</v>
      </c>
      <c r="AU62" s="211">
        <f>SUMIF($C$11:AT$11, 1, $C62:AT62)</f>
        <v>7041776.04</v>
      </c>
      <c r="AV62" s="211" t="s">
        <v>509</v>
      </c>
    </row>
    <row r="63" spans="1:48" x14ac:dyDescent="0.25">
      <c r="A63" s="213" t="s">
        <v>226</v>
      </c>
      <c r="B63" s="274" t="s">
        <v>166</v>
      </c>
      <c r="C63" s="211">
        <v>775442.7</v>
      </c>
      <c r="D63" s="211">
        <v>90689749</v>
      </c>
      <c r="E63" s="211">
        <v>666429.46</v>
      </c>
      <c r="F63" s="211">
        <v>74696021</v>
      </c>
      <c r="G63" s="211">
        <v>742079</v>
      </c>
      <c r="H63" s="211">
        <v>84444176</v>
      </c>
      <c r="I63" s="211">
        <v>730873.79</v>
      </c>
      <c r="J63" s="211">
        <v>79800273</v>
      </c>
      <c r="K63" s="211">
        <v>598904.57999999996</v>
      </c>
      <c r="L63" s="211">
        <v>76945319</v>
      </c>
      <c r="M63" s="211">
        <v>463741.5</v>
      </c>
      <c r="N63" s="211">
        <v>63498346</v>
      </c>
      <c r="O63" s="211">
        <v>497715.15999999992</v>
      </c>
      <c r="P63" s="211">
        <v>66691050</v>
      </c>
      <c r="Q63" s="211">
        <v>379284.10000000003</v>
      </c>
      <c r="R63" s="211">
        <v>56851391</v>
      </c>
      <c r="S63" s="211">
        <v>279281.76</v>
      </c>
      <c r="T63" s="211">
        <v>68407301</v>
      </c>
      <c r="U63" s="211">
        <v>199987.75</v>
      </c>
      <c r="V63" s="211">
        <v>49257052</v>
      </c>
      <c r="W63" s="211">
        <v>18999.41</v>
      </c>
      <c r="X63" s="282">
        <v>4280121</v>
      </c>
      <c r="Y63" s="211">
        <v>188332.52</v>
      </c>
      <c r="Z63" s="211">
        <v>42191626</v>
      </c>
      <c r="AA63" s="282">
        <v>167959.25</v>
      </c>
      <c r="AB63" s="283">
        <v>38220228</v>
      </c>
      <c r="AC63" s="283">
        <v>128730.5</v>
      </c>
      <c r="AD63" s="283">
        <v>28973114</v>
      </c>
      <c r="AE63" s="283">
        <v>185454.44</v>
      </c>
      <c r="AF63" s="283">
        <v>43377350</v>
      </c>
      <c r="AG63" s="283">
        <v>264992.89</v>
      </c>
      <c r="AH63" s="283">
        <v>52311502</v>
      </c>
      <c r="AI63" s="283">
        <v>332818.63</v>
      </c>
      <c r="AJ63" s="283">
        <v>77469322</v>
      </c>
      <c r="AK63" s="283">
        <v>268619.61</v>
      </c>
      <c r="AL63" s="283">
        <v>74585080</v>
      </c>
      <c r="AM63" s="283">
        <v>205739.18000000002</v>
      </c>
      <c r="AN63" s="283">
        <v>77079372</v>
      </c>
      <c r="AO63" s="283">
        <v>241462.7</v>
      </c>
      <c r="AP63" s="283">
        <v>97022814</v>
      </c>
      <c r="AQ63" s="283">
        <v>337243.12199599994</v>
      </c>
      <c r="AR63" s="283">
        <v>149998469</v>
      </c>
      <c r="AS63" s="283">
        <v>467712.34480436996</v>
      </c>
      <c r="AT63" s="283">
        <v>201678416</v>
      </c>
      <c r="AU63" s="211">
        <f>SUMIF($C$11:AT$11, 1, $C63:AT63)</f>
        <v>8141804.39680037</v>
      </c>
      <c r="AV63" s="211">
        <f>SUMIF($C$11:AT$11, 0, $C63:AT63)</f>
        <v>1598468092</v>
      </c>
    </row>
    <row r="64" spans="1:48" x14ac:dyDescent="0.25">
      <c r="A64" s="213" t="s">
        <v>227</v>
      </c>
      <c r="B64" s="274" t="s">
        <v>166</v>
      </c>
      <c r="C64" s="211">
        <v>66342.77</v>
      </c>
      <c r="D64" s="211">
        <v>21474768</v>
      </c>
      <c r="E64" s="211">
        <v>84977.14</v>
      </c>
      <c r="F64" s="211">
        <v>26916075</v>
      </c>
      <c r="G64" s="211">
        <v>53518</v>
      </c>
      <c r="H64" s="211">
        <v>17667803</v>
      </c>
      <c r="I64" s="211">
        <v>73035.039999999994</v>
      </c>
      <c r="J64" s="211">
        <v>23574626</v>
      </c>
      <c r="K64" s="211">
        <v>68698.63</v>
      </c>
      <c r="L64" s="211">
        <v>20864638</v>
      </c>
      <c r="M64" s="211">
        <v>76708.94</v>
      </c>
      <c r="N64" s="211">
        <v>24463466</v>
      </c>
      <c r="O64" s="211">
        <v>33352.699999999997</v>
      </c>
      <c r="P64" s="211">
        <v>15412925</v>
      </c>
      <c r="Q64" s="211">
        <v>24771.879999999997</v>
      </c>
      <c r="R64" s="211">
        <v>14361119</v>
      </c>
      <c r="S64" s="211">
        <v>22026.97</v>
      </c>
      <c r="T64" s="211">
        <v>26194508</v>
      </c>
      <c r="U64" s="211">
        <v>33293.32</v>
      </c>
      <c r="V64" s="211">
        <v>28648054</v>
      </c>
      <c r="W64" s="211">
        <v>22105.33</v>
      </c>
      <c r="X64" s="282">
        <v>17861021</v>
      </c>
      <c r="Y64" s="211">
        <v>21593.22</v>
      </c>
      <c r="Z64" s="211">
        <v>19858929</v>
      </c>
      <c r="AA64" s="282">
        <v>7053.66</v>
      </c>
      <c r="AB64" s="283">
        <v>6175940</v>
      </c>
      <c r="AC64" s="283">
        <v>14882.13</v>
      </c>
      <c r="AD64" s="283">
        <v>13161815</v>
      </c>
      <c r="AE64" s="283">
        <v>8032.9059999999999</v>
      </c>
      <c r="AF64" s="283">
        <v>9501004</v>
      </c>
      <c r="AG64" s="283">
        <v>21137</v>
      </c>
      <c r="AH64" s="283">
        <v>22517510</v>
      </c>
      <c r="AI64" s="283">
        <v>25037.457999999999</v>
      </c>
      <c r="AJ64" s="283">
        <v>27142197</v>
      </c>
      <c r="AK64" s="283">
        <v>18099.073</v>
      </c>
      <c r="AL64" s="283">
        <v>21954167</v>
      </c>
      <c r="AM64" s="283">
        <v>19095.490000000002</v>
      </c>
      <c r="AN64" s="283">
        <v>22186512</v>
      </c>
      <c r="AO64" s="283">
        <v>15817.514606827597</v>
      </c>
      <c r="AP64" s="283">
        <v>24460451</v>
      </c>
      <c r="AQ64" s="283">
        <v>40062.887569999999</v>
      </c>
      <c r="AR64" s="283">
        <v>46836025</v>
      </c>
      <c r="AS64" s="283">
        <v>33056.382749000004</v>
      </c>
      <c r="AT64" s="283">
        <v>39930542</v>
      </c>
      <c r="AU64" s="211">
        <f>SUMIF($C$11:AT$11, 1, $C64:AT64)</f>
        <v>782698.44192582753</v>
      </c>
      <c r="AV64" s="211">
        <f>SUMIF($C$11:AT$11, 0, $C64:AT64)</f>
        <v>491164095</v>
      </c>
    </row>
    <row r="65" spans="1:48" x14ac:dyDescent="0.25">
      <c r="A65" s="213" t="s">
        <v>228</v>
      </c>
      <c r="B65" s="274" t="s">
        <v>166</v>
      </c>
      <c r="C65" s="211">
        <v>113102.34</v>
      </c>
      <c r="D65" s="211">
        <v>70108292</v>
      </c>
      <c r="E65" s="211">
        <v>100452.42</v>
      </c>
      <c r="F65" s="211">
        <v>63786635</v>
      </c>
      <c r="G65" s="211">
        <v>102211</v>
      </c>
      <c r="H65" s="211">
        <v>64390184</v>
      </c>
      <c r="I65" s="211">
        <v>107671.1</v>
      </c>
      <c r="J65" s="211">
        <v>56301148</v>
      </c>
      <c r="K65" s="211" t="s">
        <v>172</v>
      </c>
      <c r="L65" s="211" t="s">
        <v>172</v>
      </c>
      <c r="M65" s="211" t="s">
        <v>172</v>
      </c>
      <c r="N65" s="211" t="s">
        <v>172</v>
      </c>
      <c r="O65" s="211" t="s">
        <v>172</v>
      </c>
      <c r="P65" s="211" t="s">
        <v>172</v>
      </c>
      <c r="Q65" s="211" t="s">
        <v>172</v>
      </c>
      <c r="R65" s="211" t="s">
        <v>172</v>
      </c>
      <c r="S65" s="211" t="s">
        <v>172</v>
      </c>
      <c r="T65" s="211" t="s">
        <v>172</v>
      </c>
      <c r="U65" s="211">
        <v>66220.06</v>
      </c>
      <c r="V65" s="211">
        <v>73860787</v>
      </c>
      <c r="W65" s="211">
        <v>39801.159999999996</v>
      </c>
      <c r="X65" s="282">
        <v>36002163</v>
      </c>
      <c r="Y65" s="211">
        <v>43459.25</v>
      </c>
      <c r="Z65" s="211">
        <v>44030930</v>
      </c>
      <c r="AA65" s="282">
        <v>27312.059999999998</v>
      </c>
      <c r="AB65" s="283">
        <v>26070876</v>
      </c>
      <c r="AC65" s="283">
        <v>17482.63</v>
      </c>
      <c r="AD65" s="283">
        <v>18192000</v>
      </c>
      <c r="AE65" s="283">
        <v>25631.200000000001</v>
      </c>
      <c r="AF65" s="283">
        <v>29610518</v>
      </c>
      <c r="AG65" s="283">
        <v>27164.11</v>
      </c>
      <c r="AH65" s="283">
        <v>33888372</v>
      </c>
      <c r="AI65" s="283">
        <v>43342.26</v>
      </c>
      <c r="AJ65" s="283">
        <v>36891055</v>
      </c>
      <c r="AK65" s="283">
        <v>70048.38</v>
      </c>
      <c r="AL65" s="283">
        <v>75957521</v>
      </c>
      <c r="AM65" s="283">
        <v>68668.460000000006</v>
      </c>
      <c r="AN65" s="283">
        <v>116069445</v>
      </c>
      <c r="AO65" s="283">
        <v>109765.17999999998</v>
      </c>
      <c r="AP65" s="283">
        <v>140556311</v>
      </c>
      <c r="AQ65" s="283">
        <v>127741.06</v>
      </c>
      <c r="AR65" s="283">
        <v>109424837</v>
      </c>
      <c r="AS65" s="283">
        <v>124432.09299999999</v>
      </c>
      <c r="AT65" s="283">
        <v>112406714</v>
      </c>
      <c r="AU65" s="211">
        <f>SUMIF($C$11:AT$11, 1, $C65:AT65)</f>
        <v>1214504.7629999998</v>
      </c>
      <c r="AV65" s="211">
        <f>SUMIF($C$11:AT$11, 0, $C65:AT65)</f>
        <v>1107547788</v>
      </c>
    </row>
    <row r="66" spans="1:48" x14ac:dyDescent="0.25">
      <c r="A66" s="213" t="s">
        <v>177</v>
      </c>
      <c r="B66" s="274" t="s">
        <v>166</v>
      </c>
      <c r="C66" s="211">
        <v>440794.78</v>
      </c>
      <c r="D66" s="211">
        <v>273960947</v>
      </c>
      <c r="E66" s="211">
        <v>443896.04</v>
      </c>
      <c r="F66" s="211">
        <v>330381846</v>
      </c>
      <c r="G66" s="211">
        <v>370183</v>
      </c>
      <c r="H66" s="211">
        <v>358819527</v>
      </c>
      <c r="I66" s="211">
        <v>289876.43</v>
      </c>
      <c r="J66" s="211">
        <v>263931467</v>
      </c>
      <c r="K66" s="211">
        <v>356393.16000000003</v>
      </c>
      <c r="L66" s="211">
        <v>309499986.85000002</v>
      </c>
      <c r="M66" s="211">
        <v>253499.78</v>
      </c>
      <c r="N66" s="211">
        <v>214485748</v>
      </c>
      <c r="O66" s="211">
        <v>333469.26</v>
      </c>
      <c r="P66" s="211">
        <v>229840510</v>
      </c>
      <c r="Q66" s="211">
        <v>217297.99</v>
      </c>
      <c r="R66" s="211">
        <v>210012842</v>
      </c>
      <c r="S66" s="211">
        <v>175164.13799999998</v>
      </c>
      <c r="T66" s="211">
        <v>195238759</v>
      </c>
      <c r="U66" s="211">
        <v>231508.22999999998</v>
      </c>
      <c r="V66" s="211">
        <v>155578851</v>
      </c>
      <c r="W66" s="211">
        <v>204344.62899999999</v>
      </c>
      <c r="X66" s="282">
        <v>120388239</v>
      </c>
      <c r="Y66" s="211">
        <v>214878</v>
      </c>
      <c r="Z66" s="211">
        <v>168139059</v>
      </c>
      <c r="AA66" s="282">
        <v>202885.74</v>
      </c>
      <c r="AB66" s="283">
        <v>119932606</v>
      </c>
      <c r="AC66" s="283">
        <v>62317.25</v>
      </c>
      <c r="AD66" s="283">
        <v>80284818</v>
      </c>
      <c r="AE66" s="283">
        <v>97328.237999999998</v>
      </c>
      <c r="AF66" s="283">
        <v>165669383</v>
      </c>
      <c r="AG66" s="283">
        <v>178149.33000000002</v>
      </c>
      <c r="AH66" s="283">
        <v>295498037</v>
      </c>
      <c r="AI66" s="283">
        <v>189982.07</v>
      </c>
      <c r="AJ66" s="283">
        <v>284134136</v>
      </c>
      <c r="AK66" s="283">
        <v>275387.53999999998</v>
      </c>
      <c r="AL66" s="283">
        <v>483493522</v>
      </c>
      <c r="AM66" s="283">
        <v>226694.69500000001</v>
      </c>
      <c r="AN66" s="283">
        <v>581409440</v>
      </c>
      <c r="AO66" s="283">
        <v>160480.52999999997</v>
      </c>
      <c r="AP66" s="283">
        <v>428683638</v>
      </c>
      <c r="AQ66" s="283">
        <v>135496.88588430893</v>
      </c>
      <c r="AR66" s="283">
        <v>390598537</v>
      </c>
      <c r="AS66" s="283">
        <v>200107.97893023439</v>
      </c>
      <c r="AT66" s="283">
        <v>490983401</v>
      </c>
      <c r="AU66" s="211">
        <f>SUMIF($C$11:AT$11, 1, $C66:AT66)</f>
        <v>5260135.6948145442</v>
      </c>
      <c r="AV66" s="211">
        <f>SUMIF($C$11:AT$11, 0, $C66:AT66)</f>
        <v>6150965299.8500004</v>
      </c>
    </row>
    <row r="67" spans="1:48" x14ac:dyDescent="0.25">
      <c r="A67" s="213" t="s">
        <v>229</v>
      </c>
      <c r="B67" s="274" t="s">
        <v>166</v>
      </c>
      <c r="C67" s="211" t="s">
        <v>511</v>
      </c>
      <c r="D67" s="211" t="s">
        <v>511</v>
      </c>
      <c r="E67" s="211" t="s">
        <v>511</v>
      </c>
      <c r="F67" s="211" t="s">
        <v>511</v>
      </c>
      <c r="G67" s="211" t="s">
        <v>511</v>
      </c>
      <c r="H67" s="211" t="s">
        <v>511</v>
      </c>
      <c r="I67" s="211" t="s">
        <v>511</v>
      </c>
      <c r="J67" s="211" t="s">
        <v>511</v>
      </c>
      <c r="K67" s="211" t="s">
        <v>511</v>
      </c>
      <c r="L67" s="211" t="s">
        <v>511</v>
      </c>
      <c r="M67" s="211" t="s">
        <v>511</v>
      </c>
      <c r="N67" s="211" t="s">
        <v>511</v>
      </c>
      <c r="O67" s="211" t="s">
        <v>511</v>
      </c>
      <c r="P67" s="211" t="s">
        <v>511</v>
      </c>
      <c r="Q67" s="211" t="s">
        <v>511</v>
      </c>
      <c r="R67" s="211" t="s">
        <v>511</v>
      </c>
      <c r="S67" s="211" t="s">
        <v>511</v>
      </c>
      <c r="T67" s="211" t="s">
        <v>511</v>
      </c>
      <c r="U67" s="211" t="s">
        <v>511</v>
      </c>
      <c r="V67" s="211" t="s">
        <v>511</v>
      </c>
      <c r="W67" s="211">
        <v>186800.70303030306</v>
      </c>
      <c r="X67" s="282" t="s">
        <v>509</v>
      </c>
      <c r="Y67" s="211">
        <v>252371.61212121212</v>
      </c>
      <c r="Z67" s="211">
        <v>242596752.36441705</v>
      </c>
      <c r="AA67" s="282">
        <v>286956.36363636371</v>
      </c>
      <c r="AB67" s="283">
        <v>262039072.01084828</v>
      </c>
      <c r="AC67" s="283">
        <v>286455.59369696974</v>
      </c>
      <c r="AD67" s="283">
        <v>271959792.81765264</v>
      </c>
      <c r="AE67" s="283">
        <v>260029.59175757578</v>
      </c>
      <c r="AF67" s="283">
        <v>276283983.39685088</v>
      </c>
      <c r="AG67" s="283">
        <v>216001.87103030307</v>
      </c>
      <c r="AH67" s="283">
        <v>248320017.10130388</v>
      </c>
      <c r="AI67" s="283">
        <v>317820.11660606059</v>
      </c>
      <c r="AJ67" s="283">
        <v>352811053.66042298</v>
      </c>
      <c r="AK67" s="283">
        <v>278260.5230787879</v>
      </c>
      <c r="AL67" s="283">
        <v>401496766.33618999</v>
      </c>
      <c r="AM67" s="283">
        <v>243978.42424242425</v>
      </c>
      <c r="AN67" s="283">
        <v>430720742.39741266</v>
      </c>
      <c r="AO67" s="283">
        <v>254354.40727272732</v>
      </c>
      <c r="AP67" s="283">
        <v>463619024.76135445</v>
      </c>
      <c r="AQ67" s="283">
        <v>187108.48484848486</v>
      </c>
      <c r="AR67" s="283">
        <v>340329075.67098844</v>
      </c>
      <c r="AS67" s="283">
        <v>242912.96164848487</v>
      </c>
      <c r="AT67" s="283">
        <v>415764442.6932705</v>
      </c>
      <c r="AU67" s="211">
        <f>SUMIF($C$11:AT$11, 1, $C67:AT67)</f>
        <v>3013050.652969697</v>
      </c>
      <c r="AV67" s="211" t="s">
        <v>509</v>
      </c>
    </row>
    <row r="68" spans="1:48" x14ac:dyDescent="0.25">
      <c r="A68" s="213" t="s">
        <v>643</v>
      </c>
      <c r="B68" s="274" t="s">
        <v>166</v>
      </c>
      <c r="C68" s="211"/>
      <c r="D68" s="211">
        <f>D69-SUM(D63:D67)</f>
        <v>308677023.21212125</v>
      </c>
      <c r="E68" s="211"/>
      <c r="F68" s="211">
        <f>F69-SUM(F63:F67)</f>
        <v>351013014.63939393</v>
      </c>
      <c r="G68" s="211"/>
      <c r="H68" s="211">
        <f>H69-SUM(H63:H67)</f>
        <v>360941120.36130917</v>
      </c>
      <c r="I68" s="211"/>
      <c r="J68" s="211">
        <f>J69-SUM(J63:J67)</f>
        <v>267448199.60429811</v>
      </c>
      <c r="K68" s="211"/>
      <c r="L68" s="211">
        <f>L69-SUM(L63:L67)</f>
        <v>369826774.14124882</v>
      </c>
      <c r="M68" s="211"/>
      <c r="N68" s="211">
        <f>N69-SUM(N63:N67)</f>
        <v>339383380.86659384</v>
      </c>
      <c r="O68" s="211"/>
      <c r="P68" s="211">
        <f>P69-SUM(P63:P67)</f>
        <v>214526030.44375753</v>
      </c>
      <c r="Q68" s="211"/>
      <c r="R68" s="211">
        <f>R69-SUM(R63:R67)</f>
        <v>310396752.60567033</v>
      </c>
      <c r="S68" s="211"/>
      <c r="T68" s="211">
        <f>T69-SUM(T63:T67)</f>
        <v>680966464.06660604</v>
      </c>
      <c r="U68" s="211"/>
      <c r="V68" s="211">
        <f>V69-SUM(V63:V67)</f>
        <v>73239915</v>
      </c>
      <c r="W68" s="211"/>
      <c r="X68" s="282">
        <v>228227129</v>
      </c>
      <c r="Y68" s="211"/>
      <c r="Z68" s="282">
        <f>Z69-SUM(Z63:Z67)</f>
        <v>69578795.999999881</v>
      </c>
      <c r="AA68" s="211"/>
      <c r="AB68" s="283">
        <f>AB69-SUM(AB63:AB67)</f>
        <v>160025305.99999988</v>
      </c>
      <c r="AC68" s="283"/>
      <c r="AD68" s="283">
        <f>AD69-SUM(AD63:AD67)</f>
        <v>102570199.99999994</v>
      </c>
      <c r="AE68" s="283"/>
      <c r="AF68" s="283">
        <v>104403291</v>
      </c>
      <c r="AG68" s="283"/>
      <c r="AH68" s="283">
        <f>AH69-SUM(AH62:AH67)</f>
        <v>109169982</v>
      </c>
      <c r="AI68" s="283"/>
      <c r="AJ68" s="283">
        <f>AJ69-SUM(AJ62:AJ67)</f>
        <v>107757162</v>
      </c>
      <c r="AK68" s="283"/>
      <c r="AL68" s="283">
        <f>AL69-SUM(AL62:AL67)</f>
        <v>115691390</v>
      </c>
      <c r="AM68" s="283"/>
      <c r="AN68" s="283">
        <f>AN69-SUM(AN62:AN67)</f>
        <v>635881.99999976158</v>
      </c>
      <c r="AO68" s="283"/>
      <c r="AP68" s="283">
        <f>AP69-SUM(AP62:AP67)</f>
        <v>18649730.999999762</v>
      </c>
      <c r="AQ68" s="283"/>
      <c r="AR68" s="283">
        <f>AR69-SUM(AR62:AR67)</f>
        <v>135382754.99999952</v>
      </c>
      <c r="AS68" s="283"/>
      <c r="AT68" s="283">
        <f>AT69-SUM(AT62:AT67)</f>
        <v>76056538.999999762</v>
      </c>
      <c r="AU68" s="211"/>
      <c r="AV68" s="211">
        <f>AV69-SUM(AV62:AV67)</f>
        <v>8754223938.0183735</v>
      </c>
    </row>
    <row r="69" spans="1:48" x14ac:dyDescent="0.25">
      <c r="A69" s="214" t="s">
        <v>230</v>
      </c>
      <c r="B69" s="206"/>
      <c r="C69" s="211"/>
      <c r="D69" s="211">
        <f>SUMIF('Mineral Sands - Q&amp;V'!$D9:$D251,C$9,'Mineral Sands - Q&amp;V'!$C9:$C251)*1000000</f>
        <v>764910779.21212125</v>
      </c>
      <c r="E69" s="211"/>
      <c r="F69" s="211">
        <f>SUMIF('Mineral Sands - Q&amp;V'!$D9:$D251,E$9,'Mineral Sands - Q&amp;V'!$C9:$C251)*1000000</f>
        <v>846793591.63939393</v>
      </c>
      <c r="G69" s="211"/>
      <c r="H69" s="211">
        <f>SUMIF('Mineral Sands - Q&amp;V'!$D9:$D251,G$9,'Mineral Sands - Q&amp;V'!$C9:$C251)*1000000</f>
        <v>886262810.36130917</v>
      </c>
      <c r="I69" s="211"/>
      <c r="J69" s="211">
        <f>SUMIF('Mineral Sands - Q&amp;V'!$D9:$D251,I$9,'Mineral Sands - Q&amp;V'!$C9:$C251)*1000000</f>
        <v>691055713.60429811</v>
      </c>
      <c r="K69" s="211"/>
      <c r="L69" s="211">
        <f>SUMIF('Mineral Sands - Q&amp;V'!$D9:$D251,K$9,'Mineral Sands - Q&amp;V'!$C9:$C251)*1000000</f>
        <v>777136717.99124885</v>
      </c>
      <c r="M69" s="211"/>
      <c r="N69" s="211">
        <f>SUMIF('Mineral Sands - Q&amp;V'!$D9:$D251,M$9,'Mineral Sands - Q&amp;V'!$C9:$C251)*1000000</f>
        <v>641830940.86659384</v>
      </c>
      <c r="O69" s="211"/>
      <c r="P69" s="211">
        <f>SUMIF('Mineral Sands - Q&amp;V'!$D9:$D251,O$9,'Mineral Sands - Q&amp;V'!$C9:$C251)*1000000</f>
        <v>526470515.44375753</v>
      </c>
      <c r="Q69" s="211"/>
      <c r="R69" s="211">
        <f>SUMIF('Mineral Sands - Q&amp;V'!$D9:$D251,Q$9,'Mineral Sands - Q&amp;V'!$C9:$C251)*1000000</f>
        <v>591622104.60567033</v>
      </c>
      <c r="S69" s="211"/>
      <c r="T69" s="211">
        <f>SUMIF('Mineral Sands - Q&amp;V'!$D9:$D251,S$9,'Mineral Sands - Q&amp;V'!$C9:$C251)*1000000</f>
        <v>970807032.06660604</v>
      </c>
      <c r="U69" s="211"/>
      <c r="V69" s="211">
        <f>SUMIF('Mineral Sands - Q&amp;V'!$D9:$D251,U$9,'Mineral Sands - Q&amp;V'!$C9:$C251)*1000000</f>
        <v>380584659</v>
      </c>
      <c r="W69" s="211"/>
      <c r="X69" s="211">
        <f>SUMIF('Mineral Sands - Q&amp;V'!$D9:$D251,W$9,'Mineral Sands - Q&amp;V'!$C9:$C251)*1000000</f>
        <v>406758672.86666662</v>
      </c>
      <c r="Y69" s="211"/>
      <c r="Z69" s="211">
        <f>SUMIF('Mineral Sands - Q&amp;V'!$D9:$D251,Y$9,'Mineral Sands - Q&amp;V'!$C9:$C251)*1000000</f>
        <v>586396092.36441696</v>
      </c>
      <c r="AA69" s="211"/>
      <c r="AB69" s="267">
        <f>SUMIF('Mineral Sands - Q&amp;V'!$D$9:$D$262,AA$9,'Mineral Sands - Q&amp;V'!$C9:$C262)*1000000</f>
        <v>612464028.01084816</v>
      </c>
      <c r="AC69" s="267"/>
      <c r="AD69" s="267">
        <f>SUMIF('Mineral Sands - Q&amp;V'!$D$9:$D$262,AC$9,'Mineral Sands - Q&amp;V'!$C9:$C262)*1000000</f>
        <v>515141739.81765258</v>
      </c>
      <c r="AE69" s="267"/>
      <c r="AF69" s="267">
        <f>SUMIF('Mineral Sands - Q&amp;V'!$D$9:$D$262,AE$9,'Mineral Sands - Q&amp;V'!$C9:$C262)*1000000</f>
        <v>628845529.39685094</v>
      </c>
      <c r="AG69" s="267"/>
      <c r="AH69" s="267">
        <f>SUMIF('Mineral Sands - Q&amp;V'!$D$9:$D$262,AG$9,'Mineral Sands - Q&amp;V'!$C9:$C262)*1000000</f>
        <v>761705420.10130382</v>
      </c>
      <c r="AI69" s="267"/>
      <c r="AJ69" s="267">
        <f>SUMIF('Mineral Sands - Q&amp;V'!$D$9:$D$262,AI$9,'Mineral Sands - Q&amp;V'!$C9:$C262)*1000000</f>
        <v>886204925.66042304</v>
      </c>
      <c r="AK69" s="267"/>
      <c r="AL69" s="267">
        <f>SUMIF('Mineral Sands - Q&amp;V'!$D$9:$D$262,AK$9,'Mineral Sands - Q&amp;V'!$C9:$C262)*1000000</f>
        <v>1173178446.33619</v>
      </c>
      <c r="AM69" s="267"/>
      <c r="AN69" s="267">
        <f>SUMIF('Mineral Sands - Q&amp;V'!$D$9:$D$262,AM$9,'Mineral Sands - Q&amp;V'!$C9:$C262)*1000000</f>
        <v>1343708435.3974125</v>
      </c>
      <c r="AO69" s="267"/>
      <c r="AP69" s="267">
        <f>SUMIF('Mineral Sands - Q&amp;V'!$D$9:$D$262,AO$9,'Mineral Sands - Q&amp;V'!$C9:$C262)*1000000</f>
        <v>1298511025.7613542</v>
      </c>
      <c r="AQ69" s="267"/>
      <c r="AR69" s="267">
        <f>SUMIF('Mineral Sands - Q&amp;V'!$D$9:$D$262,AQ$9,'Mineral Sands - Q&amp;V'!$C9:$C262)*1000000</f>
        <v>1299625483.6709881</v>
      </c>
      <c r="AS69" s="267"/>
      <c r="AT69" s="267">
        <f>SUMIF('Mineral Sands - Q&amp;V'!$D$9:$D$262,AS$9,'Mineral Sands - Q&amp;V'!$C9:$C262)*1000000</f>
        <v>1512354548.6932702</v>
      </c>
      <c r="AU69" s="211"/>
      <c r="AV69" s="211">
        <f>SUMIF($C$11:AT$11, 0, $C69:AT69)</f>
        <v>18102369212.868374</v>
      </c>
    </row>
    <row r="70" spans="1:48" x14ac:dyDescent="0.25">
      <c r="A70" s="214"/>
      <c r="B70" s="206"/>
      <c r="C70" s="211"/>
      <c r="D70" s="211"/>
      <c r="E70" s="211"/>
      <c r="F70" s="211"/>
      <c r="G70" s="211"/>
      <c r="H70" s="211"/>
      <c r="I70" s="211"/>
      <c r="J70" s="211"/>
      <c r="K70" s="211"/>
      <c r="L70" s="211"/>
      <c r="M70" s="211"/>
      <c r="N70" s="211"/>
      <c r="O70" s="211"/>
      <c r="P70" s="211"/>
      <c r="Q70" s="211"/>
      <c r="R70" s="211"/>
      <c r="S70" s="211"/>
      <c r="T70" s="211"/>
      <c r="U70" s="211"/>
      <c r="V70" s="211"/>
      <c r="W70" s="211"/>
      <c r="X70" s="211"/>
      <c r="Y70" s="299"/>
      <c r="Z70" s="299"/>
      <c r="AA70" s="299"/>
      <c r="AB70" s="300"/>
      <c r="AC70" s="300"/>
      <c r="AD70" s="300"/>
      <c r="AE70" s="268"/>
      <c r="AF70" s="268"/>
      <c r="AG70" s="268"/>
      <c r="AH70" s="268"/>
      <c r="AI70" s="268"/>
      <c r="AJ70" s="268"/>
      <c r="AK70" s="286"/>
      <c r="AL70" s="286"/>
      <c r="AM70" s="283"/>
      <c r="AN70" s="283"/>
      <c r="AO70" s="283"/>
      <c r="AP70" s="283"/>
      <c r="AQ70" s="283"/>
      <c r="AR70" s="283"/>
      <c r="AS70" s="283"/>
      <c r="AT70" s="283"/>
      <c r="AU70" s="211"/>
      <c r="AV70" s="211"/>
    </row>
    <row r="71" spans="1:48" x14ac:dyDescent="0.25">
      <c r="A71" s="215" t="s">
        <v>231</v>
      </c>
      <c r="B71" s="216" t="s">
        <v>166</v>
      </c>
      <c r="C71" s="201">
        <f>SUMIF('Nickel - Q&amp;V'!$D9:$D251,'Q&amp;V CY 2004 to Now'!C9,'Nickel - Q&amp;V'!$B9:$B251)*1000</f>
        <v>174701</v>
      </c>
      <c r="D71" s="201">
        <f>SUMIF('Nickel - Q&amp;V'!$D9:$D251,'Q&amp;V CY 2004 to Now'!C9,'Nickel - Q&amp;V'!$C9:$C251)*1000000</f>
        <v>3270207822</v>
      </c>
      <c r="E71" s="201">
        <f>SUMIF('Nickel - Q&amp;V'!$D9:$D251,'Q&amp;V CY 2004 to Now'!E9,'Nickel - Q&amp;V'!$B9:$B251)*1000</f>
        <v>188362</v>
      </c>
      <c r="F71" s="201">
        <f>SUMIF('Nickel - Q&amp;V'!$D9:$D251,'Q&amp;V CY 2004 to Now'!E9,'Nickel - Q&amp;V'!$C9:$C251)*1000000</f>
        <v>3490738470</v>
      </c>
      <c r="G71" s="201">
        <f>SUMIF('Nickel - Q&amp;V'!$D9:$D251,'Q&amp;V CY 2004 to Now'!G9,'Nickel - Q&amp;V'!$B9:$B251)*1000</f>
        <v>175087</v>
      </c>
      <c r="H71" s="201">
        <f>SUMIF('Nickel - Q&amp;V'!$D9:$D251,'Q&amp;V CY 2004 to Now'!G9,'Nickel - Q&amp;V'!$C9:$C251)*1000000</f>
        <v>5844173432</v>
      </c>
      <c r="I71" s="201">
        <f>SUMIF('Nickel - Q&amp;V'!$D9:$D251,'Q&amp;V CY 2004 to Now'!I9,'Nickel - Q&amp;V'!$B9:$B251)*1000</f>
        <v>162492.00000000003</v>
      </c>
      <c r="J71" s="201">
        <f>SUMIF('Nickel - Q&amp;V'!$D9:$D251,'Q&amp;V CY 2004 to Now'!I9,'Nickel - Q&amp;V'!$C9:$C251)*1000000</f>
        <v>6901856392</v>
      </c>
      <c r="K71" s="201">
        <f>SUMIF('Nickel - Q&amp;V'!$D9:$D251,'Q&amp;V CY 2004 to Now'!K9,'Nickel - Q&amp;V'!$B9:$B251)*1000</f>
        <v>187791</v>
      </c>
      <c r="L71" s="201">
        <f>SUMIF('Nickel - Q&amp;V'!$D9:$D251,'Q&amp;V CY 2004 to Now'!K9,'Nickel - Q&amp;V'!$C9:$C251)*1000000</f>
        <v>4059155738</v>
      </c>
      <c r="M71" s="201">
        <f>SUMIF('Nickel - Q&amp;V'!$D9:$D251,'Q&amp;V CY 2004 to Now'!M9,'Nickel - Q&amp;V'!$B9:$B251)*1000</f>
        <v>171178</v>
      </c>
      <c r="N71" s="201">
        <f>SUMIF('Nickel - Q&amp;V'!$D9:$D251,'Q&amp;V CY 2004 to Now'!M9,'Nickel - Q&amp;V'!$C9:$C251)*1000000</f>
        <v>3352941845</v>
      </c>
      <c r="O71" s="201">
        <f>SUMIF('Nickel - Q&amp;V'!$D9:$D251,'Q&amp;V CY 2004 to Now'!O9,'Nickel - Q&amp;V'!$B9:$B251)*1000</f>
        <v>193259</v>
      </c>
      <c r="P71" s="201">
        <f>SUMIF('Nickel - Q&amp;V'!$D9:$D251,'Q&amp;V CY 2004 to Now'!O9,'Nickel - Q&amp;V'!$C9:$C251)*1000000</f>
        <v>4550334790</v>
      </c>
      <c r="Q71" s="201">
        <f>SUMIF('Nickel - Q&amp;V'!$D9:$D251,'Q&amp;V CY 2004 to Now'!Q9,'Nickel - Q&amp;V'!$B9:$B251)*1000</f>
        <v>185130</v>
      </c>
      <c r="R71" s="201">
        <f>SUMIF('Nickel - Q&amp;V'!$D9:$D251,'Q&amp;V CY 2004 to Now'!Q9,'Nickel - Q&amp;V'!$C9:$C251)*1000000</f>
        <v>3951580226</v>
      </c>
      <c r="S71" s="201">
        <f>SUMIF('Nickel - Q&amp;V'!$D9:$D251,'Q&amp;V CY 2004 to Now'!S9,'Nickel - Q&amp;V'!$B9:$B251)*1000</f>
        <v>230767.1003574091</v>
      </c>
      <c r="T71" s="201">
        <f>SUMIF('Nickel - Q&amp;V'!$D9:$D251,'Q&amp;V CY 2004 to Now'!S9,'Nickel - Q&amp;V'!$C9:$C251)*1000000</f>
        <v>3801194548.54</v>
      </c>
      <c r="U71" s="201">
        <f>SUMIF('Nickel - Q&amp;V'!$D9:$D251,'Q&amp;V CY 2004 to Now'!U9,'Nickel - Q&amp;V'!$B9:$B251)*1000</f>
        <v>270744.364</v>
      </c>
      <c r="V71" s="201">
        <f>SUMIF('Nickel - Q&amp;V'!$D9:$D251,'Q&amp;V CY 2004 to Now'!U9,'Nickel - Q&amp;V'!$C9:$C251)*1000000</f>
        <v>3380559516</v>
      </c>
      <c r="W71" s="201">
        <f>SUMIF('Nickel - Q&amp;V'!$D9:$D251,'Q&amp;V CY 2004 to Now'!W9,'Nickel - Q&amp;V'!$B9:$B251)*1000</f>
        <v>218563.11600000001</v>
      </c>
      <c r="X71" s="201">
        <f>SUMIF('Nickel - Q&amp;V'!$D9:$D251,'Q&amp;V CY 2004 to Now'!W9,'Nickel - Q&amp;V'!$C9:$C251)*1000000</f>
        <v>3582498108</v>
      </c>
      <c r="Y71" s="201">
        <f>SUMIF('Nickel - Q&amp;V'!$D9:$D251,'Q&amp;V CY 2004 to Now'!Y9,'Nickel - Q&amp;V'!$B9:$B251)*1000</f>
        <v>173974.19100000002</v>
      </c>
      <c r="Z71" s="201">
        <f>SUMIF('Nickel - Q&amp;V'!$D9:$D251,'Q&amp;V CY 2004 to Now'!Y9,'Nickel - Q&amp;V'!$C9:$C251)*1000000</f>
        <v>2557214478.9999995</v>
      </c>
      <c r="AA71" s="201">
        <f>SUMIF('Nickel - Q&amp;V'!$D9:$D251,'Q&amp;V CY 2004 to Now'!AA9,'Nickel - Q&amp;V'!$B9:$B251)*1000</f>
        <v>171604.30600000001</v>
      </c>
      <c r="AB71" s="278">
        <f>SUMIF('Nickel - Q&amp;V'!$D9:$D251,'Q&amp;V CY 2004 to Now'!AA9,'Nickel - Q&amp;V'!$C9:$C251)*1000000</f>
        <v>2209843313.0000005</v>
      </c>
      <c r="AC71" s="278">
        <f>SUMIF('Nickel - Q&amp;V'!$D9:$D251,'Q&amp;V CY 2004 to Now'!AC9,'Nickel - Q&amp;V'!$B9:$B251)*1000</f>
        <v>166420.21699999998</v>
      </c>
      <c r="AD71" s="278">
        <f>SUMIF('Nickel - Q&amp;V'!$D9:$D251,'Q&amp;V CY 2004 to Now'!AC9,'Nickel - Q&amp;V'!$C9:$C251)*1000000</f>
        <v>2275843857</v>
      </c>
      <c r="AE71" s="281">
        <f>SUMIF('Nickel - Q&amp;V'!$D9:$D251,'Q&amp;V CY 2004 to Now'!AE9,'Nickel - Q&amp;V'!$B9:$B251)*1000</f>
        <v>149295.46400000001</v>
      </c>
      <c r="AF71" s="281">
        <f>SUMIF('Nickel - Q&amp;V'!$D9:$D251,'Q&amp;V CY 2004 to Now'!AE9,'Nickel - Q&amp;V'!$C9:$C251)*1000000</f>
        <v>2609328205</v>
      </c>
      <c r="AG71" s="281">
        <f>SUMIF('Nickel - Q&amp;V'!$D9:$D251,'Q&amp;V CY 2004 to Now'!AG9,'Nickel - Q&amp;V'!$B9:$B251)*1000</f>
        <v>153624.17200000002</v>
      </c>
      <c r="AH71" s="281">
        <f>SUMIF('Nickel - Q&amp;V'!$D9:$D251,'Q&amp;V CY 2004 to Now'!AG9,'Nickel - Q&amp;V'!$C9:$C251)*1000000</f>
        <v>3082189428.9999995</v>
      </c>
      <c r="AI71" s="281">
        <f>SUMIF('Nickel - Q&amp;V'!$D9:$D251,'Q&amp;V CY 2004 to Now'!AI9,'Nickel - Q&amp;V'!$B9:$B251)*1000</f>
        <v>165123.10700000002</v>
      </c>
      <c r="AJ71" s="281">
        <f>SUMIF('Nickel - Q&amp;V'!$D9:$D251,'Q&amp;V CY 2004 to Now'!AI9,'Nickel - Q&amp;V'!$C9:$C251)*1000000</f>
        <v>3341235021</v>
      </c>
      <c r="AK71" s="281">
        <f>SUMIF('Nickel - Q&amp;V'!$D9:$D251,'Q&amp;V CY 2004 to Now'!AK9,'Nickel - Q&amp;V'!$B9:$B251)*1000</f>
        <v>150027.856</v>
      </c>
      <c r="AL71" s="281">
        <f>SUMIF('Nickel - Q&amp;V'!$D9:$D251,'Q&amp;V CY 2004 to Now'!AK9,'Nickel - Q&amp;V'!$C9:$C251)*1000000</f>
        <v>3807359222.6500001</v>
      </c>
      <c r="AM71" s="281">
        <f>SUMIF('Nickel - Q&amp;V'!$D9:$D251,'Q&amp;V CY 2004 to Now'!AM9,'Nickel - Q&amp;V'!$B9:$B251)*1000</f>
        <v>154272.391</v>
      </c>
      <c r="AN71" s="281">
        <f>SUMIF('Nickel - Q&amp;V'!$D9:$D251,'Q&amp;V CY 2004 to Now'!AM9,'Nickel - Q&amp;V'!$C9:$C251)*1000000</f>
        <v>5738118302</v>
      </c>
      <c r="AO71" s="281">
        <f>SUMIF('Nickel - Q&amp;V'!$D9:$D251,'Q&amp;V CY 2004 to Now'!AO9,'Nickel - Q&amp;V'!$B9:$B251)*1000</f>
        <v>148193.63199999998</v>
      </c>
      <c r="AP71" s="281">
        <f>SUMIF('Nickel - Q&amp;V'!$D9:$D251,'Q&amp;V CY 2004 to Now'!AO9,'Nickel - Q&amp;V'!$C9:$C251)*1000000</f>
        <v>4646753648.999999</v>
      </c>
      <c r="AQ71" s="281">
        <f>SUMIF('Nickel - Q&amp;V'!$D9:$D251,'Q&amp;V CY 2004 to Now'!AQ9,'Nickel - Q&amp;V'!$B9:$B251)*1000</f>
        <v>128365.91900000002</v>
      </c>
      <c r="AR71" s="281">
        <f>SUMIF('Nickel - Q&amp;V'!$D9:$D251,'Q&amp;V CY 2004 to Now'!AQ9,'Nickel - Q&amp;V'!$C9:$C251)*1000000</f>
        <v>3284081976.2207708</v>
      </c>
      <c r="AS71" s="281">
        <f>SUMIF('Nickel - Q&amp;V'!$D9:$D251,'Q&amp;V CY 2004 to Now'!AS9,'Nickel - Q&amp;V'!$B9:$B251)*1000</f>
        <v>53721.558000000005</v>
      </c>
      <c r="AT71" s="281">
        <f>SUMIF('Nickel - Q&amp;V'!$D9:$D251,'Q&amp;V CY 2004 to Now'!AS9,'Nickel - Q&amp;V'!$C9:$C251)*1000000</f>
        <v>1265536116</v>
      </c>
      <c r="AU71" s="201">
        <f>SUMIF($C$11:AT$11, 1, $C71:AT71)</f>
        <v>3772697.3933574096</v>
      </c>
      <c r="AV71" s="201">
        <f>SUMIF($C$11:AT$11, 0, $C71:AT71)</f>
        <v>81002744457.410767</v>
      </c>
    </row>
    <row r="72" spans="1:48" x14ac:dyDescent="0.25">
      <c r="A72" s="218"/>
      <c r="B72" s="29"/>
      <c r="C72" s="201"/>
      <c r="D72" s="201"/>
      <c r="E72" s="201"/>
      <c r="F72" s="201"/>
      <c r="G72" s="201"/>
      <c r="H72" s="201"/>
      <c r="I72" s="201"/>
      <c r="J72" s="201"/>
      <c r="K72" s="201"/>
      <c r="L72" s="201"/>
      <c r="M72" s="201"/>
      <c r="N72" s="201"/>
      <c r="O72" s="201"/>
      <c r="P72" s="201"/>
      <c r="Q72" s="201"/>
      <c r="R72" s="201"/>
      <c r="S72" s="201"/>
      <c r="T72" s="201"/>
      <c r="U72" s="201"/>
      <c r="V72" s="201"/>
      <c r="W72" s="201"/>
      <c r="X72" s="201"/>
      <c r="Y72" s="201"/>
      <c r="Z72" s="201"/>
      <c r="AA72" s="201"/>
      <c r="AB72" s="278"/>
      <c r="AC72" s="278"/>
      <c r="AD72" s="278"/>
      <c r="AE72" s="281"/>
      <c r="AF72" s="281"/>
      <c r="AG72" s="281"/>
      <c r="AH72" s="281"/>
      <c r="AI72" s="281"/>
      <c r="AJ72" s="281"/>
      <c r="AK72" s="281"/>
      <c r="AL72" s="281"/>
      <c r="AM72" s="281"/>
      <c r="AN72" s="281"/>
      <c r="AO72" s="281"/>
      <c r="AP72" s="281"/>
      <c r="AQ72" s="281"/>
      <c r="AR72" s="281"/>
      <c r="AS72" s="281"/>
      <c r="AT72" s="281"/>
      <c r="AU72" s="201"/>
      <c r="AV72" s="201"/>
    </row>
    <row r="73" spans="1:48" x14ac:dyDescent="0.25">
      <c r="A73" s="210" t="s">
        <v>232</v>
      </c>
      <c r="B73" s="43"/>
      <c r="C73" s="211"/>
      <c r="D73" s="211"/>
      <c r="E73" s="211"/>
      <c r="F73" s="211"/>
      <c r="G73" s="211"/>
      <c r="H73" s="211"/>
      <c r="I73" s="211"/>
      <c r="J73" s="211"/>
      <c r="K73" s="211"/>
      <c r="L73" s="211"/>
      <c r="M73" s="211"/>
      <c r="N73" s="211"/>
      <c r="O73" s="211"/>
      <c r="P73" s="211"/>
      <c r="Q73" s="211"/>
      <c r="R73" s="211"/>
      <c r="S73" s="211"/>
      <c r="T73" s="211"/>
      <c r="U73" s="211"/>
      <c r="V73" s="211"/>
      <c r="W73" s="211"/>
      <c r="X73" s="211"/>
      <c r="Y73" s="211"/>
      <c r="Z73" s="211"/>
      <c r="AA73" s="211"/>
      <c r="AB73" s="211"/>
      <c r="AC73" s="211"/>
      <c r="AD73" s="211"/>
      <c r="AE73" s="266"/>
      <c r="AF73" s="266"/>
      <c r="AG73" s="266"/>
      <c r="AH73" s="266"/>
      <c r="AI73" s="266"/>
      <c r="AJ73" s="266"/>
      <c r="AK73" s="266"/>
      <c r="AL73" s="266"/>
      <c r="AM73" s="266"/>
      <c r="AN73" s="266"/>
      <c r="AO73" s="266"/>
      <c r="AP73" s="266"/>
      <c r="AQ73" s="266"/>
      <c r="AR73" s="266"/>
      <c r="AS73" s="266"/>
      <c r="AT73" s="266"/>
      <c r="AU73" s="211"/>
      <c r="AV73" s="211"/>
    </row>
    <row r="74" spans="1:48" x14ac:dyDescent="0.25">
      <c r="A74" s="213" t="s">
        <v>193</v>
      </c>
      <c r="B74" s="206" t="s">
        <v>233</v>
      </c>
      <c r="C74" s="211">
        <f>SUMIF('Petroleum - Q&amp;V 1'!$H10:$H252,'Q&amp;V CY 2004 to Now'!C9,'Petroleum - Q&amp;V 1'!$D10:$D252)*1000000</f>
        <v>5483402</v>
      </c>
      <c r="D74" s="211">
        <f>SUMIF('Petroleum - Q&amp;V 1'!$H10:$H252,'Q&amp;V CY 2004 to Now'!C9,'Petroleum - Q&amp;V 1'!$E10:$E252)*1000000</f>
        <v>2022972111</v>
      </c>
      <c r="E74" s="211">
        <f>SUMIF('Petroleum - Q&amp;V 1'!$H10:$H252,'Q&amp;V CY 2004 to Now'!E9,'Petroleum - Q&amp;V 1'!$D10:$D252)*1000000</f>
        <v>5884500</v>
      </c>
      <c r="F74" s="211">
        <f>SUMIF('Petroleum - Q&amp;V 1'!$H10:$H252,'Q&amp;V CY 2004 to Now'!E9,'Petroleum - Q&amp;V 1'!$E10:$E252)*1000000</f>
        <v>2576899599</v>
      </c>
      <c r="G74" s="211">
        <f>SUMIF('Petroleum - Q&amp;V 1'!$H10:$H252,'Q&amp;V CY 2004 to Now'!G9,'Petroleum - Q&amp;V 1'!$D10:$D252)*1000000</f>
        <v>5609151</v>
      </c>
      <c r="H74" s="211">
        <f>SUMIF('Petroleum - Q&amp;V 1'!$H10:$H252,'Q&amp;V CY 2004 to Now'!G9,'Petroleum - Q&amp;V 1'!$E10:$E252)*1000000</f>
        <v>2940186079</v>
      </c>
      <c r="I74" s="211">
        <f>SUMIF('Petroleum - Q&amp;V 1'!$H10:$H252,'Q&amp;V CY 2004 to Now'!I9,'Petroleum - Q&amp;V 1'!$D10:$D252)*1000000</f>
        <v>5855654</v>
      </c>
      <c r="J74" s="211">
        <f>SUMIF('Petroleum - Q&amp;V 1'!$H10:$H252,'Q&amp;V CY 2004 to Now'!I9,'Petroleum - Q&amp;V 1'!$E10:$E252)*1000000</f>
        <v>3236755018</v>
      </c>
      <c r="K74" s="211">
        <f>SUMIF('Petroleum - Q&amp;V 1'!$H10:$H252,'Q&amp;V CY 2004 to Now'!K9,'Petroleum - Q&amp;V 1'!$D10:$D252)*1000000</f>
        <v>5725013.0000000009</v>
      </c>
      <c r="L74" s="211">
        <f>SUMIF('Petroleum - Q&amp;V 1'!$H10:$H252,'Q&amp;V CY 2004 to Now'!K9,'Petroleum - Q&amp;V 1'!$E10:$E252)*1000000</f>
        <v>3512416903.9999995</v>
      </c>
      <c r="M74" s="211">
        <f>SUMIF('Petroleum - Q&amp;V 1'!$H10:$H252,'Q&amp;V CY 2004 to Now'!M9,'Petroleum - Q&amp;V 1'!$D10:$D252)*1000000</f>
        <v>7492544</v>
      </c>
      <c r="N74" s="211">
        <f>SUMIF('Petroleum - Q&amp;V 1'!$H10:$H252,'Q&amp;V CY 2004 to Now'!M9,'Petroleum - Q&amp;V 1'!$E10:$E252)*1000000</f>
        <v>3121956738</v>
      </c>
      <c r="O74" s="211">
        <f>SUMIF('Petroleum - Q&amp;V 1'!$H10:$H252,'Q&amp;V CY 2004 to Now'!O9,'Petroleum - Q&amp;V 1'!$D10:$D252)*1000000</f>
        <v>7215589</v>
      </c>
      <c r="P74" s="211">
        <f>SUMIF('Petroleum - Q&amp;V 1'!$H10:$H252,'Q&amp;V CY 2004 to Now'!O9,'Petroleum - Q&amp;V 1'!$E10:$E252)*1000000</f>
        <v>3705433478</v>
      </c>
      <c r="Q74" s="211">
        <f>SUMIF('Petroleum - Q&amp;V 1'!$H10:$H252,'Q&amp;V CY 2004 to Now'!Q9,'Petroleum - Q&amp;V 1'!$D10:$D252)*1000000</f>
        <v>6282227</v>
      </c>
      <c r="R74" s="211">
        <f>SUMIF('Petroleum - Q&amp;V 1'!$H10:$H252,'Q&amp;V CY 2004 to Now'!Q9,'Petroleum - Q&amp;V 1'!$E10:$E252)*1000000</f>
        <v>4088397526</v>
      </c>
      <c r="S74" s="211">
        <f>SUMIF('Petroleum - Q&amp;V 1'!$H10:$H252,'Q&amp;V CY 2004 to Now'!S9,'Petroleum - Q&amp;V 1'!$D10:$D252)*1000000</f>
        <v>5999510</v>
      </c>
      <c r="T74" s="211">
        <f>SUMIF('Petroleum - Q&amp;V 1'!$H10:$H252,'Q&amp;V CY 2004 to Now'!S9,'Petroleum - Q&amp;V 1'!$E10:$E252)*1000000</f>
        <v>3862301114.9999995</v>
      </c>
      <c r="U74" s="211">
        <f>SUMIF('Petroleum - Q&amp;V 1'!$H10:$H252,'Q&amp;V CY 2004 to Now'!U9,'Petroleum - Q&amp;V 1'!$D10:$D252)*1000000</f>
        <v>5957271</v>
      </c>
      <c r="V74" s="211">
        <f>SUMIF('Petroleum - Q&amp;V 1'!$H10:$H252,'Q&amp;V CY 2004 to Now'!U9,'Petroleum - Q&amp;V 1'!$E10:$E252)*1000000</f>
        <v>4116922037.0000005</v>
      </c>
      <c r="W74" s="211">
        <f>SUMIF('Petroleum - Q&amp;V 1'!$H10:$H252,'Q&amp;V CY 2004 to Now'!W9,'Petroleum - Q&amp;V 1'!$D10:$D252)*1000000</f>
        <v>4916020.9720000001</v>
      </c>
      <c r="X74" s="211">
        <f>SUMIF('Petroleum - Q&amp;V 1'!$H10:$H252,'Q&amp;V CY 2004 to Now'!W9,'Petroleum - Q&amp;V 1'!$E10:$E252)*1000000</f>
        <v>3197191703.1127391</v>
      </c>
      <c r="Y74" s="211">
        <f>SUMIF('Petroleum - Q&amp;V 1'!$H10:$H252,'Q&amp;V CY 2004 to Now'!Y9,'Petroleum - Q&amp;V 1'!$D10:$D252)*1000000</f>
        <v>6630118.2649999997</v>
      </c>
      <c r="Z74" s="211">
        <f>SUMIF('Petroleum - Q&amp;V 1'!$H10:$H252,'Q&amp;V CY 2004 to Now'!Y9,'Petroleum - Q&amp;V 1'!$E10:$E252)*1000000</f>
        <v>2461749279.2567773</v>
      </c>
      <c r="AA74" s="211">
        <f>SUMIF('Petroleum - Q&amp;V 1'!$H10:$H252,'Q&amp;V CY 2004 to Now'!AA9,'Petroleum - Q&amp;V 1'!$D10:$D252)*1000000</f>
        <v>6456941.0225498695</v>
      </c>
      <c r="AB74" s="211">
        <f>SUMIF('Petroleum - Q&amp;V 1'!$H10:$H252,'Q&amp;V CY 2004 to Now'!AA9,'Petroleum - Q&amp;V 1'!$E10:$E252)*1000000</f>
        <v>2155876768.9303102</v>
      </c>
      <c r="AC74" s="211">
        <f>SUMIF('Petroleum - Q&amp;V 1'!$H10:$H252,'Q&amp;V CY 2004 to Now'!AC9,'Petroleum - Q&amp;V 1'!$D10:$D252)*1000000</f>
        <v>6265165.7466368768</v>
      </c>
      <c r="AD74" s="211">
        <f>SUMIF('Petroleum - Q&amp;V 1'!$H10:$H252,'Q&amp;V CY 2004 to Now'!AC9,'Petroleum - Q&amp;V 1'!$E10:$E252)*1000000</f>
        <v>2554525131.7507629</v>
      </c>
      <c r="AE74" s="266">
        <f>SUMIF('Petroleum - Q&amp;V 1'!$H10:$H252,'Q&amp;V CY 2004 to Now'!AE9,'Petroleum - Q&amp;V 1'!$D10:$D252)*1000000</f>
        <v>8781603.9429353364</v>
      </c>
      <c r="AF74" s="266">
        <f>SUMIF('Petroleum - Q&amp;V 1'!$H10:$H252,'Q&amp;V CY 2004 to Now'!AE9,'Petroleum - Q&amp;V 1'!$E10:$E252)*1000000</f>
        <v>4741992500.9907799</v>
      </c>
      <c r="AG74" s="266">
        <f>SUMIF('Petroleum - Q&amp;V 1'!$H10:$H252,'Q&amp;V CY 2004 to Now'!AG9,'Petroleum - Q&amp;V 1'!$D10:$D252)*1000000</f>
        <v>12027059.11904081</v>
      </c>
      <c r="AH74" s="266">
        <f>SUMIF('Petroleum - Q&amp;V 1'!$H10:$H252,'Q&amp;V CY 2004 to Now'!AG9,'Petroleum - Q&amp;V 1'!$E10:$E252)*1000000</f>
        <v>6479482658.304718</v>
      </c>
      <c r="AI74" s="266">
        <f>SUMIF('Petroleum - Q&amp;V 1'!$H10:$H252,'Q&amp;V CY 2004 to Now'!AI9,'Petroleum - Q&amp;V 1'!$D10:$D252)*1000000</f>
        <v>11374480.823490625</v>
      </c>
      <c r="AJ74" s="266">
        <f>SUMIF('Petroleum - Q&amp;V 1'!$H10:$H252,'Q&amp;V CY 2004 to Now'!AI9,'Petroleum - Q&amp;V 1'!$E10:$E252)*1000000</f>
        <v>3563371045.540297</v>
      </c>
      <c r="AK74" s="266">
        <f>SUMIF('Petroleum - Q&amp;V 1'!$H10:$H252,'Q&amp;V CY 2004 to Now'!AK9,'Petroleum - Q&amp;V 1'!$D10:$D252)*1000000</f>
        <v>12214624.609371793</v>
      </c>
      <c r="AL74" s="266">
        <f>SUMIF('Petroleum - Q&amp;V 1'!$H10:$H252,'Q&amp;V CY 2004 to Now'!AK9,'Petroleum - Q&amp;V 1'!$E10:$E252)*1000000</f>
        <v>6780194051.577817</v>
      </c>
      <c r="AM74" s="266">
        <f>SUMIF('Petroleum - Q&amp;V 1'!$H10:$H252,'Q&amp;V CY 2004 to Now'!AM9,'Petroleum - Q&amp;V 1'!$D10:$D252)*1000000</f>
        <v>11126993.708826948</v>
      </c>
      <c r="AN74" s="266">
        <f>SUMIF('Petroleum - Q&amp;V 1'!$H10:$H252,'Q&amp;V CY 2004 to Now'!AM9,'Petroleum - Q&amp;V 1'!$E10:$E252)*1000000</f>
        <v>9026347293.6840591</v>
      </c>
      <c r="AO74" s="266">
        <f>SUMIF('Petroleum - Q&amp;V 1'!$H10:$H252,'Q&amp;V CY 2004 to Now'!AO9,'Petroleum - Q&amp;V 1'!$D10:$D252)*1000000</f>
        <v>11545434.823832825</v>
      </c>
      <c r="AP74" s="266">
        <f>SUMIF('Petroleum - Q&amp;V 1'!$H10:$H252,'Q&amp;V CY 2004 to Now'!AO9,'Petroleum - Q&amp;V 1'!$E10:$E252)*1000000</f>
        <v>7993752035.0139208</v>
      </c>
      <c r="AQ74" s="266">
        <f>SUMIF('Petroleum - Q&amp;V 1'!$H10:$H252,'Q&amp;V CY 2004 to Now'!AQ9,'Petroleum - Q&amp;V 1'!$D10:$D252)*1000000</f>
        <v>11362141.197008643</v>
      </c>
      <c r="AR74" s="266">
        <f>SUMIF('Petroleum - Q&amp;V 1'!$H10:$H252,'Q&amp;V CY 2004 to Now'!AQ9,'Petroleum - Q&amp;V 1'!$E10:$E252)*1000000</f>
        <v>7929089544.1452799</v>
      </c>
      <c r="AS74" s="266">
        <f>SUMIF('Petroleum - Q&amp;V 1'!$H10:$H252,'Q&amp;V CY 2004 to Now'!AS9,'Petroleum - Q&amp;V 1'!$D10:$D252)*1000000</f>
        <v>10119576.422425227</v>
      </c>
      <c r="AT74" s="266">
        <f>SUMIF('Petroleum - Q&amp;V 1'!$H10:$H252,'Q&amp;V CY 2004 to Now'!AS9,'Petroleum - Q&amp;V 1'!$E10:$E252)*1000000</f>
        <v>6702904269.050231</v>
      </c>
      <c r="AU74" s="211">
        <f>SUMIF($C$11:AT$11, 1, $C74:AT74)</f>
        <v>174325021.65311897</v>
      </c>
      <c r="AV74" s="211">
        <f>SUMIF($C$11:AT$11, 0, $C74:AT74)</f>
        <v>96770716886.357681</v>
      </c>
    </row>
    <row r="75" spans="1:48" x14ac:dyDescent="0.25">
      <c r="A75" s="213" t="s">
        <v>196</v>
      </c>
      <c r="B75" s="206" t="s">
        <v>233</v>
      </c>
      <c r="C75" s="211">
        <f>SUMIF('Petroleum - Q&amp;V 1'!$H10:$H252,'Q&amp;V CY 2004 to Now'!C9,'Petroleum - Q&amp;V 1'!$B10:$B252)*1000000</f>
        <v>12218847</v>
      </c>
      <c r="D75" s="211">
        <f>SUMIF('Petroleum - Q&amp;V 1'!$H10:$H252,'Q&amp;V CY 2004 to Now'!C9,'Petroleum - Q&amp;V 1'!$C10:$C252)*1000000</f>
        <v>4209310075.0000005</v>
      </c>
      <c r="E75" s="211">
        <f>SUMIF('Petroleum - Q&amp;V 1'!$H10:$H252,'Q&amp;V CY 2004 to Now'!E9,'Petroleum - Q&amp;V 1'!$B10:$B252)*1000000</f>
        <v>13173896.999999998</v>
      </c>
      <c r="F75" s="211">
        <f>SUMIF('Petroleum - Q&amp;V 1'!$H10:$H252,'Q&amp;V CY 2004 to Now'!E9,'Petroleum - Q&amp;V 1'!$C10:$C252)*1000000</f>
        <v>6162270370</v>
      </c>
      <c r="G75" s="211">
        <f>SUMIF('Petroleum - Q&amp;V 1'!$H10:$H252,'Q&amp;V CY 2004 to Now'!G9,'Petroleum - Q&amp;V 1'!$B10:$B252)*1000000</f>
        <v>11953792</v>
      </c>
      <c r="H75" s="211">
        <f>SUMIF('Petroleum - Q&amp;V 1'!$H10:$H252,'Q&amp;V CY 2004 to Now'!G9,'Petroleum - Q&amp;V 1'!$C10:$C252)*1000000</f>
        <v>6602800654</v>
      </c>
      <c r="I75" s="211">
        <f>SUMIF('Petroleum - Q&amp;V 1'!$H10:$H252,'Q&amp;V CY 2004 to Now'!I9,'Petroleum - Q&amp;V 1'!$B10:$B252)*1000000</f>
        <v>13195792</v>
      </c>
      <c r="J75" s="211">
        <f>SUMIF('Petroleum - Q&amp;V 1'!$H10:$H252,'Q&amp;V CY 2004 to Now'!I9,'Petroleum - Q&amp;V 1'!$C10:$C252)*1000000</f>
        <v>7384292250</v>
      </c>
      <c r="K75" s="211">
        <f>SUMIF('Petroleum - Q&amp;V 1'!$H10:$H252,'Q&amp;V CY 2004 to Now'!K9,'Petroleum - Q&amp;V 1'!$B10:$B252)*1000000</f>
        <v>13324422</v>
      </c>
      <c r="L75" s="211">
        <f>SUMIF('Petroleum - Q&amp;V 1'!$H10:$H252,'Q&amp;V CY 2004 to Now'!K9,'Petroleum - Q&amp;V 1'!$C10:$C252)*1000000</f>
        <v>9737620320</v>
      </c>
      <c r="M75" s="211">
        <f>SUMIF('Petroleum - Q&amp;V 1'!$H10:$H252,'Q&amp;V CY 2004 to Now'!M9,'Petroleum - Q&amp;V 1'!$B10:$B252)*1000000</f>
        <v>11246917</v>
      </c>
      <c r="N75" s="211">
        <f>SUMIF('Petroleum - Q&amp;V 1'!$H10:$H252,'Q&amp;V CY 2004 to Now'!M9,'Petroleum - Q&amp;V 1'!$C10:$C252)*1000000</f>
        <v>5505448018.000001</v>
      </c>
      <c r="O75" s="211">
        <f>SUMIF('Petroleum - Q&amp;V 1'!$H10:$H252,'Q&amp;V CY 2004 to Now'!O9,'Petroleum - Q&amp;V 1'!$B10:$B252)*1000000</f>
        <v>14705000</v>
      </c>
      <c r="P75" s="211">
        <f>SUMIF('Petroleum - Q&amp;V 1'!$H10:$H252,'Q&amp;V CY 2004 to Now'!O9,'Petroleum - Q&amp;V 1'!$C10:$C252)*1000000</f>
        <v>8247309631</v>
      </c>
      <c r="Q75" s="211">
        <f>SUMIF('Petroleum - Q&amp;V 1'!$H10:$H252,'Q&amp;V CY 2004 to Now'!Q9,'Petroleum - Q&amp;V 1'!$B10:$B252)*1000000</f>
        <v>12053493</v>
      </c>
      <c r="R75" s="211">
        <f>SUMIF('Petroleum - Q&amp;V 1'!$H10:$H252,'Q&amp;V CY 2004 to Now'!Q9,'Petroleum - Q&amp;V 1'!$C10:$C252)*1000000</f>
        <v>8030943573.999999</v>
      </c>
      <c r="S75" s="211">
        <f>SUMIF('Petroleum - Q&amp;V 1'!$H10:$H252,'Q&amp;V CY 2004 to Now'!S9,'Petroleum - Q&amp;V 1'!$B10:$B252)*1000000</f>
        <v>9991681</v>
      </c>
      <c r="T75" s="211">
        <f>SUMIF('Petroleum - Q&amp;V 1'!$H10:$H252,'Q&amp;V CY 2004 to Now'!S9,'Petroleum - Q&amp;V 1'!$C10:$C252)*1000000</f>
        <v>7099593535.000001</v>
      </c>
      <c r="U75" s="211">
        <f>SUMIF('Petroleum - Q&amp;V 1'!$H10:$H252,'Q&amp;V CY 2004 to Now'!U9,'Petroleum - Q&amp;V 1'!$B10:$B252)*1000000</f>
        <v>6870977</v>
      </c>
      <c r="V75" s="211">
        <f>SUMIF('Petroleum - Q&amp;V 1'!$H10:$H252,'Q&amp;V CY 2004 to Now'!U9,'Petroleum - Q&amp;V 1'!$C10:$C252)*1000000</f>
        <v>5111092673</v>
      </c>
      <c r="W75" s="211">
        <f>SUMIF('Petroleum - Q&amp;V 1'!$H10:$H252,'Q&amp;V CY 2004 to Now'!W9,'Petroleum - Q&amp;V 1'!$B10:$B252)*1000000</f>
        <v>7608303.3370000003</v>
      </c>
      <c r="X75" s="211">
        <f>SUMIF('Petroleum - Q&amp;V 1'!$H10:$H252,'Q&amp;V CY 2004 to Now'!W9,'Petroleum - Q&amp;V 1'!$C10:$C252)*1000000</f>
        <v>5376682614.1111679</v>
      </c>
      <c r="Y75" s="211">
        <f>SUMIF('Petroleum - Q&amp;V 1'!$H10:$H252,'Q&amp;V CY 2004 to Now'!Y9,'Petroleum - Q&amp;V 1'!$B10:$B252)*1000000</f>
        <v>8343417.7189999996</v>
      </c>
      <c r="Z75" s="211">
        <f>SUMIF('Petroleum - Q&amp;V 1'!$H10:$H252,'Q&amp;V CY 2004 to Now'!Y9,'Petroleum - Q&amp;V 1'!$C10:$C252)*1000000</f>
        <v>3775532080.3098979</v>
      </c>
      <c r="AA75" s="211">
        <f>SUMIF('Petroleum - Q&amp;V 1'!$H10:$H252,'Q&amp;V CY 2004 to Now'!AA9,'Petroleum - Q&amp;V 1'!$B10:$B252)*1000000</f>
        <v>5813947.7664729292</v>
      </c>
      <c r="AB75" s="211">
        <f>SUMIF('Petroleum - Q&amp;V 1'!$H10:$H252,'Q&amp;V CY 2004 to Now'!AA9,'Petroleum - Q&amp;V 1'!$C10:$C252)*1000000</f>
        <v>2141190896.7671175</v>
      </c>
      <c r="AC75" s="211">
        <f>SUMIF('Petroleum - Q&amp;V 1'!$H10:$H252,'Q&amp;V CY 2004 to Now'!AC9,'Petroleum - Q&amp;V 1'!$B10:$B252)*1000000</f>
        <v>5280838.499799314</v>
      </c>
      <c r="AD75" s="211">
        <f>SUMIF('Petroleum - Q&amp;V 1'!$H10:$H252,'Q&amp;V CY 2004 to Now'!AC9,'Petroleum - Q&amp;V 1'!$C10:$C252)*1000000</f>
        <v>2195102753.5703077</v>
      </c>
      <c r="AE75" s="266">
        <f>SUMIF('Petroleum - Q&amp;V 1'!$H10:$H252,'Q&amp;V CY 2004 to Now'!AE9,'Petroleum - Q&amp;V 1'!$B10:$B252)*1000000</f>
        <v>3638135.9035488847</v>
      </c>
      <c r="AF75" s="266">
        <f>SUMIF('Petroleum - Q&amp;V 1'!$H10:$H252,'Q&amp;V CY 2004 to Now'!AE9,'Petroleum - Q&amp;V 1'!$C10:$C252)*1000000</f>
        <v>2054622997.4472644</v>
      </c>
      <c r="AG75" s="266">
        <f>SUMIF('Petroleum - Q&amp;V 1'!$H10:$H252,'Q&amp;V CY 2004 to Now'!AG9,'Petroleum - Q&amp;V 1'!$B10:$B252)*1000000</f>
        <v>4555365.6819894509</v>
      </c>
      <c r="AH75" s="266">
        <f>SUMIF('Petroleum - Q&amp;V 1'!$H10:$H252,'Q&amp;V CY 2004 to Now'!AG9,'Petroleum - Q&amp;V 1'!$C10:$C252)*1000000</f>
        <v>2644274035.9201083</v>
      </c>
      <c r="AI75" s="266">
        <f>SUMIF('Petroleum - Q&amp;V 1'!$H10:$H252,'Q&amp;V CY 2004 to Now'!AI9,'Petroleum - Q&amp;V 1'!$B10:$B252)*1000000</f>
        <v>4580985.2438512379</v>
      </c>
      <c r="AJ75" s="266">
        <f>SUMIF('Petroleum - Q&amp;V 1'!$H10:$H252,'Q&amp;V CY 2004 to Now'!AI9,'Petroleum - Q&amp;V 1'!$C10:$C252)*1000000</f>
        <v>1796112269.5246978</v>
      </c>
      <c r="AK75" s="266">
        <f>SUMIF('Petroleum - Q&amp;V 1'!$H10:$H252,'Q&amp;V CY 2004 to Now'!AK9,'Petroleum - Q&amp;V 1'!$B10:$B252)*1000000</f>
        <v>4517219.7820540648</v>
      </c>
      <c r="AL75" s="266">
        <f>SUMIF('Petroleum - Q&amp;V 1'!$H10:$H252,'Q&amp;V CY 2004 to Now'!AK9,'Petroleum - Q&amp;V 1'!$C10:$C252)*1000000</f>
        <v>2492936895.4415326</v>
      </c>
      <c r="AM75" s="266">
        <f>SUMIF('Petroleum - Q&amp;V 1'!$H10:$H252,'Q&amp;V CY 2004 to Now'!AM9,'Petroleum - Q&amp;V 1'!$B10:$B252)*1000000</f>
        <v>4454102.9093435574</v>
      </c>
      <c r="AN75" s="266">
        <f>SUMIF('Petroleum - Q&amp;V 1'!$H10:$H252,'Q&amp;V CY 2004 to Now'!AM9,'Petroleum - Q&amp;V 1'!$C10:$C252)*1000000</f>
        <v>4121693454.6451249</v>
      </c>
      <c r="AO75" s="266">
        <f>SUMIF('Petroleum - Q&amp;V 1'!$H10:$H252,'Q&amp;V CY 2004 to Now'!AO9,'Petroleum - Q&amp;V 1'!$B10:$B252)*1000000</f>
        <v>3167267.6180253676</v>
      </c>
      <c r="AP75" s="266">
        <f>SUMIF('Petroleum - Q&amp;V 1'!$H10:$H252,'Q&amp;V CY 2004 to Now'!AO9,'Petroleum - Q&amp;V 1'!$C10:$C252)*1000000</f>
        <v>2445448249.0605564</v>
      </c>
      <c r="AQ75" s="266">
        <f>SUMIF('Petroleum - Q&amp;V 1'!$H10:$H252,'Q&amp;V CY 2004 to Now'!AQ9,'Petroleum - Q&amp;V 1'!$B10:$B252)*1000000</f>
        <v>3055469.421722665</v>
      </c>
      <c r="AR75" s="266">
        <f>SUMIF('Petroleum - Q&amp;V 1'!$H10:$H252,'Q&amp;V CY 2004 to Now'!AQ9,'Petroleum - Q&amp;V 1'!$C10:$C252)*1000000</f>
        <v>2374132081.4876595</v>
      </c>
      <c r="AS75" s="266">
        <f>SUMIF('Petroleum - Q&amp;V 1'!$H10:$H252,'Q&amp;V CY 2004 to Now'!AS9,'Petroleum - Q&amp;V 1'!$B10:$B252)*1000000</f>
        <v>2583704.4245077367</v>
      </c>
      <c r="AT75" s="266">
        <f>SUMIF('Petroleum - Q&amp;V 1'!$H10:$H252,'Q&amp;V CY 2004 to Now'!AS9,'Petroleum - Q&amp;V 1'!$C10:$C252)*1000000</f>
        <v>1844623247.4012048</v>
      </c>
      <c r="AU75" s="211">
        <f>SUMIF($C$11:AT$11, 1, $C75:AT75)</f>
        <v>176333576.30731523</v>
      </c>
      <c r="AV75" s="211">
        <f>SUMIF($C$11:AT$11, 0, $C75:AT75)</f>
        <v>101353032675.68665</v>
      </c>
    </row>
    <row r="76" spans="1:48" x14ac:dyDescent="0.25">
      <c r="A76" s="213" t="s">
        <v>189</v>
      </c>
      <c r="B76" s="206" t="s">
        <v>166</v>
      </c>
      <c r="C76" s="211">
        <f>SUMIF('Petroleum - Q&amp;V 2'!$L10:$L252,'Q&amp;V CY 2004 to Now'!C9,'Petroleum - Q&amp;V 2'!$C10:$C252)</f>
        <v>9219308.2852303274</v>
      </c>
      <c r="D76" s="211">
        <f>SUMIF('Petroleum - Q&amp;V 2'!$L10:$L252,'Q&amp;V CY 2004 to Now'!C9,'Petroleum - Q&amp;V 2'!$E10:$E252)*1000000</f>
        <v>3150809630</v>
      </c>
      <c r="E76" s="211">
        <f>SUMIF('Petroleum - Q&amp;V 2'!$L10:$L252,'Q&amp;V CY 2004 to Now'!E9,'Petroleum - Q&amp;V 2'!$C10:$C252)</f>
        <v>11600612</v>
      </c>
      <c r="F76" s="211">
        <f>SUMIF('Petroleum - Q&amp;V 2'!$L10:$L252,'Q&amp;V CY 2004 to Now'!E9,'Petroleum - Q&amp;V 2'!$E10:$E252)*1000000</f>
        <v>4446336486.208416</v>
      </c>
      <c r="G76" s="211">
        <f>SUMIF('Petroleum - Q&amp;V 2'!$L10:$L252,'Q&amp;V CY 2004 to Now'!G9,'Petroleum - Q&amp;V 2'!$C10:$C252)</f>
        <v>11958780</v>
      </c>
      <c r="H76" s="211">
        <f>SUMIF('Petroleum - Q&amp;V 2'!$L10:$L252,'Q&amp;V CY 2004 to Now'!G9,'Petroleum - Q&amp;V 2'!$E10:$E252)*1000000</f>
        <v>4550762377.726985</v>
      </c>
      <c r="I76" s="211">
        <f>SUMIF('Petroleum - Q&amp;V 2'!$L10:$L252,'Q&amp;V CY 2004 to Now'!I9,'Petroleum - Q&amp;V 2'!$C10:$C252)</f>
        <v>12375731</v>
      </c>
      <c r="J76" s="211">
        <f>SUMIF('Petroleum - Q&amp;V 2'!$L10:$L252,'Q&amp;V CY 2004 to Now'!I9,'Petroleum - Q&amp;V 2'!$E10:$E252)*1000000</f>
        <v>4448575119.4258499</v>
      </c>
      <c r="K76" s="211">
        <f>SUMIF('Petroleum - Q&amp;V 2'!$L10:$L252,'Q&amp;V CY 2004 to Now'!K9,'Petroleum - Q&amp;V 2'!$C10:$C252)</f>
        <v>12381004</v>
      </c>
      <c r="L76" s="211">
        <f>SUMIF('Petroleum - Q&amp;V 2'!$L10:$L252,'Q&amp;V CY 2004 to Now'!K9,'Petroleum - Q&amp;V 2'!$E10:$E252)*1000000</f>
        <v>8157477515.6968403</v>
      </c>
      <c r="M76" s="211">
        <f>SUMIF('Petroleum - Q&amp;V 2'!$L10:$L252,'Q&amp;V CY 2004 to Now'!M9,'Petroleum - Q&amp;V 2'!$C10:$C252)</f>
        <v>15252516</v>
      </c>
      <c r="N76" s="211">
        <f>SUMIF('Petroleum - Q&amp;V 2'!$L10:$L252,'Q&amp;V CY 2004 to Now'!M9,'Petroleum - Q&amp;V 2'!$E10:$E252)*1000000</f>
        <v>6320744990.7749481</v>
      </c>
      <c r="O76" s="211">
        <f>SUMIF('Petroleum - Q&amp;V 2'!$L10:$L252,'Q&amp;V CY 2004 to Now'!O9,'Petroleum - Q&amp;V 2'!$C10:$C252)</f>
        <v>16527193</v>
      </c>
      <c r="P76" s="211">
        <f>SUMIF('Petroleum - Q&amp;V 2'!$L10:$L252,'Q&amp;V CY 2004 to Now'!O9,'Petroleum - Q&amp;V 2'!$E10:$E252)*1000000</f>
        <v>8754682473.68223</v>
      </c>
      <c r="Q76" s="211">
        <f>SUMIF('Petroleum - Q&amp;V 2'!$L10:$L252,'Q&amp;V CY 2004 to Now'!Q9,'Petroleum - Q&amp;V 2'!$C10:$C252)</f>
        <v>16554099.919233976</v>
      </c>
      <c r="R76" s="211">
        <f>SUMIF('Petroleum - Q&amp;V 2'!$L10:$L252,'Q&amp;V CY 2004 to Now'!Q9,'Petroleum - Q&amp;V 2'!$E10:$E252)*1000000</f>
        <v>8552071284</v>
      </c>
      <c r="S76" s="211">
        <f>SUMIF('Petroleum - Q&amp;V 2'!$L10:$L252,'Q&amp;V CY 2004 to Now'!S9,'Petroleum - Q&amp;V 2'!$C10:$C252)</f>
        <v>18260551</v>
      </c>
      <c r="T76" s="211">
        <f>SUMIF('Petroleum - Q&amp;V 2'!$L10:$L252,'Q&amp;V CY 2004 to Now'!S9,'Petroleum - Q&amp;V 2'!$E10:$E252)*1000000</f>
        <v>11271620675.400679</v>
      </c>
      <c r="U76" s="211">
        <f>SUMIF('Petroleum - Q&amp;V 2'!$L10:$L252,'Q&amp;V CY 2004 to Now'!U9,'Petroleum - Q&amp;V 2'!$C10:$C252)</f>
        <v>19220443</v>
      </c>
      <c r="V76" s="211">
        <f>SUMIF('Petroleum - Q&amp;V 2'!$L10:$L252,'Q&amp;V CY 2004 to Now'!U9,'Petroleum - Q&amp;V 2'!$E10:$E252)*1000000</f>
        <v>13287960818.379126</v>
      </c>
      <c r="W76" s="211">
        <f>SUMIF('Petroleum - Q&amp;V 2'!$L10:$L252,'Q&amp;V CY 2004 to Now'!W9,'Petroleum - Q&amp;V 2'!$C10:$C252)</f>
        <v>20852601</v>
      </c>
      <c r="X76" s="211">
        <f>SUMIF('Petroleum - Q&amp;V 2'!$L10:$L252,'Q&amp;V CY 2004 to Now'!W9,'Petroleum - Q&amp;V 2'!$E10:$E252)*1000000</f>
        <v>15487317250.651384</v>
      </c>
      <c r="Y76" s="211">
        <f>SUMIF('Petroleum - Q&amp;V 2'!$L10:$L252,'Q&amp;V CY 2004 to Now'!Y9,'Petroleum - Q&amp;V 2'!$C10:$C252)</f>
        <v>20385653</v>
      </c>
      <c r="Z76" s="211">
        <f>SUMIF('Petroleum - Q&amp;V 2'!$L10:$L252,'Q&amp;V CY 2004 to Now'!Y9,'Petroleum - Q&amp;V 2'!$E10:$E252)*1000000</f>
        <v>11554349752.904898</v>
      </c>
      <c r="AA76" s="211">
        <f>SUMIF('Petroleum - Q&amp;V 2'!$L10:$L252,'Q&amp;V CY 2004 to Now'!AA9,'Petroleum - Q&amp;V 2'!$C10:$C252)</f>
        <v>23774656.646750003</v>
      </c>
      <c r="AB76" s="211">
        <f>SUMIF('Petroleum - Q&amp;V 2'!$L10:$L252,'Q&amp;V CY 2004 to Now'!AA9,'Petroleum - Q&amp;V 2'!$E10:$E252)*1000000</f>
        <v>10620614121.943232</v>
      </c>
      <c r="AC76" s="211">
        <f>SUMIF('Petroleum - Q&amp;V 2'!$L10:$L252,'Q&amp;V CY 2004 to Now'!AC9,'Petroleum - Q&amp;V 2'!$C10:$C252)</f>
        <v>32729696.569625001</v>
      </c>
      <c r="AD76" s="211">
        <f>SUMIF('Petroleum - Q&amp;V 2'!$L10:$L252,'Q&amp;V CY 2004 to Now'!AC9,'Petroleum - Q&amp;V 2'!$E10:$E252)*1000000</f>
        <v>14989360185.607754</v>
      </c>
      <c r="AE76" s="266">
        <f>SUMIF('Petroleum - Q&amp;V 2'!$L10:$L252,'Q&amp;V CY 2004 to Now'!AE9,'Petroleum - Q&amp;V 2'!$C10:$C252)</f>
        <v>44542484.37063162</v>
      </c>
      <c r="AF76" s="266">
        <f>SUMIF('Petroleum - Q&amp;V 2'!$L10:$L252,'Q&amp;V CY 2004 to Now'!AE9,'Petroleum - Q&amp;V 2'!$E10:$E252)*1000000</f>
        <v>27586900679.211456</v>
      </c>
      <c r="AG76" s="266">
        <f>SUMIF('Petroleum - Q&amp;V 2'!$L10:$L252,'Q&amp;V CY 2004 to Now'!AG9,'Petroleum - Q&amp;V 2'!$C10:$C252)</f>
        <v>44584685.399831846</v>
      </c>
      <c r="AH76" s="266">
        <f>SUMIF('Petroleum - Q&amp;V 2'!$L10:$L252,'Q&amp;V CY 2004 to Now'!AG9,'Petroleum - Q&amp;V 2'!$E10:$E252)*1000000</f>
        <v>26746308803.143745</v>
      </c>
      <c r="AI76" s="266">
        <f>SUMIF('Petroleum - Q&amp;V 2'!$L10:$L252,'Q&amp;V CY 2004 to Now'!AI9,'Petroleum - Q&amp;V 2'!$C10:$C252)</f>
        <v>44064357.32577163</v>
      </c>
      <c r="AJ76" s="266">
        <f>SUMIF('Petroleum - Q&amp;V 2'!$L10:$L252,'Q&amp;V CY 2004 to Now'!AI9,'Petroleum - Q&amp;V 2'!$E10:$E252)*1000000</f>
        <v>19215293169.60799</v>
      </c>
      <c r="AK76" s="266">
        <f>SUMIF('Petroleum - Q&amp;V 2'!$L10:$L252,'Q&amp;V CY 2004 to Now'!AK9,'Petroleum - Q&amp;V 2'!$C10:$C252)</f>
        <v>45637085.72443305</v>
      </c>
      <c r="AL76" s="266">
        <f>SUMIF('Petroleum - Q&amp;V 2'!$L10:$L252,'Q&amp;V CY 2004 to Now'!AK9,'Petroleum - Q&amp;V 2'!$E10:$E252)*1000000</f>
        <v>27072614240.758579</v>
      </c>
      <c r="AM76" s="266">
        <f>SUMIF('Petroleum - Q&amp;V 2'!$L10:$L252,'Q&amp;V CY 2004 to Now'!AM9,'Petroleum - Q&amp;V 2'!$C10:$C252)</f>
        <v>48608467.014604136</v>
      </c>
      <c r="AN76" s="266">
        <f>SUMIF('Petroleum - Q&amp;V 2'!$L10:$L252,'Q&amp;V CY 2004 to Now'!AM9,'Petroleum - Q&amp;V 2'!$E10:$E252)*1000000</f>
        <v>54477946827.522362</v>
      </c>
      <c r="AO76" s="266">
        <f>SUMIF('Petroleum - Q&amp;V 2'!$L10:$L252,'Q&amp;V CY 2004 to Now'!AO9,'Petroleum - Q&amp;V 2'!$C10:$C252)</f>
        <v>48028219.391891696</v>
      </c>
      <c r="AP76" s="266">
        <f>SUMIF('Petroleum - Q&amp;V 2'!$L10:$L252,'Q&amp;V CY 2004 to Now'!AO9,'Petroleum - Q&amp;V 2'!$E10:$E252)*1000000</f>
        <v>42354627972.561768</v>
      </c>
      <c r="AQ76" s="266">
        <f>SUMIF('Petroleum - Q&amp;V 2'!$L10:$L252,'Q&amp;V CY 2004 to Now'!AQ9,'Petroleum - Q&amp;V 2'!$C10:$C252)</f>
        <v>48070692.233975351</v>
      </c>
      <c r="AR76" s="266">
        <f>SUMIF('Petroleum - Q&amp;V 2'!$L10:$L252,'Q&amp;V CY 2004 to Now'!AQ9,'Petroleum - Q&amp;V 2'!$E10:$E252)*1000000</f>
        <v>35685555839.451973</v>
      </c>
      <c r="AS76" s="266">
        <f>SUMIF('Petroleum - Q&amp;V 2'!$L10:$L252,'Q&amp;V CY 2004 to Now'!AS9,'Petroleum - Q&amp;V 2'!$C10:$C252)</f>
        <v>44315746.819089174</v>
      </c>
      <c r="AT76" s="266">
        <f>SUMIF('Petroleum - Q&amp;V 2'!$L10:$L252,'Q&amp;V CY 2004 to Now'!AS9,'Petroleum - Q&amp;V 2'!$E10:$E252)*1000000</f>
        <v>31851512460.181778</v>
      </c>
      <c r="AU76" s="211">
        <f>SUMIF($C$11:AT$11, 1, $C76:AT76)</f>
        <v>608944583.70106792</v>
      </c>
      <c r="AV76" s="211">
        <f>SUMIF($C$11:AT$11, 0, $C76:AT76)</f>
        <v>390583442674.84198</v>
      </c>
    </row>
    <row r="77" spans="1:48" x14ac:dyDescent="0.25">
      <c r="A77" s="213" t="s">
        <v>234</v>
      </c>
      <c r="B77" s="206" t="s">
        <v>166</v>
      </c>
      <c r="C77" s="211">
        <f>SUMIF('Petroleum - Q&amp;V 2'!$L10:$L252,'Q&amp;V CY 2004 to Now'!C9,'Petroleum - Q&amp;V 2'!$F10:$F252)</f>
        <v>721688</v>
      </c>
      <c r="D77" s="211">
        <f>SUMIF('Petroleum - Q&amp;V 2'!$L10:$L252,'Q&amp;V CY 2004 to Now'!C9,'Petroleum - Q&amp;V 2'!$H10:$H252)*1000000</f>
        <v>340417957</v>
      </c>
      <c r="E77" s="211">
        <f>SUMIF('Petroleum - Q&amp;V 2'!$L10:$L252,'Q&amp;V CY 2004 to Now'!E9,'Petroleum - Q&amp;V 2'!$F10:$F252)</f>
        <v>870730</v>
      </c>
      <c r="F77" s="211">
        <f>SUMIF('Petroleum - Q&amp;V 2'!$L10:$L252,'Q&amp;V CY 2004 to Now'!E9,'Petroleum - Q&amp;V 2'!$H10:$H252)*1000000</f>
        <v>544222021.35632873</v>
      </c>
      <c r="G77" s="211">
        <f>SUMIF('Petroleum - Q&amp;V 2'!$L10:$L252,'Q&amp;V CY 2004 to Now'!G9,'Petroleum - Q&amp;V 2'!$F10:$F252)</f>
        <v>862231</v>
      </c>
      <c r="H77" s="211">
        <f>SUMIF('Petroleum - Q&amp;V 2'!$L10:$L252,'Q&amp;V CY 2004 to Now'!G9,'Petroleum - Q&amp;V 2'!$H10:$H252)*1000000</f>
        <v>613830073.30998862</v>
      </c>
      <c r="I77" s="211">
        <f>SUMIF('Petroleum - Q&amp;V 2'!$L10:$L252,'Q&amp;V CY 2004 to Now'!I9,'Petroleum - Q&amp;V 2'!$F10:$F252)</f>
        <v>893914</v>
      </c>
      <c r="J77" s="211">
        <f>SUMIF('Petroleum - Q&amp;V 2'!$L10:$L252,'Q&amp;V CY 2004 to Now'!I9,'Petroleum - Q&amp;V 2'!$H10:$H252)*1000000</f>
        <v>686636886.81833994</v>
      </c>
      <c r="K77" s="211">
        <f>SUMIF('Petroleum - Q&amp;V 2'!$L10:$L252,'Q&amp;V CY 2004 to Now'!K9,'Petroleum - Q&amp;V 2'!$F10:$F252)</f>
        <v>764668</v>
      </c>
      <c r="L77" s="211">
        <f>SUMIF('Petroleum - Q&amp;V 2'!$L10:$L252,'Q&amp;V CY 2004 to Now'!K9,'Petroleum - Q&amp;V 2'!$H10:$H252)*1000000</f>
        <v>754340749.19629419</v>
      </c>
      <c r="M77" s="211">
        <f>SUMIF('Petroleum - Q&amp;V 2'!$L10:$L252,'Q&amp;V CY 2004 to Now'!M9,'Petroleum - Q&amp;V 2'!$F10:$F252)</f>
        <v>950524</v>
      </c>
      <c r="N77" s="211">
        <f>SUMIF('Petroleum - Q&amp;V 2'!$L10:$L252,'Q&amp;V CY 2004 to Now'!M9,'Petroleum - Q&amp;V 2'!$H10:$H252)*1000000</f>
        <v>612776966.1391654</v>
      </c>
      <c r="O77" s="211">
        <f>SUMIF('Petroleum - Q&amp;V 2'!$L10:$L252,'Q&amp;V CY 2004 to Now'!O9,'Petroleum - Q&amp;V 2'!$F10:$F252)</f>
        <v>988724</v>
      </c>
      <c r="P77" s="211">
        <f>SUMIF('Petroleum - Q&amp;V 2'!$L10:$L252,'Q&amp;V CY 2004 to Now'!O9,'Petroleum - Q&amp;V 2'!$H10:$H252)*1000000</f>
        <v>763328435.01571763</v>
      </c>
      <c r="Q77" s="211">
        <f>SUMIF('Petroleum - Q&amp;V 2'!$L10:$L252,'Q&amp;V CY 2004 to Now'!Q9,'Petroleum - Q&amp;V 2'!$F10:$F252)</f>
        <v>861480</v>
      </c>
      <c r="R77" s="211">
        <f>SUMIF('Petroleum - Q&amp;V 2'!$L10:$L252,'Q&amp;V CY 2004 to Now'!Q9,'Petroleum - Q&amp;V 2'!$H10:$H252)*1000000</f>
        <v>745879959.94549286</v>
      </c>
      <c r="S77" s="211">
        <f>SUMIF('Petroleum - Q&amp;V 2'!$L10:$L252,'Q&amp;V CY 2004 to Now'!S9,'Petroleum - Q&amp;V 2'!$F10:$F252)</f>
        <v>809878</v>
      </c>
      <c r="T77" s="211">
        <f>SUMIF('Petroleum - Q&amp;V 2'!$L10:$L252,'Q&amp;V CY 2004 to Now'!S9,'Petroleum - Q&amp;V 2'!$H10:$H252)*1000000</f>
        <v>729155763.19075692</v>
      </c>
      <c r="U77" s="211">
        <f>SUMIF('Petroleum - Q&amp;V 2'!$L10:$L252,'Q&amp;V CY 2004 to Now'!U9,'Petroleum - Q&amp;V 2'!$F10:$F252)</f>
        <v>685934</v>
      </c>
      <c r="V77" s="211">
        <f>SUMIF('Petroleum - Q&amp;V 2'!$L10:$L252,'Q&amp;V CY 2004 to Now'!U9,'Petroleum - Q&amp;V 2'!$H10:$H252)*1000000</f>
        <v>600135301.29233539</v>
      </c>
      <c r="W77" s="211">
        <f>SUMIF('Petroleum - Q&amp;V 2'!$L10:$L252,'Q&amp;V CY 2004 to Now'!W9,'Petroleum - Q&amp;V 2'!$F10:$F252)</f>
        <v>357609</v>
      </c>
      <c r="X77" s="211">
        <f>SUMIF('Petroleum - Q&amp;V 2'!$L10:$L252,'Q&amp;V CY 2004 to Now'!W9,'Petroleum - Q&amp;V 2'!$H10:$H252)*1000000</f>
        <v>309007022.95666265</v>
      </c>
      <c r="Y77" s="211">
        <f>SUMIF('Petroleum - Q&amp;V 2'!$L10:$L252,'Q&amp;V CY 2004 to Now'!Y9,'Petroleum - Q&amp;V 2'!$F10:$F252)</f>
        <v>501903</v>
      </c>
      <c r="Z77" s="211">
        <f>SUMIF('Petroleum - Q&amp;V 2'!$L10:$L252,'Q&amp;V CY 2004 to Now'!Y9,'Petroleum - Q&amp;V 2'!$H10:$H252)*1000000</f>
        <v>254108296.40322834</v>
      </c>
      <c r="AA77" s="211">
        <f>SUMIF('Petroleum - Q&amp;V 2'!$L10:$L252,'Q&amp;V CY 2004 to Now'!AA9,'Petroleum - Q&amp;V 2'!$F10:$F252)</f>
        <v>575755</v>
      </c>
      <c r="AB77" s="211">
        <f>SUMIF('Petroleum - Q&amp;V 2'!$L10:$L252,'Q&amp;V CY 2004 to Now'!AA9,'Petroleum - Q&amp;V 2'!$H10:$H252)*1000000</f>
        <v>288140716.02423233</v>
      </c>
      <c r="AC77" s="211">
        <f>SUMIF('Petroleum - Q&amp;V 2'!$L10:$L252,'Q&amp;V CY 2004 to Now'!AC9,'Petroleum - Q&amp;V 2'!$F10:$F252)</f>
        <v>456275</v>
      </c>
      <c r="AD77" s="211">
        <f>SUMIF('Petroleum - Q&amp;V 2'!$L10:$L252,'Q&amp;V CY 2004 to Now'!AC9,'Petroleum - Q&amp;V 2'!$H10:$H252)*1000000</f>
        <v>288498125.77110589</v>
      </c>
      <c r="AE77" s="266">
        <f>SUMIF('Petroleum - Q&amp;V 2'!$L10:$L252,'Q&amp;V CY 2004 to Now'!AE9,'Petroleum - Q&amp;V 2'!$F10:$F252)</f>
        <v>463110</v>
      </c>
      <c r="AF77" s="266">
        <f>SUMIF('Petroleum - Q&amp;V 2'!$L10:$L252,'Q&amp;V CY 2004 to Now'!AE9,'Petroleum - Q&amp;V 2'!$H10:$H252)*1000000</f>
        <v>348824394.21846777</v>
      </c>
      <c r="AG77" s="266">
        <f>SUMIF('Petroleum - Q&amp;V 2'!$L10:$L252,'Q&amp;V CY 2004 to Now'!AG9,'Petroleum - Q&amp;V 2'!$F10:$F252)</f>
        <v>519453.81927710841</v>
      </c>
      <c r="AH77" s="266">
        <f>SUMIF('Petroleum - Q&amp;V 2'!$L10:$L252,'Q&amp;V CY 2004 to Now'!AG9,'Petroleum - Q&amp;V 2'!$H10:$H252)*1000000</f>
        <v>378731783.36639559</v>
      </c>
      <c r="AI77" s="266">
        <f>SUMIF('Petroleum - Q&amp;V 2'!$L10:$L252,'Q&amp;V CY 2004 to Now'!AI9,'Petroleum - Q&amp;V 2'!$F10:$F252)</f>
        <v>453184.40963855421</v>
      </c>
      <c r="AJ77" s="266">
        <f>SUMIF('Petroleum - Q&amp;V 2'!$L10:$L252,'Q&amp;V CY 2004 to Now'!AI9,'Petroleum - Q&amp;V 2'!$H10:$H252)*1000000</f>
        <v>247231234.20624256</v>
      </c>
      <c r="AK77" s="266">
        <f>SUMIF('Petroleum - Q&amp;V 2'!$L10:$L252,'Q&amp;V CY 2004 to Now'!AK9,'Petroleum - Q&amp;V 2'!$F10:$F252)</f>
        <v>645819.04819277104</v>
      </c>
      <c r="AL77" s="266">
        <f>SUMIF('Petroleum - Q&amp;V 2'!$L10:$L252,'Q&amp;V CY 2004 to Now'!AK9,'Petroleum - Q&amp;V 2'!$H10:$H252)*1000000</f>
        <v>536715602.28877079</v>
      </c>
      <c r="AM77" s="266">
        <f>SUMIF('Petroleum - Q&amp;V 2'!$L10:$L252,'Q&amp;V CY 2004 to Now'!AM9,'Petroleum - Q&amp;V 2'!$F10:$F252)</f>
        <v>706846.15355983807</v>
      </c>
      <c r="AN77" s="266">
        <f>SUMIF('Petroleum - Q&amp;V 2'!$L10:$L252,'Q&amp;V CY 2004 to Now'!AM9,'Petroleum - Q&amp;V 2'!$H10:$H252)*1000000</f>
        <v>761434629.05630314</v>
      </c>
      <c r="AO77" s="266">
        <f>SUMIF('Petroleum - Q&amp;V 2'!$L10:$L252,'Q&amp;V CY 2004 to Now'!AO9,'Petroleum - Q&amp;V 2'!$F10:$F252)</f>
        <v>676967.71410848713</v>
      </c>
      <c r="AP77" s="266">
        <f>SUMIF('Petroleum - Q&amp;V 2'!$L10:$L252,'Q&amp;V CY 2004 to Now'!AO9,'Petroleum - Q&amp;V 2'!$H10:$H252)*1000000</f>
        <v>595056271.31774986</v>
      </c>
      <c r="AQ77" s="266">
        <f>SUMIF('Petroleum - Q&amp;V 2'!$L10:$L252,'Q&amp;V CY 2004 to Now'!AQ9,'Petroleum - Q&amp;V 2'!$F10:$F252)</f>
        <v>805929.4531982796</v>
      </c>
      <c r="AR77" s="266">
        <f>SUMIF('Petroleum - Q&amp;V 2'!$L10:$L252,'Q&amp;V CY 2004 to Now'!AQ9,'Petroleum - Q&amp;V 2'!$H10:$H252)*1000000</f>
        <v>696888880.87185764</v>
      </c>
      <c r="AS77" s="266">
        <f>SUMIF('Petroleum - Q&amp;V 2'!$L10:$L252,'Q&amp;V CY 2004 to Now'!AS9,'Petroleum - Q&amp;V 2'!$F10:$F252)</f>
        <v>673658.94505559967</v>
      </c>
      <c r="AT77" s="266">
        <f>SUMIF('Petroleum - Q&amp;V 2'!$L10:$L252,'Q&amp;V CY 2004 to Now'!AS9,'Petroleum - Q&amp;V 2'!$H10:$H252)*1000000</f>
        <v>381935966.90897316</v>
      </c>
      <c r="AU77" s="211">
        <f>SUMIF($C$11:AT$11, 1, $C77:AT77)</f>
        <v>15246282.543030638</v>
      </c>
      <c r="AV77" s="211">
        <f>SUMIF($C$11:AT$11, 0, $C77:AT77)</f>
        <v>11477297036.654411</v>
      </c>
    </row>
    <row r="78" spans="1:48" x14ac:dyDescent="0.25">
      <c r="A78" s="213" t="s">
        <v>170</v>
      </c>
      <c r="B78" s="240" t="s">
        <v>235</v>
      </c>
      <c r="C78" s="211">
        <f>SUMIF('Petroleum - Q&amp;V 2'!$L10:$L252,'Q&amp;V CY 2004 to Now'!C9,'Petroleum - Q&amp;V 2'!$I10:$I252)</f>
        <v>7713691</v>
      </c>
      <c r="D78" s="211">
        <f>SUMIF('Petroleum - Q&amp;V 2'!$L10:$L252,'Q&amp;V CY 2004 to Now'!C9,'Petroleum - Q&amp;V 2'!$K10:$K252)*1000000</f>
        <v>655458232</v>
      </c>
      <c r="E78" s="211">
        <f>SUMIF('Petroleum - Q&amp;V 2'!$L10:$L252,'Q&amp;V CY 2004 to Now'!E9,'Petroleum - Q&amp;V 2'!$I10:$I252)</f>
        <v>7406249</v>
      </c>
      <c r="F78" s="211">
        <f>SUMIF('Petroleum - Q&amp;V 2'!$L10:$L252,'Q&amp;V CY 2004 to Now'!E9,'Petroleum - Q&amp;V 2'!$K10:$K252)*1000000</f>
        <v>661610646</v>
      </c>
      <c r="G78" s="211">
        <f>SUMIF('Petroleum - Q&amp;V 2'!$L10:$L252,'Q&amp;V CY 2004 to Now'!G9,'Petroleum - Q&amp;V 2'!$I10:$I252)</f>
        <v>8364468</v>
      </c>
      <c r="H78" s="211">
        <f>SUMIF('Petroleum - Q&amp;V 2'!$L10:$L252,'Q&amp;V CY 2004 to Now'!G9,'Petroleum - Q&amp;V 2'!$K10:$K252)*1000000</f>
        <v>816673663.99999988</v>
      </c>
      <c r="I78" s="211">
        <f>SUMIF('Petroleum - Q&amp;V 2'!$L10:$L252,'Q&amp;V CY 2004 to Now'!I9,'Petroleum - Q&amp;V 2'!$I10:$I252)</f>
        <v>9174076</v>
      </c>
      <c r="J78" s="211">
        <f>SUMIF('Petroleum - Q&amp;V 2'!$L10:$L252,'Q&amp;V CY 2004 to Now'!I9,'Petroleum - Q&amp;V 2'!$K10:$K252)*1000000</f>
        <v>1002465839</v>
      </c>
      <c r="K78" s="211">
        <f>SUMIF('Petroleum - Q&amp;V 2'!$L10:$L252,'Q&amp;V CY 2004 to Now'!K9,'Petroleum - Q&amp;V 2'!$I10:$I252)</f>
        <v>8502567</v>
      </c>
      <c r="L78" s="211">
        <f>SUMIF('Petroleum - Q&amp;V 2'!$L10:$L252,'Q&amp;V CY 2004 to Now'!K9,'Petroleum - Q&amp;V 2'!$K10:$K252)*1000000</f>
        <v>1191442427</v>
      </c>
      <c r="M78" s="211">
        <f>SUMIF('Petroleum - Q&amp;V 2'!$L10:$L252,'Q&amp;V CY 2004 to Now'!M9,'Petroleum - Q&amp;V 2'!$I10:$I252)</f>
        <v>9312415</v>
      </c>
      <c r="N78" s="211">
        <f>SUMIF('Petroleum - Q&amp;V 2'!$L10:$L252,'Q&amp;V CY 2004 to Now'!M9,'Petroleum - Q&amp;V 2'!$K10:$K252)*1000000</f>
        <v>1156235342</v>
      </c>
      <c r="O78" s="211">
        <f>SUMIF('Petroleum - Q&amp;V 2'!$L10:$L252,'Q&amp;V CY 2004 to Now'!O9,'Petroleum - Q&amp;V 2'!$I10:$I252)</f>
        <v>9226158</v>
      </c>
      <c r="P78" s="211">
        <f>SUMIF('Petroleum - Q&amp;V 2'!$L10:$L252,'Q&amp;V CY 2004 to Now'!O9,'Petroleum - Q&amp;V 2'!$K10:$K252)*1000000</f>
        <v>1391169679</v>
      </c>
      <c r="Q78" s="211">
        <f>SUMIF('Petroleum - Q&amp;V 2'!$L10:$L252,'Q&amp;V CY 2004 to Now'!Q9,'Petroleum - Q&amp;V 2'!$I10:$I252)</f>
        <v>8869413</v>
      </c>
      <c r="R78" s="211">
        <f>SUMIF('Petroleum - Q&amp;V 2'!$L10:$L252,'Q&amp;V CY 2004 to Now'!Q9,'Petroleum - Q&amp;V 2'!$K10:$K252)*1000000</f>
        <v>1421126106</v>
      </c>
      <c r="S78" s="211">
        <f>SUMIF('Petroleum - Q&amp;V 2'!$L10:$L252,'Q&amp;V CY 2004 to Now'!S9,'Petroleum - Q&amp;V 2'!$I10:$I252)</f>
        <v>9009209</v>
      </c>
      <c r="T78" s="211">
        <f>SUMIF('Petroleum - Q&amp;V 2'!$L10:$L252,'Q&amp;V CY 2004 to Now'!S9,'Petroleum - Q&amp;V 2'!$K10:$K252)*1000000</f>
        <v>1470541897</v>
      </c>
      <c r="U78" s="211">
        <f>SUMIF('Petroleum - Q&amp;V 2'!$L10:$L252,'Q&amp;V CY 2004 to Now'!U9,'Petroleum - Q&amp;V 2'!$I10:$I252)</f>
        <v>9297667</v>
      </c>
      <c r="V78" s="211">
        <f>SUMIF('Petroleum - Q&amp;V 2'!$L10:$L252,'Q&amp;V CY 2004 to Now'!U9,'Petroleum - Q&amp;V 2'!$K10:$K252)*1000000</f>
        <v>1559456330</v>
      </c>
      <c r="W78" s="211">
        <f>SUMIF('Petroleum - Q&amp;V 2'!$L10:$L252,'Q&amp;V CY 2004 to Now'!W9,'Petroleum - Q&amp;V 2'!$I10:$I252)</f>
        <v>9590165.3870000001</v>
      </c>
      <c r="X78" s="211">
        <f>SUMIF('Petroleum - Q&amp;V 2'!$L10:$L252,'Q&amp;V CY 2004 to Now'!W9,'Petroleum - Q&amp;V 2'!$K10:$K252)*1000000</f>
        <v>1779284902.2361887</v>
      </c>
      <c r="Y78" s="211">
        <f>SUMIF('Petroleum - Q&amp;V 2'!$L10:$L252,'Q&amp;V CY 2004 to Now'!Y9,'Petroleum - Q&amp;V 2'!$I10:$I252)</f>
        <v>10016682.171999998</v>
      </c>
      <c r="Z78" s="211">
        <f>SUMIF('Petroleum - Q&amp;V 2'!$L10:$L252,'Q&amp;V CY 2004 to Now'!Y9,'Petroleum - Q&amp;V 2'!$K10:$K252)*1000000</f>
        <v>1861523430.198</v>
      </c>
      <c r="AA78" s="211">
        <f>SUMIF('Petroleum - Q&amp;V 2'!$L10:$L252,'Q&amp;V CY 2004 to Now'!AA9,'Petroleum - Q&amp;V 2'!$I10:$I252)</f>
        <v>10044024.695659999</v>
      </c>
      <c r="AB78" s="211">
        <f>SUMIF('Petroleum - Q&amp;V 2'!$L10:$L252,'Q&amp;V CY 2004 to Now'!AA9,'Petroleum - Q&amp;V 2'!$K10:$K252)*1000000</f>
        <v>1901537817.5870001</v>
      </c>
      <c r="AC78" s="211">
        <f>SUMIF('Petroleum - Q&amp;V 2'!$L10:$L252,'Q&amp;V CY 2004 to Now'!AC9,'Petroleum - Q&amp;V 2'!$I10:$I252)</f>
        <v>10148197.224273</v>
      </c>
      <c r="AD78" s="211">
        <f>SUMIF('Petroleum - Q&amp;V 2'!$L10:$L252,'Q&amp;V CY 2004 to Now'!AC9,'Petroleum - Q&amp;V 2'!$K10:$K252)*1000000</f>
        <v>1796356678.8560002</v>
      </c>
      <c r="AE78" s="266">
        <f>SUMIF('Petroleum - Q&amp;V 2'!$L10:$L252,'Q&amp;V CY 2004 to Now'!AE9,'Petroleum - Q&amp;V 2'!$I10:$I252)</f>
        <v>10222884.855462998</v>
      </c>
      <c r="AF78" s="266">
        <f>SUMIF('Petroleum - Q&amp;V 2'!$L10:$L252,'Q&amp;V CY 2004 to Now'!AE9,'Petroleum - Q&amp;V 2'!$K10:$K252)*1000000</f>
        <v>1543112167.0929</v>
      </c>
      <c r="AG78" s="266">
        <f>SUMIF('Petroleum - Q&amp;V 2'!$L10:$L252,'Q&amp;V CY 2004 to Now'!AG9,'Petroleum - Q&amp;V 2'!$I10:$I252)</f>
        <v>11125072.782876607</v>
      </c>
      <c r="AH78" s="266">
        <f>SUMIF('Petroleum - Q&amp;V 2'!$L10:$L252,'Q&amp;V CY 2004 to Now'!AG9,'Petroleum - Q&amp;V 2'!$K10:$K252)*1000000</f>
        <v>1461314564.1118491</v>
      </c>
      <c r="AI78" s="266">
        <f>SUMIF('Petroleum - Q&amp;V 2'!$L10:$L252,'Q&amp;V CY 2004 to Now'!AI9,'Petroleum - Q&amp;V 2'!$I10:$I252)</f>
        <v>10992855.743000001</v>
      </c>
      <c r="AJ78" s="266">
        <f>SUMIF('Petroleum - Q&amp;V 2'!$L10:$L252,'Q&amp;V CY 2004 to Now'!AI9,'Petroleum - Q&amp;V 2'!$K10:$K252)*1000000</f>
        <v>1756924356.5955067</v>
      </c>
      <c r="AK78" s="266">
        <f>SUMIF('Petroleum - Q&amp;V 2'!$L10:$L252,'Q&amp;V CY 2004 to Now'!AK9,'Petroleum - Q&amp;V 2'!$I10:$I252)</f>
        <v>10168814.849000001</v>
      </c>
      <c r="AL78" s="266">
        <f>SUMIF('Petroleum - Q&amp;V 2'!$L10:$L252,'Q&amp;V CY 2004 to Now'!AK9,'Petroleum - Q&amp;V 2'!$K10:$K252)*1000000</f>
        <v>1965910897.9559655</v>
      </c>
      <c r="AM78" s="266">
        <f>SUMIF('Petroleum - Q&amp;V 2'!$L10:$L252,'Q&amp;V CY 2004 to Now'!AM9,'Petroleum - Q&amp;V 2'!$I10:$I252)</f>
        <v>10639056.20482</v>
      </c>
      <c r="AN78" s="266">
        <f>SUMIF('Petroleum - Q&amp;V 2'!$L10:$L252,'Q&amp;V CY 2004 to Now'!AM9,'Petroleum - Q&amp;V 2'!$K10:$K252)*1000000</f>
        <v>2152730125.3252096</v>
      </c>
      <c r="AO78" s="266">
        <f>SUMIF('Petroleum - Q&amp;V 2'!$L10:$L252,'Q&amp;V CY 2004 to Now'!AO9,'Petroleum - Q&amp;V 2'!$I10:$I252)</f>
        <v>10537517.245035</v>
      </c>
      <c r="AP78" s="266">
        <f>SUMIF('Petroleum - Q&amp;V 2'!$L10:$L252,'Q&amp;V CY 2004 to Now'!AO9,'Petroleum - Q&amp;V 2'!$K10:$K252)*1000000</f>
        <v>2718952644.9922185</v>
      </c>
      <c r="AQ78" s="266">
        <f>SUMIF('Petroleum - Q&amp;V 2'!$L10:$L252,'Q&amp;V CY 2004 to Now'!AQ9,'Petroleum - Q&amp;V 2'!$I10:$I252)</f>
        <v>11724959.96228</v>
      </c>
      <c r="AR78" s="266">
        <f>SUMIF('Petroleum - Q&amp;V 2'!$L10:$L252,'Q&amp;V CY 2004 to Now'!AQ9,'Petroleum - Q&amp;V 2'!$K10:$K252)*1000000</f>
        <v>3171357994.5775127</v>
      </c>
      <c r="AS78" s="266">
        <f>SUMIF('Petroleum - Q&amp;V 2'!$L10:$L252,'Q&amp;V CY 2004 to Now'!AS9,'Petroleum - Q&amp;V 2'!$I10:$I252)</f>
        <v>11567007.172079999</v>
      </c>
      <c r="AT78" s="266">
        <f>SUMIF('Petroleum - Q&amp;V 2'!$L10:$L252,'Q&amp;V CY 2004 to Now'!AS9,'Petroleum - Q&amp;V 2'!$K10:$K252)*1000000</f>
        <v>3279049874.192759</v>
      </c>
      <c r="AU78" s="211">
        <f>SUMIF($C$11:AT$11, 1, $C78:AT78)</f>
        <v>213653151.29348761</v>
      </c>
      <c r="AV78" s="211">
        <f>SUMIF($C$11:AT$11, 0, $C78:AT78)</f>
        <v>36714235615.721107</v>
      </c>
    </row>
    <row r="79" spans="1:48" x14ac:dyDescent="0.25">
      <c r="A79" s="214" t="s">
        <v>236</v>
      </c>
      <c r="B79" s="43"/>
      <c r="C79" s="211"/>
      <c r="D79" s="211">
        <f>SUM(D74:D78)</f>
        <v>10378968005</v>
      </c>
      <c r="E79" s="211"/>
      <c r="F79" s="211">
        <f>SUM(F74:F78)</f>
        <v>14391339122.564745</v>
      </c>
      <c r="G79" s="211"/>
      <c r="H79" s="211">
        <f>SUM(H74:H78)</f>
        <v>15524252848.036974</v>
      </c>
      <c r="I79" s="211"/>
      <c r="J79" s="211">
        <f>SUM(J74:J78)</f>
        <v>16758725113.24419</v>
      </c>
      <c r="K79" s="211"/>
      <c r="L79" s="211">
        <f>SUM(L74:L78)</f>
        <v>23353297915.893131</v>
      </c>
      <c r="M79" s="211"/>
      <c r="N79" s="211">
        <f>SUM(N74:N78)</f>
        <v>16717162054.914114</v>
      </c>
      <c r="O79" s="211"/>
      <c r="P79" s="211">
        <f>SUM(P74:P78)</f>
        <v>22861923696.697945</v>
      </c>
      <c r="Q79" s="211"/>
      <c r="R79" s="211">
        <f>SUM(R74:R78)</f>
        <v>22838418449.945492</v>
      </c>
      <c r="S79" s="211"/>
      <c r="T79" s="211">
        <f>SUM(T74:T78)</f>
        <v>24433212985.591438</v>
      </c>
      <c r="U79" s="211"/>
      <c r="V79" s="211">
        <f>SUM(V74:V78)</f>
        <v>24675567159.671463</v>
      </c>
      <c r="W79" s="211"/>
      <c r="X79" s="211">
        <f>SUM(X74:X78)</f>
        <v>26149483493.068138</v>
      </c>
      <c r="Y79" s="211"/>
      <c r="Z79" s="211">
        <f>SUM(Z74:Z78)</f>
        <v>19907262839.0728</v>
      </c>
      <c r="AA79" s="211"/>
      <c r="AB79" s="211">
        <f>SUM(AB74:AB78)</f>
        <v>17107360321.251892</v>
      </c>
      <c r="AC79" s="211"/>
      <c r="AD79" s="211">
        <f>SUM(AD74:AD78)</f>
        <v>21823842875.555931</v>
      </c>
      <c r="AE79" s="266"/>
      <c r="AF79" s="266">
        <f>SUM(AF74:AF78)</f>
        <v>36275452738.960869</v>
      </c>
      <c r="AG79" s="266"/>
      <c r="AH79" s="266">
        <f>SUM(AH74:AH78)</f>
        <v>37710111844.846817</v>
      </c>
      <c r="AI79" s="23"/>
      <c r="AJ79" s="301">
        <f>SUM(AJ74:AJ78)</f>
        <v>26578932075.474731</v>
      </c>
      <c r="AK79" s="266"/>
      <c r="AL79" s="266">
        <f>SUM(AL74:AL78)</f>
        <v>38848371688.022667</v>
      </c>
      <c r="AM79" s="266"/>
      <c r="AN79" s="266">
        <f>SUM(AN74:AN78)</f>
        <v>70540152330.233063</v>
      </c>
      <c r="AO79" s="266"/>
      <c r="AP79" s="266">
        <f>SUM(AP74:AP78)</f>
        <v>56107837172.946213</v>
      </c>
      <c r="AQ79" s="266"/>
      <c r="AR79" s="266">
        <f>SUM(AR74:AR78)</f>
        <v>49857024340.534286</v>
      </c>
      <c r="AS79" s="266"/>
      <c r="AT79" s="266">
        <f>SUM(AT74:AT78)</f>
        <v>44060025817.734947</v>
      </c>
      <c r="AU79" s="211"/>
      <c r="AV79" s="211">
        <f>SUMIF($C$11:AT$11, 0, $C79:AT79)</f>
        <v>636898724889.26172</v>
      </c>
    </row>
    <row r="80" spans="1:48" x14ac:dyDescent="0.25">
      <c r="A80" s="302"/>
      <c r="B80" s="206"/>
      <c r="C80" s="211"/>
      <c r="D80" s="211"/>
      <c r="E80" s="211"/>
      <c r="F80" s="211"/>
      <c r="G80" s="211"/>
      <c r="H80" s="211"/>
      <c r="I80" s="211"/>
      <c r="J80" s="211"/>
      <c r="K80" s="211"/>
      <c r="L80" s="211"/>
      <c r="M80" s="211"/>
      <c r="N80" s="211"/>
      <c r="O80" s="211"/>
      <c r="P80" s="211"/>
      <c r="Q80" s="211"/>
      <c r="R80" s="211"/>
      <c r="S80" s="211"/>
      <c r="T80" s="211"/>
      <c r="U80" s="211"/>
      <c r="V80" s="211"/>
      <c r="W80" s="211"/>
      <c r="X80" s="211"/>
      <c r="Y80" s="211"/>
      <c r="Z80" s="211"/>
      <c r="AA80" s="211"/>
      <c r="AB80" s="211"/>
      <c r="AC80" s="211"/>
      <c r="AD80" s="211"/>
      <c r="AE80" s="266"/>
      <c r="AF80" s="266"/>
      <c r="AG80" s="266"/>
      <c r="AH80" s="266"/>
      <c r="AI80" s="266"/>
      <c r="AJ80" s="266"/>
      <c r="AK80" s="266"/>
      <c r="AL80" s="266"/>
      <c r="AM80" s="266"/>
      <c r="AN80" s="266"/>
      <c r="AO80" s="266"/>
      <c r="AP80" s="266"/>
      <c r="AQ80" s="266"/>
      <c r="AR80" s="266"/>
      <c r="AS80" s="266"/>
      <c r="AT80" s="266"/>
      <c r="AU80" s="211"/>
      <c r="AV80" s="211"/>
    </row>
    <row r="81" spans="1:48" x14ac:dyDescent="0.25">
      <c r="A81" s="215" t="s">
        <v>237</v>
      </c>
      <c r="B81" s="216" t="s">
        <v>214</v>
      </c>
      <c r="C81" s="201">
        <f>SUMIFS('Other Minerals - Q&amp;V'!$L$11:$L$743, 'Other Minerals - Q&amp;V'!$A$11:$A$743, "&gt;=" &amp; DATE(C$9, 1, 1), 'Other Minerals - Q&amp;V'!$A$11:$A$743, "&lt;" &amp; DATE(C$9+1, 1, 1))</f>
        <v>1042.01</v>
      </c>
      <c r="D81" s="201">
        <f>SUMIFS('Other Minerals - Q&amp;V'!$M$11:$M$743, 'Other Minerals - Q&amp;V'!$A$11:$A$743, "&gt;=" &amp; DATE(C$9, 1, 1), 'Other Minerals - Q&amp;V'!$A$11:$A$743, "&lt;" &amp; DATE(C$9+1, 1, 1))*10^6</f>
        <v>10567779.999999998</v>
      </c>
      <c r="E81" s="201">
        <f>SUMIFS('Other Minerals - Q&amp;V'!$L$11:$L$743, 'Other Minerals - Q&amp;V'!$A$11:$A$743, "&gt;=" &amp; DATE(E$9, 1, 1), 'Other Minerals - Q&amp;V'!$A$11:$A$743, "&lt;" &amp; DATE(E$9+1, 1, 1))</f>
        <v>661.21</v>
      </c>
      <c r="F81" s="201">
        <f>SUMIFS('Other Minerals - Q&amp;V'!$M$11:$M$743, 'Other Minerals - Q&amp;V'!$A$11:$A$743, "&gt;=" &amp; DATE(E$9, 1, 1), 'Other Minerals - Q&amp;V'!$A$11:$A$743, "&lt;" &amp; DATE(E$9+1, 1, 1))*10^6</f>
        <v>6020111</v>
      </c>
      <c r="G81" s="201">
        <f>SUMIFS('Other Minerals - Q&amp;V'!$L$11:$L$743, 'Other Minerals - Q&amp;V'!$A$11:$A$743, "&gt;=" &amp; DATE(G$9, 1, 1), 'Other Minerals - Q&amp;V'!$A$11:$A$743, "&lt;" &amp; DATE(G$9+1, 1, 1))</f>
        <v>959.08</v>
      </c>
      <c r="H81" s="201">
        <f>SUMIFS('Other Minerals - Q&amp;V'!$M$11:$M$743, 'Other Minerals - Q&amp;V'!$A$11:$A$743, "&gt;=" &amp; DATE(G$9, 1, 1), 'Other Minerals - Q&amp;V'!$A$11:$A$743, "&lt;" &amp; DATE(G$9+1, 1, 1))*10^6</f>
        <v>12505294</v>
      </c>
      <c r="I81" s="201">
        <f>SUMIFS('Other Minerals - Q&amp;V'!$L$11:$L$743, 'Other Minerals - Q&amp;V'!$A$11:$A$743, "&gt;=" &amp; DATE(I$9, 1, 1), 'Other Minerals - Q&amp;V'!$A$11:$A$743, "&lt;" &amp; DATE(I$9+1, 1, 1))</f>
        <v>741.7</v>
      </c>
      <c r="J81" s="201">
        <f>SUMIFS('Other Minerals - Q&amp;V'!$M$11:$M$743, 'Other Minerals - Q&amp;V'!$A$11:$A$743, "&gt;=" &amp; DATE(I$9, 1, 1), 'Other Minerals - Q&amp;V'!$A$11:$A$743, "&lt;" &amp; DATE(I$9+1, 1, 1))*10^6</f>
        <v>10162872</v>
      </c>
      <c r="K81" s="201">
        <f>SUMIFS('Other Minerals - Q&amp;V'!$L$11:$L$743, 'Other Minerals - Q&amp;V'!$A$11:$A$743, "&gt;=" &amp; DATE(K$9, 1, 1), 'Other Minerals - Q&amp;V'!$A$11:$A$743, "&lt;" &amp; DATE(K$9+1, 1, 1))</f>
        <v>709.75</v>
      </c>
      <c r="L81" s="201">
        <f>SUMIFS('Other Minerals - Q&amp;V'!$M$11:$M$743, 'Other Minerals - Q&amp;V'!$A$11:$A$743, "&gt;=" &amp; DATE(K$9, 1, 1), 'Other Minerals - Q&amp;V'!$A$11:$A$743, "&lt;" &amp; DATE(K$9+1, 1, 1))*10^6</f>
        <v>8753701</v>
      </c>
      <c r="M81" s="201">
        <f>SUMIFS('Other Minerals - Q&amp;V'!$L$11:$L$743, 'Other Minerals - Q&amp;V'!$A$11:$A$743, "&gt;=" &amp; DATE(M$9, 1, 1), 'Other Minerals - Q&amp;V'!$A$11:$A$743, "&lt;" &amp; DATE(M$9+1, 1, 1))</f>
        <v>1034.05</v>
      </c>
      <c r="N81" s="201">
        <f>SUMIFS('Other Minerals - Q&amp;V'!$M$11:$M$743, 'Other Minerals - Q&amp;V'!$A$11:$A$743, "&gt;=" &amp; DATE(M$9, 1, 1), 'Other Minerals - Q&amp;V'!$A$11:$A$743, "&lt;" &amp; DATE(M$9+1, 1, 1))*10^6</f>
        <v>10001145</v>
      </c>
      <c r="O81" s="201">
        <f>SUMIFS('Other Minerals - Q&amp;V'!$L$11:$L$743, 'Other Minerals - Q&amp;V'!$A$11:$A$743, "&gt;=" &amp; DATE(O$9, 1, 1), 'Other Minerals - Q&amp;V'!$A$11:$A$743, "&lt;" &amp; DATE(O$9+1, 1, 1))</f>
        <v>781.03</v>
      </c>
      <c r="P81" s="201">
        <f>SUMIFS('Other Minerals - Q&amp;V'!$M$11:$M$743, 'Other Minerals - Q&amp;V'!$A$11:$A$743, "&gt;=" &amp; DATE(O$9, 1, 1), 'Other Minerals - Q&amp;V'!$A$11:$A$743, "&lt;" &amp; DATE(O$9+1, 1, 1))*10^6</f>
        <v>8225481</v>
      </c>
      <c r="Q81" s="201">
        <f>SUMIFS('Other Minerals - Q&amp;V'!$L$11:$L$743, 'Other Minerals - Q&amp;V'!$A$11:$A$743, "&gt;=" &amp; DATE(Q$9, 1, 1), 'Other Minerals - Q&amp;V'!$A$11:$A$743, "&lt;" &amp; DATE(Q$9+1, 1, 1))</f>
        <v>438.60690499999998</v>
      </c>
      <c r="R81" s="201">
        <f>SUMIFS('Other Minerals - Q&amp;V'!$M$11:$M$743, 'Other Minerals - Q&amp;V'!$A$11:$A$743, "&gt;=" &amp; DATE(Q$9, 1, 1), 'Other Minerals - Q&amp;V'!$A$11:$A$743, "&lt;" &amp; DATE(Q$9+1, 1, 1))*10^6</f>
        <v>10606194</v>
      </c>
      <c r="S81" s="201">
        <f>SUMIFS('Other Minerals - Q&amp;V'!$L$11:$L$743, 'Other Minerals - Q&amp;V'!$A$11:$A$743, "&gt;=" &amp; DATE(S$9, 1, 1), 'Other Minerals - Q&amp;V'!$A$11:$A$743, "&lt;" &amp; DATE(S$9+1, 1, 1))</f>
        <v>706.33281504000001</v>
      </c>
      <c r="T81" s="201">
        <f>SUMIFS('Other Minerals - Q&amp;V'!$M$11:$M$743, 'Other Minerals - Q&amp;V'!$A$11:$A$743, "&gt;=" &amp; DATE(S$9, 1, 1), 'Other Minerals - Q&amp;V'!$A$11:$A$743, "&lt;" &amp; DATE(S$9+1, 1, 1))*10^6</f>
        <v>15679998.159999998</v>
      </c>
      <c r="U81" s="201">
        <f>SUMIFS('Other Minerals - Q&amp;V'!$L$11:$L$743, 'Other Minerals - Q&amp;V'!$A$11:$A$743, "&gt;=" &amp; DATE(U$9, 1, 1), 'Other Minerals - Q&amp;V'!$A$11:$A$743, "&lt;" &amp; DATE(U$9+1, 1, 1))</f>
        <v>786.17116856203211</v>
      </c>
      <c r="V81" s="201">
        <f>SUMIFS('Other Minerals - Q&amp;V'!$M$11:$M$743, 'Other Minerals - Q&amp;V'!$A$11:$A$743, "&gt;=" &amp; DATE(U$9, 1, 1), 'Other Minerals - Q&amp;V'!$A$11:$A$743, "&lt;" &amp; DATE(U$9+1, 1, 1))*10^6</f>
        <v>12661192.999999998</v>
      </c>
      <c r="W81" s="201">
        <f>SUMIFS('Other Minerals - Q&amp;V'!$L$11:$L$743, 'Other Minerals - Q&amp;V'!$A$11:$A$743, "&gt;=" &amp; DATE(W$9, 1, 1), 'Other Minerals - Q&amp;V'!$A$11:$A$743, "&lt;" &amp; DATE(W$9+1, 1, 1))</f>
        <v>765.50353029796793</v>
      </c>
      <c r="X81" s="201">
        <f>SUMIFS('Other Minerals - Q&amp;V'!$M$11:$M$743, 'Other Minerals - Q&amp;V'!$A$11:$A$743, "&gt;=" &amp; DATE(W$9, 1, 1), 'Other Minerals - Q&amp;V'!$A$11:$A$743, "&lt;" &amp; DATE(W$9+1, 1, 1))*10^6</f>
        <v>12210918</v>
      </c>
      <c r="Y81" s="201">
        <f>SUMIFS('Other Minerals - Q&amp;V'!$L$11:$L$743, 'Other Minerals - Q&amp;V'!$A$11:$A$743, "&gt;=" &amp; DATE(Y$9, 1, 1), 'Other Minerals - Q&amp;V'!$A$11:$A$743, "&lt;" &amp; DATE(Y$9+1, 1, 1))</f>
        <v>533.19446139168008</v>
      </c>
      <c r="Z81" s="201">
        <f>SUMIFS('Other Minerals - Q&amp;V'!$M$11:$M$743, 'Other Minerals - Q&amp;V'!$A$11:$A$743, "&gt;=" &amp; DATE(Y$9, 1, 1), 'Other Minerals - Q&amp;V'!$A$11:$A$743, "&lt;" &amp; DATE(Y$9+1, 1, 1))*10^6</f>
        <v>14706059.999999998</v>
      </c>
      <c r="AA81" s="201">
        <f>SUMIFS('Other Minerals - Q&amp;V'!$L$11:$L$743, 'Other Minerals - Q&amp;V'!$A$11:$A$743, "&gt;=" &amp; DATE(AA$9, 1, 1), 'Other Minerals - Q&amp;V'!$A$11:$A$743, "&lt;" &amp; DATE(AA$9+1, 1, 1))</f>
        <v>762.21156941693278</v>
      </c>
      <c r="AB81" s="278">
        <f>SUMIFS('Other Minerals - Q&amp;V'!$M$11:$M$743, 'Other Minerals - Q&amp;V'!$A$11:$A$743, "&gt;=" &amp; DATE(AA$9, 1, 1), 'Other Minerals - Q&amp;V'!$A$11:$A$743, "&lt;" &amp; DATE(AA$9+1, 1, 1))*10^6</f>
        <v>18245303</v>
      </c>
      <c r="AC81" s="278">
        <f>SUMIFS('Other Minerals - Q&amp;V'!$L$11:$L$743, 'Other Minerals - Q&amp;V'!$A$11:$A$743, "&gt;=" &amp; DATE(AC$9, 1, 1), 'Other Minerals - Q&amp;V'!$A$11:$A$743, "&lt;" &amp; DATE(AC$9+1, 1, 1))</f>
        <v>765.14979045632174</v>
      </c>
      <c r="AD81" s="278">
        <f>SUMIFS('Other Minerals - Q&amp;V'!$M$11:$M$743, 'Other Minerals - Q&amp;V'!$A$11:$A$743, "&gt;=" &amp; DATE(AC$9, 1, 1), 'Other Minerals - Q&amp;V'!$A$11:$A$743, "&lt;" &amp; DATE(AC$9+1, 1, 1))*10^6</f>
        <v>25510372</v>
      </c>
      <c r="AE81" s="281">
        <f>SUMIFS('Other Minerals - Q&amp;V'!$L$11:$L$743, 'Other Minerals - Q&amp;V'!$A$11:$A$743, "&gt;=" &amp; DATE(AE$9, 1, 1), 'Other Minerals - Q&amp;V'!$A$11:$A$743, "&lt;" &amp; DATE(AE$9+1, 1, 1))</f>
        <v>540.76299481533124</v>
      </c>
      <c r="AF81" s="281">
        <f>SUMIFS('Other Minerals - Q&amp;V'!$M$11:$M$743, 'Other Minerals - Q&amp;V'!$A$11:$A$743, "&gt;=" &amp; DATE(AE$9, 1, 1), 'Other Minerals - Q&amp;V'!$A$11:$A$743, "&lt;" &amp; DATE(AE$9+1, 1, 1))*10^6</f>
        <v>23825429</v>
      </c>
      <c r="AG81" s="281">
        <f>SUMIFS('Other Minerals - Q&amp;V'!$L$11:$L$743, 'Other Minerals - Q&amp;V'!$A$11:$A$743, "&gt;=" &amp; DATE(AG$9, 1, 1), 'Other Minerals - Q&amp;V'!$A$11:$A$743, "&lt;" &amp; DATE(AG$9+1, 1, 1))</f>
        <v>483.22548177340798</v>
      </c>
      <c r="AH81" s="281">
        <f>SUMIFS('Other Minerals - Q&amp;V'!$M$11:$M$743, 'Other Minerals - Q&amp;V'!$A$11:$A$743, "&gt;=" &amp; DATE(AG$9, 1, 1), 'Other Minerals - Q&amp;V'!$A$11:$A$743, "&lt;" &amp; DATE(AG$9+1, 1, 1))*10^6</f>
        <v>32606871</v>
      </c>
      <c r="AI81" s="281">
        <f>SUMIFS('Other Minerals - Q&amp;V'!$L$11:$L$743, 'Other Minerals - Q&amp;V'!$A$11:$A$743, "&gt;=" &amp; DATE(AI$9, 1, 1), 'Other Minerals - Q&amp;V'!$A$11:$A$743, "&lt;" &amp; DATE(AI$9+1, 1, 1))</f>
        <v>521.65133908166399</v>
      </c>
      <c r="AJ81" s="281">
        <f>SUMIFS('Other Minerals - Q&amp;V'!$M$11:$M$743, 'Other Minerals - Q&amp;V'!$A$11:$A$743, "&gt;=" &amp; DATE(AI$9, 1, 1), 'Other Minerals - Q&amp;V'!$A$11:$A$743, "&lt;" &amp; DATE(AI$9+1, 1, 1))*10^6</f>
        <v>45309975</v>
      </c>
      <c r="AK81" s="281">
        <f>SUMIFS('Other Minerals - Q&amp;V'!$L$11:$L$743, 'Other Minerals - Q&amp;V'!$A$11:$A$743, "&gt;=" &amp; DATE(AK$9, 1, 1), 'Other Minerals - Q&amp;V'!$A$11:$A$743, "&lt;" &amp; DATE(AK$9+1, 1, 1))</f>
        <v>470.34802030867206</v>
      </c>
      <c r="AL81" s="281">
        <f>SUMIFS('Other Minerals - Q&amp;V'!$M$11:$M$743, 'Other Minerals - Q&amp;V'!$A$11:$A$743, "&gt;=" &amp; DATE(AK$9, 1, 1), 'Other Minerals - Q&amp;V'!$A$11:$A$743, "&lt;" &amp; DATE(AK$9+1, 1, 1))*10^6</f>
        <v>41637119</v>
      </c>
      <c r="AM81" s="278">
        <f>SUMIFS('Other Minerals - Q&amp;V'!$L$11:$L$743, 'Other Minerals - Q&amp;V'!$A$11:$A$743, "&gt;=" &amp; DATE(AM$9, 1, 1), 'Other Minerals - Q&amp;V'!$A$11:$A$743, "&lt;" &amp; DATE(AM$9+1, 1, 1))</f>
        <v>491.57085563361602</v>
      </c>
      <c r="AN81" s="278">
        <f>SUMIFS('Other Minerals - Q&amp;V'!$M$11:$M$743, 'Other Minerals - Q&amp;V'!$A$11:$A$743, "&gt;=" &amp; DATE(AM$9, 1, 1), 'Other Minerals - Q&amp;V'!$A$11:$A$743, "&lt;" &amp; DATE(AM$9+1, 1, 1))*10^6</f>
        <v>40002494.999999993</v>
      </c>
      <c r="AO81" s="278">
        <f>SUMIFS('Other Minerals - Q&amp;V'!$L$11:$L$743, 'Other Minerals - Q&amp;V'!$A$11:$A$743, "&gt;=" &amp; DATE(AO$9, 1, 1), 'Other Minerals - Q&amp;V'!$A$11:$A$743, "&lt;" &amp; DATE(AO$9+1, 1, 1))</f>
        <v>512.10163859976012</v>
      </c>
      <c r="AP81" s="278">
        <f>SUMIFS('Other Minerals - Q&amp;V'!$M$11:$M$743, 'Other Minerals - Q&amp;V'!$A$11:$A$743, "&gt;=" &amp; DATE(AO$9, 1, 1), 'Other Minerals - Q&amp;V'!$A$11:$A$743, "&lt;" &amp; DATE(AO$9+1, 1, 1))*10^6</f>
        <v>30310525.999999996</v>
      </c>
      <c r="AQ81" s="278">
        <f>SUMIFS('Other Minerals - Q&amp;V'!$L$11:$L$743, 'Other Minerals - Q&amp;V'!$A$11:$A$743, "&gt;=" &amp; DATE(AQ$9, 1, 1), 'Other Minerals - Q&amp;V'!$A$11:$A$743, "&lt;" &amp; DATE(AQ$9+1, 1, 1))</f>
        <v>575.37326421062403</v>
      </c>
      <c r="AR81" s="278">
        <f>SUMIFS('Other Minerals - Q&amp;V'!$M$11:$M$743, 'Other Minerals - Q&amp;V'!$A$11:$A$743, "&gt;=" &amp; DATE(AQ$9, 1, 1), 'Other Minerals - Q&amp;V'!$A$11:$A$743, "&lt;" &amp; DATE(AQ$9+1, 1, 1))*10^6</f>
        <v>24252294</v>
      </c>
      <c r="AS81" s="278">
        <f>SUMIFS('Other Minerals - Q&amp;V'!$L$11:$L$743, 'Other Minerals - Q&amp;V'!$A$11:$A$743, "&gt;=" &amp; DATE(AS$9, 1, 1), 'Other Minerals - Q&amp;V'!$A$11:$A$743, "&lt;" &amp; DATE(AS$9+1, 1, 1))</f>
        <v>0</v>
      </c>
      <c r="AT81" s="278">
        <f>SUMIFS('Other Minerals - Q&amp;V'!$M$11:$M$743, 'Other Minerals - Q&amp;V'!$A$11:$A$743, "&gt;=" &amp; DATE(AS$9, 1, 1), 'Other Minerals - Q&amp;V'!$A$11:$A$743, "&lt;" &amp; DATE(AS$9+1, 1, 1))*10^6</f>
        <v>0</v>
      </c>
      <c r="AU81" s="232">
        <f>SUMIF($C$11:AT$11, 1, $C81:AT81)</f>
        <v>14281.033834588014</v>
      </c>
      <c r="AV81" s="201">
        <f>SUMIF($C$11:AT$11, 0, $C81:AT81)</f>
        <v>413801131.15999997</v>
      </c>
    </row>
    <row r="82" spans="1:48" x14ac:dyDescent="0.25">
      <c r="A82" s="231" t="s">
        <v>238</v>
      </c>
      <c r="B82" s="29"/>
      <c r="C82" s="201"/>
      <c r="D82" s="201"/>
      <c r="E82" s="201"/>
      <c r="F82" s="201"/>
      <c r="G82" s="201"/>
      <c r="H82" s="201"/>
      <c r="I82" s="201"/>
      <c r="J82" s="201"/>
      <c r="K82" s="201"/>
      <c r="L82" s="201"/>
      <c r="M82" s="201"/>
      <c r="N82" s="201"/>
      <c r="O82" s="201"/>
      <c r="P82" s="201"/>
      <c r="Q82" s="201"/>
      <c r="R82" s="201"/>
      <c r="S82" s="201"/>
      <c r="T82" s="201"/>
      <c r="U82" s="201"/>
      <c r="V82" s="201"/>
      <c r="W82" s="201"/>
      <c r="X82" s="201"/>
      <c r="Y82" s="201"/>
      <c r="Z82" s="201"/>
      <c r="AA82" s="201"/>
      <c r="AB82" s="201"/>
      <c r="AC82" s="201"/>
      <c r="AD82" s="201"/>
      <c r="AE82" s="232"/>
      <c r="AF82" s="232"/>
      <c r="AG82" s="232"/>
      <c r="AH82" s="232"/>
      <c r="AI82" s="232"/>
      <c r="AJ82" s="232"/>
      <c r="AK82" s="232"/>
      <c r="AL82" s="232"/>
      <c r="AM82" s="201"/>
      <c r="AN82" s="201"/>
      <c r="AO82" s="201"/>
      <c r="AP82" s="201"/>
      <c r="AQ82" s="201"/>
      <c r="AR82" s="201"/>
      <c r="AS82" s="201"/>
      <c r="AT82" s="201"/>
      <c r="AU82" s="201"/>
      <c r="AV82" s="201"/>
    </row>
    <row r="83" spans="1:48" x14ac:dyDescent="0.25">
      <c r="A83" s="210" t="s">
        <v>239</v>
      </c>
      <c r="B83" s="206" t="s">
        <v>166</v>
      </c>
      <c r="C83" s="211">
        <v>0</v>
      </c>
      <c r="D83" s="211">
        <v>0</v>
      </c>
      <c r="E83" s="211">
        <v>0</v>
      </c>
      <c r="F83" s="211">
        <v>0</v>
      </c>
      <c r="G83" s="211">
        <v>0</v>
      </c>
      <c r="H83" s="211">
        <v>0</v>
      </c>
      <c r="I83" s="211">
        <v>0</v>
      </c>
      <c r="J83" s="211">
        <v>0</v>
      </c>
      <c r="K83" s="211">
        <v>0</v>
      </c>
      <c r="L83" s="211">
        <v>0</v>
      </c>
      <c r="M83" s="211">
        <v>0</v>
      </c>
      <c r="N83" s="211">
        <v>0</v>
      </c>
      <c r="O83" s="211">
        <v>0</v>
      </c>
      <c r="P83" s="211">
        <v>0</v>
      </c>
      <c r="Q83" s="211">
        <v>0</v>
      </c>
      <c r="R83" s="211">
        <v>0</v>
      </c>
      <c r="S83" s="211">
        <v>0</v>
      </c>
      <c r="T83" s="211">
        <v>0</v>
      </c>
      <c r="U83" s="211">
        <v>0</v>
      </c>
      <c r="V83" s="211">
        <v>0</v>
      </c>
      <c r="W83" s="211">
        <v>0</v>
      </c>
      <c r="X83" s="211">
        <v>0</v>
      </c>
      <c r="Y83" s="211">
        <v>0</v>
      </c>
      <c r="Z83" s="211">
        <v>0</v>
      </c>
      <c r="AA83" s="211">
        <v>0</v>
      </c>
      <c r="AB83" s="211">
        <v>0</v>
      </c>
      <c r="AC83" s="211">
        <v>0</v>
      </c>
      <c r="AD83" s="211">
        <v>0</v>
      </c>
      <c r="AE83" s="266">
        <v>0</v>
      </c>
      <c r="AF83" s="266">
        <v>0</v>
      </c>
      <c r="AG83" s="266">
        <v>0</v>
      </c>
      <c r="AH83" s="266">
        <v>0</v>
      </c>
      <c r="AI83" s="266">
        <v>0</v>
      </c>
      <c r="AJ83" s="266">
        <v>0</v>
      </c>
      <c r="AK83" s="211">
        <v>0</v>
      </c>
      <c r="AL83" s="211">
        <v>0</v>
      </c>
      <c r="AM83" s="211">
        <v>2418</v>
      </c>
      <c r="AN83" s="211" t="s">
        <v>509</v>
      </c>
      <c r="AO83" s="211">
        <v>5503.46</v>
      </c>
      <c r="AP83" s="211" t="s">
        <v>509</v>
      </c>
      <c r="AQ83" s="211">
        <v>0</v>
      </c>
      <c r="AR83" s="211">
        <v>0</v>
      </c>
      <c r="AS83" s="211">
        <v>10013.42</v>
      </c>
      <c r="AT83" s="211" t="s">
        <v>509</v>
      </c>
      <c r="AU83" s="211">
        <f>SUMIF($C$11:AT$11, 1, $C83:AT83)</f>
        <v>17934.88</v>
      </c>
      <c r="AV83" s="211" t="s">
        <v>509</v>
      </c>
    </row>
    <row r="84" spans="1:48" x14ac:dyDescent="0.25">
      <c r="A84" s="238"/>
      <c r="B84" s="43"/>
      <c r="C84" s="211"/>
      <c r="D84" s="211"/>
      <c r="E84" s="211"/>
      <c r="F84" s="211"/>
      <c r="G84" s="211"/>
      <c r="H84" s="211"/>
      <c r="I84" s="211"/>
      <c r="J84" s="211"/>
      <c r="K84" s="211"/>
      <c r="L84" s="211"/>
      <c r="M84" s="211"/>
      <c r="N84" s="211"/>
      <c r="O84" s="211"/>
      <c r="P84" s="211"/>
      <c r="Q84" s="211"/>
      <c r="R84" s="211"/>
      <c r="S84" s="211"/>
      <c r="T84" s="211"/>
      <c r="U84" s="211"/>
      <c r="V84" s="211"/>
      <c r="W84" s="211"/>
      <c r="X84" s="211"/>
      <c r="Y84" s="211"/>
      <c r="Z84" s="211"/>
      <c r="AA84" s="211"/>
      <c r="AB84" s="211"/>
      <c r="AC84" s="211"/>
      <c r="AD84" s="211"/>
      <c r="AE84" s="266"/>
      <c r="AF84" s="266"/>
      <c r="AG84" s="266"/>
      <c r="AH84" s="266"/>
      <c r="AI84" s="266"/>
      <c r="AJ84" s="266"/>
      <c r="AK84" s="211"/>
      <c r="AL84" s="211"/>
      <c r="AM84" s="211"/>
      <c r="AN84" s="211"/>
      <c r="AO84" s="211"/>
      <c r="AP84" s="211"/>
      <c r="AQ84" s="211"/>
      <c r="AR84" s="211"/>
      <c r="AS84" s="211"/>
      <c r="AT84" s="211"/>
      <c r="AU84" s="211"/>
      <c r="AV84" s="211"/>
    </row>
    <row r="85" spans="1:48" x14ac:dyDescent="0.25">
      <c r="A85" s="215" t="s">
        <v>240</v>
      </c>
      <c r="B85" s="216" t="s">
        <v>214</v>
      </c>
      <c r="C85" s="201">
        <v>0</v>
      </c>
      <c r="D85" s="201">
        <v>0</v>
      </c>
      <c r="E85" s="201">
        <v>0</v>
      </c>
      <c r="F85" s="201">
        <v>0</v>
      </c>
      <c r="G85" s="201">
        <v>0</v>
      </c>
      <c r="H85" s="201">
        <v>0</v>
      </c>
      <c r="I85" s="201">
        <v>0</v>
      </c>
      <c r="J85" s="201">
        <v>0</v>
      </c>
      <c r="K85" s="201">
        <v>0</v>
      </c>
      <c r="L85" s="201">
        <v>0</v>
      </c>
      <c r="M85" s="201">
        <v>0</v>
      </c>
      <c r="N85" s="201">
        <v>0</v>
      </c>
      <c r="O85" s="201">
        <v>0</v>
      </c>
      <c r="P85" s="201">
        <v>0</v>
      </c>
      <c r="Q85" s="201">
        <v>0</v>
      </c>
      <c r="R85" s="201">
        <v>0</v>
      </c>
      <c r="S85" s="201">
        <v>647334.62399999995</v>
      </c>
      <c r="T85" s="201" t="s">
        <v>509</v>
      </c>
      <c r="U85" s="201">
        <v>3943213.1379999998</v>
      </c>
      <c r="V85" s="201" t="s">
        <v>509</v>
      </c>
      <c r="W85" s="201">
        <v>11027370</v>
      </c>
      <c r="X85" s="201" t="s">
        <v>509</v>
      </c>
      <c r="Y85" s="201">
        <v>16029377</v>
      </c>
      <c r="Z85" s="201" t="s">
        <v>509</v>
      </c>
      <c r="AA85" s="201">
        <v>23274075</v>
      </c>
      <c r="AB85" s="201" t="s">
        <v>509</v>
      </c>
      <c r="AC85" s="201">
        <v>28429810</v>
      </c>
      <c r="AD85" s="201" t="s">
        <v>509</v>
      </c>
      <c r="AE85" s="232">
        <v>29932472</v>
      </c>
      <c r="AF85" s="232">
        <v>362137322</v>
      </c>
      <c r="AG85" s="232">
        <v>25954592</v>
      </c>
      <c r="AH85" s="232" t="s">
        <v>509</v>
      </c>
      <c r="AI85" s="232">
        <v>22984552.859999999</v>
      </c>
      <c r="AJ85" s="232">
        <v>270005603</v>
      </c>
      <c r="AK85" s="201">
        <v>28436737.25</v>
      </c>
      <c r="AL85" s="201">
        <v>568701525</v>
      </c>
      <c r="AM85" s="201">
        <v>30074717</v>
      </c>
      <c r="AN85" s="201">
        <v>800747126</v>
      </c>
      <c r="AO85" s="201">
        <v>28621528</v>
      </c>
      <c r="AP85" s="201" t="s">
        <v>509</v>
      </c>
      <c r="AQ85" s="201">
        <v>31390273</v>
      </c>
      <c r="AR85" s="201" t="s">
        <v>509</v>
      </c>
      <c r="AS85" s="201">
        <v>34090495</v>
      </c>
      <c r="AT85" s="201" t="s">
        <v>509</v>
      </c>
      <c r="AU85" s="201">
        <f>SUMIF($C$11:AT$11, 1, $C85:AT85)</f>
        <v>314836546.87199998</v>
      </c>
      <c r="AV85" s="201" t="s">
        <v>509</v>
      </c>
    </row>
    <row r="86" spans="1:48" x14ac:dyDescent="0.25">
      <c r="A86" s="241"/>
      <c r="C86" s="201"/>
      <c r="D86" s="201"/>
      <c r="E86" s="201"/>
      <c r="F86" s="201"/>
      <c r="G86" s="201"/>
      <c r="H86" s="201"/>
      <c r="I86" s="201"/>
      <c r="J86" s="201"/>
      <c r="K86" s="201"/>
      <c r="L86" s="201"/>
      <c r="M86" s="201"/>
      <c r="N86" s="201"/>
      <c r="O86" s="201"/>
      <c r="P86" s="201"/>
      <c r="Q86" s="201"/>
      <c r="R86" s="201"/>
      <c r="S86" s="201"/>
      <c r="T86" s="201"/>
      <c r="U86" s="201"/>
      <c r="V86" s="201"/>
      <c r="W86" s="201"/>
      <c r="X86" s="201"/>
      <c r="Y86" s="201"/>
      <c r="Z86" s="201"/>
      <c r="AA86" s="201"/>
      <c r="AB86" s="201"/>
      <c r="AC86" s="201"/>
      <c r="AD86" s="201"/>
      <c r="AE86" s="232"/>
      <c r="AF86" s="232"/>
      <c r="AG86" s="232"/>
      <c r="AH86" s="232"/>
      <c r="AI86" s="232"/>
      <c r="AJ86" s="232"/>
      <c r="AK86" s="201"/>
      <c r="AL86" s="201"/>
      <c r="AM86" s="201"/>
      <c r="AN86" s="201"/>
      <c r="AO86" s="201"/>
      <c r="AP86" s="201"/>
      <c r="AQ86" s="201"/>
      <c r="AR86" s="201"/>
      <c r="AS86" s="201"/>
      <c r="AT86" s="201"/>
      <c r="AU86" s="201"/>
      <c r="AV86" s="201"/>
    </row>
    <row r="87" spans="1:48" x14ac:dyDescent="0.25">
      <c r="A87" s="210" t="s">
        <v>241</v>
      </c>
      <c r="B87" s="206" t="s">
        <v>166</v>
      </c>
      <c r="C87" s="211">
        <f>SUMIFS('Other Minerals - Q&amp;V'!$F$11:$F$743, 'Other Minerals - Q&amp;V'!$A$11:$A$743, "&gt;=" &amp; DATE(C$9, 1, 1), 'Other Minerals - Q&amp;V'!$A$11:$A$743, "&lt;" &amp; DATE(C$9+1, 1, 1))*10^6</f>
        <v>10486431.916000001</v>
      </c>
      <c r="D87" s="211">
        <f>SUMIFS('Other Minerals - Q&amp;V'!$G$11:$G$743, 'Other Minerals - Q&amp;V'!$A$11:$A$743, "&gt;=" &amp; DATE(C$9, 1, 1), 'Other Minerals - Q&amp;V'!$A$11:$A$743, "&lt;" &amp; DATE(C$9+1, 1, 1))*10^6</f>
        <v>186629417.10000002</v>
      </c>
      <c r="E87" s="211">
        <f>SUMIFS('Other Minerals - Q&amp;V'!$F$11:$F$743, 'Other Minerals - Q&amp;V'!$A$11:$A$743, "&gt;=" &amp; DATE(E$9, 1, 1), 'Other Minerals - Q&amp;V'!$A$11:$A$743, "&lt;" &amp; DATE(E$9+1, 1, 1))*10^6</f>
        <v>11475206.92</v>
      </c>
      <c r="F87" s="211">
        <f>SUMIFS('Other Minerals - Q&amp;V'!$G$11:$G$743, 'Other Minerals - Q&amp;V'!$A$11:$A$743, "&gt;=" &amp; DATE(E$9, 1, 1), 'Other Minerals - Q&amp;V'!$A$11:$A$743, "&lt;" &amp; DATE(E$9+1, 1, 1))*10^6</f>
        <v>213782655.01000002</v>
      </c>
      <c r="G87" s="211">
        <f>SUMIFS('Other Minerals - Q&amp;V'!$F$11:$F$743, 'Other Minerals - Q&amp;V'!$A$11:$A$743, "&gt;=" &amp; DATE(G$9, 1, 1), 'Other Minerals - Q&amp;V'!$A$11:$A$743, "&lt;" &amp; DATE(G$9+1, 1, 1))*10^6</f>
        <v>10715927.219999999</v>
      </c>
      <c r="H87" s="211">
        <f>SUMIFS('Other Minerals - Q&amp;V'!$G$11:$G$743, 'Other Minerals - Q&amp;V'!$A$11:$A$743, "&gt;=" &amp; DATE(G$9, 1, 1), 'Other Minerals - Q&amp;V'!$A$11:$A$743, "&lt;" &amp; DATE(G$9+1, 1, 1))*10^6</f>
        <v>241642998.10999998</v>
      </c>
      <c r="I87" s="211">
        <f>SUMIFS('Other Minerals - Q&amp;V'!$F$11:$F$743, 'Other Minerals - Q&amp;V'!$A$11:$A$743, "&gt;=" &amp; DATE(I$9, 1, 1), 'Other Minerals - Q&amp;V'!$A$11:$A$743, "&lt;" &amp; DATE(I$9+1, 1, 1))*10^6</f>
        <v>10385685.728999998</v>
      </c>
      <c r="J87" s="211">
        <f>SUMIFS('Other Minerals - Q&amp;V'!$G$11:$G$743, 'Other Minerals - Q&amp;V'!$A$11:$A$743, "&gt;=" &amp; DATE(I$9, 1, 1), 'Other Minerals - Q&amp;V'!$A$11:$A$743, "&lt;" &amp; DATE(I$9+1, 1, 1))*10^6</f>
        <v>229604348.91</v>
      </c>
      <c r="K87" s="211">
        <f>SUMIFS('Other Minerals - Q&amp;V'!$F$11:$F$743, 'Other Minerals - Q&amp;V'!$A$11:$A$743, "&gt;=" &amp; DATE(K$9, 1, 1), 'Other Minerals - Q&amp;V'!$A$11:$A$743, "&lt;" &amp; DATE(K$9+1, 1, 1))*10^6</f>
        <v>11488632.785</v>
      </c>
      <c r="L87" s="211">
        <f>SUMIFS('Other Minerals - Q&amp;V'!$G$11:$G$743, 'Other Minerals - Q&amp;V'!$A$11:$A$743, "&gt;=" &amp; DATE(K$9, 1, 1), 'Other Minerals - Q&amp;V'!$A$11:$A$743, "&lt;" &amp; DATE(K$9+1, 1, 1))*10^6</f>
        <v>290950415.91000003</v>
      </c>
      <c r="M87" s="211">
        <f>SUMIFS('Other Minerals - Q&amp;V'!$F$11:$F$743, 'Other Minerals - Q&amp;V'!$A$11:$A$743, "&gt;=" &amp; DATE(M$9, 1, 1), 'Other Minerals - Q&amp;V'!$A$11:$A$743, "&lt;" &amp; DATE(M$9+1, 1, 1))*10^6</f>
        <v>10063552.932</v>
      </c>
      <c r="N87" s="211">
        <f>SUMIFS('Other Minerals - Q&amp;V'!$G$11:$G$743, 'Other Minerals - Q&amp;V'!$A$11:$A$743, "&gt;=" &amp; DATE(M$9, 1, 1), 'Other Minerals - Q&amp;V'!$A$11:$A$743, "&lt;" &amp; DATE(M$9+1, 1, 1))*10^6</f>
        <v>447592200.68000001</v>
      </c>
      <c r="O87" s="211">
        <f>SUMIFS('Other Minerals - Q&amp;V'!$F$11:$F$743, 'Other Minerals - Q&amp;V'!$A$11:$A$743, "&gt;=" &amp; DATE(O$9, 1, 1), 'Other Minerals - Q&amp;V'!$A$11:$A$743, "&lt;" &amp; DATE(O$9+1, 1, 1))*10^6</f>
        <v>11542636.41</v>
      </c>
      <c r="P87" s="211">
        <f>SUMIFS('Other Minerals - Q&amp;V'!$G$11:$G$743, 'Other Minerals - Q&amp;V'!$A$11:$A$743, "&gt;=" &amp; DATE(O$9, 1, 1), 'Other Minerals - Q&amp;V'!$A$11:$A$743, "&lt;" &amp; DATE(O$9+1, 1, 1))*10^6</f>
        <v>386668816.90000004</v>
      </c>
      <c r="Q87" s="211">
        <f>SUMIFS('Other Minerals - Q&amp;V'!$F$11:$F$743, 'Other Minerals - Q&amp;V'!$A$11:$A$743, "&gt;=" &amp; DATE(Q$9, 1, 1), 'Other Minerals - Q&amp;V'!$A$11:$A$743, "&lt;" &amp; DATE(Q$9+1, 1, 1))*10^6</f>
        <v>12252575.100000001</v>
      </c>
      <c r="R87" s="211">
        <f>SUMIFS('Other Minerals - Q&amp;V'!$G$11:$G$743, 'Other Minerals - Q&amp;V'!$A$11:$A$743, "&gt;=" &amp; DATE(Q$9, 1, 1), 'Other Minerals - Q&amp;V'!$A$11:$A$743, "&lt;" &amp; DATE(Q$9+1, 1, 1))*10^6</f>
        <v>335770892.65000004</v>
      </c>
      <c r="S87" s="211">
        <f>SUMIFS('Other Minerals - Q&amp;V'!$F$11:$F$743, 'Other Minerals - Q&amp;V'!$A$11:$A$743, "&gt;=" &amp; DATE(S$9, 1, 1), 'Other Minerals - Q&amp;V'!$A$11:$A$743, "&lt;" &amp; DATE(S$9+1, 1, 1))*10^6</f>
        <v>12504826.539999999</v>
      </c>
      <c r="T87" s="211">
        <f>SUMIFS('Other Minerals - Q&amp;V'!$G$11:$G$743, 'Other Minerals - Q&amp;V'!$A$11:$A$743, "&gt;=" &amp; DATE(S$9, 1, 1), 'Other Minerals - Q&amp;V'!$A$11:$A$743, "&lt;" &amp; DATE(S$9+1, 1, 1))*10^6</f>
        <v>364509384.84000003</v>
      </c>
      <c r="U87" s="211">
        <f>SUMIFS('Other Minerals - Q&amp;V'!$F$11:$F$743, 'Other Minerals - Q&amp;V'!$A$11:$A$743, "&gt;=" &amp; DATE(U$9, 1, 1), 'Other Minerals - Q&amp;V'!$A$11:$A$743, "&lt;" &amp; DATE(U$9+1, 1, 1))*10^6</f>
        <v>12900183.612</v>
      </c>
      <c r="V87" s="211">
        <f>SUMIFS('Other Minerals - Q&amp;V'!$G$11:$G$743, 'Other Minerals - Q&amp;V'!$A$11:$A$743, "&gt;=" &amp; DATE(U$9, 1, 1), 'Other Minerals - Q&amp;V'!$A$11:$A$743, "&lt;" &amp; DATE(U$9+1, 1, 1))*10^6</f>
        <v>413606860.07685626</v>
      </c>
      <c r="W87" s="211">
        <f>SUMIFS('Other Minerals - Q&amp;V'!$F$11:$F$743, 'Other Minerals - Q&amp;V'!$A$11:$A$743, "&gt;=" &amp; DATE(W$9, 1, 1), 'Other Minerals - Q&amp;V'!$A$11:$A$743, "&lt;" &amp; DATE(W$9+1, 1, 1))*10^6</f>
        <v>12997952.600000001</v>
      </c>
      <c r="X87" s="211">
        <f>SUMIFS('Other Minerals - Q&amp;V'!$G$11:$G$743, 'Other Minerals - Q&amp;V'!$A$11:$A$743, "&gt;=" &amp; DATE(W$9, 1, 1), 'Other Minerals - Q&amp;V'!$A$11:$A$743, "&lt;" &amp; DATE(W$9+1, 1, 1))*10^6</f>
        <v>407478502.44711345</v>
      </c>
      <c r="Y87" s="211">
        <f>SUMIFS('Other Minerals - Q&amp;V'!$F$11:$F$743, 'Other Minerals - Q&amp;V'!$A$11:$A$743, "&gt;=" &amp; DATE(Y$9, 1, 1), 'Other Minerals - Q&amp;V'!$A$11:$A$743, "&lt;" &amp; DATE(Y$9+1, 1, 1))*10^6</f>
        <v>11390053.199999999</v>
      </c>
      <c r="Z87" s="211">
        <f>SUMIFS('Other Minerals - Q&amp;V'!$G$11:$G$743, 'Other Minerals - Q&amp;V'!$A$11:$A$743, "&gt;=" &amp; DATE(Y$9, 1, 1), 'Other Minerals - Q&amp;V'!$A$11:$A$743, "&lt;" &amp; DATE(Y$9+1, 1, 1))*10^6</f>
        <v>355146406</v>
      </c>
      <c r="AA87" s="211">
        <f>SUMIFS('Other Minerals - Q&amp;V'!$F$11:$F$743, 'Other Minerals - Q&amp;V'!$A$11:$A$743, "&gt;=" &amp; DATE(AA$9, 1, 1), 'Other Minerals - Q&amp;V'!$A$11:$A$743, "&lt;" &amp; DATE(AA$9+1, 1, 1))*10^6</f>
        <v>10410190.17</v>
      </c>
      <c r="AB87" s="211">
        <f>SUMIFS('Other Minerals - Q&amp;V'!$G$11:$G$743, 'Other Minerals - Q&amp;V'!$A$11:$A$743, "&gt;=" &amp; DATE(AA$9, 1, 1), 'Other Minerals - Q&amp;V'!$A$11:$A$743, "&lt;" &amp; DATE(AA$9+1, 1, 1))*10^6</f>
        <v>313760224.15223646</v>
      </c>
      <c r="AC87" s="211">
        <f>SUMIFS('Other Minerals - Q&amp;V'!$F$11:$F$743, 'Other Minerals - Q&amp;V'!$A$11:$A$743, "&gt;=" &amp; DATE(AC$9, 1, 1), 'Other Minerals - Q&amp;V'!$A$11:$A$743, "&lt;" &amp; DATE(AC$9+1, 1, 1))*10^6</f>
        <v>11674986.52</v>
      </c>
      <c r="AD87" s="211">
        <f>SUMIFS('Other Minerals - Q&amp;V'!$G$11:$G$743, 'Other Minerals - Q&amp;V'!$A$11:$A$743, "&gt;=" &amp; DATE(AC$9, 1, 1), 'Other Minerals - Q&amp;V'!$A$11:$A$743, "&lt;" &amp; DATE(AC$9+1, 1, 1))*10^6</f>
        <v>274994032.58566737</v>
      </c>
      <c r="AE87" s="266">
        <f>SUMIFS('Other Minerals - Q&amp;V'!$F$11:$F$743, 'Other Minerals - Q&amp;V'!$A$11:$A$743, "&gt;=" &amp; DATE(AE$9, 1, 1), 'Other Minerals - Q&amp;V'!$A$11:$A$743, "&lt;" &amp; DATE(AE$9+1, 1, 1))*10^6</f>
        <v>12894453.49</v>
      </c>
      <c r="AF87" s="266">
        <f>SUMIFS('Other Minerals - Q&amp;V'!$G$11:$G$743, 'Other Minerals - Q&amp;V'!$A$11:$A$743, "&gt;=" &amp; DATE(AE$9, 1, 1), 'Other Minerals - Q&amp;V'!$A$11:$A$743, "&lt;" &amp; DATE(AE$9+1, 1, 1))*10^6</f>
        <v>303674620.48050356</v>
      </c>
      <c r="AG87" s="266">
        <f>SUMIFS('Other Minerals - Q&amp;V'!$F$11:$F$743, 'Other Minerals - Q&amp;V'!$A$11:$A$743, "&gt;=" &amp; DATE(AG$9, 1, 1), 'Other Minerals - Q&amp;V'!$A$11:$A$743, "&lt;" &amp; DATE(AG$9+1, 1, 1))*10^6</f>
        <v>11473768.202999998</v>
      </c>
      <c r="AH87" s="266">
        <f>SUMIFS('Other Minerals - Q&amp;V'!$G$11:$G$743, 'Other Minerals - Q&amp;V'!$A$11:$A$743, "&gt;=" &amp; DATE(AG$9, 1, 1), 'Other Minerals - Q&amp;V'!$A$11:$A$743, "&lt;" &amp; DATE(AG$9+1, 1, 1))*10^6</f>
        <v>333387857</v>
      </c>
      <c r="AI87" s="266">
        <f>SUMIFS('Other Minerals - Q&amp;V'!$F$11:$F$743, 'Other Minerals - Q&amp;V'!$A$11:$A$743, "&gt;=" &amp; DATE(AI$9, 1, 1), 'Other Minerals - Q&amp;V'!$A$11:$A$743, "&lt;" &amp; DATE(AI$9+1, 1, 1))*10^6</f>
        <v>11542308.713000001</v>
      </c>
      <c r="AJ87" s="266">
        <f>SUMIFS('Other Minerals - Q&amp;V'!$G$11:$G$743, 'Other Minerals - Q&amp;V'!$A$11:$A$743, "&gt;=" &amp; DATE(AI$9, 1, 1), 'Other Minerals - Q&amp;V'!$A$11:$A$743, "&lt;" &amp; DATE(AI$9+1, 1, 1))*10^6</f>
        <v>430686016</v>
      </c>
      <c r="AK87" s="211">
        <f>SUMIFS('Other Minerals - Q&amp;V'!$F$11:$F$743, 'Other Minerals - Q&amp;V'!$A$11:$A$743, "&gt;=" &amp; DATE(AK$9, 1, 1), 'Other Minerals - Q&amp;V'!$A$11:$A$743, "&lt;" &amp; DATE(AK$9+1, 1, 1))*10^6</f>
        <v>12213174.603999998</v>
      </c>
      <c r="AL87" s="211">
        <f>SUMIFS('Other Minerals - Q&amp;V'!$G$11:$G$743, 'Other Minerals - Q&amp;V'!$A$11:$A$743, "&gt;=" &amp; DATE(AK$9, 1, 1), 'Other Minerals - Q&amp;V'!$A$11:$A$743, "&lt;" &amp; DATE(AK$9+1, 1, 1))*10^6</f>
        <v>599922221.99999988</v>
      </c>
      <c r="AM87" s="211">
        <f>SUMIFS('Other Minerals - Q&amp;V'!$F$11:$F$743, 'Other Minerals - Q&amp;V'!$A$11:$A$743, "&gt;=" &amp; DATE(AM$9, 1, 1), 'Other Minerals - Q&amp;V'!$A$11:$A$743, "&lt;" &amp; DATE(AM$9+1, 1, 1))*10^6</f>
        <v>11680983.095999999</v>
      </c>
      <c r="AN87" s="211">
        <f>SUMIFS('Other Minerals - Q&amp;V'!$G$11:$G$743, 'Other Minerals - Q&amp;V'!$A$11:$A$743, "&gt;=" &amp; DATE(AM$9, 1, 1), 'Other Minerals - Q&amp;V'!$A$11:$A$743, "&lt;" &amp; DATE(AM$9+1, 1, 1))*10^6</f>
        <v>625501475.99999988</v>
      </c>
      <c r="AO87" s="211">
        <f>SUMIFS('Other Minerals - Q&amp;V'!$F$11:$F$743, 'Other Minerals - Q&amp;V'!$A$11:$A$743, "&gt;=" &amp; DATE(AO$9, 1, 1), 'Other Minerals - Q&amp;V'!$A$11:$A$743, "&lt;" &amp; DATE(AO$9+1, 1, 1))*10^6</f>
        <v>11620670.065000001</v>
      </c>
      <c r="AP87" s="211">
        <f>SUMIFS('Other Minerals - Q&amp;V'!$G$11:$G$743, 'Other Minerals - Q&amp;V'!$A$11:$A$743, "&gt;=" &amp; DATE(AO$9, 1, 1), 'Other Minerals - Q&amp;V'!$A$11:$A$743, "&lt;" &amp; DATE(AO$9+1, 1, 1))*10^6</f>
        <v>791630501.00000012</v>
      </c>
      <c r="AQ87" s="211">
        <f>SUMIFS('Other Minerals - Q&amp;V'!$F$11:$F$743, 'Other Minerals - Q&amp;V'!$A$11:$A$743, "&gt;=" &amp; DATE(AQ$9, 1, 1), 'Other Minerals - Q&amp;V'!$A$11:$A$743, "&lt;" &amp; DATE(AQ$9+1, 1, 1))*10^6</f>
        <v>12013299.825000001</v>
      </c>
      <c r="AR87" s="211">
        <f>SUMIFS('Other Minerals - Q&amp;V'!$G$11:$G$743, 'Other Minerals - Q&amp;V'!$A$11:$A$743, "&gt;=" &amp; DATE(AQ$9, 1, 1), 'Other Minerals - Q&amp;V'!$A$11:$A$743, "&lt;" &amp; DATE(AQ$9+1, 1, 1))*10^6</f>
        <v>802601324.38622427</v>
      </c>
      <c r="AS87" s="211">
        <f>SUMIFS('Other Minerals - Q&amp;V'!$F$11:$F$743, 'Other Minerals - Q&amp;V'!$A$11:$A$743, "&gt;=" &amp; DATE(AS$9, 1, 1), 'Other Minerals - Q&amp;V'!$A$11:$A$743, "&lt;" &amp; DATE(AS$9+1, 1, 1))*10^6</f>
        <v>12425091.480999999</v>
      </c>
      <c r="AT87" s="211">
        <f>SUMIFS('Other Minerals - Q&amp;V'!$G$11:$G$743, 'Other Minerals - Q&amp;V'!$A$11:$A$743, "&gt;=" &amp; DATE(AS$9, 1, 1), 'Other Minerals - Q&amp;V'!$A$11:$A$743, "&lt;" &amp; DATE(AS$9+1, 1, 1))*10^6</f>
        <v>754634469.02954209</v>
      </c>
      <c r="AU87" s="211">
        <f>SUMIF($C$11:AT$11, 1, $C87:AT87)</f>
        <v>256152591.13099998</v>
      </c>
      <c r="AV87" s="211">
        <f>SUMIF($C$11:AT$11, 0, $C87:AT87)</f>
        <v>9104175641.2681446</v>
      </c>
    </row>
    <row r="88" spans="1:48" x14ac:dyDescent="0.25">
      <c r="A88" s="210"/>
      <c r="B88" s="206"/>
      <c r="C88" s="211"/>
      <c r="D88" s="211"/>
      <c r="E88" s="211"/>
      <c r="F88" s="211"/>
      <c r="G88" s="211"/>
      <c r="H88" s="211"/>
      <c r="I88" s="211"/>
      <c r="J88" s="211"/>
      <c r="K88" s="211"/>
      <c r="L88" s="211"/>
      <c r="M88" s="211"/>
      <c r="N88" s="211"/>
      <c r="O88" s="211"/>
      <c r="P88" s="211"/>
      <c r="Q88" s="211"/>
      <c r="R88" s="211"/>
      <c r="S88" s="211"/>
      <c r="T88" s="211"/>
      <c r="U88" s="211"/>
      <c r="V88" s="211"/>
      <c r="W88" s="211"/>
      <c r="X88" s="211"/>
      <c r="Y88" s="211"/>
      <c r="Z88" s="211"/>
      <c r="AA88" s="211"/>
      <c r="AB88" s="211"/>
      <c r="AC88" s="211"/>
      <c r="AD88" s="211"/>
      <c r="AE88" s="266"/>
      <c r="AF88" s="266"/>
      <c r="AG88" s="266"/>
      <c r="AH88" s="266"/>
      <c r="AI88" s="266"/>
      <c r="AJ88" s="266"/>
      <c r="AK88" s="211"/>
      <c r="AL88" s="211"/>
      <c r="AM88" s="211"/>
      <c r="AN88" s="211"/>
      <c r="AO88" s="211"/>
      <c r="AP88" s="211"/>
      <c r="AQ88" s="211"/>
      <c r="AR88" s="211"/>
      <c r="AS88" s="211"/>
      <c r="AT88" s="211"/>
      <c r="AU88" s="211"/>
      <c r="AV88" s="211"/>
    </row>
    <row r="89" spans="1:48" x14ac:dyDescent="0.25">
      <c r="A89" s="215" t="s">
        <v>242</v>
      </c>
      <c r="B89" s="216" t="s">
        <v>166</v>
      </c>
      <c r="C89" s="201">
        <v>701496</v>
      </c>
      <c r="D89" s="201">
        <v>6795566.4699999997</v>
      </c>
      <c r="E89" s="201">
        <v>745740</v>
      </c>
      <c r="F89" s="201">
        <v>7029286.46</v>
      </c>
      <c r="G89" s="201">
        <v>717676</v>
      </c>
      <c r="H89" s="201">
        <v>6380178.0099999998</v>
      </c>
      <c r="I89" s="201">
        <v>667000</v>
      </c>
      <c r="J89" s="201">
        <v>10649062.92</v>
      </c>
      <c r="K89" s="201">
        <v>507785</v>
      </c>
      <c r="L89" s="201">
        <v>7562492</v>
      </c>
      <c r="M89" s="201">
        <v>462314</v>
      </c>
      <c r="N89" s="201">
        <v>10006288</v>
      </c>
      <c r="O89" s="201">
        <v>422611</v>
      </c>
      <c r="P89" s="201">
        <v>12544042</v>
      </c>
      <c r="Q89" s="201">
        <v>477640</v>
      </c>
      <c r="R89" s="201">
        <v>15394140</v>
      </c>
      <c r="S89" s="201">
        <v>459537</v>
      </c>
      <c r="T89" s="201">
        <v>15289183</v>
      </c>
      <c r="U89" s="201">
        <v>438688</v>
      </c>
      <c r="V89" s="201">
        <v>15325432.539999999</v>
      </c>
      <c r="W89" s="201">
        <v>487248</v>
      </c>
      <c r="X89" s="201">
        <v>17353328.100000001</v>
      </c>
      <c r="Y89" s="201">
        <v>550001.82999999996</v>
      </c>
      <c r="Z89" s="201">
        <v>20550675</v>
      </c>
      <c r="AA89" s="277">
        <v>587126.48299999989</v>
      </c>
      <c r="AB89" s="277">
        <v>14549866</v>
      </c>
      <c r="AC89" s="277">
        <v>883747.11899999995</v>
      </c>
      <c r="AD89" s="277">
        <v>21288628</v>
      </c>
      <c r="AE89" s="303">
        <v>1006493.4319999999</v>
      </c>
      <c r="AF89" s="303">
        <v>19989688</v>
      </c>
      <c r="AG89" s="303">
        <v>997590.89099999995</v>
      </c>
      <c r="AH89" s="303">
        <v>21606680</v>
      </c>
      <c r="AI89" s="303">
        <v>940522.522</v>
      </c>
      <c r="AJ89" s="303">
        <v>17054117</v>
      </c>
      <c r="AK89" s="277">
        <v>770342.57900000003</v>
      </c>
      <c r="AL89" s="277">
        <v>17454996</v>
      </c>
      <c r="AM89" s="277">
        <v>1209553.101</v>
      </c>
      <c r="AN89" s="277">
        <v>21448228</v>
      </c>
      <c r="AO89" s="277">
        <v>1150544.058</v>
      </c>
      <c r="AP89" s="277">
        <v>22240883</v>
      </c>
      <c r="AQ89" s="277">
        <v>739212.10499999998</v>
      </c>
      <c r="AR89" s="277">
        <v>21458039</v>
      </c>
      <c r="AS89" s="277">
        <v>876843.87900000007</v>
      </c>
      <c r="AT89" s="277">
        <v>26151975</v>
      </c>
      <c r="AU89" s="201">
        <f>SUMIF($C$11:AT$11, 1, $C89:AT89)</f>
        <v>15799712.999000002</v>
      </c>
      <c r="AV89" s="201">
        <f>SUMIF($C$11:AT$11, 0, $C89:AT89)</f>
        <v>348122774.5</v>
      </c>
    </row>
    <row r="90" spans="1:48" x14ac:dyDescent="0.25">
      <c r="A90" s="231"/>
      <c r="B90" s="29"/>
      <c r="C90" s="201"/>
      <c r="D90" s="201"/>
      <c r="E90" s="201"/>
      <c r="F90" s="201"/>
      <c r="G90" s="201"/>
      <c r="H90" s="201"/>
      <c r="I90" s="201"/>
      <c r="J90" s="201"/>
      <c r="K90" s="201"/>
      <c r="L90" s="201"/>
      <c r="M90" s="201"/>
      <c r="N90" s="201"/>
      <c r="O90" s="201"/>
      <c r="P90" s="201"/>
      <c r="Q90" s="201"/>
      <c r="R90" s="201"/>
      <c r="S90" s="201"/>
      <c r="T90" s="201"/>
      <c r="U90" s="201"/>
      <c r="V90" s="201"/>
      <c r="W90" s="201"/>
      <c r="X90" s="201"/>
      <c r="Y90" s="201"/>
      <c r="Z90" s="201"/>
      <c r="AA90" s="201"/>
      <c r="AB90" s="201"/>
      <c r="AC90" s="201"/>
      <c r="AD90" s="201"/>
      <c r="AE90" s="232"/>
      <c r="AF90" s="232"/>
      <c r="AG90" s="232"/>
      <c r="AH90" s="232"/>
      <c r="AI90" s="232"/>
      <c r="AJ90" s="232"/>
      <c r="AK90" s="201"/>
      <c r="AL90" s="201"/>
      <c r="AM90" s="201"/>
      <c r="AN90" s="201"/>
      <c r="AO90" s="201"/>
      <c r="AP90" s="201"/>
      <c r="AQ90" s="201"/>
      <c r="AR90" s="201"/>
      <c r="AS90" s="201"/>
      <c r="AT90" s="201"/>
      <c r="AU90" s="201"/>
      <c r="AV90" s="201"/>
    </row>
    <row r="91" spans="1:48" x14ac:dyDescent="0.25">
      <c r="A91" s="210" t="s">
        <v>243</v>
      </c>
      <c r="B91" s="206" t="s">
        <v>214</v>
      </c>
      <c r="C91" s="211">
        <f>SUMIFS('Other Minerals - Q&amp;V'!$B$11:$B$743, 'Other Minerals - Q&amp;V'!$A$11:$A$743, "&gt;=" &amp; DATE(C$9, 1, 1), 'Other Minerals - Q&amp;V'!$A$11:$A$743, "&lt;" &amp; DATE(C$9+1, 1, 1))*10^3</f>
        <v>121539.99999999999</v>
      </c>
      <c r="D91" s="211">
        <f>SUMIFS('Other Minerals - Q&amp;V'!$C$11:$C$743, 'Other Minerals - Q&amp;V'!$A$11:$A$743, "&gt;=" &amp; DATE(C$9, 1, 1), 'Other Minerals - Q&amp;V'!$A$11:$A$743, "&lt;" &amp; DATE(C$9+1, 1, 1))*10^6</f>
        <v>24654912.799999997</v>
      </c>
      <c r="E91" s="211">
        <f>SUMIFS('Other Minerals - Q&amp;V'!$B$11:$B$743, 'Other Minerals - Q&amp;V'!$A$11:$A$743, "&gt;=" &amp; DATE(E$9, 1, 1), 'Other Minerals - Q&amp;V'!$A$11:$A$743, "&lt;" &amp; DATE(E$9+1, 1, 1))*10^3</f>
        <v>127520.00000000001</v>
      </c>
      <c r="F91" s="211">
        <f>SUMIFS('Other Minerals - Q&amp;V'!$C$11:$C$743, 'Other Minerals - Q&amp;V'!$A$11:$A$743, "&gt;=" &amp; DATE(E$9, 1, 1), 'Other Minerals - Q&amp;V'!$A$11:$A$743, "&lt;" &amp; DATE(E$9+1, 1, 1))*10^6</f>
        <v>39103266.360000007</v>
      </c>
      <c r="G91" s="211">
        <f>SUMIFS('Other Minerals - Q&amp;V'!$B$11:$B$743, 'Other Minerals - Q&amp;V'!$A$11:$A$743, "&gt;=" &amp; DATE(G$9, 1, 1), 'Other Minerals - Q&amp;V'!$A$11:$A$743, "&lt;" &amp; DATE(G$9+1, 1, 1))*10^3</f>
        <v>103020.00000000001</v>
      </c>
      <c r="H91" s="211">
        <f>SUMIFS('Other Minerals - Q&amp;V'!$C$11:$C$743, 'Other Minerals - Q&amp;V'!$A$11:$A$743, "&gt;=" &amp; DATE(G$9, 1, 1), 'Other Minerals - Q&amp;V'!$A$11:$A$743, "&lt;" &amp; DATE(G$9+1, 1, 1))*10^6</f>
        <v>49870901.419999994</v>
      </c>
      <c r="I91" s="211">
        <f>SUMIFS('Other Minerals - Q&amp;V'!$B$11:$B$743, 'Other Minerals - Q&amp;V'!$A$11:$A$743, "&gt;=" &amp; DATE(I$9, 1, 1), 'Other Minerals - Q&amp;V'!$A$11:$A$743, "&lt;" &amp; DATE(I$9+1, 1, 1))*10^3</f>
        <v>120330</v>
      </c>
      <c r="J91" s="211">
        <f>SUMIFS('Other Minerals - Q&amp;V'!$C$11:$C$743, 'Other Minerals - Q&amp;V'!$A$11:$A$743, "&gt;=" &amp; DATE(I$9, 1, 1), 'Other Minerals - Q&amp;V'!$A$11:$A$743, "&lt;" &amp; DATE(I$9+1, 1, 1))*10^6</f>
        <v>63222478.219999999</v>
      </c>
      <c r="K91" s="211">
        <f>SUMIFS('Other Minerals - Q&amp;V'!$B$11:$B$743, 'Other Minerals - Q&amp;V'!$A$11:$A$743, "&gt;=" &amp; DATE(K$9, 1, 1), 'Other Minerals - Q&amp;V'!$A$11:$A$743, "&lt;" &amp; DATE(K$9+1, 1, 1))*10^3</f>
        <v>88060</v>
      </c>
      <c r="L91" s="211">
        <f>SUMIFS('Other Minerals - Q&amp;V'!$C$11:$C$743, 'Other Minerals - Q&amp;V'!$A$11:$A$743, "&gt;=" &amp; DATE(K$9, 1, 1), 'Other Minerals - Q&amp;V'!$A$11:$A$743, "&lt;" &amp; DATE(K$9+1, 1, 1))*10^6</f>
        <v>51411615.130000003</v>
      </c>
      <c r="M91" s="211">
        <f>SUMIFS('Other Minerals - Q&amp;V'!$B$11:$B$743, 'Other Minerals - Q&amp;V'!$A$11:$A$743, "&gt;=" &amp; DATE(M$9, 1, 1), 'Other Minerals - Q&amp;V'!$A$11:$A$743, "&lt;" &amp; DATE(M$9+1, 1, 1))*10^3</f>
        <v>124140</v>
      </c>
      <c r="N91" s="211">
        <f>SUMIFS('Other Minerals - Q&amp;V'!$C$11:$C$743, 'Other Minerals - Q&amp;V'!$A$11:$A$743, "&gt;=" &amp; DATE(M$9, 1, 1), 'Other Minerals - Q&amp;V'!$A$11:$A$743, "&lt;" &amp; DATE(M$9+1, 1, 1))*10^6</f>
        <v>74044649.460000008</v>
      </c>
      <c r="O91" s="211">
        <f>SUMIFS('Other Minerals - Q&amp;V'!$B$11:$B$743, 'Other Minerals - Q&amp;V'!$A$11:$A$743, "&gt;=" &amp; DATE(O$9, 1, 1), 'Other Minerals - Q&amp;V'!$A$11:$A$743, "&lt;" &amp; DATE(O$9+1, 1, 1))*10^3</f>
        <v>112990.00000000001</v>
      </c>
      <c r="P91" s="211">
        <f>SUMIFS('Other Minerals - Q&amp;V'!$C$11:$C$743, 'Other Minerals - Q&amp;V'!$A$11:$A$743, "&gt;=" &amp; DATE(O$9, 1, 1), 'Other Minerals - Q&amp;V'!$A$11:$A$743, "&lt;" &amp; DATE(O$9+1, 1, 1))*10^6</f>
        <v>80654205.189999998</v>
      </c>
      <c r="Q91" s="211">
        <f>SUMIFS('Other Minerals - Q&amp;V'!$B$11:$B$743, 'Other Minerals - Q&amp;V'!$A$11:$A$743, "&gt;=" &amp; DATE(Q$9, 1, 1), 'Other Minerals - Q&amp;V'!$A$11:$A$743, "&lt;" &amp; DATE(Q$9+1, 1, 1))*10^3</f>
        <v>91470</v>
      </c>
      <c r="R91" s="211">
        <f>SUMIFS('Other Minerals - Q&amp;V'!$C$11:$C$743, 'Other Minerals - Q&amp;V'!$A$11:$A$743, "&gt;=" &amp; DATE(Q$9, 1, 1), 'Other Minerals - Q&amp;V'!$A$11:$A$743, "&lt;" &amp; DATE(Q$9+1, 1, 1))*10^6</f>
        <v>96223977.849999994</v>
      </c>
      <c r="S91" s="211">
        <f>SUMIFS('Other Minerals - Q&amp;V'!$B$11:$B$743, 'Other Minerals - Q&amp;V'!$A$11:$A$743, "&gt;=" &amp; DATE(S$9, 1, 1), 'Other Minerals - Q&amp;V'!$A$11:$A$743, "&lt;" &amp; DATE(S$9+1, 1, 1))*10^3</f>
        <v>134670.00000000003</v>
      </c>
      <c r="T91" s="211">
        <f>SUMIFS('Other Minerals - Q&amp;V'!$C$11:$C$743, 'Other Minerals - Q&amp;V'!$A$11:$A$743, "&gt;=" &amp; DATE(S$9, 1, 1), 'Other Minerals - Q&amp;V'!$A$11:$A$743, "&lt;" &amp; DATE(S$9+1, 1, 1))*10^6</f>
        <v>120732521.81</v>
      </c>
      <c r="U91" s="211">
        <f>SUMIFS('Other Minerals - Q&amp;V'!$B$11:$B$743, 'Other Minerals - Q&amp;V'!$A$11:$A$743, "&gt;=" &amp; DATE(U$9, 1, 1), 'Other Minerals - Q&amp;V'!$A$11:$A$743, "&lt;" &amp; DATE(U$9+1, 1, 1))*10^3</f>
        <v>126349.74535751053</v>
      </c>
      <c r="V91" s="211">
        <f>SUMIFS('Other Minerals - Q&amp;V'!$C$11:$C$743, 'Other Minerals - Q&amp;V'!$A$11:$A$743, "&gt;=" &amp; DATE(U$9, 1, 1), 'Other Minerals - Q&amp;V'!$A$11:$A$743, "&lt;" &amp; DATE(U$9+1, 1, 1))*10^6</f>
        <v>88375712.999999985</v>
      </c>
      <c r="W91" s="211">
        <f>SUMIFS('Other Minerals - Q&amp;V'!$B$11:$B$743, 'Other Minerals - Q&amp;V'!$A$11:$A$743, "&gt;=" &amp; DATE(W$9, 1, 1), 'Other Minerals - Q&amp;V'!$A$11:$A$743, "&lt;" &amp; DATE(W$9+1, 1, 1))*10^3</f>
        <v>146421.99262624758</v>
      </c>
      <c r="X91" s="211">
        <f>SUMIFS('Other Minerals - Q&amp;V'!$C$11:$C$743, 'Other Minerals - Q&amp;V'!$A$11:$A$743, "&gt;=" &amp; DATE(W$9, 1, 1), 'Other Minerals - Q&amp;V'!$A$11:$A$743, "&lt;" &amp; DATE(W$9+1, 1, 1))*10^6</f>
        <v>94039155.999999985</v>
      </c>
      <c r="Y91" s="211">
        <f>SUMIFS('Other Minerals - Q&amp;V'!$B$11:$B$743, 'Other Minerals - Q&amp;V'!$A$11:$A$743, "&gt;=" &amp; DATE(Y$9, 1, 1), 'Other Minerals - Q&amp;V'!$A$11:$A$743, "&lt;" &amp; DATE(Y$9+1, 1, 1))*10^3</f>
        <v>149895.10942500207</v>
      </c>
      <c r="Z91" s="211">
        <f>SUMIFS('Other Minerals - Q&amp;V'!$C$11:$C$743, 'Other Minerals - Q&amp;V'!$A$11:$A$743, "&gt;=" &amp; DATE(Y$9, 1, 1), 'Other Minerals - Q&amp;V'!$A$11:$A$743, "&lt;" &amp; DATE(Y$9+1, 1, 1))*10^6</f>
        <v>96075521.999999985</v>
      </c>
      <c r="AA91" s="211">
        <f>SUMIFS('Other Minerals - Q&amp;V'!$B$11:$B$743, 'Other Minerals - Q&amp;V'!$A$11:$A$743, "&gt;=" &amp; DATE(AA$9, 1, 1), 'Other Minerals - Q&amp;V'!$A$11:$A$743, "&lt;" &amp; DATE(AA$9+1, 1, 1))*10^3</f>
        <v>158407.9249689134</v>
      </c>
      <c r="AB91" s="211">
        <f>SUMIFS('Other Minerals - Q&amp;V'!$C$11:$C$743, 'Other Minerals - Q&amp;V'!$A$11:$A$743, "&gt;=" &amp; DATE(AA$9, 1, 1), 'Other Minerals - Q&amp;V'!$A$11:$A$743, "&lt;" &amp; DATE(AA$9+1, 1, 1))*10^6</f>
        <v>111613163.99999999</v>
      </c>
      <c r="AC91" s="211">
        <f>SUMIFS('Other Minerals - Q&amp;V'!$B$11:$B$743, 'Other Minerals - Q&amp;V'!$A$11:$A$743, "&gt;=" &amp; DATE(AC$9, 1, 1), 'Other Minerals - Q&amp;V'!$A$11:$A$743, "&lt;" &amp; DATE(AC$9+1, 1, 1))*10^3</f>
        <v>138246.38605241809</v>
      </c>
      <c r="AD91" s="211">
        <f>SUMIFS('Other Minerals - Q&amp;V'!$C$11:$C$743, 'Other Minerals - Q&amp;V'!$A$11:$A$743, "&gt;=" &amp; DATE(AC$9, 1, 1), 'Other Minerals - Q&amp;V'!$A$11:$A$743, "&lt;" &amp; DATE(AC$9+1, 1, 1))*10^6</f>
        <v>92242777.999999985</v>
      </c>
      <c r="AE91" s="266">
        <f>SUMIFS('Other Minerals - Q&amp;V'!$B$11:$B$743, 'Other Minerals - Q&amp;V'!$A$11:$A$743, "&gt;=" &amp; DATE(AE$9, 1, 1), 'Other Minerals - Q&amp;V'!$A$11:$A$743, "&lt;" &amp; DATE(AE$9+1, 1, 1))*10^3</f>
        <v>143841.84143682092</v>
      </c>
      <c r="AF91" s="266">
        <f>SUMIFS('Other Minerals - Q&amp;V'!$C$11:$C$743, 'Other Minerals - Q&amp;V'!$A$11:$A$743, "&gt;=" &amp; DATE(AE$9, 1, 1), 'Other Minerals - Q&amp;V'!$A$11:$A$743, "&lt;" &amp; DATE(AE$9+1, 1, 1))*10^6</f>
        <v>94142442.981089264</v>
      </c>
      <c r="AG91" s="266">
        <f>SUMIFS('Other Minerals - Q&amp;V'!$B$11:$B$743, 'Other Minerals - Q&amp;V'!$A$11:$A$743, "&gt;=" &amp; DATE(AG$9, 1, 1), 'Other Minerals - Q&amp;V'!$A$11:$A$743, "&lt;" &amp; DATE(AG$9+1, 1, 1))*10^3</f>
        <v>130587.94712707569</v>
      </c>
      <c r="AH91" s="266">
        <f>SUMIFS('Other Minerals - Q&amp;V'!$C$11:$C$743, 'Other Minerals - Q&amp;V'!$A$11:$A$743, "&gt;=" &amp; DATE(AG$9, 1, 1), 'Other Minerals - Q&amp;V'!$A$11:$A$743, "&lt;" &amp; DATE(AG$9+1, 1, 1))*10^6</f>
        <v>96195312.999999985</v>
      </c>
      <c r="AI91" s="266">
        <f>SUMIFS('Other Minerals - Q&amp;V'!$B$11:$B$743, 'Other Minerals - Q&amp;V'!$A$11:$A$743, "&gt;=" &amp; DATE(AI$9, 1, 1), 'Other Minerals - Q&amp;V'!$A$11:$A$743, "&lt;" &amp; DATE(AI$9+1, 1, 1))*10^3</f>
        <v>127208.84998798616</v>
      </c>
      <c r="AJ91" s="266">
        <f>SUMIFS('Other Minerals - Q&amp;V'!$C$11:$C$743, 'Other Minerals - Q&amp;V'!$A$11:$A$743, "&gt;=" &amp; DATE(AI$9, 1, 1), 'Other Minerals - Q&amp;V'!$A$11:$A$743, "&lt;" &amp; DATE(AI$9+1, 1, 1))*10^6</f>
        <v>123661814</v>
      </c>
      <c r="AK91" s="211">
        <f>SUMIFS('Other Minerals - Q&amp;V'!$B$11:$B$743, 'Other Minerals - Q&amp;V'!$A$11:$A$743, "&gt;=" &amp; DATE(AK$9, 1, 1), 'Other Minerals - Q&amp;V'!$A$11:$A$743, "&lt;" &amp; DATE(AK$9+1, 1, 1))*10^3</f>
        <v>155384.76093261992</v>
      </c>
      <c r="AL91" s="211">
        <f>SUMIFS('Other Minerals - Q&amp;V'!$C$11:$C$743, 'Other Minerals - Q&amp;V'!$A$11:$A$743, "&gt;=" &amp; DATE(AK$9, 1, 1), 'Other Minerals - Q&amp;V'!$A$11:$A$743, "&lt;" &amp; DATE(AK$9+1, 1, 1))*10^6</f>
        <v>161068904</v>
      </c>
      <c r="AM91" s="266">
        <f>SUMIFS('Other Minerals - Q&amp;V'!$B$11:$B$743, 'Other Minerals - Q&amp;V'!$A$11:$A$743, "&gt;=" &amp; DATE(AM$9, 1, 1), 'Other Minerals - Q&amp;V'!$A$11:$A$743, "&lt;" &amp; DATE(AM$9+1, 1, 1))*10^3</f>
        <v>129113.25136125456</v>
      </c>
      <c r="AN91" s="266">
        <f>SUMIFS('Other Minerals - Q&amp;V'!$C$11:$C$743, 'Other Minerals - Q&amp;V'!$A$11:$A$743, "&gt;=" &amp; DATE(AM$9, 1, 1), 'Other Minerals - Q&amp;V'!$A$11:$A$743, "&lt;" &amp; DATE(AM$9+1, 1, 1))*10^6</f>
        <v>129925375</v>
      </c>
      <c r="AO91" s="266">
        <f>SUMIFS('Other Minerals - Q&amp;V'!$B$11:$B$743, 'Other Minerals - Q&amp;V'!$A$11:$A$743, "&gt;=" &amp; DATE(AO$9, 1, 1), 'Other Minerals - Q&amp;V'!$A$11:$A$743, "&lt;" &amp; DATE(AO$9+1, 1, 1))*10^3</f>
        <v>108606.99626778987</v>
      </c>
      <c r="AP91" s="266">
        <f>SUMIFS('Other Minerals - Q&amp;V'!$C$11:$C$743, 'Other Minerals - Q&amp;V'!$A$11:$A$743, "&gt;=" &amp; DATE(AO$9, 1, 1), 'Other Minerals - Q&amp;V'!$A$11:$A$743, "&lt;" &amp; DATE(AO$9+1, 1, 1))*10^6</f>
        <v>124351067</v>
      </c>
      <c r="AQ91" s="266">
        <f>SUMIFS('Other Minerals - Q&amp;V'!$B$11:$B$743, 'Other Minerals - Q&amp;V'!$A$11:$A$743, "&gt;=" &amp; DATE(AQ$9, 1, 1), 'Other Minerals - Q&amp;V'!$A$11:$A$743, "&lt;" &amp; DATE(AQ$9+1, 1, 1))*10^3</f>
        <v>93407.407427995742</v>
      </c>
      <c r="AR91" s="266">
        <f>SUMIFS('Other Minerals - Q&amp;V'!$C$11:$C$743, 'Other Minerals - Q&amp;V'!$A$11:$A$743, "&gt;=" &amp; DATE(AQ$9, 1, 1), 'Other Minerals - Q&amp;V'!$A$11:$A$743, "&lt;" &amp; DATE(AQ$9+1, 1, 1))*10^6</f>
        <v>132507230.99999999</v>
      </c>
      <c r="AS91" s="266">
        <f>SUMIFS('Other Minerals - Q&amp;V'!$B$11:$B$743, 'Other Minerals - Q&amp;V'!$A$11:$A$743, "&gt;=" &amp; DATE(AS$9, 1, 1), 'Other Minerals - Q&amp;V'!$A$11:$A$743, "&lt;" &amp; DATE(AS$9+1, 1, 1))*10^3</f>
        <v>108144.0631557725</v>
      </c>
      <c r="AT91" s="266">
        <f>SUMIFS('Other Minerals - Q&amp;V'!$C$11:$C$743, 'Other Minerals - Q&amp;V'!$A$11:$A$743, "&gt;=" &amp; DATE(AS$9, 1, 1), 'Other Minerals - Q&amp;V'!$A$11:$A$743, "&lt;" &amp; DATE(AS$9+1, 1, 1))*10^6</f>
        <v>223511061.99999997</v>
      </c>
      <c r="AU91" s="211">
        <f>SUMIF($C$11:AT$11, 1, $C91:AT91)</f>
        <v>2739356.2761274073</v>
      </c>
      <c r="AV91" s="211">
        <f>SUMIF($C$11:AT$11, 0, $C91:AT91)</f>
        <v>2167628070.2210894</v>
      </c>
    </row>
    <row r="92" spans="1:48" x14ac:dyDescent="0.25">
      <c r="A92" s="210"/>
      <c r="B92" s="206"/>
      <c r="C92" s="211"/>
      <c r="D92" s="211"/>
      <c r="E92" s="211"/>
      <c r="F92" s="211"/>
      <c r="G92" s="211"/>
      <c r="H92" s="211"/>
      <c r="I92" s="211"/>
      <c r="J92" s="211"/>
      <c r="K92" s="211"/>
      <c r="L92" s="211"/>
      <c r="M92" s="211"/>
      <c r="N92" s="211"/>
      <c r="O92" s="211"/>
      <c r="P92" s="211"/>
      <c r="Q92" s="211"/>
      <c r="R92" s="211"/>
      <c r="S92" s="211"/>
      <c r="T92" s="211"/>
      <c r="U92" s="211"/>
      <c r="V92" s="211"/>
      <c r="W92" s="211"/>
      <c r="X92" s="211"/>
      <c r="Y92" s="299"/>
      <c r="Z92" s="299"/>
      <c r="AA92" s="299"/>
      <c r="AB92" s="299"/>
      <c r="AC92" s="299"/>
      <c r="AD92" s="299"/>
      <c r="AE92" s="266"/>
      <c r="AF92" s="266"/>
      <c r="AG92" s="266"/>
      <c r="AH92" s="266"/>
      <c r="AI92" s="266"/>
      <c r="AJ92" s="266"/>
      <c r="AK92" s="266"/>
      <c r="AL92" s="266"/>
      <c r="AM92" s="266"/>
      <c r="AN92" s="266"/>
      <c r="AO92" s="266"/>
      <c r="AP92" s="266"/>
      <c r="AQ92" s="266"/>
      <c r="AR92" s="266"/>
      <c r="AS92" s="266"/>
      <c r="AT92" s="266"/>
      <c r="AU92" s="211"/>
      <c r="AV92" s="211"/>
    </row>
    <row r="93" spans="1:48" x14ac:dyDescent="0.25">
      <c r="A93" s="215" t="s">
        <v>244</v>
      </c>
      <c r="C93" s="201"/>
      <c r="D93" s="201"/>
      <c r="E93" s="201"/>
      <c r="F93" s="201"/>
      <c r="G93" s="201"/>
      <c r="H93" s="201"/>
      <c r="I93" s="201"/>
      <c r="J93" s="201"/>
      <c r="K93" s="201"/>
      <c r="L93" s="201"/>
      <c r="M93" s="201"/>
      <c r="N93" s="201"/>
      <c r="O93" s="201"/>
      <c r="P93" s="201"/>
      <c r="Q93" s="201"/>
      <c r="R93" s="201"/>
      <c r="S93" s="201"/>
      <c r="T93" s="201"/>
      <c r="U93" s="201"/>
      <c r="V93" s="201"/>
      <c r="W93" s="201"/>
      <c r="X93" s="201"/>
      <c r="Y93" s="304"/>
      <c r="Z93" s="304"/>
      <c r="AA93" s="304"/>
      <c r="AB93" s="304"/>
      <c r="AC93" s="304"/>
      <c r="AD93" s="304"/>
      <c r="AE93" s="232"/>
      <c r="AF93" s="232"/>
      <c r="AG93" s="232"/>
      <c r="AH93" s="232"/>
      <c r="AI93" s="232"/>
      <c r="AJ93" s="232"/>
      <c r="AK93" s="201"/>
      <c r="AL93" s="201"/>
      <c r="AM93" s="201"/>
      <c r="AN93" s="201"/>
      <c r="AO93" s="201"/>
      <c r="AP93" s="201"/>
      <c r="AQ93" s="201"/>
      <c r="AR93" s="201"/>
      <c r="AS93" s="201"/>
      <c r="AT93" s="201"/>
      <c r="AU93" s="201"/>
      <c r="AV93" s="201"/>
    </row>
    <row r="94" spans="1:48" x14ac:dyDescent="0.25">
      <c r="A94" s="229" t="s">
        <v>245</v>
      </c>
      <c r="B94" s="216" t="s">
        <v>166</v>
      </c>
      <c r="C94" s="201">
        <v>986.02700000000004</v>
      </c>
      <c r="D94" s="201" t="s">
        <v>509</v>
      </c>
      <c r="E94" s="201">
        <v>1043.3599999999999</v>
      </c>
      <c r="F94" s="201" t="s">
        <v>509</v>
      </c>
      <c r="G94" s="201">
        <v>609.99</v>
      </c>
      <c r="H94" s="201" t="s">
        <v>509</v>
      </c>
      <c r="I94" s="201">
        <v>538.69299999999998</v>
      </c>
      <c r="J94" s="201" t="s">
        <v>509</v>
      </c>
      <c r="K94" s="201">
        <v>680.10599999999999</v>
      </c>
      <c r="L94" s="201" t="s">
        <v>509</v>
      </c>
      <c r="M94" s="201">
        <v>104.527</v>
      </c>
      <c r="N94" s="201" t="s">
        <v>509</v>
      </c>
      <c r="O94" s="201" t="s">
        <v>172</v>
      </c>
      <c r="P94" s="201" t="s">
        <v>509</v>
      </c>
      <c r="Q94" s="201">
        <v>233.08900000000003</v>
      </c>
      <c r="R94" s="201" t="s">
        <v>509</v>
      </c>
      <c r="S94" s="201">
        <v>395.94300000000004</v>
      </c>
      <c r="T94" s="201" t="s">
        <v>509</v>
      </c>
      <c r="U94" s="201">
        <v>34.189</v>
      </c>
      <c r="V94" s="201" t="s">
        <v>509</v>
      </c>
      <c r="W94" s="201">
        <v>86.951999999999998</v>
      </c>
      <c r="X94" s="201" t="s">
        <v>509</v>
      </c>
      <c r="Y94" s="201">
        <v>249.834</v>
      </c>
      <c r="Z94" s="201" t="s">
        <v>509</v>
      </c>
      <c r="AA94" s="201">
        <v>37.830999999999996</v>
      </c>
      <c r="AB94" s="277" t="s">
        <v>509</v>
      </c>
      <c r="AC94" s="201">
        <v>74.426000000000002</v>
      </c>
      <c r="AD94" s="277" t="s">
        <v>509</v>
      </c>
      <c r="AE94" s="201">
        <v>117.38500000000001</v>
      </c>
      <c r="AF94" s="303" t="s">
        <v>509</v>
      </c>
      <c r="AG94" s="201">
        <v>256.47500000000002</v>
      </c>
      <c r="AH94" s="303" t="s">
        <v>509</v>
      </c>
      <c r="AI94" s="201">
        <v>153.19800000000004</v>
      </c>
      <c r="AJ94" s="303" t="s">
        <v>509</v>
      </c>
      <c r="AK94" s="201">
        <v>212.73499999999999</v>
      </c>
      <c r="AL94" s="277" t="s">
        <v>509</v>
      </c>
      <c r="AM94" s="201">
        <v>183.69900000000001</v>
      </c>
      <c r="AN94" s="277" t="s">
        <v>509</v>
      </c>
      <c r="AO94" s="201">
        <v>204.89600000000004</v>
      </c>
      <c r="AP94" s="277" t="s">
        <v>512</v>
      </c>
      <c r="AQ94" s="201">
        <v>232.26399999999998</v>
      </c>
      <c r="AR94" s="277" t="s">
        <v>512</v>
      </c>
      <c r="AS94" s="201">
        <v>254.77669999999995</v>
      </c>
      <c r="AT94" s="277" t="s">
        <v>512</v>
      </c>
      <c r="AU94" s="201" t="s">
        <v>172</v>
      </c>
      <c r="AV94" s="201" t="s">
        <v>513</v>
      </c>
    </row>
    <row r="95" spans="1:48" x14ac:dyDescent="0.25">
      <c r="A95" s="229" t="s">
        <v>246</v>
      </c>
      <c r="B95" s="216" t="s">
        <v>166</v>
      </c>
      <c r="C95" s="201">
        <v>426</v>
      </c>
      <c r="D95" s="201" t="s">
        <v>509</v>
      </c>
      <c r="E95" s="201">
        <v>426.97</v>
      </c>
      <c r="F95" s="201" t="s">
        <v>509</v>
      </c>
      <c r="G95" s="201">
        <v>426.11</v>
      </c>
      <c r="H95" s="201" t="s">
        <v>509</v>
      </c>
      <c r="I95" s="201">
        <v>148.43</v>
      </c>
      <c r="J95" s="201" t="s">
        <v>509</v>
      </c>
      <c r="K95" s="201">
        <v>169.5</v>
      </c>
      <c r="L95" s="201" t="s">
        <v>509</v>
      </c>
      <c r="M95" s="201" t="s">
        <v>172</v>
      </c>
      <c r="N95" s="201" t="s">
        <v>509</v>
      </c>
      <c r="O95" s="201" t="s">
        <v>172</v>
      </c>
      <c r="P95" s="201" t="s">
        <v>509</v>
      </c>
      <c r="Q95" s="201" t="s">
        <v>172</v>
      </c>
      <c r="R95" s="201" t="s">
        <v>509</v>
      </c>
      <c r="S95" s="201" t="s">
        <v>172</v>
      </c>
      <c r="T95" s="201" t="s">
        <v>509</v>
      </c>
      <c r="U95" s="130">
        <v>49.499000000000002</v>
      </c>
      <c r="V95" s="201" t="s">
        <v>509</v>
      </c>
      <c r="W95" s="201">
        <v>14</v>
      </c>
      <c r="X95" s="201" t="s">
        <v>509</v>
      </c>
      <c r="Y95" s="201">
        <v>21.766999999999999</v>
      </c>
      <c r="Z95" s="201" t="s">
        <v>509</v>
      </c>
      <c r="AA95" s="277">
        <v>41.28</v>
      </c>
      <c r="AB95" s="277" t="s">
        <v>509</v>
      </c>
      <c r="AC95" s="277">
        <v>21.1</v>
      </c>
      <c r="AD95" s="277" t="s">
        <v>509</v>
      </c>
      <c r="AE95" s="303">
        <v>82.1</v>
      </c>
      <c r="AF95" s="303" t="s">
        <v>509</v>
      </c>
      <c r="AG95" s="303">
        <v>99.343999999999994</v>
      </c>
      <c r="AH95" s="303" t="s">
        <v>509</v>
      </c>
      <c r="AI95" s="303">
        <v>112.17400000000001</v>
      </c>
      <c r="AJ95" s="303" t="s">
        <v>509</v>
      </c>
      <c r="AK95" s="277">
        <v>72.77</v>
      </c>
      <c r="AL95" s="277" t="s">
        <v>509</v>
      </c>
      <c r="AM95" s="277">
        <v>106.28</v>
      </c>
      <c r="AN95" s="277" t="s">
        <v>509</v>
      </c>
      <c r="AO95" s="277">
        <v>152.59</v>
      </c>
      <c r="AP95" s="277" t="s">
        <v>512</v>
      </c>
      <c r="AQ95" s="277">
        <v>228.01</v>
      </c>
      <c r="AR95" s="277" t="s">
        <v>512</v>
      </c>
      <c r="AS95" s="277">
        <v>245.98999999999998</v>
      </c>
      <c r="AT95" s="277" t="s">
        <v>512</v>
      </c>
      <c r="AU95" s="201">
        <f>SUMIF($C$11:AT$11, 1, $C95:AT95)</f>
        <v>2843.9139999999998</v>
      </c>
      <c r="AV95" s="201" t="s">
        <v>513</v>
      </c>
    </row>
    <row r="96" spans="1:48" x14ac:dyDescent="0.25">
      <c r="A96" s="229" t="s">
        <v>247</v>
      </c>
      <c r="C96" s="201"/>
      <c r="D96" s="201">
        <v>173087496</v>
      </c>
      <c r="E96" s="201"/>
      <c r="F96" s="201">
        <v>162339189</v>
      </c>
      <c r="G96" s="201"/>
      <c r="H96" s="201">
        <v>107368540</v>
      </c>
      <c r="I96" s="201"/>
      <c r="J96" s="201">
        <v>102978720</v>
      </c>
      <c r="K96" s="201"/>
      <c r="L96" s="201">
        <v>121552910.67</v>
      </c>
      <c r="M96" s="201"/>
      <c r="N96" s="201">
        <v>21037951</v>
      </c>
      <c r="O96" s="201"/>
      <c r="P96" s="201">
        <v>1129993.1899999976</v>
      </c>
      <c r="Q96" s="201"/>
      <c r="R96" s="201">
        <v>78979432.099999994</v>
      </c>
      <c r="S96" s="201"/>
      <c r="T96" s="201">
        <v>38539491.110000014</v>
      </c>
      <c r="U96" s="201"/>
      <c r="V96" s="201">
        <v>3770475</v>
      </c>
      <c r="W96" s="201"/>
      <c r="X96" s="201">
        <v>5817111</v>
      </c>
      <c r="Y96" s="201"/>
      <c r="Z96" s="201">
        <v>8018001.9999999702</v>
      </c>
      <c r="AA96" s="277"/>
      <c r="AB96" s="277">
        <v>7661524</v>
      </c>
      <c r="AC96" s="277"/>
      <c r="AD96" s="277">
        <v>13610415</v>
      </c>
      <c r="AE96" s="303"/>
      <c r="AF96" s="303">
        <v>28842597</v>
      </c>
      <c r="AG96" s="303"/>
      <c r="AH96" s="303">
        <v>42427543</v>
      </c>
      <c r="AI96" s="303"/>
      <c r="AJ96" s="303">
        <v>21584124</v>
      </c>
      <c r="AK96" s="277"/>
      <c r="AL96" s="277">
        <v>36333113</v>
      </c>
      <c r="AM96" s="277"/>
      <c r="AN96" s="277">
        <v>49012090</v>
      </c>
      <c r="AO96" s="277"/>
      <c r="AP96" s="277">
        <v>52917311</v>
      </c>
      <c r="AQ96" s="277"/>
      <c r="AR96" s="277">
        <v>63113391</v>
      </c>
      <c r="AS96" s="277"/>
      <c r="AT96" s="277">
        <v>70572993</v>
      </c>
      <c r="AU96" s="201"/>
      <c r="AV96" s="201">
        <f>SUMIF($C$11:AT$11, 0, $C96:AT96)</f>
        <v>1210694412.0699999</v>
      </c>
    </row>
    <row r="97" spans="1:48" x14ac:dyDescent="0.25">
      <c r="A97" s="229"/>
      <c r="C97" s="201"/>
      <c r="D97" s="201"/>
      <c r="E97" s="201"/>
      <c r="F97" s="201"/>
      <c r="G97" s="201"/>
      <c r="H97" s="201"/>
      <c r="I97" s="201"/>
      <c r="J97" s="201"/>
      <c r="K97" s="201"/>
      <c r="L97" s="201"/>
      <c r="M97" s="201"/>
      <c r="N97" s="201"/>
      <c r="O97" s="201"/>
      <c r="P97" s="201"/>
      <c r="Q97" s="201"/>
      <c r="R97" s="201"/>
      <c r="S97" s="201"/>
      <c r="T97" s="201"/>
      <c r="U97" s="201"/>
      <c r="V97" s="201"/>
      <c r="W97" s="201"/>
      <c r="X97" s="201"/>
      <c r="Y97" s="201"/>
      <c r="Z97" s="201"/>
      <c r="AA97" s="277"/>
      <c r="AB97" s="277"/>
      <c r="AC97" s="277"/>
      <c r="AD97" s="277"/>
      <c r="AE97" s="303"/>
      <c r="AF97" s="303"/>
      <c r="AG97" s="303"/>
      <c r="AH97" s="303"/>
      <c r="AI97" s="303"/>
      <c r="AJ97" s="303"/>
      <c r="AK97" s="303"/>
      <c r="AL97" s="303"/>
      <c r="AM97" s="277"/>
      <c r="AN97" s="277"/>
      <c r="AO97" s="277"/>
      <c r="AP97" s="277"/>
      <c r="AQ97" s="277"/>
      <c r="AR97" s="277"/>
      <c r="AS97" s="277"/>
      <c r="AT97" s="277"/>
      <c r="AU97" s="201"/>
      <c r="AV97" s="201"/>
    </row>
    <row r="98" spans="1:48" x14ac:dyDescent="0.25">
      <c r="A98" s="210" t="s">
        <v>248</v>
      </c>
      <c r="B98" s="206" t="s">
        <v>166</v>
      </c>
      <c r="C98" s="211"/>
      <c r="D98" s="211">
        <v>15290405.57</v>
      </c>
      <c r="E98" s="211"/>
      <c r="F98" s="211">
        <v>13646771.57</v>
      </c>
      <c r="G98" s="211"/>
      <c r="H98" s="211">
        <v>15561388.1</v>
      </c>
      <c r="I98" s="211"/>
      <c r="J98" s="211">
        <v>13647434.57</v>
      </c>
      <c r="K98" s="211"/>
      <c r="L98" s="211">
        <v>76975183</v>
      </c>
      <c r="M98" s="211"/>
      <c r="N98" s="211">
        <v>63335222</v>
      </c>
      <c r="O98" s="211"/>
      <c r="P98" s="211">
        <v>42263274</v>
      </c>
      <c r="Q98" s="211"/>
      <c r="R98" s="211">
        <v>469000214</v>
      </c>
      <c r="S98" s="211"/>
      <c r="T98" s="211">
        <v>380036531</v>
      </c>
      <c r="U98" s="211"/>
      <c r="V98" s="211">
        <v>526591133</v>
      </c>
      <c r="W98" s="211"/>
      <c r="X98" s="211">
        <v>170201553</v>
      </c>
      <c r="Y98" s="211"/>
      <c r="Z98" s="211">
        <v>407070733</v>
      </c>
      <c r="AA98" s="211"/>
      <c r="AB98" s="211">
        <v>214860006</v>
      </c>
      <c r="AC98" s="211"/>
      <c r="AD98" s="284">
        <f>AD101-SUM(AD16,AD22,AD24,AD26,AD28,AD30,AD38,AD40,AD42,AD44,AD46,AD48,AD50,AD52,AD57,AD59,AD69,AD71,AD81,AD83,AD85,AD87,AD89,AD91,AD96)</f>
        <v>417717392.40066528</v>
      </c>
      <c r="AE98" s="285"/>
      <c r="AF98" s="285">
        <f>AF101-SUM(AF16,AF22,AF24,AF26,AF28,AF30,AF38,AF40,AF42,AF44,AF46,AF48,AF50,AF52,AF57,AF59,AF69,AF71,AF81,AF83,AF85,AF87,AF89,AF91,AF96)</f>
        <v>20589398.744506836</v>
      </c>
      <c r="AG98" s="285"/>
      <c r="AH98" s="285">
        <f>AH101-SUM(AH16,AH22,AH24,AH26,AH28,AH30,AH38,AH40,AH42,AH44,AH46,AH48,AH50,AH52,AH57,AH59,AH69,AH71,AH81,AH83,AH85,AH87,AH89,AH91,AH96)</f>
        <v>798072849.20285034</v>
      </c>
      <c r="AI98" s="285"/>
      <c r="AJ98" s="266">
        <f>AJ101-SUM(AJ16,AJ22,AJ24,AJ26,AJ28,AJ30,AJ38,AJ40,AJ42,AJ44,AJ46,AJ48,AJ50,AJ52,AJ57,AJ59,AJ69,AJ71,AJ81,AJ83,AJ85,AJ87,AJ89,AJ91,AJ96)</f>
        <v>341946419.11767578</v>
      </c>
      <c r="AK98" s="285"/>
      <c r="AL98" s="266">
        <f>AL101-SUM(AL16,AL22,AL24,AL26,AL28,AL30,AL38,AL40,AL42,AL44,AL46,AL48,AL50,AL52,AL57,AL59,AL69,AL71,AL81,AL83,AL85,AL87,AL89,AL91,AL96)</f>
        <v>10923642.861083984</v>
      </c>
      <c r="AM98" s="266"/>
      <c r="AN98" s="266">
        <f>AN101-SUM(AN16,AN22,AN24,AN26,AN28,AN30,AN38,AN40,AN42,AN44,AN46,AN48,AN50,AN52,AN57,AN59,AN69,AN71,AN81,AN83,AN85,AN87,AN89,AN91,AN96)</f>
        <v>22791709.930847168</v>
      </c>
      <c r="AO98" s="266"/>
      <c r="AP98" s="266">
        <f>AP101-SUM(AP16,AP22,AP24,AP26,AP28,AP30,AP38,AP40,AP42,AP44,AP46,AP48,AP50,AP52,AP57,AP59,AP69,AP71,AP81,AP83,AP85,AP87,AP89,AP91,AP96)</f>
        <v>434507407</v>
      </c>
      <c r="AQ98" s="266"/>
      <c r="AR98" s="266">
        <f>AR101-SUM(AR16,AR22,AR24,AR26,AR28,AR30,AR38,AR40,AR42,AR44,AR46,AR48,AR50,AR52,AR57,AR59,AR69,AR71,AR81,AR83,AR85,AR87,AR89,AR91,AR96)</f>
        <v>260914983.13458252</v>
      </c>
      <c r="AS98" s="266"/>
      <c r="AT98" s="266">
        <f>AT101-SUM(AT16,AT22,AT24,AT26,AT28,AT30,AT38,AT40,AT42,AT44,AT46,AT48,AT50,AT52,AT57,AT59,AT69,AT71,AT81,AT83,AT85,AT87,AT89,AT91,AT96)</f>
        <v>339532542.00003052</v>
      </c>
      <c r="AU98" s="211"/>
      <c r="AV98" s="211">
        <f>SUM($C98:AT98)</f>
        <v>5055476193.2022419</v>
      </c>
    </row>
    <row r="99" spans="1:48" x14ac:dyDescent="0.25">
      <c r="A99" s="210" t="s">
        <v>514</v>
      </c>
      <c r="B99" s="43"/>
      <c r="C99" s="211"/>
      <c r="D99" s="211"/>
      <c r="E99" s="211"/>
      <c r="F99" s="211"/>
      <c r="G99" s="211"/>
      <c r="H99" s="211"/>
      <c r="I99" s="211"/>
      <c r="J99" s="211"/>
      <c r="K99" s="211"/>
      <c r="L99" s="211"/>
      <c r="M99" s="211"/>
      <c r="N99" s="211"/>
      <c r="O99" s="211"/>
      <c r="P99" s="211"/>
      <c r="Q99" s="211"/>
      <c r="R99" s="211"/>
      <c r="S99" s="211"/>
      <c r="T99" s="211"/>
      <c r="U99" s="211"/>
      <c r="V99" s="211"/>
      <c r="W99" s="211"/>
      <c r="X99" s="211"/>
      <c r="Y99" s="299"/>
      <c r="Z99" s="299"/>
      <c r="AA99" s="299"/>
      <c r="AB99" s="299"/>
      <c r="AC99" s="299"/>
      <c r="AD99" s="299"/>
      <c r="AE99" s="266"/>
      <c r="AF99" s="266"/>
      <c r="AG99" s="266"/>
      <c r="AH99" s="266"/>
      <c r="AI99" s="266"/>
      <c r="AJ99" s="266"/>
      <c r="AK99" s="266"/>
      <c r="AL99" s="266"/>
      <c r="AM99" s="266"/>
      <c r="AN99" s="266"/>
      <c r="AO99" s="266"/>
      <c r="AP99" s="266"/>
      <c r="AQ99" s="266"/>
      <c r="AR99" s="266"/>
      <c r="AS99" s="266"/>
      <c r="AT99" s="266"/>
      <c r="AU99" s="211"/>
      <c r="AV99" s="211"/>
    </row>
    <row r="100" spans="1:48" x14ac:dyDescent="0.25">
      <c r="A100" s="210"/>
      <c r="B100" s="43"/>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99"/>
      <c r="Z100" s="299"/>
      <c r="AA100" s="299"/>
      <c r="AB100" s="299"/>
      <c r="AC100" s="299"/>
      <c r="AD100" s="299"/>
      <c r="AE100" s="266"/>
      <c r="AF100" s="266"/>
      <c r="AG100" s="266"/>
      <c r="AH100" s="266"/>
      <c r="AI100" s="266"/>
      <c r="AJ100" s="266"/>
      <c r="AK100" s="266"/>
      <c r="AL100" s="266"/>
      <c r="AM100" s="266"/>
      <c r="AN100" s="266"/>
      <c r="AO100" s="266"/>
      <c r="AP100" s="266"/>
      <c r="AQ100" s="266"/>
      <c r="AR100" s="266"/>
      <c r="AS100" s="266"/>
      <c r="AT100" s="266"/>
      <c r="AU100" s="211"/>
      <c r="AV100" s="211"/>
    </row>
    <row r="101" spans="1:48" x14ac:dyDescent="0.25">
      <c r="A101" s="305" t="s">
        <v>250</v>
      </c>
      <c r="B101" s="1159"/>
      <c r="C101" s="307"/>
      <c r="D101" s="307">
        <f>D103-D79</f>
        <v>18379777765.96212</v>
      </c>
      <c r="E101" s="307"/>
      <c r="F101" s="307">
        <f>F103-F79</f>
        <v>24828597111.67939</v>
      </c>
      <c r="G101" s="307"/>
      <c r="H101" s="307">
        <f>H103-H79</f>
        <v>33750051973.511307</v>
      </c>
      <c r="I101" s="307"/>
      <c r="J101" s="307">
        <f>J103-J79</f>
        <v>36141132382.004303</v>
      </c>
      <c r="K101" s="307"/>
      <c r="L101" s="307">
        <f>L103-L79</f>
        <v>49022802489.821259</v>
      </c>
      <c r="M101" s="307"/>
      <c r="N101" s="307">
        <f>N103-N79</f>
        <v>44531117401.617874</v>
      </c>
      <c r="O101" s="307"/>
      <c r="P101" s="307">
        <f>P103-P79</f>
        <v>70368064121.930084</v>
      </c>
      <c r="Q101" s="307"/>
      <c r="R101" s="307">
        <f>R103-R79</f>
        <v>83758062597.162598</v>
      </c>
      <c r="S101" s="307"/>
      <c r="T101" s="307">
        <f>T103-T79</f>
        <v>74507642621.619751</v>
      </c>
      <c r="U101" s="307"/>
      <c r="V101" s="307">
        <f>V103-V79</f>
        <v>91940494760.120911</v>
      </c>
      <c r="W101" s="307"/>
      <c r="X101" s="307">
        <f>X103-X79</f>
        <v>86645038030.082642</v>
      </c>
      <c r="Y101" s="307"/>
      <c r="Z101" s="307">
        <f>Z103-Z79</f>
        <v>71386353063.987595</v>
      </c>
      <c r="AA101" s="307"/>
      <c r="AB101" s="307">
        <f>AB103-AB79</f>
        <v>76999120193.799744</v>
      </c>
      <c r="AC101" s="307"/>
      <c r="AD101" s="307">
        <v>88348675935.186462</v>
      </c>
      <c r="AE101" s="307"/>
      <c r="AF101" s="307">
        <v>94465923515.7742</v>
      </c>
      <c r="AG101" s="307"/>
      <c r="AH101" s="307">
        <v>130137858716.73193</v>
      </c>
      <c r="AI101" s="308"/>
      <c r="AJ101" s="308">
        <v>150335472349.25336</v>
      </c>
      <c r="AK101" s="308"/>
      <c r="AL101" s="308">
        <v>192194195608.1004</v>
      </c>
      <c r="AM101" s="308"/>
      <c r="AN101" s="308">
        <v>182024185827.2457</v>
      </c>
      <c r="AO101" s="308"/>
      <c r="AP101" s="308">
        <v>192632683604.87454</v>
      </c>
      <c r="AQ101" s="308"/>
      <c r="AR101" s="308">
        <v>180891816177.0264</v>
      </c>
      <c r="AS101" s="308"/>
      <c r="AT101" s="308">
        <v>181740126212.39227</v>
      </c>
      <c r="AU101" s="307"/>
      <c r="AV101" s="307">
        <f>SUM($C101:AT101)</f>
        <v>2155029192459.8848</v>
      </c>
    </row>
    <row r="102" spans="1:48" x14ac:dyDescent="0.25">
      <c r="A102" s="305"/>
      <c r="B102" s="1159"/>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8"/>
      <c r="AF102" s="308"/>
      <c r="AG102" s="308"/>
      <c r="AH102" s="308"/>
      <c r="AI102" s="308"/>
      <c r="AJ102" s="308"/>
      <c r="AK102" s="308"/>
      <c r="AL102" s="308"/>
      <c r="AM102" s="308"/>
      <c r="AN102" s="308"/>
      <c r="AO102" s="308"/>
      <c r="AP102" s="308"/>
      <c r="AQ102" s="308"/>
      <c r="AR102" s="308"/>
      <c r="AS102" s="308"/>
      <c r="AT102" s="308"/>
      <c r="AU102" s="307"/>
      <c r="AV102" s="307"/>
    </row>
    <row r="103" spans="1:48" x14ac:dyDescent="0.25">
      <c r="A103" s="305" t="s">
        <v>251</v>
      </c>
      <c r="B103" s="1159"/>
      <c r="C103" s="307"/>
      <c r="D103" s="307">
        <f>SUM(D98,D57,D91,D89,D87,D79,D52,D50,D69,D48,D46,D44,D42,D40,D38,D28,D26,D24,D22,D16,D85,D81,D96,D71,D30)</f>
        <v>28758745770.96212</v>
      </c>
      <c r="E103" s="307"/>
      <c r="F103" s="307">
        <f>SUM(F98,F57,F91,F89,F87,F79,F52,F50,F69,F48,F46,F44,F42,F40,F38,F28,F26,F24,F22,F16,F85,F81,F96,F71,F30)</f>
        <v>39219936234.244133</v>
      </c>
      <c r="G103" s="307"/>
      <c r="H103" s="307">
        <f>SUM(H98,H57,H91,H89,H87,H79,H52,H50,H69,H48,H46,H44,H42,H40,H38,H28,H26,H24,H22,H16,H85,H81,H96,H71,H30)</f>
        <v>49274304821.548279</v>
      </c>
      <c r="I103" s="307"/>
      <c r="J103" s="307">
        <f>SUM(J98,J57,J91,J89,J87,J79,J52,J50,J69,J48,J46,J44,J42,J40,J38,J28,J26,J24,J22,J16,J85,J81,J96,J71,J30)</f>
        <v>52899857495.248489</v>
      </c>
      <c r="K103" s="307"/>
      <c r="L103" s="307">
        <f>SUM(L98,L57,L91,L89,L87,L79,L52,L50,L69,L48,L46,L44,L42,L40,L38,L28,L26,L24,L22,L16,L85,L81,L96,L71,L30)</f>
        <v>72376100405.714386</v>
      </c>
      <c r="M103" s="307"/>
      <c r="N103" s="307">
        <f>SUM(N98,N57,N91,N89,N87,N79,N52,N50,N69,N48,N46,N44,N42,N40,N38,N28,N26,N24,N22,N16,N85,N81,N96,N71,N30)</f>
        <v>61248279456.53199</v>
      </c>
      <c r="O103" s="307"/>
      <c r="P103" s="307">
        <f>SUM(P98,P57,P91,P89,P87,P79,P52,P50,P69,P48,P46,P44,P42,P40,P38,P28,P26,P24,P22,P16,P85,P81,P96,P71,P30)</f>
        <v>93229987818.628036</v>
      </c>
      <c r="Q103" s="307"/>
      <c r="R103" s="307">
        <f>SUM(R98,R57,R91,R89,R87,R79,R52,R50,R69,R48,R46,R44,R42,R40,R38,R28,R26,R24,R22,R16,R85,R81,R96,R71,R30)</f>
        <v>106596481047.10809</v>
      </c>
      <c r="S103" s="307"/>
      <c r="T103" s="307">
        <f>SUM(T98,T57,T91,T89,T87,T79,T52,T50,T69,T48,T46,T44,T42,T40,T38,T28,T26,T24,T22,T16,T85,T81,T96,T71,T30)</f>
        <v>98940855607.211182</v>
      </c>
      <c r="U103" s="307"/>
      <c r="V103" s="307">
        <f>SUM(V98,V57,V91,V89,V87,V79,V52,V50,V69,V48,V46,V44,V42,V40,V38,V28,V26,V24,V22,V16,V85,V81,V96,V71,V30,V59)</f>
        <v>116616061919.79237</v>
      </c>
      <c r="W103" s="307"/>
      <c r="X103" s="307">
        <f>SUM(X98,X57,X91,X89,X87,X79,X52,X50,X69,X48,X46,X44,X42,X40,X38,X28,X26,X22,X16,X85,X81,X96,X71,X30,X59)</f>
        <v>112794521523.15077</v>
      </c>
      <c r="Y103" s="307"/>
      <c r="Z103" s="307">
        <f>SUM(Z98,Z57,Z91,Z89,Z87,Z79,Z52,Z50,Z69,Z48,Z46,Z44,Z42,Z40,Z38,Z28,Z26,Z24,Z22,Z16,Z85,Z81,Z96,Z71,Z30,Z59)</f>
        <v>91293615903.060394</v>
      </c>
      <c r="AA103" s="307"/>
      <c r="AB103" s="307">
        <f>SUM(AB98,AB57,AB91,AB89,AB87,AB79,AB52,AB50,AB69,AB48,AB46,AB44,AB42,AB40,AB38,AB28,AB26,AB24,AB22,AB16,AB85,AB81,AB96,AB71,AB30,AB59)</f>
        <v>94106480515.051636</v>
      </c>
      <c r="AC103" s="307"/>
      <c r="AD103" s="308">
        <f>AD101+AD79</f>
        <v>110172518810.7424</v>
      </c>
      <c r="AE103" s="308"/>
      <c r="AF103" s="308">
        <f>AF101+AF79</f>
        <v>130741376254.73508</v>
      </c>
      <c r="AG103" s="308"/>
      <c r="AH103" s="308">
        <f>AH101+AH79</f>
        <v>167847970561.57874</v>
      </c>
      <c r="AI103" s="308"/>
      <c r="AJ103" s="308">
        <f>AJ101+AJ79</f>
        <v>176914404424.72809</v>
      </c>
      <c r="AK103" s="308"/>
      <c r="AL103" s="308">
        <f>AL101+AL79</f>
        <v>231042567296.12308</v>
      </c>
      <c r="AM103" s="308"/>
      <c r="AN103" s="308">
        <f>AN101+AN79</f>
        <v>252564338157.47876</v>
      </c>
      <c r="AO103" s="308"/>
      <c r="AP103" s="308">
        <f>AP101+AP79</f>
        <v>248740520777.82074</v>
      </c>
      <c r="AQ103" s="308"/>
      <c r="AR103" s="308">
        <f>AR101+AR79</f>
        <v>230748840517.56067</v>
      </c>
      <c r="AS103" s="308"/>
      <c r="AT103" s="308">
        <f>AT101+AT79</f>
        <v>225800152030.12723</v>
      </c>
      <c r="AU103" s="307"/>
      <c r="AV103" s="307">
        <f>SUM($C103:AT103)</f>
        <v>2791927917349.1465</v>
      </c>
    </row>
    <row r="104" spans="1:48" x14ac:dyDescent="0.25">
      <c r="A104" s="306"/>
      <c r="B104" s="309"/>
      <c r="C104" s="310"/>
      <c r="D104" s="311"/>
      <c r="E104" s="310"/>
      <c r="F104" s="310" t="s">
        <v>238</v>
      </c>
      <c r="G104" s="310"/>
      <c r="H104" s="310" t="s">
        <v>238</v>
      </c>
      <c r="I104" s="310"/>
      <c r="J104" s="310"/>
      <c r="K104" s="310"/>
      <c r="L104" s="310"/>
      <c r="M104" s="306"/>
      <c r="N104" s="306"/>
      <c r="O104" s="306"/>
      <c r="P104" s="306"/>
      <c r="Q104" s="306"/>
      <c r="R104" s="306" t="s">
        <v>238</v>
      </c>
      <c r="S104" s="306"/>
      <c r="T104" s="306"/>
      <c r="U104" s="306"/>
      <c r="V104" s="306"/>
      <c r="W104" s="306"/>
      <c r="X104" s="306" t="s">
        <v>238</v>
      </c>
      <c r="Y104" s="312"/>
      <c r="Z104" s="312"/>
      <c r="AA104" s="312"/>
      <c r="AB104" s="312"/>
      <c r="AC104" s="312"/>
      <c r="AD104" s="312"/>
      <c r="AE104" s="313"/>
      <c r="AF104" s="313"/>
      <c r="AG104" s="313"/>
      <c r="AH104" s="313"/>
      <c r="AI104" s="313"/>
      <c r="AJ104" s="313"/>
      <c r="AK104" s="313"/>
      <c r="AL104" s="313"/>
      <c r="AM104" s="313"/>
      <c r="AN104" s="313"/>
      <c r="AO104" s="313"/>
      <c r="AP104" s="313"/>
      <c r="AQ104" s="313"/>
      <c r="AR104" s="313"/>
      <c r="AS104" s="313"/>
      <c r="AT104" s="313"/>
      <c r="AU104" s="306"/>
      <c r="AV104" s="312"/>
    </row>
    <row r="105" spans="1:48" x14ac:dyDescent="0.25">
      <c r="D105" s="314"/>
      <c r="I105" s="216"/>
      <c r="J105" s="216"/>
      <c r="Y105" s="230"/>
      <c r="Z105" s="230"/>
      <c r="AA105" s="230"/>
      <c r="AB105" s="230"/>
      <c r="AC105" s="230"/>
      <c r="AD105" s="230"/>
      <c r="AE105" s="315"/>
      <c r="AF105" s="315"/>
      <c r="AG105" s="315"/>
      <c r="AH105" s="315"/>
      <c r="AI105" s="315"/>
      <c r="AJ105" s="315"/>
      <c r="AK105" s="315"/>
      <c r="AL105" s="315"/>
      <c r="AM105" s="315"/>
      <c r="AN105" s="315"/>
      <c r="AO105" s="315"/>
      <c r="AP105" s="315"/>
      <c r="AQ105" s="315"/>
      <c r="AR105" s="315"/>
      <c r="AS105" s="315"/>
      <c r="AT105" s="315"/>
      <c r="AV105" s="230"/>
    </row>
    <row r="106" spans="1:48" x14ac:dyDescent="0.25">
      <c r="A106"/>
      <c r="B106"/>
      <c r="D106" s="314"/>
      <c r="W106" s="202"/>
      <c r="X106" s="202"/>
      <c r="Z106" s="202"/>
      <c r="AA106" s="202"/>
      <c r="AB106" s="202"/>
      <c r="AC106" s="202"/>
      <c r="AD106" s="202"/>
      <c r="AE106" s="130"/>
      <c r="AF106" s="130"/>
      <c r="AG106" s="130"/>
      <c r="AH106" s="130"/>
      <c r="AI106" s="130"/>
      <c r="AJ106" s="130"/>
      <c r="AK106" s="130"/>
      <c r="AL106" s="130"/>
      <c r="AM106" s="130"/>
      <c r="AN106" s="130"/>
      <c r="AO106" s="130"/>
      <c r="AP106" s="130"/>
      <c r="AQ106" s="130"/>
      <c r="AR106" s="130"/>
      <c r="AS106" s="130"/>
      <c r="AT106" s="130"/>
    </row>
    <row r="107" spans="1:48" x14ac:dyDescent="0.25">
      <c r="B107"/>
      <c r="D107" s="314"/>
      <c r="W107" s="202"/>
      <c r="X107" s="202"/>
      <c r="Z107" s="202"/>
      <c r="AA107" s="202"/>
      <c r="AB107" s="202"/>
      <c r="AC107" s="202"/>
      <c r="AD107" s="202"/>
      <c r="AE107" s="130"/>
      <c r="AF107" s="130"/>
      <c r="AG107" s="130"/>
      <c r="AH107" s="130"/>
      <c r="AI107" s="130"/>
      <c r="AJ107" s="130"/>
      <c r="AK107" s="130"/>
      <c r="AL107" s="130"/>
      <c r="AM107" s="130"/>
      <c r="AN107" s="130"/>
      <c r="AO107" s="130"/>
      <c r="AP107" s="130"/>
      <c r="AQ107" s="130"/>
      <c r="AR107" s="130"/>
      <c r="AS107" s="130"/>
      <c r="AT107" s="130"/>
    </row>
  </sheetData>
  <mergeCells count="23">
    <mergeCell ref="AM9:AN9"/>
    <mergeCell ref="AS9:AT9"/>
    <mergeCell ref="AU9:AV9"/>
    <mergeCell ref="AA9:AB9"/>
    <mergeCell ref="AC9:AD9"/>
    <mergeCell ref="AE9:AF9"/>
    <mergeCell ref="AG9:AH9"/>
    <mergeCell ref="AI9:AJ9"/>
    <mergeCell ref="AK9:AL9"/>
    <mergeCell ref="AO9:AP9"/>
    <mergeCell ref="AQ9:AR9"/>
    <mergeCell ref="Y9:Z9"/>
    <mergeCell ref="C9:D9"/>
    <mergeCell ref="E9:F9"/>
    <mergeCell ref="G9:H9"/>
    <mergeCell ref="I9:J9"/>
    <mergeCell ref="K9:L9"/>
    <mergeCell ref="M9:N9"/>
    <mergeCell ref="O9:P9"/>
    <mergeCell ref="Q9:R9"/>
    <mergeCell ref="S9:T9"/>
    <mergeCell ref="U9:V9"/>
    <mergeCell ref="W9:X9"/>
  </mergeCells>
  <pageMargins left="0.75" right="0.75" top="1" bottom="1" header="0.5" footer="0.5"/>
  <pageSetup paperSize="9" orientation="portrait" r:id="rId1"/>
  <headerFooter alignWithMargins="0"/>
  <ignoredErrors>
    <ignoredError sqref="D81"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92745-BA4B-4B19-AE50-B1663D9E29D6}">
  <dimension ref="A7:AN176"/>
  <sheetViews>
    <sheetView showGridLines="0" zoomScale="85" zoomScaleNormal="85" workbookViewId="0">
      <pane xSplit="2" ySplit="10" topLeftCell="C11" activePane="bottomRight" state="frozen"/>
      <selection pane="topRight" activeCell="C1" sqref="C1"/>
      <selection pane="bottomLeft" activeCell="A11" sqref="A11"/>
      <selection pane="bottomRight"/>
    </sheetView>
  </sheetViews>
  <sheetFormatPr defaultColWidth="9.140625" defaultRowHeight="15" x14ac:dyDescent="0.25"/>
  <cols>
    <col min="1" max="1" width="40.7109375" style="29" customWidth="1"/>
    <col min="2" max="2" width="6.85546875" style="29" bestFit="1" customWidth="1"/>
    <col min="3" max="3" width="19.7109375" style="29" bestFit="1" customWidth="1"/>
    <col min="4" max="4" width="20.42578125" style="29" bestFit="1" customWidth="1"/>
    <col min="5" max="5" width="19.7109375" style="29" bestFit="1" customWidth="1"/>
    <col min="6" max="6" width="20.42578125" style="29" bestFit="1" customWidth="1"/>
    <col min="7" max="7" width="19.7109375" style="29" bestFit="1" customWidth="1"/>
    <col min="8" max="8" width="20.42578125" style="29" bestFit="1" customWidth="1"/>
    <col min="9" max="9" width="19.7109375" style="29" bestFit="1" customWidth="1"/>
    <col min="10" max="10" width="20.42578125" style="29" bestFit="1" customWidth="1"/>
    <col min="11" max="11" width="19.7109375" style="29" bestFit="1" customWidth="1"/>
    <col min="12" max="12" width="20.42578125" style="29" bestFit="1" customWidth="1"/>
    <col min="13" max="13" width="19.7109375" style="29" bestFit="1" customWidth="1"/>
    <col min="14" max="14" width="20.42578125" style="29" bestFit="1" customWidth="1"/>
    <col min="15" max="15" width="19.7109375" style="29" bestFit="1" customWidth="1"/>
    <col min="16" max="16" width="20.42578125" style="29" bestFit="1" customWidth="1"/>
    <col min="17" max="17" width="19.7109375" style="29" bestFit="1" customWidth="1"/>
    <col min="18" max="18" width="20.42578125" style="29" bestFit="1" customWidth="1"/>
    <col min="19" max="19" width="19.7109375" style="201" bestFit="1" customWidth="1"/>
    <col min="20" max="20" width="20.42578125" style="201" bestFit="1" customWidth="1"/>
    <col min="21" max="21" width="19.7109375" style="29" bestFit="1" customWidth="1"/>
    <col min="22" max="22" width="20.42578125" style="29" bestFit="1" customWidth="1"/>
    <col min="23" max="23" width="19.7109375" style="29" bestFit="1" customWidth="1"/>
    <col min="24" max="24" width="20.42578125" style="29" bestFit="1" customWidth="1"/>
    <col min="25" max="25" width="19.7109375" style="29" bestFit="1" customWidth="1"/>
    <col min="26" max="26" width="20.42578125" style="29" bestFit="1" customWidth="1"/>
    <col min="27" max="27" width="19.7109375" style="29" bestFit="1" customWidth="1"/>
    <col min="28" max="28" width="20.42578125" style="29" bestFit="1" customWidth="1"/>
    <col min="29" max="29" width="19.7109375" style="29" bestFit="1" customWidth="1"/>
    <col min="30" max="30" width="20.42578125" style="29" bestFit="1" customWidth="1"/>
    <col min="31" max="31" width="17.7109375" bestFit="1" customWidth="1"/>
    <col min="32" max="32" width="20.42578125" bestFit="1" customWidth="1"/>
    <col min="33" max="33" width="19.7109375" bestFit="1" customWidth="1"/>
    <col min="34" max="34" width="20.42578125" bestFit="1" customWidth="1"/>
    <col min="35" max="35" width="17.7109375" bestFit="1" customWidth="1"/>
    <col min="36" max="36" width="20.42578125" bestFit="1" customWidth="1"/>
    <col min="37" max="37" width="19.7109375" bestFit="1" customWidth="1"/>
    <col min="38" max="38" width="20.42578125" bestFit="1" customWidth="1"/>
    <col min="39" max="39" width="19.7109375" bestFit="1" customWidth="1"/>
    <col min="40" max="40" width="20.42578125" bestFit="1" customWidth="1"/>
    <col min="42" max="42" width="11.140625" bestFit="1" customWidth="1"/>
  </cols>
  <sheetData>
    <row r="7" spans="1:40" x14ac:dyDescent="0.25">
      <c r="A7" s="28" t="s">
        <v>515</v>
      </c>
    </row>
    <row r="8" spans="1:40" x14ac:dyDescent="0.25">
      <c r="S8" s="29"/>
      <c r="T8" s="29"/>
      <c r="AE8" s="29"/>
      <c r="AF8" s="29"/>
      <c r="AG8" s="29"/>
      <c r="AH8" s="29"/>
      <c r="AI8" s="29"/>
      <c r="AJ8" s="29"/>
      <c r="AK8" s="29"/>
      <c r="AL8" s="29"/>
      <c r="AM8" s="29"/>
      <c r="AN8" s="29"/>
    </row>
    <row r="9" spans="1:40" x14ac:dyDescent="0.25">
      <c r="A9" s="33"/>
      <c r="B9" s="33"/>
      <c r="C9" s="1390" t="s">
        <v>516</v>
      </c>
      <c r="D9" s="1390"/>
      <c r="E9" s="1390" t="s">
        <v>517</v>
      </c>
      <c r="F9" s="1390"/>
      <c r="G9" s="1390" t="s">
        <v>518</v>
      </c>
      <c r="H9" s="1390"/>
      <c r="I9" s="1390" t="s">
        <v>519</v>
      </c>
      <c r="J9" s="1390"/>
      <c r="K9" s="1390" t="s">
        <v>520</v>
      </c>
      <c r="L9" s="1390"/>
      <c r="M9" s="1390" t="s">
        <v>521</v>
      </c>
      <c r="N9" s="1390"/>
      <c r="O9" s="1390" t="s">
        <v>522</v>
      </c>
      <c r="P9" s="1390"/>
      <c r="Q9" s="1390" t="s">
        <v>523</v>
      </c>
      <c r="R9" s="1390"/>
      <c r="S9" s="1390" t="s">
        <v>524</v>
      </c>
      <c r="T9" s="1390"/>
      <c r="U9" s="1390" t="s">
        <v>525</v>
      </c>
      <c r="V9" s="1390"/>
      <c r="W9" s="1390" t="s">
        <v>526</v>
      </c>
      <c r="X9" s="1390"/>
      <c r="Y9" s="1390" t="s">
        <v>527</v>
      </c>
      <c r="Z9" s="1390"/>
      <c r="AA9" s="1390" t="s">
        <v>528</v>
      </c>
      <c r="AB9" s="1390"/>
      <c r="AC9" s="1390" t="s">
        <v>529</v>
      </c>
      <c r="AD9" s="1390"/>
      <c r="AE9" s="1390" t="s">
        <v>530</v>
      </c>
      <c r="AF9" s="1390"/>
      <c r="AG9" s="1390" t="s">
        <v>531</v>
      </c>
      <c r="AH9" s="1390"/>
      <c r="AI9" s="1390" t="s">
        <v>532</v>
      </c>
      <c r="AJ9" s="1390"/>
      <c r="AK9" s="1390" t="s">
        <v>533</v>
      </c>
      <c r="AL9" s="1390"/>
      <c r="AM9" s="1390" t="s">
        <v>338</v>
      </c>
      <c r="AN9" s="1390"/>
    </row>
    <row r="10" spans="1:40" x14ac:dyDescent="0.25">
      <c r="A10" s="317" t="s">
        <v>181</v>
      </c>
      <c r="B10" s="318" t="s">
        <v>182</v>
      </c>
      <c r="C10" s="319" t="str">
        <f>CONCATENATE(C9, " Quantity")</f>
        <v>1984-85 Quantity</v>
      </c>
      <c r="D10" s="319" t="str">
        <f>CONCATENATE(C9, " Value $")</f>
        <v>1984-85 Value $</v>
      </c>
      <c r="E10" s="319" t="str">
        <f t="shared" ref="E10" si="0">CONCATENATE(E9, " Quantity")</f>
        <v>1985-86 Quantity</v>
      </c>
      <c r="F10" s="319" t="str">
        <f t="shared" ref="F10" si="1">CONCATENATE(E9, " Value $")</f>
        <v>1985-86 Value $</v>
      </c>
      <c r="G10" s="319" t="str">
        <f t="shared" ref="G10" si="2">CONCATENATE(G9, " Quantity")</f>
        <v>1986-87 Quantity</v>
      </c>
      <c r="H10" s="319" t="str">
        <f t="shared" ref="H10" si="3">CONCATENATE(G9, " Value $")</f>
        <v>1986-87 Value $</v>
      </c>
      <c r="I10" s="319" t="str">
        <f t="shared" ref="I10" si="4">CONCATENATE(I9, " Quantity")</f>
        <v>1987-88 Quantity</v>
      </c>
      <c r="J10" s="319" t="str">
        <f t="shared" ref="J10" si="5">CONCATENATE(I9, " Value $")</f>
        <v>1987-88 Value $</v>
      </c>
      <c r="K10" s="319" t="str">
        <f t="shared" ref="K10" si="6">CONCATENATE(K9, " Quantity")</f>
        <v>1988-89 Quantity</v>
      </c>
      <c r="L10" s="319" t="str">
        <f t="shared" ref="L10" si="7">CONCATENATE(K9, " Value $")</f>
        <v>1988-89 Value $</v>
      </c>
      <c r="M10" s="319" t="str">
        <f t="shared" ref="M10" si="8">CONCATENATE(M9, " Quantity")</f>
        <v>1989-90 Quantity</v>
      </c>
      <c r="N10" s="319" t="str">
        <f t="shared" ref="N10" si="9">CONCATENATE(M9, " Value $")</f>
        <v>1989-90 Value $</v>
      </c>
      <c r="O10" s="319" t="str">
        <f t="shared" ref="O10" si="10">CONCATENATE(O9, " Quantity")</f>
        <v>1990-91 Quantity</v>
      </c>
      <c r="P10" s="319" t="str">
        <f t="shared" ref="P10" si="11">CONCATENATE(O9, " Value $")</f>
        <v>1990-91 Value $</v>
      </c>
      <c r="Q10" s="319" t="str">
        <f t="shared" ref="Q10" si="12">CONCATENATE(Q9, " Quantity")</f>
        <v>1991-92 Quantity</v>
      </c>
      <c r="R10" s="319" t="str">
        <f t="shared" ref="R10" si="13">CONCATENATE(Q9, " Value $")</f>
        <v>1991-92 Value $</v>
      </c>
      <c r="S10" s="319" t="str">
        <f t="shared" ref="S10" si="14">CONCATENATE(S9, " Quantity")</f>
        <v>1992-93 Quantity</v>
      </c>
      <c r="T10" s="319" t="str">
        <f t="shared" ref="T10" si="15">CONCATENATE(S9, " Value $")</f>
        <v>1992-93 Value $</v>
      </c>
      <c r="U10" s="319" t="str">
        <f t="shared" ref="U10" si="16">CONCATENATE(U9, " Quantity")</f>
        <v>1993-94 Quantity</v>
      </c>
      <c r="V10" s="319" t="str">
        <f t="shared" ref="V10" si="17">CONCATENATE(U9, " Value $")</f>
        <v>1993-94 Value $</v>
      </c>
      <c r="W10" s="319" t="str">
        <f t="shared" ref="W10" si="18">CONCATENATE(W9, " Quantity")</f>
        <v>1994-95 Quantity</v>
      </c>
      <c r="X10" s="319" t="str">
        <f t="shared" ref="X10" si="19">CONCATENATE(W9, " Value $")</f>
        <v>1994-95 Value $</v>
      </c>
      <c r="Y10" s="319" t="str">
        <f t="shared" ref="Y10" si="20">CONCATENATE(Y9, " Quantity")</f>
        <v>1995-96 Quantity</v>
      </c>
      <c r="Z10" s="319" t="str">
        <f t="shared" ref="Z10" si="21">CONCATENATE(Y9, " Value $")</f>
        <v>1995-96 Value $</v>
      </c>
      <c r="AA10" s="319" t="str">
        <f t="shared" ref="AA10" si="22">CONCATENATE(AA9, " Quantity")</f>
        <v>1996-97 Quantity</v>
      </c>
      <c r="AB10" s="319" t="str">
        <f t="shared" ref="AB10" si="23">CONCATENATE(AA9, " Value $")</f>
        <v>1996-97 Value $</v>
      </c>
      <c r="AC10" s="319" t="str">
        <f t="shared" ref="AC10" si="24">CONCATENATE(AC9, " Quantity")</f>
        <v>1997-98 Quantity</v>
      </c>
      <c r="AD10" s="319" t="str">
        <f t="shared" ref="AD10" si="25">CONCATENATE(AC9, " Value $")</f>
        <v>1997-98 Value $</v>
      </c>
      <c r="AE10" s="319" t="str">
        <f t="shared" ref="AE10" si="26">CONCATENATE(AE9, " Quantity")</f>
        <v>1998-99 Quantity</v>
      </c>
      <c r="AF10" s="319" t="str">
        <f t="shared" ref="AF10" si="27">CONCATENATE(AE9, " Value $")</f>
        <v>1998-99 Value $</v>
      </c>
      <c r="AG10" s="319" t="str">
        <f t="shared" ref="AG10" si="28">CONCATENATE(AG9, " Quantity")</f>
        <v>1999-00 Quantity</v>
      </c>
      <c r="AH10" s="319" t="str">
        <f t="shared" ref="AH10" si="29">CONCATENATE(AG9, " Value $")</f>
        <v>1999-00 Value $</v>
      </c>
      <c r="AI10" s="319" t="str">
        <f t="shared" ref="AI10" si="30">CONCATENATE(AI9, " Quantity")</f>
        <v>2000-01 Quantity</v>
      </c>
      <c r="AJ10" s="319" t="str">
        <f t="shared" ref="AJ10" si="31">CONCATENATE(AI9, " Value $")</f>
        <v>2000-01 Value $</v>
      </c>
      <c r="AK10" s="319" t="str">
        <f t="shared" ref="AK10" si="32">CONCATENATE(AK9, " Quantity")</f>
        <v>2001-02 Quantity</v>
      </c>
      <c r="AL10" s="319" t="str">
        <f t="shared" ref="AL10" si="33">CONCATENATE(AK9, " Value $")</f>
        <v>2001-02 Value $</v>
      </c>
      <c r="AM10" s="319" t="str">
        <f t="shared" ref="AM10" si="34">CONCATENATE(AM9, " Quantity")</f>
        <v>2002-03 Quantity</v>
      </c>
      <c r="AN10" s="319" t="str">
        <f t="shared" ref="AN10" si="35">CONCATENATE(AM9, " Value $")</f>
        <v>2002-03 Value $</v>
      </c>
    </row>
    <row r="11" spans="1:40" x14ac:dyDescent="0.25">
      <c r="A11" s="318"/>
      <c r="B11" s="318"/>
      <c r="C11" s="318"/>
      <c r="D11" s="318"/>
      <c r="E11" s="318"/>
      <c r="F11" s="318"/>
      <c r="G11" s="318"/>
      <c r="H11" s="318"/>
      <c r="I11" s="318"/>
      <c r="J11" s="318"/>
      <c r="K11" s="318"/>
      <c r="L11" s="318"/>
      <c r="M11" s="318"/>
      <c r="N11" s="319"/>
      <c r="O11" s="318"/>
      <c r="P11" s="318"/>
      <c r="Q11" s="318"/>
      <c r="R11" s="318"/>
      <c r="S11" s="320"/>
      <c r="T11" s="320"/>
      <c r="U11" s="318"/>
      <c r="V11" s="318"/>
      <c r="W11" s="318"/>
      <c r="X11" s="318"/>
      <c r="Y11" s="318"/>
      <c r="Z11" s="318"/>
      <c r="AA11" s="318"/>
      <c r="AB11" s="318"/>
      <c r="AC11" s="318"/>
      <c r="AD11" s="318"/>
      <c r="AE11" s="33"/>
      <c r="AF11" s="318"/>
      <c r="AG11" s="321"/>
      <c r="AH11" s="318"/>
      <c r="AI11" s="321"/>
      <c r="AJ11" s="318"/>
      <c r="AK11" s="322"/>
      <c r="AL11" s="7"/>
      <c r="AM11" s="7"/>
      <c r="AN11" s="7"/>
    </row>
    <row r="12" spans="1:40" x14ac:dyDescent="0.25">
      <c r="A12" s="323" t="s">
        <v>183</v>
      </c>
      <c r="B12" s="324"/>
      <c r="C12" s="325"/>
      <c r="D12" s="325"/>
      <c r="E12" s="325"/>
      <c r="F12" s="325"/>
      <c r="G12" s="325"/>
      <c r="H12" s="325"/>
      <c r="I12" s="325"/>
      <c r="J12" s="325"/>
      <c r="K12" s="325"/>
      <c r="L12" s="325"/>
      <c r="M12" s="325"/>
      <c r="N12" s="325"/>
      <c r="O12" s="325"/>
      <c r="P12" s="325"/>
      <c r="Q12" s="325"/>
      <c r="R12" s="325"/>
      <c r="S12" s="325"/>
      <c r="T12" s="325"/>
      <c r="U12" s="325"/>
      <c r="V12" s="325"/>
      <c r="W12" s="325"/>
      <c r="X12" s="325"/>
      <c r="Y12" s="325"/>
      <c r="Z12" s="325"/>
      <c r="AA12" s="320"/>
      <c r="AB12" s="320"/>
      <c r="AC12" s="320"/>
      <c r="AD12" s="320"/>
      <c r="AE12" s="325"/>
      <c r="AF12" s="320"/>
      <c r="AG12" s="320"/>
      <c r="AH12" s="320"/>
      <c r="AI12" s="320"/>
      <c r="AJ12" s="320"/>
      <c r="AK12" s="326"/>
      <c r="AL12" s="326"/>
      <c r="AM12" s="326"/>
      <c r="AN12" s="326"/>
    </row>
    <row r="13" spans="1:40" x14ac:dyDescent="0.25">
      <c r="A13" s="327" t="s">
        <v>165</v>
      </c>
      <c r="B13" s="324" t="s">
        <v>166</v>
      </c>
      <c r="C13" s="325">
        <v>5326982</v>
      </c>
      <c r="D13" s="325">
        <v>1056839641</v>
      </c>
      <c r="E13" s="325">
        <v>5430555</v>
      </c>
      <c r="F13" s="325">
        <v>1029283528</v>
      </c>
      <c r="G13" s="325">
        <v>5727327</v>
      </c>
      <c r="H13" s="325">
        <v>1090879157</v>
      </c>
      <c r="I13" s="325">
        <v>6063130</v>
      </c>
      <c r="J13" s="325">
        <v>1182997535</v>
      </c>
      <c r="K13" s="325">
        <v>6171962</v>
      </c>
      <c r="L13" s="325">
        <v>1619228331</v>
      </c>
      <c r="M13" s="325">
        <v>6651028</v>
      </c>
      <c r="N13" s="325">
        <v>2335697184</v>
      </c>
      <c r="O13" s="325">
        <v>6800451</v>
      </c>
      <c r="P13" s="325">
        <v>2099125726</v>
      </c>
      <c r="Q13" s="325">
        <v>7129199</v>
      </c>
      <c r="R13" s="325">
        <v>1758150370</v>
      </c>
      <c r="S13" s="325">
        <v>7547856</v>
      </c>
      <c r="T13" s="325">
        <v>1818116459</v>
      </c>
      <c r="U13" s="325">
        <v>7830064</v>
      </c>
      <c r="V13" s="325">
        <v>1784319220</v>
      </c>
      <c r="W13" s="325">
        <v>7906987</v>
      </c>
      <c r="X13" s="325">
        <v>1684604310</v>
      </c>
      <c r="Y13" s="325">
        <v>8232135</v>
      </c>
      <c r="Z13" s="325">
        <v>1918337128</v>
      </c>
      <c r="AA13" s="325">
        <v>8347933</v>
      </c>
      <c r="AB13" s="325">
        <v>1955770170</v>
      </c>
      <c r="AC13" s="325">
        <v>8514673</v>
      </c>
      <c r="AD13" s="325">
        <v>2260538170</v>
      </c>
      <c r="AE13" s="325">
        <v>8864125</v>
      </c>
      <c r="AF13" s="325">
        <v>2367032747.3600001</v>
      </c>
      <c r="AG13" s="325">
        <v>9354252</v>
      </c>
      <c r="AH13" s="325">
        <v>2657894317</v>
      </c>
      <c r="AI13" s="325">
        <v>10479429</v>
      </c>
      <c r="AJ13" s="325">
        <v>3600668963</v>
      </c>
      <c r="AK13" s="325">
        <v>10856507</v>
      </c>
      <c r="AL13" s="325">
        <v>3584378494</v>
      </c>
      <c r="AM13" s="325">
        <v>11132187</v>
      </c>
      <c r="AN13" s="325">
        <v>3204651644</v>
      </c>
    </row>
    <row r="14" spans="1:40" x14ac:dyDescent="0.25">
      <c r="A14" s="327" t="s">
        <v>376</v>
      </c>
      <c r="B14" s="324" t="s">
        <v>214</v>
      </c>
      <c r="C14" s="325">
        <v>0</v>
      </c>
      <c r="D14" s="325">
        <v>0</v>
      </c>
      <c r="E14" s="325">
        <v>0</v>
      </c>
      <c r="F14" s="325">
        <v>0</v>
      </c>
      <c r="G14" s="325">
        <v>0</v>
      </c>
      <c r="H14" s="325">
        <v>0</v>
      </c>
      <c r="I14" s="325">
        <v>0</v>
      </c>
      <c r="J14" s="325">
        <v>0</v>
      </c>
      <c r="K14" s="325">
        <v>1767</v>
      </c>
      <c r="L14" s="325">
        <v>60641</v>
      </c>
      <c r="M14" s="325">
        <v>42986</v>
      </c>
      <c r="N14" s="325">
        <v>1454998</v>
      </c>
      <c r="O14" s="325">
        <v>8481</v>
      </c>
      <c r="P14" s="325">
        <v>267377</v>
      </c>
      <c r="Q14" s="325">
        <v>0</v>
      </c>
      <c r="R14" s="325">
        <v>0</v>
      </c>
      <c r="S14" s="325">
        <v>0</v>
      </c>
      <c r="T14" s="325">
        <v>0</v>
      </c>
      <c r="U14" s="325">
        <v>0</v>
      </c>
      <c r="V14" s="325">
        <v>0</v>
      </c>
      <c r="W14" s="325">
        <v>0</v>
      </c>
      <c r="X14" s="325">
        <v>0</v>
      </c>
      <c r="Y14" s="325">
        <v>5388</v>
      </c>
      <c r="Z14" s="325">
        <v>2118702</v>
      </c>
      <c r="AA14" s="325">
        <v>26745.768000000004</v>
      </c>
      <c r="AB14" s="325">
        <v>10058746</v>
      </c>
      <c r="AC14" s="325">
        <v>0</v>
      </c>
      <c r="AD14" s="325">
        <v>0</v>
      </c>
      <c r="AE14" s="325">
        <v>0</v>
      </c>
      <c r="AF14" s="325">
        <v>0</v>
      </c>
      <c r="AG14" s="325">
        <v>0</v>
      </c>
      <c r="AH14" s="325">
        <v>0</v>
      </c>
      <c r="AI14" s="325">
        <v>0</v>
      </c>
      <c r="AJ14" s="325">
        <v>0</v>
      </c>
      <c r="AK14" s="325">
        <v>0</v>
      </c>
      <c r="AL14" s="325">
        <v>0</v>
      </c>
      <c r="AM14" s="325">
        <v>0</v>
      </c>
      <c r="AN14" s="325">
        <v>0</v>
      </c>
    </row>
    <row r="15" spans="1:40" x14ac:dyDescent="0.25">
      <c r="A15" s="328" t="s">
        <v>187</v>
      </c>
      <c r="B15" s="324"/>
      <c r="C15" s="325"/>
      <c r="D15" s="325">
        <f>SUM(D13:D14)</f>
        <v>1056839641</v>
      </c>
      <c r="E15" s="325"/>
      <c r="F15" s="325">
        <f>SUM(F13:F14)</f>
        <v>1029283528</v>
      </c>
      <c r="G15" s="325"/>
      <c r="H15" s="325">
        <f>SUM(H13:H14)</f>
        <v>1090879157</v>
      </c>
      <c r="I15" s="325"/>
      <c r="J15" s="325">
        <f>SUM(J13:J14)</f>
        <v>1182997535</v>
      </c>
      <c r="K15" s="325"/>
      <c r="L15" s="325">
        <f>SUM(L13:L14)</f>
        <v>1619288972</v>
      </c>
      <c r="M15" s="325"/>
      <c r="N15" s="325">
        <f>SUM(N13:N14)</f>
        <v>2337152182</v>
      </c>
      <c r="O15" s="325"/>
      <c r="P15" s="325">
        <f>SUM(P13:P14)</f>
        <v>2099393103</v>
      </c>
      <c r="Q15" s="325"/>
      <c r="R15" s="325">
        <v>1758150370</v>
      </c>
      <c r="S15" s="325"/>
      <c r="T15" s="325">
        <v>1818116459</v>
      </c>
      <c r="U15" s="325"/>
      <c r="V15" s="325">
        <v>1784319220</v>
      </c>
      <c r="W15" s="325"/>
      <c r="X15" s="325">
        <v>1684604310</v>
      </c>
      <c r="Y15" s="325"/>
      <c r="Z15" s="325">
        <v>1920455830</v>
      </c>
      <c r="AA15" s="325"/>
      <c r="AB15" s="325">
        <v>1965828915</v>
      </c>
      <c r="AC15" s="325">
        <v>8514673</v>
      </c>
      <c r="AD15" s="325">
        <v>2260538170</v>
      </c>
      <c r="AE15" s="325">
        <v>8864125</v>
      </c>
      <c r="AF15" s="325">
        <v>2367032747.3600001</v>
      </c>
      <c r="AG15" s="325">
        <v>9354252</v>
      </c>
      <c r="AH15" s="325">
        <v>2657894317</v>
      </c>
      <c r="AI15" s="325">
        <v>10479429</v>
      </c>
      <c r="AJ15" s="325">
        <v>3600668963</v>
      </c>
      <c r="AK15" s="325">
        <f>SUM(AK13:AK14)</f>
        <v>10856507</v>
      </c>
      <c r="AL15" s="325">
        <f>SUM(AL13:AL14)</f>
        <v>3584378494</v>
      </c>
      <c r="AM15" s="325">
        <f>SUM(AM13:AM14)</f>
        <v>11132187</v>
      </c>
      <c r="AN15" s="325">
        <f>SUM(AN13:AN14)</f>
        <v>3204651644</v>
      </c>
    </row>
    <row r="16" spans="1:40" x14ac:dyDescent="0.25">
      <c r="A16" s="329"/>
      <c r="B16" s="324"/>
      <c r="C16" s="325"/>
      <c r="D16" s="325"/>
      <c r="E16" s="325"/>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row>
    <row r="17" spans="1:40" x14ac:dyDescent="0.25">
      <c r="A17" s="330" t="s">
        <v>386</v>
      </c>
      <c r="B17" s="216" t="s">
        <v>166</v>
      </c>
      <c r="C17" s="201">
        <v>0</v>
      </c>
      <c r="D17" s="201">
        <v>0</v>
      </c>
      <c r="E17" s="201">
        <v>0</v>
      </c>
      <c r="F17" s="201">
        <v>0</v>
      </c>
      <c r="G17" s="201">
        <v>0</v>
      </c>
      <c r="H17" s="201">
        <v>0</v>
      </c>
      <c r="I17" s="201">
        <v>9669</v>
      </c>
      <c r="J17" s="201">
        <v>1160280</v>
      </c>
      <c r="K17" s="201">
        <v>0</v>
      </c>
      <c r="L17" s="201">
        <v>0</v>
      </c>
      <c r="M17" s="201">
        <v>7521</v>
      </c>
      <c r="N17" s="201">
        <v>1006603</v>
      </c>
      <c r="O17" s="201">
        <v>0</v>
      </c>
      <c r="P17" s="201">
        <v>0</v>
      </c>
      <c r="Q17" s="201">
        <v>0</v>
      </c>
      <c r="R17" s="201">
        <v>0</v>
      </c>
      <c r="S17" s="201">
        <v>0</v>
      </c>
      <c r="T17" s="201">
        <v>0</v>
      </c>
      <c r="U17" s="201">
        <v>0</v>
      </c>
      <c r="V17" s="201">
        <v>0</v>
      </c>
      <c r="W17" s="201">
        <v>0</v>
      </c>
      <c r="X17" s="201">
        <v>0</v>
      </c>
      <c r="Y17" s="201">
        <v>0</v>
      </c>
      <c r="Z17" s="201">
        <v>0</v>
      </c>
      <c r="AA17" s="201">
        <v>0</v>
      </c>
      <c r="AB17" s="201">
        <v>0</v>
      </c>
      <c r="AC17" s="201">
        <v>0</v>
      </c>
      <c r="AD17" s="201">
        <v>0</v>
      </c>
      <c r="AE17" s="201">
        <v>0</v>
      </c>
      <c r="AF17" s="201">
        <v>0</v>
      </c>
      <c r="AG17" s="201">
        <v>0</v>
      </c>
      <c r="AH17" s="201">
        <v>0</v>
      </c>
      <c r="AI17" s="201">
        <v>0</v>
      </c>
      <c r="AJ17" s="201">
        <v>0</v>
      </c>
      <c r="AK17" s="201">
        <v>0</v>
      </c>
      <c r="AL17" s="201">
        <v>0</v>
      </c>
      <c r="AM17" s="201">
        <v>0</v>
      </c>
      <c r="AN17" s="201">
        <v>0</v>
      </c>
    </row>
    <row r="19" spans="1:40" x14ac:dyDescent="0.25">
      <c r="A19" s="331" t="s">
        <v>190</v>
      </c>
      <c r="B19" s="332"/>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25"/>
      <c r="AD19" s="333"/>
      <c r="AE19" s="333"/>
      <c r="AF19" s="333"/>
      <c r="AG19" s="333"/>
      <c r="AH19" s="333"/>
      <c r="AI19" s="334"/>
      <c r="AJ19" s="334"/>
      <c r="AK19" s="334"/>
      <c r="AL19" s="334"/>
      <c r="AM19" s="334"/>
      <c r="AN19" s="334"/>
    </row>
    <row r="20" spans="1:40" x14ac:dyDescent="0.25">
      <c r="A20" s="335" t="s">
        <v>169</v>
      </c>
      <c r="B20" s="336" t="s">
        <v>166</v>
      </c>
      <c r="C20" s="333">
        <f>3424+10381+42</f>
        <v>13847</v>
      </c>
      <c r="D20" s="333">
        <f>3141119+12803570+6748</f>
        <v>15951437</v>
      </c>
      <c r="E20" s="333">
        <f>3484+8788</f>
        <v>12272</v>
      </c>
      <c r="F20" s="333">
        <f>4162432+9700345</f>
        <v>13862777</v>
      </c>
      <c r="G20" s="333">
        <v>3519</v>
      </c>
      <c r="H20" s="333">
        <v>4106685</v>
      </c>
      <c r="I20" s="333">
        <v>2701</v>
      </c>
      <c r="J20" s="333">
        <v>5938229</v>
      </c>
      <c r="K20" s="333">
        <v>13083</v>
      </c>
      <c r="L20" s="333">
        <v>31374188</v>
      </c>
      <c r="M20" s="333">
        <v>14979</v>
      </c>
      <c r="N20" s="333">
        <v>23922443</v>
      </c>
      <c r="O20" s="333">
        <v>11995</v>
      </c>
      <c r="P20" s="333">
        <v>20349205</v>
      </c>
      <c r="Q20" s="333">
        <v>12018.012999999999</v>
      </c>
      <c r="R20" s="333">
        <v>17440805</v>
      </c>
      <c r="S20" s="333">
        <v>22915</v>
      </c>
      <c r="T20" s="333">
        <v>27438799</v>
      </c>
      <c r="U20" s="333">
        <v>32456</v>
      </c>
      <c r="V20" s="333">
        <v>40255726</v>
      </c>
      <c r="W20" s="333">
        <v>29203</v>
      </c>
      <c r="X20" s="333">
        <v>76534777</v>
      </c>
      <c r="Y20" s="333">
        <v>23685</v>
      </c>
      <c r="Z20" s="333">
        <v>65420387</v>
      </c>
      <c r="AA20" s="333">
        <v>27733.521000000001</v>
      </c>
      <c r="AB20" s="333">
        <v>58979700</v>
      </c>
      <c r="AC20" s="333">
        <v>29434</v>
      </c>
      <c r="AD20" s="333">
        <v>61121739</v>
      </c>
      <c r="AE20" s="333">
        <v>24435.789957999998</v>
      </c>
      <c r="AF20" s="333">
        <v>43712910.772800945</v>
      </c>
      <c r="AG20" s="333">
        <v>30731.591499999999</v>
      </c>
      <c r="AH20" s="333">
        <v>64618092</v>
      </c>
      <c r="AI20" s="333">
        <v>42616</v>
      </c>
      <c r="AJ20" s="333">
        <v>111116266</v>
      </c>
      <c r="AK20" s="333">
        <v>53496</v>
      </c>
      <c r="AL20" s="333">
        <v>122573732</v>
      </c>
      <c r="AM20" s="333">
        <v>59447</v>
      </c>
      <c r="AN20" s="333">
        <v>138780268</v>
      </c>
    </row>
    <row r="21" spans="1:40" x14ac:dyDescent="0.25">
      <c r="A21" s="335" t="s">
        <v>192</v>
      </c>
      <c r="B21" s="336" t="s">
        <v>166</v>
      </c>
      <c r="C21" s="333">
        <v>0</v>
      </c>
      <c r="D21" s="333">
        <v>0</v>
      </c>
      <c r="E21" s="333">
        <v>0</v>
      </c>
      <c r="F21" s="333">
        <v>0</v>
      </c>
      <c r="G21" s="333">
        <v>0</v>
      </c>
      <c r="H21" s="333">
        <v>0</v>
      </c>
      <c r="I21" s="333">
        <v>0</v>
      </c>
      <c r="J21" s="333">
        <v>0</v>
      </c>
      <c r="K21" s="333">
        <v>2431</v>
      </c>
      <c r="L21" s="333">
        <v>920073</v>
      </c>
      <c r="M21" s="333">
        <v>13171</v>
      </c>
      <c r="N21" s="333">
        <v>7604934</v>
      </c>
      <c r="O21" s="333">
        <v>12481</v>
      </c>
      <c r="P21" s="333">
        <v>5990776</v>
      </c>
      <c r="Q21" s="333">
        <v>21678</v>
      </c>
      <c r="R21" s="333">
        <v>7297295</v>
      </c>
      <c r="S21" s="333">
        <v>22302</v>
      </c>
      <c r="T21" s="333">
        <v>6649704</v>
      </c>
      <c r="U21" s="333">
        <v>21113</v>
      </c>
      <c r="V21" s="333">
        <v>4981363</v>
      </c>
      <c r="W21" s="333">
        <v>21098</v>
      </c>
      <c r="X21" s="333">
        <v>9204496.3827228192</v>
      </c>
      <c r="Y21" s="333">
        <v>21277</v>
      </c>
      <c r="Z21" s="333">
        <v>12644200</v>
      </c>
      <c r="AA21" s="333">
        <v>13486.043999999998</v>
      </c>
      <c r="AB21" s="333">
        <v>6086206</v>
      </c>
      <c r="AC21" s="333">
        <v>27001</v>
      </c>
      <c r="AD21" s="333">
        <v>10448512</v>
      </c>
      <c r="AE21" s="333">
        <v>51552.917000000001</v>
      </c>
      <c r="AF21" s="333">
        <v>17253219.559999999</v>
      </c>
      <c r="AG21" s="333">
        <v>64465</v>
      </c>
      <c r="AH21" s="333">
        <v>20242917</v>
      </c>
      <c r="AI21" s="333">
        <v>82326</v>
      </c>
      <c r="AJ21" s="333">
        <v>37308780</v>
      </c>
      <c r="AK21" s="333">
        <v>75076</v>
      </c>
      <c r="AL21" s="333">
        <v>36723119</v>
      </c>
      <c r="AM21" s="333">
        <v>70019</v>
      </c>
      <c r="AN21" s="333">
        <v>31850488</v>
      </c>
    </row>
    <row r="22" spans="1:40" x14ac:dyDescent="0.25">
      <c r="A22" s="335" t="s">
        <v>194</v>
      </c>
      <c r="B22" s="336" t="s">
        <v>166</v>
      </c>
      <c r="C22" s="333">
        <v>21677</v>
      </c>
      <c r="D22" s="333">
        <v>10451891</v>
      </c>
      <c r="E22" s="333">
        <v>31822</v>
      </c>
      <c r="F22" s="333">
        <v>20044441</v>
      </c>
      <c r="G22" s="333">
        <v>0</v>
      </c>
      <c r="H22" s="333">
        <v>0</v>
      </c>
      <c r="I22" s="333">
        <v>4059</v>
      </c>
      <c r="J22" s="333">
        <v>2805427</v>
      </c>
      <c r="K22" s="333">
        <v>28799</v>
      </c>
      <c r="L22" s="333">
        <v>26786585</v>
      </c>
      <c r="M22" s="333">
        <v>45878</v>
      </c>
      <c r="N22" s="333">
        <v>59754974</v>
      </c>
      <c r="O22" s="333">
        <v>57331</v>
      </c>
      <c r="P22" s="333">
        <v>76385678</v>
      </c>
      <c r="Q22" s="333">
        <v>142919</v>
      </c>
      <c r="R22" s="333">
        <v>125578837</v>
      </c>
      <c r="S22" s="333">
        <v>127963</v>
      </c>
      <c r="T22" s="333">
        <v>104106685</v>
      </c>
      <c r="U22" s="333">
        <v>136385</v>
      </c>
      <c r="V22" s="333">
        <v>79541654</v>
      </c>
      <c r="W22" s="333">
        <v>132850.11430000002</v>
      </c>
      <c r="X22" s="333">
        <v>95841711</v>
      </c>
      <c r="Y22" s="333">
        <v>113492</v>
      </c>
      <c r="Z22" s="333">
        <v>75322576</v>
      </c>
      <c r="AA22" s="333">
        <v>88368.614000000001</v>
      </c>
      <c r="AB22" s="333">
        <v>75120390</v>
      </c>
      <c r="AC22" s="333">
        <v>123968</v>
      </c>
      <c r="AD22" s="333">
        <v>117107347</v>
      </c>
      <c r="AE22" s="333">
        <v>194899.92499999999</v>
      </c>
      <c r="AF22" s="333">
        <v>170726482.72</v>
      </c>
      <c r="AG22" s="333">
        <v>232584.87</v>
      </c>
      <c r="AH22" s="333">
        <v>251013207</v>
      </c>
      <c r="AI22" s="333">
        <v>236089</v>
      </c>
      <c r="AJ22" s="333">
        <v>280239658</v>
      </c>
      <c r="AK22" s="333">
        <v>223669</v>
      </c>
      <c r="AL22" s="333">
        <v>173815927</v>
      </c>
      <c r="AM22" s="333">
        <v>206451</v>
      </c>
      <c r="AN22" s="333">
        <v>173193024</v>
      </c>
    </row>
    <row r="23" spans="1:40" x14ac:dyDescent="0.25">
      <c r="A23" s="337" t="s">
        <v>195</v>
      </c>
      <c r="B23" s="332"/>
      <c r="C23" s="333"/>
      <c r="D23" s="333">
        <f>SUM(D20:D22)</f>
        <v>26403328</v>
      </c>
      <c r="E23" s="333"/>
      <c r="F23" s="333">
        <f>SUM(F20:F22)</f>
        <v>33907218</v>
      </c>
      <c r="G23" s="333"/>
      <c r="H23" s="333">
        <f>SUM(H20:H22)</f>
        <v>4106685</v>
      </c>
      <c r="I23" s="333"/>
      <c r="J23" s="333">
        <f>SUM(J20:J22)</f>
        <v>8743656</v>
      </c>
      <c r="K23" s="333"/>
      <c r="L23" s="333">
        <v>59080846</v>
      </c>
      <c r="M23" s="333"/>
      <c r="N23" s="333">
        <v>91282351</v>
      </c>
      <c r="O23" s="333"/>
      <c r="P23" s="333">
        <f>SUM(P20:P22)</f>
        <v>102725659</v>
      </c>
      <c r="Q23" s="333"/>
      <c r="R23" s="333">
        <v>150316937</v>
      </c>
      <c r="S23" s="333"/>
      <c r="T23" s="333">
        <v>138195188</v>
      </c>
      <c r="U23" s="333"/>
      <c r="V23" s="333">
        <v>124778743</v>
      </c>
      <c r="W23" s="333"/>
      <c r="X23" s="333">
        <v>181580984</v>
      </c>
      <c r="Y23" s="333"/>
      <c r="Z23" s="333">
        <v>153387163</v>
      </c>
      <c r="AA23" s="333"/>
      <c r="AB23" s="333">
        <v>140186296</v>
      </c>
      <c r="AC23" s="333"/>
      <c r="AD23" s="333">
        <v>188677598</v>
      </c>
      <c r="AE23" s="334"/>
      <c r="AF23" s="333">
        <v>231692613.05280095</v>
      </c>
      <c r="AG23" s="333"/>
      <c r="AH23" s="333">
        <v>335874216</v>
      </c>
      <c r="AI23" s="333"/>
      <c r="AJ23" s="333">
        <f>SUM(AJ20:AJ22)</f>
        <v>428664704</v>
      </c>
      <c r="AK23" s="333"/>
      <c r="AL23" s="333">
        <f>SUM(AL20:AL22)</f>
        <v>333112778</v>
      </c>
      <c r="AM23" s="333"/>
      <c r="AN23" s="333">
        <f>SUM(AN20:AN22)</f>
        <v>343823780</v>
      </c>
    </row>
    <row r="24" spans="1:40" x14ac:dyDescent="0.25">
      <c r="A24" s="329"/>
      <c r="B24" s="33"/>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0"/>
      <c r="AF24" s="320"/>
      <c r="AG24" s="325"/>
      <c r="AH24" s="325"/>
      <c r="AI24" s="325"/>
      <c r="AJ24" s="325"/>
      <c r="AK24" s="325"/>
      <c r="AL24" s="325"/>
      <c r="AM24" s="325"/>
      <c r="AN24" s="325"/>
    </row>
    <row r="25" spans="1:40" x14ac:dyDescent="0.25">
      <c r="A25" s="330" t="s">
        <v>197</v>
      </c>
      <c r="B25" s="216" t="s">
        <v>166</v>
      </c>
      <c r="C25" s="201">
        <v>0</v>
      </c>
      <c r="D25" s="201">
        <v>0</v>
      </c>
      <c r="E25" s="201">
        <v>0</v>
      </c>
      <c r="F25" s="201">
        <v>0</v>
      </c>
      <c r="G25" s="201">
        <v>0</v>
      </c>
      <c r="H25" s="201">
        <v>0</v>
      </c>
      <c r="I25" s="201">
        <v>0</v>
      </c>
      <c r="J25" s="201">
        <v>0</v>
      </c>
      <c r="K25" s="201">
        <v>0</v>
      </c>
      <c r="L25" s="201">
        <v>0</v>
      </c>
      <c r="M25" s="201">
        <v>0</v>
      </c>
      <c r="N25" s="201">
        <v>0</v>
      </c>
      <c r="O25" s="201">
        <v>0</v>
      </c>
      <c r="P25" s="201">
        <v>0</v>
      </c>
      <c r="Q25" s="201">
        <v>0</v>
      </c>
      <c r="R25" s="201">
        <v>0</v>
      </c>
      <c r="S25" s="201">
        <v>0</v>
      </c>
      <c r="T25" s="201">
        <v>0</v>
      </c>
      <c r="U25" s="201">
        <v>0</v>
      </c>
      <c r="V25" s="201">
        <v>0</v>
      </c>
      <c r="W25" s="201">
        <v>0</v>
      </c>
      <c r="X25" s="201">
        <v>0</v>
      </c>
      <c r="Y25" s="201">
        <v>0</v>
      </c>
      <c r="Z25" s="201">
        <v>0</v>
      </c>
      <c r="AA25" s="201"/>
      <c r="AB25" s="201"/>
      <c r="AC25" s="201">
        <v>16115</v>
      </c>
      <c r="AD25" s="201">
        <v>3658408</v>
      </c>
      <c r="AE25" s="201">
        <v>30052.491000000002</v>
      </c>
      <c r="AF25" s="201">
        <v>6528155.9699999997</v>
      </c>
      <c r="AG25" s="201">
        <v>17547</v>
      </c>
      <c r="AH25" s="201">
        <v>3249086</v>
      </c>
      <c r="AI25" s="201">
        <v>33014</v>
      </c>
      <c r="AJ25" s="201">
        <v>6898498</v>
      </c>
      <c r="AK25" s="201">
        <v>5678</v>
      </c>
      <c r="AL25" s="201">
        <v>450582</v>
      </c>
      <c r="AM25" s="201">
        <v>31187</v>
      </c>
      <c r="AN25" s="201">
        <v>6323498</v>
      </c>
    </row>
    <row r="26" spans="1:40" x14ac:dyDescent="0.25">
      <c r="A26" s="229"/>
      <c r="C26" s="201"/>
      <c r="D26" s="201"/>
      <c r="E26" s="201"/>
      <c r="F26" s="201"/>
      <c r="G26" s="201"/>
      <c r="H26" s="201"/>
      <c r="I26" s="201"/>
      <c r="J26" s="201"/>
      <c r="K26" s="201"/>
      <c r="L26" s="201"/>
      <c r="M26" s="201"/>
      <c r="N26" s="201"/>
      <c r="O26" s="201"/>
      <c r="P26" s="201"/>
      <c r="Q26" s="201"/>
      <c r="R26" s="201"/>
      <c r="U26" s="201"/>
      <c r="V26" s="201"/>
      <c r="W26" s="201"/>
      <c r="X26" s="201"/>
      <c r="Y26" s="201"/>
      <c r="Z26" s="201"/>
      <c r="AA26" s="201"/>
      <c r="AB26" s="201"/>
      <c r="AC26" s="201"/>
      <c r="AD26" s="201"/>
      <c r="AE26" s="201"/>
      <c r="AF26" s="201"/>
      <c r="AG26" s="232"/>
      <c r="AH26" s="232"/>
      <c r="AI26" s="232"/>
      <c r="AJ26" s="232"/>
      <c r="AK26" s="201"/>
      <c r="AL26" s="201"/>
      <c r="AM26" s="201"/>
      <c r="AN26" s="201"/>
    </row>
    <row r="27" spans="1:40" x14ac:dyDescent="0.25">
      <c r="A27" s="331" t="s">
        <v>198</v>
      </c>
      <c r="B27" s="332"/>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c r="AF27" s="333"/>
      <c r="AG27" s="333"/>
      <c r="AH27" s="333"/>
      <c r="AI27" s="333"/>
      <c r="AJ27" s="333"/>
      <c r="AK27" s="333"/>
      <c r="AL27" s="333"/>
      <c r="AM27" s="333"/>
      <c r="AN27" s="333"/>
    </row>
    <row r="28" spans="1:40" x14ac:dyDescent="0.25">
      <c r="A28" s="335" t="s">
        <v>395</v>
      </c>
      <c r="B28" s="336" t="s">
        <v>166</v>
      </c>
      <c r="C28" s="333">
        <v>0</v>
      </c>
      <c r="D28" s="333">
        <v>0</v>
      </c>
      <c r="E28" s="333">
        <v>0</v>
      </c>
      <c r="F28" s="333">
        <v>0</v>
      </c>
      <c r="G28" s="333">
        <v>0</v>
      </c>
      <c r="H28" s="333">
        <v>0</v>
      </c>
      <c r="I28" s="333">
        <v>0</v>
      </c>
      <c r="J28" s="333">
        <v>0</v>
      </c>
      <c r="K28" s="333">
        <v>0</v>
      </c>
      <c r="L28" s="333">
        <v>0</v>
      </c>
      <c r="M28" s="333">
        <v>0</v>
      </c>
      <c r="N28" s="333">
        <v>0</v>
      </c>
      <c r="O28" s="333">
        <v>0</v>
      </c>
      <c r="P28" s="333">
        <v>0</v>
      </c>
      <c r="Q28" s="333">
        <v>0</v>
      </c>
      <c r="R28" s="333">
        <v>0</v>
      </c>
      <c r="S28" s="333">
        <v>0</v>
      </c>
      <c r="T28" s="333">
        <v>0</v>
      </c>
      <c r="U28" s="333">
        <v>0</v>
      </c>
      <c r="V28" s="333">
        <v>0</v>
      </c>
      <c r="W28" s="333">
        <v>0</v>
      </c>
      <c r="X28" s="333">
        <v>0</v>
      </c>
      <c r="Y28" s="333">
        <v>0</v>
      </c>
      <c r="Z28" s="333">
        <v>0</v>
      </c>
      <c r="AA28" s="333">
        <v>0</v>
      </c>
      <c r="AB28" s="333">
        <v>0</v>
      </c>
      <c r="AC28" s="333">
        <v>0</v>
      </c>
      <c r="AD28" s="333">
        <v>0</v>
      </c>
      <c r="AE28" s="333">
        <v>0</v>
      </c>
      <c r="AF28" s="333">
        <v>0</v>
      </c>
      <c r="AG28" s="333">
        <v>0</v>
      </c>
      <c r="AH28" s="333">
        <v>0</v>
      </c>
      <c r="AI28" s="333">
        <v>0</v>
      </c>
      <c r="AJ28" s="333">
        <v>0</v>
      </c>
      <c r="AK28" s="333">
        <v>0</v>
      </c>
      <c r="AL28" s="333">
        <v>0</v>
      </c>
      <c r="AM28" s="333">
        <v>0</v>
      </c>
      <c r="AN28" s="333">
        <v>0</v>
      </c>
    </row>
    <row r="29" spans="1:40" x14ac:dyDescent="0.25">
      <c r="A29" s="335" t="s">
        <v>396</v>
      </c>
      <c r="B29" s="336" t="s">
        <v>166</v>
      </c>
      <c r="C29" s="333">
        <v>0</v>
      </c>
      <c r="D29" s="333">
        <v>0</v>
      </c>
      <c r="E29" s="333">
        <v>41885</v>
      </c>
      <c r="F29" s="333" t="s">
        <v>534</v>
      </c>
      <c r="G29" s="333">
        <v>10458</v>
      </c>
      <c r="H29" s="333">
        <f>G29*150</f>
        <v>1568700</v>
      </c>
      <c r="I29" s="333">
        <v>11387</v>
      </c>
      <c r="J29" s="333">
        <v>2238865</v>
      </c>
      <c r="K29" s="333">
        <v>44065</v>
      </c>
      <c r="L29" s="333">
        <v>3527557</v>
      </c>
      <c r="M29" s="333">
        <v>28137</v>
      </c>
      <c r="N29" s="333">
        <v>3988107</v>
      </c>
      <c r="O29" s="333">
        <v>15403</v>
      </c>
      <c r="P29" s="333">
        <v>3914836</v>
      </c>
      <c r="Q29" s="333">
        <v>19329</v>
      </c>
      <c r="R29" s="333">
        <v>5860557</v>
      </c>
      <c r="S29" s="333">
        <v>20208</v>
      </c>
      <c r="T29" s="333">
        <v>5891735</v>
      </c>
      <c r="U29" s="333">
        <v>20351</v>
      </c>
      <c r="V29" s="333">
        <v>6044132</v>
      </c>
      <c r="W29" s="333">
        <v>18796</v>
      </c>
      <c r="X29" s="333">
        <v>4662524</v>
      </c>
      <c r="Y29" s="333">
        <v>19753</v>
      </c>
      <c r="Z29" s="333">
        <v>4096240</v>
      </c>
      <c r="AA29" s="333">
        <v>20473</v>
      </c>
      <c r="AB29" s="333">
        <v>4073620</v>
      </c>
      <c r="AC29" s="333">
        <v>24023</v>
      </c>
      <c r="AD29" s="333">
        <v>4362859</v>
      </c>
      <c r="AE29" s="333">
        <v>11688</v>
      </c>
      <c r="AF29" s="333">
        <v>1220812</v>
      </c>
      <c r="AG29" s="333">
        <v>11513.36</v>
      </c>
      <c r="AH29" s="333">
        <v>1202424</v>
      </c>
      <c r="AI29" s="333">
        <v>12366</v>
      </c>
      <c r="AJ29" s="333">
        <v>1291319</v>
      </c>
      <c r="AK29" s="333">
        <v>12623</v>
      </c>
      <c r="AL29" s="333">
        <v>1318221</v>
      </c>
      <c r="AM29" s="333">
        <v>11366</v>
      </c>
      <c r="AN29" s="333">
        <v>1186952</v>
      </c>
    </row>
    <row r="30" spans="1:40" x14ac:dyDescent="0.25">
      <c r="A30" s="335" t="s">
        <v>398</v>
      </c>
      <c r="B30" s="336" t="s">
        <v>166</v>
      </c>
      <c r="C30" s="333">
        <v>28155</v>
      </c>
      <c r="D30" s="333">
        <v>70389</v>
      </c>
      <c r="E30" s="333">
        <v>23131</v>
      </c>
      <c r="F30" s="333">
        <v>57828</v>
      </c>
      <c r="G30" s="333">
        <v>23991</v>
      </c>
      <c r="H30" s="333">
        <v>59969</v>
      </c>
      <c r="I30" s="333">
        <v>22679</v>
      </c>
      <c r="J30" s="333">
        <v>56698</v>
      </c>
      <c r="K30" s="333">
        <v>24007</v>
      </c>
      <c r="L30" s="333">
        <v>60020</v>
      </c>
      <c r="M30" s="333">
        <v>21952</v>
      </c>
      <c r="N30" s="333">
        <v>54880</v>
      </c>
      <c r="O30" s="333">
        <v>22994</v>
      </c>
      <c r="P30" s="333">
        <v>137964</v>
      </c>
      <c r="Q30" s="333">
        <v>16741</v>
      </c>
      <c r="R30" s="333">
        <v>170243</v>
      </c>
      <c r="S30" s="333">
        <v>0</v>
      </c>
      <c r="T30" s="333">
        <v>0</v>
      </c>
      <c r="U30" s="333">
        <v>0</v>
      </c>
      <c r="V30" s="333">
        <v>0</v>
      </c>
      <c r="W30" s="333">
        <v>0</v>
      </c>
      <c r="X30" s="333">
        <v>0</v>
      </c>
      <c r="Y30" s="333">
        <v>0</v>
      </c>
      <c r="Z30" s="333">
        <v>0</v>
      </c>
      <c r="AA30" s="333">
        <v>0</v>
      </c>
      <c r="AB30" s="333">
        <v>0</v>
      </c>
      <c r="AC30" s="333">
        <v>0</v>
      </c>
      <c r="AD30" s="333">
        <v>0</v>
      </c>
      <c r="AE30" s="333">
        <v>0</v>
      </c>
      <c r="AF30" s="333">
        <v>0</v>
      </c>
      <c r="AG30" s="333">
        <v>0</v>
      </c>
      <c r="AH30" s="333">
        <v>0</v>
      </c>
      <c r="AI30" s="333">
        <v>0</v>
      </c>
      <c r="AJ30" s="333">
        <v>0</v>
      </c>
      <c r="AK30" s="333">
        <v>0</v>
      </c>
      <c r="AL30" s="333">
        <v>0</v>
      </c>
      <c r="AM30" s="333">
        <v>0</v>
      </c>
      <c r="AN30" s="333">
        <v>0</v>
      </c>
    </row>
    <row r="31" spans="1:40" x14ac:dyDescent="0.25">
      <c r="A31" s="335" t="s">
        <v>399</v>
      </c>
      <c r="B31" s="336" t="s">
        <v>166</v>
      </c>
      <c r="C31" s="333">
        <v>0</v>
      </c>
      <c r="D31" s="333">
        <v>0</v>
      </c>
      <c r="E31" s="333">
        <v>0</v>
      </c>
      <c r="F31" s="333">
        <v>0</v>
      </c>
      <c r="G31" s="333">
        <v>0</v>
      </c>
      <c r="H31" s="333">
        <v>0</v>
      </c>
      <c r="I31" s="333">
        <v>0</v>
      </c>
      <c r="J31" s="333">
        <v>0</v>
      </c>
      <c r="K31" s="333">
        <v>383</v>
      </c>
      <c r="L31" s="333">
        <v>765</v>
      </c>
      <c r="M31" s="333">
        <v>0</v>
      </c>
      <c r="N31" s="333">
        <v>0</v>
      </c>
      <c r="O31" s="333">
        <v>0</v>
      </c>
      <c r="P31" s="333">
        <v>0</v>
      </c>
      <c r="Q31" s="333">
        <v>0</v>
      </c>
      <c r="R31" s="333">
        <v>0</v>
      </c>
      <c r="S31" s="333">
        <v>0</v>
      </c>
      <c r="T31" s="333">
        <v>0</v>
      </c>
      <c r="U31" s="333">
        <v>66483</v>
      </c>
      <c r="V31" s="333">
        <v>797796</v>
      </c>
      <c r="W31" s="333">
        <v>13921</v>
      </c>
      <c r="X31" s="333">
        <v>169475</v>
      </c>
      <c r="Y31" s="333">
        <v>21175</v>
      </c>
      <c r="Z31" s="333">
        <v>259212</v>
      </c>
      <c r="AA31" s="333">
        <v>16689</v>
      </c>
      <c r="AB31" s="333">
        <v>212081</v>
      </c>
      <c r="AC31" s="333">
        <v>36296</v>
      </c>
      <c r="AD31" s="333">
        <v>541990</v>
      </c>
      <c r="AE31" s="333">
        <v>10190</v>
      </c>
      <c r="AF31" s="333">
        <v>101900</v>
      </c>
      <c r="AG31" s="333">
        <v>28478</v>
      </c>
      <c r="AH31" s="333">
        <v>284780</v>
      </c>
      <c r="AI31" s="333">
        <v>11783</v>
      </c>
      <c r="AJ31" s="333">
        <v>117830</v>
      </c>
      <c r="AK31" s="333">
        <v>11751</v>
      </c>
      <c r="AL31" s="333">
        <v>117510</v>
      </c>
      <c r="AM31" s="333">
        <v>19117</v>
      </c>
      <c r="AN31" s="333">
        <v>191170</v>
      </c>
    </row>
    <row r="32" spans="1:40" x14ac:dyDescent="0.25">
      <c r="A32" s="335" t="s">
        <v>400</v>
      </c>
      <c r="B32" s="336" t="s">
        <v>166</v>
      </c>
      <c r="C32" s="333">
        <v>242489</v>
      </c>
      <c r="D32" s="333">
        <v>292136</v>
      </c>
      <c r="E32" s="333">
        <v>242489</v>
      </c>
      <c r="F32" s="333">
        <v>292015</v>
      </c>
      <c r="G32" s="333">
        <v>208895</v>
      </c>
      <c r="H32" s="333">
        <v>252326</v>
      </c>
      <c r="I32" s="333">
        <v>191184</v>
      </c>
      <c r="J32" s="333">
        <v>381127</v>
      </c>
      <c r="K32" s="333">
        <v>171189</v>
      </c>
      <c r="L32" s="333">
        <v>205570</v>
      </c>
      <c r="M32" s="333">
        <v>279538</v>
      </c>
      <c r="N32" s="333">
        <v>511780</v>
      </c>
      <c r="O32" s="333">
        <v>620</v>
      </c>
      <c r="P32" s="333">
        <v>744</v>
      </c>
      <c r="Q32" s="333">
        <v>0</v>
      </c>
      <c r="R32" s="333">
        <v>0</v>
      </c>
      <c r="S32" s="333">
        <v>29927</v>
      </c>
      <c r="T32" s="333">
        <v>35913</v>
      </c>
      <c r="U32" s="333">
        <v>27766</v>
      </c>
      <c r="V32" s="333">
        <v>33320</v>
      </c>
      <c r="W32" s="333">
        <v>31778</v>
      </c>
      <c r="X32" s="333">
        <v>38134</v>
      </c>
      <c r="Y32" s="333">
        <v>127813</v>
      </c>
      <c r="Z32" s="333">
        <v>258976</v>
      </c>
      <c r="AA32" s="333">
        <v>54861</v>
      </c>
      <c r="AB32" s="333">
        <v>65833</v>
      </c>
      <c r="AC32" s="333">
        <v>72975</v>
      </c>
      <c r="AD32" s="333">
        <v>87570</v>
      </c>
      <c r="AE32" s="333">
        <v>74032</v>
      </c>
      <c r="AF32" s="333">
        <v>88838</v>
      </c>
      <c r="AG32" s="333">
        <v>98706</v>
      </c>
      <c r="AH32" s="333">
        <v>118448</v>
      </c>
      <c r="AI32" s="333">
        <v>70320</v>
      </c>
      <c r="AJ32" s="333">
        <v>150614</v>
      </c>
      <c r="AK32" s="333">
        <v>10619</v>
      </c>
      <c r="AL32" s="333">
        <v>76883</v>
      </c>
      <c r="AM32" s="333">
        <v>0</v>
      </c>
      <c r="AN32" s="333">
        <v>0</v>
      </c>
    </row>
    <row r="33" spans="1:40" x14ac:dyDescent="0.25">
      <c r="A33" s="335" t="s">
        <v>402</v>
      </c>
      <c r="B33" s="336" t="s">
        <v>166</v>
      </c>
      <c r="C33" s="333">
        <v>1710</v>
      </c>
      <c r="D33" s="333">
        <v>31505</v>
      </c>
      <c r="E33" s="333">
        <v>4600</v>
      </c>
      <c r="F33" s="333">
        <v>188422</v>
      </c>
      <c r="G33" s="333">
        <v>7460</v>
      </c>
      <c r="H33" s="333">
        <v>241564</v>
      </c>
      <c r="I33" s="333">
        <v>185</v>
      </c>
      <c r="J33" s="333">
        <v>11187</v>
      </c>
      <c r="K33" s="333">
        <v>3706</v>
      </c>
      <c r="L33" s="333">
        <v>186553</v>
      </c>
      <c r="M33" s="333">
        <v>7701</v>
      </c>
      <c r="N33" s="333">
        <v>472291</v>
      </c>
      <c r="O33" s="333">
        <v>0</v>
      </c>
      <c r="P33" s="333">
        <v>0</v>
      </c>
      <c r="Q33" s="333">
        <v>3120</v>
      </c>
      <c r="R33" s="333">
        <v>218131</v>
      </c>
      <c r="S33" s="333">
        <v>2840</v>
      </c>
      <c r="T33" s="333">
        <v>175794</v>
      </c>
      <c r="U33" s="333">
        <v>3563</v>
      </c>
      <c r="V33" s="333">
        <v>243900</v>
      </c>
      <c r="W33" s="333">
        <v>4225</v>
      </c>
      <c r="X33" s="333">
        <v>250392</v>
      </c>
      <c r="Y33" s="333">
        <v>3363</v>
      </c>
      <c r="Z33" s="333">
        <v>173565</v>
      </c>
      <c r="AA33" s="333">
        <v>3307</v>
      </c>
      <c r="AB33" s="333">
        <v>211973</v>
      </c>
      <c r="AC33" s="333">
        <v>280</v>
      </c>
      <c r="AD33" s="333">
        <v>31649</v>
      </c>
      <c r="AE33" s="333">
        <v>1776</v>
      </c>
      <c r="AF33" s="333">
        <v>216398</v>
      </c>
      <c r="AG33" s="333">
        <v>2478</v>
      </c>
      <c r="AH33" s="333">
        <v>206974</v>
      </c>
      <c r="AI33" s="333">
        <v>440</v>
      </c>
      <c r="AJ33" s="333">
        <v>45508</v>
      </c>
      <c r="AK33" s="333">
        <v>400</v>
      </c>
      <c r="AL33" s="333">
        <v>42243</v>
      </c>
      <c r="AM33" s="333">
        <v>1837</v>
      </c>
      <c r="AN33" s="333">
        <v>147239</v>
      </c>
    </row>
    <row r="34" spans="1:40" x14ac:dyDescent="0.25">
      <c r="A34" s="335" t="s">
        <v>403</v>
      </c>
      <c r="B34" s="336" t="s">
        <v>166</v>
      </c>
      <c r="C34" s="333">
        <v>0</v>
      </c>
      <c r="D34" s="333">
        <v>0</v>
      </c>
      <c r="E34" s="333">
        <v>0</v>
      </c>
      <c r="F34" s="333">
        <v>0</v>
      </c>
      <c r="G34" s="333">
        <v>0</v>
      </c>
      <c r="H34" s="333">
        <v>0</v>
      </c>
      <c r="I34" s="333">
        <v>0</v>
      </c>
      <c r="J34" s="333">
        <v>0</v>
      </c>
      <c r="K34" s="333">
        <v>0</v>
      </c>
      <c r="L34" s="333">
        <v>0</v>
      </c>
      <c r="M34" s="333">
        <v>0</v>
      </c>
      <c r="N34" s="333">
        <v>0</v>
      </c>
      <c r="O34" s="333">
        <v>0</v>
      </c>
      <c r="P34" s="333">
        <v>0</v>
      </c>
      <c r="Q34" s="333">
        <v>0</v>
      </c>
      <c r="R34" s="333">
        <v>0</v>
      </c>
      <c r="S34" s="333">
        <v>0</v>
      </c>
      <c r="T34" s="333">
        <v>0</v>
      </c>
      <c r="U34" s="333">
        <v>0</v>
      </c>
      <c r="V34" s="333">
        <v>0</v>
      </c>
      <c r="W34" s="333">
        <v>0</v>
      </c>
      <c r="X34" s="333">
        <v>0</v>
      </c>
      <c r="Y34" s="333">
        <v>0</v>
      </c>
      <c r="Z34" s="333">
        <v>0</v>
      </c>
      <c r="AA34" s="333">
        <v>0</v>
      </c>
      <c r="AB34" s="333">
        <v>0</v>
      </c>
      <c r="AC34" s="333">
        <v>0</v>
      </c>
      <c r="AD34" s="333">
        <v>0</v>
      </c>
      <c r="AE34" s="333">
        <v>0</v>
      </c>
      <c r="AF34" s="333">
        <v>0</v>
      </c>
      <c r="AG34" s="333">
        <v>358.37</v>
      </c>
      <c r="AH34" s="333">
        <v>24970</v>
      </c>
      <c r="AI34" s="333">
        <v>1273</v>
      </c>
      <c r="AJ34" s="333">
        <v>91582</v>
      </c>
      <c r="AK34" s="333">
        <v>1679</v>
      </c>
      <c r="AL34" s="333">
        <v>114216</v>
      </c>
      <c r="AM34" s="333">
        <v>713</v>
      </c>
      <c r="AN34" s="333">
        <v>57919</v>
      </c>
    </row>
    <row r="35" spans="1:40" x14ac:dyDescent="0.25">
      <c r="A35" s="335" t="s">
        <v>404</v>
      </c>
      <c r="B35" s="336" t="s">
        <v>166</v>
      </c>
      <c r="C35" s="333">
        <v>0</v>
      </c>
      <c r="D35" s="333">
        <v>0</v>
      </c>
      <c r="E35" s="333">
        <v>126899</v>
      </c>
      <c r="F35" s="333">
        <v>372318</v>
      </c>
      <c r="G35" s="333">
        <v>72176</v>
      </c>
      <c r="H35" s="333">
        <v>209528</v>
      </c>
      <c r="I35" s="333">
        <v>1697</v>
      </c>
      <c r="J35" s="333">
        <v>20364</v>
      </c>
      <c r="K35" s="333">
        <v>1709</v>
      </c>
      <c r="L35" s="333">
        <v>20503</v>
      </c>
      <c r="M35" s="333">
        <v>32401</v>
      </c>
      <c r="N35" s="333">
        <v>324010</v>
      </c>
      <c r="O35" s="333">
        <v>153611</v>
      </c>
      <c r="P35" s="333">
        <v>1689718</v>
      </c>
      <c r="Q35" s="333">
        <v>22575</v>
      </c>
      <c r="R35" s="333">
        <v>225745</v>
      </c>
      <c r="S35" s="333">
        <v>22984</v>
      </c>
      <c r="T35" s="333">
        <v>249946</v>
      </c>
      <c r="U35" s="333">
        <v>33189</v>
      </c>
      <c r="V35" s="333">
        <v>318018</v>
      </c>
      <c r="W35" s="333">
        <v>61599</v>
      </c>
      <c r="X35" s="333">
        <v>615990</v>
      </c>
      <c r="Y35" s="333">
        <v>10885</v>
      </c>
      <c r="Z35" s="333">
        <v>108850</v>
      </c>
      <c r="AA35" s="333">
        <v>13003</v>
      </c>
      <c r="AB35" s="333">
        <v>130030</v>
      </c>
      <c r="AC35" s="333">
        <v>2360</v>
      </c>
      <c r="AD35" s="333">
        <v>14160</v>
      </c>
      <c r="AE35" s="333">
        <v>0</v>
      </c>
      <c r="AF35" s="333">
        <v>0</v>
      </c>
      <c r="AG35" s="333">
        <v>0</v>
      </c>
      <c r="AH35" s="333">
        <v>0</v>
      </c>
      <c r="AI35" s="333">
        <v>0</v>
      </c>
      <c r="AJ35" s="333">
        <v>0</v>
      </c>
      <c r="AK35" s="333">
        <v>0</v>
      </c>
      <c r="AL35" s="333">
        <v>0</v>
      </c>
      <c r="AM35" s="333">
        <v>0</v>
      </c>
      <c r="AN35" s="333">
        <v>0</v>
      </c>
    </row>
    <row r="36" spans="1:40" x14ac:dyDescent="0.25">
      <c r="A36" s="337" t="s">
        <v>405</v>
      </c>
      <c r="B36" s="332"/>
      <c r="C36" s="333"/>
      <c r="D36" s="333">
        <f>SUM(D29:D35)</f>
        <v>394030</v>
      </c>
      <c r="E36" s="333"/>
      <c r="F36" s="333">
        <f>SUM(F29:F35)</f>
        <v>910583</v>
      </c>
      <c r="G36" s="333"/>
      <c r="H36" s="333">
        <f>SUM(H29:H35)</f>
        <v>2332087</v>
      </c>
      <c r="I36" s="333"/>
      <c r="J36" s="333">
        <f>SUM(J29:J35)</f>
        <v>2708241</v>
      </c>
      <c r="K36" s="333"/>
      <c r="L36" s="333">
        <v>4000968</v>
      </c>
      <c r="M36" s="333"/>
      <c r="N36" s="333">
        <v>5351068</v>
      </c>
      <c r="O36" s="333"/>
      <c r="P36" s="333">
        <f>SUM(P29:P35)</f>
        <v>5743262</v>
      </c>
      <c r="Q36" s="333"/>
      <c r="R36" s="333">
        <v>6474676</v>
      </c>
      <c r="S36" s="333"/>
      <c r="T36" s="333">
        <v>6353388</v>
      </c>
      <c r="U36" s="333"/>
      <c r="V36" s="333">
        <v>7437166</v>
      </c>
      <c r="W36" s="333"/>
      <c r="X36" s="333">
        <v>5736515</v>
      </c>
      <c r="Y36" s="333"/>
      <c r="Z36" s="333">
        <v>4896843</v>
      </c>
      <c r="AA36" s="333"/>
      <c r="AB36" s="333">
        <v>4693537</v>
      </c>
      <c r="AC36" s="333"/>
      <c r="AD36" s="333">
        <v>5038228</v>
      </c>
      <c r="AE36" s="334"/>
      <c r="AF36" s="333">
        <v>1627948</v>
      </c>
      <c r="AG36" s="333"/>
      <c r="AH36" s="333">
        <v>1837596</v>
      </c>
      <c r="AI36" s="333"/>
      <c r="AJ36" s="333">
        <f>SUM(AJ28:AJ35)</f>
        <v>1696853</v>
      </c>
      <c r="AK36" s="333"/>
      <c r="AL36" s="333">
        <f>SUM(AL28:AL35)</f>
        <v>1669073</v>
      </c>
      <c r="AM36" s="333"/>
      <c r="AN36" s="333">
        <v>1583280</v>
      </c>
    </row>
    <row r="37" spans="1:40" x14ac:dyDescent="0.25">
      <c r="A37" s="338"/>
      <c r="B37" s="33"/>
      <c r="C37" s="325"/>
      <c r="D37" s="325"/>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325"/>
      <c r="AE37" s="325"/>
      <c r="AF37" s="325"/>
      <c r="AG37" s="325"/>
      <c r="AH37" s="325"/>
      <c r="AI37" s="325"/>
      <c r="AJ37" s="325"/>
      <c r="AK37" s="325"/>
      <c r="AL37" s="325"/>
      <c r="AM37" s="325"/>
      <c r="AN37" s="325"/>
    </row>
    <row r="38" spans="1:40" x14ac:dyDescent="0.25">
      <c r="A38" s="330" t="s">
        <v>201</v>
      </c>
      <c r="B38" s="216" t="s">
        <v>166</v>
      </c>
      <c r="C38" s="201">
        <v>2672619</v>
      </c>
      <c r="D38" s="201">
        <v>109120090</v>
      </c>
      <c r="E38" s="201">
        <v>3765045</v>
      </c>
      <c r="F38" s="201">
        <v>126840815</v>
      </c>
      <c r="G38" s="201">
        <v>3795055</v>
      </c>
      <c r="H38" s="201">
        <v>141742231</v>
      </c>
      <c r="I38" s="201">
        <v>3701942</v>
      </c>
      <c r="J38" s="201">
        <v>150965157</v>
      </c>
      <c r="K38" s="201">
        <v>3800228</v>
      </c>
      <c r="L38" s="201">
        <v>161240819</v>
      </c>
      <c r="M38" s="201">
        <v>4160646</v>
      </c>
      <c r="N38" s="201">
        <v>183698442</v>
      </c>
      <c r="O38" s="201">
        <v>5218176</v>
      </c>
      <c r="P38" s="201">
        <v>232915908</v>
      </c>
      <c r="Q38" s="201">
        <v>5491310</v>
      </c>
      <c r="R38" s="201">
        <v>243540117</v>
      </c>
      <c r="S38" s="201">
        <v>5428055</v>
      </c>
      <c r="T38" s="201">
        <v>244773673</v>
      </c>
      <c r="U38" s="201">
        <v>5152574</v>
      </c>
      <c r="V38" s="201">
        <v>236288139</v>
      </c>
      <c r="W38" s="201">
        <v>5863747</v>
      </c>
      <c r="X38" s="201">
        <v>274745803</v>
      </c>
      <c r="Y38" s="201">
        <v>5897443</v>
      </c>
      <c r="Z38" s="201">
        <v>270359539</v>
      </c>
      <c r="AA38" s="201">
        <v>5556644</v>
      </c>
      <c r="AB38" s="201">
        <v>257303044</v>
      </c>
      <c r="AC38" s="201">
        <v>5708548</v>
      </c>
      <c r="AD38" s="201">
        <v>257282501</v>
      </c>
      <c r="AE38" s="201">
        <v>5796621.7999999998</v>
      </c>
      <c r="AF38" s="201">
        <v>256742210</v>
      </c>
      <c r="AG38" s="201">
        <v>6504505.7000000002</v>
      </c>
      <c r="AH38" s="201">
        <v>271531464</v>
      </c>
      <c r="AI38" s="201">
        <v>6102813</v>
      </c>
      <c r="AJ38" s="201">
        <v>252281765</v>
      </c>
      <c r="AK38" s="201">
        <v>6164194</v>
      </c>
      <c r="AL38" s="201">
        <v>258125908</v>
      </c>
      <c r="AM38" s="201">
        <v>6323197</v>
      </c>
      <c r="AN38" s="201">
        <v>272886748</v>
      </c>
    </row>
    <row r="39" spans="1:40" x14ac:dyDescent="0.25">
      <c r="A39" s="215"/>
      <c r="B39" s="216"/>
      <c r="C39" s="201"/>
      <c r="D39" s="201"/>
      <c r="E39" s="201"/>
      <c r="F39" s="201"/>
      <c r="G39" s="201"/>
      <c r="H39" s="201"/>
      <c r="I39" s="201"/>
      <c r="J39" s="201"/>
      <c r="K39" s="201"/>
      <c r="L39" s="201"/>
      <c r="M39" s="201"/>
      <c r="N39" s="201"/>
      <c r="O39" s="201"/>
      <c r="P39" s="201"/>
      <c r="Q39" s="201"/>
      <c r="R39" s="201"/>
      <c r="U39" s="201"/>
      <c r="V39" s="201"/>
      <c r="W39" s="201"/>
      <c r="X39" s="201"/>
      <c r="Y39" s="201"/>
      <c r="Z39" s="201"/>
      <c r="AA39" s="201"/>
      <c r="AB39" s="201"/>
      <c r="AC39" s="201"/>
      <c r="AD39" s="201"/>
      <c r="AE39" s="201"/>
      <c r="AF39" s="201"/>
      <c r="AG39" s="201"/>
      <c r="AH39" s="201"/>
      <c r="AI39" s="201"/>
      <c r="AJ39" s="201"/>
      <c r="AK39" s="201"/>
      <c r="AL39" s="201"/>
      <c r="AM39" s="201"/>
      <c r="AN39" s="201"/>
    </row>
    <row r="40" spans="1:40" x14ac:dyDescent="0.25">
      <c r="A40" s="331" t="s">
        <v>204</v>
      </c>
      <c r="B40" s="332"/>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row>
    <row r="41" spans="1:40" x14ac:dyDescent="0.25">
      <c r="A41" s="335" t="s">
        <v>205</v>
      </c>
      <c r="B41" s="336" t="s">
        <v>166</v>
      </c>
      <c r="C41" s="333">
        <v>160544</v>
      </c>
      <c r="D41" s="333">
        <v>1007069</v>
      </c>
      <c r="E41" s="333">
        <v>117255</v>
      </c>
      <c r="F41" s="333">
        <v>744055</v>
      </c>
      <c r="G41" s="333">
        <v>100816</v>
      </c>
      <c r="H41" s="333">
        <v>581430</v>
      </c>
      <c r="I41" s="333">
        <v>261853</v>
      </c>
      <c r="J41" s="333">
        <v>1314472</v>
      </c>
      <c r="K41" s="333">
        <v>170838</v>
      </c>
      <c r="L41" s="333">
        <v>1134173</v>
      </c>
      <c r="M41" s="333">
        <v>150814</v>
      </c>
      <c r="N41" s="333">
        <v>754854</v>
      </c>
      <c r="O41" s="333">
        <v>102945</v>
      </c>
      <c r="P41" s="333">
        <v>435358</v>
      </c>
      <c r="Q41" s="333">
        <v>121343</v>
      </c>
      <c r="R41" s="333">
        <v>737177</v>
      </c>
      <c r="S41" s="333">
        <v>298943</v>
      </c>
      <c r="T41" s="333">
        <v>1791423</v>
      </c>
      <c r="U41" s="333">
        <v>51434</v>
      </c>
      <c r="V41" s="333">
        <v>226475</v>
      </c>
      <c r="W41" s="333">
        <v>328940</v>
      </c>
      <c r="X41" s="333">
        <v>1876744</v>
      </c>
      <c r="Y41" s="333">
        <v>556743</v>
      </c>
      <c r="Z41" s="333">
        <v>3487810</v>
      </c>
      <c r="AA41" s="333">
        <v>405993</v>
      </c>
      <c r="AB41" s="333">
        <v>2635481</v>
      </c>
      <c r="AC41" s="333">
        <v>311081</v>
      </c>
      <c r="AD41" s="333">
        <v>2244377</v>
      </c>
      <c r="AE41" s="333">
        <v>277486</v>
      </c>
      <c r="AF41" s="333">
        <v>2271690</v>
      </c>
      <c r="AG41" s="333">
        <v>301267.43</v>
      </c>
      <c r="AH41" s="333">
        <v>2248441</v>
      </c>
      <c r="AI41" s="333">
        <v>284164</v>
      </c>
      <c r="AJ41" s="333">
        <v>2776441</v>
      </c>
      <c r="AK41" s="333">
        <v>650749</v>
      </c>
      <c r="AL41" s="333">
        <v>5631178</v>
      </c>
      <c r="AM41" s="333">
        <v>477673</v>
      </c>
      <c r="AN41" s="333">
        <v>4354630</v>
      </c>
    </row>
    <row r="42" spans="1:40" x14ac:dyDescent="0.25">
      <c r="A42" s="335" t="s">
        <v>206</v>
      </c>
      <c r="B42" s="336" t="s">
        <v>166</v>
      </c>
      <c r="C42" s="333">
        <v>58944</v>
      </c>
      <c r="D42" s="333">
        <v>67107</v>
      </c>
      <c r="E42" s="333">
        <v>6379</v>
      </c>
      <c r="F42" s="333">
        <v>16098</v>
      </c>
      <c r="G42" s="333">
        <v>22365</v>
      </c>
      <c r="H42" s="333">
        <v>28965</v>
      </c>
      <c r="I42" s="333">
        <v>5989</v>
      </c>
      <c r="J42" s="333">
        <v>38905</v>
      </c>
      <c r="K42" s="333">
        <v>24643</v>
      </c>
      <c r="L42" s="333">
        <v>114215</v>
      </c>
      <c r="M42" s="333">
        <v>44981</v>
      </c>
      <c r="N42" s="333">
        <v>213086</v>
      </c>
      <c r="O42" s="333">
        <v>30952</v>
      </c>
      <c r="P42" s="333">
        <v>152200</v>
      </c>
      <c r="Q42" s="333">
        <v>120716</v>
      </c>
      <c r="R42" s="333">
        <v>620463</v>
      </c>
      <c r="S42" s="333">
        <v>57740</v>
      </c>
      <c r="T42" s="333">
        <v>283399</v>
      </c>
      <c r="U42" s="333">
        <v>106280</v>
      </c>
      <c r="V42" s="333">
        <v>525788</v>
      </c>
      <c r="W42" s="333">
        <v>145017</v>
      </c>
      <c r="X42" s="333">
        <v>739570</v>
      </c>
      <c r="Y42" s="333">
        <v>177597</v>
      </c>
      <c r="Z42" s="333">
        <v>1019434</v>
      </c>
      <c r="AA42" s="333">
        <v>234063</v>
      </c>
      <c r="AB42" s="333">
        <v>1326354</v>
      </c>
      <c r="AC42" s="333">
        <v>182618</v>
      </c>
      <c r="AD42" s="333">
        <v>1022704</v>
      </c>
      <c r="AE42" s="333">
        <v>254165</v>
      </c>
      <c r="AF42" s="333">
        <v>1668738</v>
      </c>
      <c r="AG42" s="333">
        <v>222579.04</v>
      </c>
      <c r="AH42" s="333">
        <v>1411176.5</v>
      </c>
      <c r="AI42" s="333">
        <v>161947</v>
      </c>
      <c r="AJ42" s="333">
        <v>1059089</v>
      </c>
      <c r="AK42" s="333">
        <v>353191</v>
      </c>
      <c r="AL42" s="333">
        <v>1300475</v>
      </c>
      <c r="AM42" s="333">
        <v>154806</v>
      </c>
      <c r="AN42" s="333">
        <v>1088798</v>
      </c>
    </row>
    <row r="43" spans="1:40" x14ac:dyDescent="0.25">
      <c r="A43" s="335" t="s">
        <v>207</v>
      </c>
      <c r="B43" s="336" t="s">
        <v>166</v>
      </c>
      <c r="C43" s="333">
        <v>46524</v>
      </c>
      <c r="D43" s="333">
        <v>92686</v>
      </c>
      <c r="E43" s="333">
        <v>46524</v>
      </c>
      <c r="F43" s="333">
        <v>92686</v>
      </c>
      <c r="G43" s="333">
        <v>116222</v>
      </c>
      <c r="H43" s="333">
        <v>187560</v>
      </c>
      <c r="I43" s="333">
        <v>90056</v>
      </c>
      <c r="J43" s="333">
        <v>1237914</v>
      </c>
      <c r="K43" s="333">
        <v>180494</v>
      </c>
      <c r="L43" s="333">
        <v>1672350</v>
      </c>
      <c r="M43" s="333">
        <v>108198</v>
      </c>
      <c r="N43" s="333">
        <v>800585</v>
      </c>
      <c r="O43" s="333">
        <v>43135</v>
      </c>
      <c r="P43" s="333">
        <v>454534</v>
      </c>
      <c r="Q43" s="333">
        <v>144617</v>
      </c>
      <c r="R43" s="333">
        <v>538908</v>
      </c>
      <c r="S43" s="333">
        <v>58614</v>
      </c>
      <c r="T43" s="333">
        <v>494327</v>
      </c>
      <c r="U43" s="333">
        <v>144732</v>
      </c>
      <c r="V43" s="333">
        <v>2054589</v>
      </c>
      <c r="W43" s="333">
        <v>47001</v>
      </c>
      <c r="X43" s="333">
        <v>692168</v>
      </c>
      <c r="Y43" s="333">
        <v>261652</v>
      </c>
      <c r="Z43" s="333">
        <v>1711061</v>
      </c>
      <c r="AA43" s="333">
        <v>404438</v>
      </c>
      <c r="AB43" s="333">
        <v>2525448</v>
      </c>
      <c r="AC43" s="333">
        <v>425434</v>
      </c>
      <c r="AD43" s="333">
        <v>2670997</v>
      </c>
      <c r="AE43" s="333">
        <v>310114</v>
      </c>
      <c r="AF43" s="333">
        <v>2090288</v>
      </c>
      <c r="AG43" s="333">
        <v>221596.01</v>
      </c>
      <c r="AH43" s="333">
        <v>1551019</v>
      </c>
      <c r="AI43" s="333">
        <v>251360</v>
      </c>
      <c r="AJ43" s="333">
        <v>2074419</v>
      </c>
      <c r="AK43" s="333">
        <v>249449</v>
      </c>
      <c r="AL43" s="333">
        <v>1625004</v>
      </c>
      <c r="AM43" s="333">
        <v>350834</v>
      </c>
      <c r="AN43" s="333">
        <v>3465632</v>
      </c>
    </row>
    <row r="44" spans="1:40" x14ac:dyDescent="0.25">
      <c r="A44" s="335" t="s">
        <v>208</v>
      </c>
      <c r="B44" s="336" t="s">
        <v>166</v>
      </c>
      <c r="C44" s="333">
        <v>594017</v>
      </c>
      <c r="D44" s="333">
        <v>1007661</v>
      </c>
      <c r="E44" s="333">
        <v>886091</v>
      </c>
      <c r="F44" s="333">
        <v>1660770</v>
      </c>
      <c r="G44" s="333">
        <v>1271826</v>
      </c>
      <c r="H44" s="333">
        <v>3786995</v>
      </c>
      <c r="I44" s="333">
        <v>580514</v>
      </c>
      <c r="J44" s="333">
        <v>1651086</v>
      </c>
      <c r="K44" s="333">
        <v>757976</v>
      </c>
      <c r="L44" s="333">
        <v>2142695</v>
      </c>
      <c r="M44" s="333">
        <v>729863</v>
      </c>
      <c r="N44" s="333">
        <v>2693633</v>
      </c>
      <c r="O44" s="333">
        <v>0</v>
      </c>
      <c r="P44" s="333">
        <v>0</v>
      </c>
      <c r="Q44" s="333">
        <v>1031609</v>
      </c>
      <c r="R44" s="333">
        <v>5752069</v>
      </c>
      <c r="S44" s="333">
        <v>1304088</v>
      </c>
      <c r="T44" s="333">
        <v>6098122</v>
      </c>
      <c r="U44" s="333">
        <v>2434032</v>
      </c>
      <c r="V44" s="333">
        <v>9927160</v>
      </c>
      <c r="W44" s="333">
        <v>1927572</v>
      </c>
      <c r="X44" s="333">
        <v>9090488</v>
      </c>
      <c r="Y44" s="333">
        <v>1353346</v>
      </c>
      <c r="Z44" s="333">
        <v>5968708</v>
      </c>
      <c r="AA44" s="333">
        <v>1623046</v>
      </c>
      <c r="AB44" s="333">
        <v>7594735</v>
      </c>
      <c r="AC44" s="333">
        <v>1788494</v>
      </c>
      <c r="AD44" s="333">
        <v>8426742</v>
      </c>
      <c r="AE44" s="333">
        <v>1934437.5</v>
      </c>
      <c r="AF44" s="333">
        <v>8754554</v>
      </c>
      <c r="AG44" s="333">
        <v>1705099.34</v>
      </c>
      <c r="AH44" s="333">
        <v>7830707.0600000005</v>
      </c>
      <c r="AI44" s="333">
        <v>1174861</v>
      </c>
      <c r="AJ44" s="333">
        <v>5874215</v>
      </c>
      <c r="AK44" s="333">
        <v>1544804</v>
      </c>
      <c r="AL44" s="333">
        <v>6964844</v>
      </c>
      <c r="AM44" s="333">
        <v>1436049</v>
      </c>
      <c r="AN44" s="333">
        <v>7291151</v>
      </c>
    </row>
    <row r="45" spans="1:40" x14ac:dyDescent="0.25">
      <c r="A45" s="335" t="s">
        <v>406</v>
      </c>
      <c r="B45" s="336" t="s">
        <v>166</v>
      </c>
      <c r="C45" s="333">
        <v>0</v>
      </c>
      <c r="D45" s="333">
        <v>0</v>
      </c>
      <c r="E45" s="333">
        <v>0</v>
      </c>
      <c r="F45" s="333">
        <v>0</v>
      </c>
      <c r="G45" s="333">
        <v>20</v>
      </c>
      <c r="H45" s="333">
        <v>40</v>
      </c>
      <c r="I45" s="333">
        <v>0</v>
      </c>
      <c r="J45" s="333">
        <v>0</v>
      </c>
      <c r="K45" s="333">
        <v>0</v>
      </c>
      <c r="L45" s="333">
        <v>0</v>
      </c>
      <c r="M45" s="333">
        <v>0</v>
      </c>
      <c r="N45" s="333">
        <v>0</v>
      </c>
      <c r="O45" s="333">
        <v>548673</v>
      </c>
      <c r="P45" s="333">
        <v>2327258</v>
      </c>
      <c r="Q45" s="333">
        <v>0</v>
      </c>
      <c r="R45" s="333">
        <v>0</v>
      </c>
      <c r="S45" s="333">
        <v>0</v>
      </c>
      <c r="T45" s="333">
        <v>0</v>
      </c>
      <c r="U45" s="333">
        <v>0</v>
      </c>
      <c r="V45" s="333">
        <v>0</v>
      </c>
      <c r="W45" s="333">
        <v>92</v>
      </c>
      <c r="X45" s="333">
        <v>21823</v>
      </c>
      <c r="Y45" s="333">
        <v>0</v>
      </c>
      <c r="Z45" s="333">
        <v>0</v>
      </c>
      <c r="AA45" s="333">
        <v>0</v>
      </c>
      <c r="AB45" s="333">
        <v>0</v>
      </c>
      <c r="AC45" s="333">
        <v>0</v>
      </c>
      <c r="AD45" s="333">
        <v>0</v>
      </c>
      <c r="AE45" s="333">
        <v>0</v>
      </c>
      <c r="AF45" s="333">
        <v>0</v>
      </c>
      <c r="AG45" s="333">
        <v>0</v>
      </c>
      <c r="AH45" s="333">
        <v>0</v>
      </c>
      <c r="AI45" s="333">
        <v>1100</v>
      </c>
      <c r="AJ45" s="333">
        <v>55000</v>
      </c>
      <c r="AK45" s="333">
        <v>300</v>
      </c>
      <c r="AL45" s="333">
        <v>16500</v>
      </c>
      <c r="AM45" s="333">
        <v>568</v>
      </c>
      <c r="AN45" s="333">
        <v>31240</v>
      </c>
    </row>
    <row r="46" spans="1:40" x14ac:dyDescent="0.25">
      <c r="A46" s="337" t="s">
        <v>209</v>
      </c>
      <c r="B46" s="332"/>
      <c r="C46" s="333"/>
      <c r="D46" s="333">
        <f>SUM(D41:D45)</f>
        <v>2174523</v>
      </c>
      <c r="E46" s="333"/>
      <c r="F46" s="333">
        <f>SUM(F41:F45)</f>
        <v>2513609</v>
      </c>
      <c r="G46" s="333"/>
      <c r="H46" s="333">
        <f>SUM(H41:H45)</f>
        <v>4584990</v>
      </c>
      <c r="I46" s="333"/>
      <c r="J46" s="333">
        <f>SUM(J41:J45)</f>
        <v>4242377</v>
      </c>
      <c r="K46" s="333"/>
      <c r="L46" s="333">
        <v>5063433</v>
      </c>
      <c r="M46" s="333"/>
      <c r="N46" s="333">
        <f>SUM(N41:N45)</f>
        <v>4462158</v>
      </c>
      <c r="O46" s="333"/>
      <c r="P46" s="333">
        <f>SUM(P41:P45)</f>
        <v>3369350</v>
      </c>
      <c r="Q46" s="333"/>
      <c r="R46" s="333">
        <v>7648617</v>
      </c>
      <c r="S46" s="333"/>
      <c r="T46" s="333">
        <v>8667271</v>
      </c>
      <c r="U46" s="333"/>
      <c r="V46" s="333">
        <v>12734012</v>
      </c>
      <c r="W46" s="333"/>
      <c r="X46" s="333">
        <v>12420793</v>
      </c>
      <c r="Y46" s="333"/>
      <c r="Z46" s="333">
        <v>12187013</v>
      </c>
      <c r="AA46" s="333"/>
      <c r="AB46" s="333">
        <v>14082018</v>
      </c>
      <c r="AC46" s="333"/>
      <c r="AD46" s="333">
        <v>14364820</v>
      </c>
      <c r="AE46" s="334"/>
      <c r="AF46" s="333">
        <v>14785270</v>
      </c>
      <c r="AG46" s="333"/>
      <c r="AH46" s="333">
        <v>13041343.560000001</v>
      </c>
      <c r="AI46" s="333"/>
      <c r="AJ46" s="333">
        <f>SUM(AJ41:AJ45)</f>
        <v>11839164</v>
      </c>
      <c r="AK46" s="333"/>
      <c r="AL46" s="333">
        <f>SUM(AL41:AL45)</f>
        <v>15538001</v>
      </c>
      <c r="AM46" s="333"/>
      <c r="AN46" s="333">
        <f>SUM(AN41:AN45)</f>
        <v>16231451</v>
      </c>
    </row>
    <row r="47" spans="1:40" x14ac:dyDescent="0.25">
      <c r="A47" s="338"/>
      <c r="B47" s="33"/>
      <c r="C47" s="325"/>
      <c r="D47" s="325"/>
      <c r="E47" s="325"/>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5"/>
      <c r="AN47" s="325"/>
    </row>
    <row r="48" spans="1:40" x14ac:dyDescent="0.25">
      <c r="A48" s="330" t="s">
        <v>210</v>
      </c>
      <c r="B48" s="216" t="s">
        <v>211</v>
      </c>
      <c r="C48" s="201">
        <v>5569285</v>
      </c>
      <c r="D48" s="201">
        <v>45056768</v>
      </c>
      <c r="E48" s="201">
        <v>17472460</v>
      </c>
      <c r="F48" s="201">
        <v>147567905</v>
      </c>
      <c r="G48" s="201">
        <v>32164524</v>
      </c>
      <c r="H48" s="201">
        <v>284094805</v>
      </c>
      <c r="I48" s="201">
        <v>30218355</v>
      </c>
      <c r="J48" s="201">
        <v>248202718</v>
      </c>
      <c r="K48" s="201">
        <v>36470380</v>
      </c>
      <c r="L48" s="201">
        <v>354745556</v>
      </c>
      <c r="M48" s="201">
        <v>33854620</v>
      </c>
      <c r="N48" s="201">
        <v>413583727</v>
      </c>
      <c r="O48" s="201">
        <v>29964155</v>
      </c>
      <c r="P48" s="201">
        <v>435725448</v>
      </c>
      <c r="Q48" s="201">
        <v>47485294</v>
      </c>
      <c r="R48" s="201">
        <v>564768721</v>
      </c>
      <c r="S48" s="201">
        <v>24827163</v>
      </c>
      <c r="T48" s="201">
        <v>519981370</v>
      </c>
      <c r="U48" s="201">
        <v>28864319</v>
      </c>
      <c r="V48" s="201">
        <v>476747331</v>
      </c>
      <c r="W48" s="201">
        <v>23931476</v>
      </c>
      <c r="X48" s="201">
        <v>480031071</v>
      </c>
      <c r="Y48" s="201">
        <v>33522991</v>
      </c>
      <c r="Z48" s="201">
        <v>525213116</v>
      </c>
      <c r="AA48" s="201">
        <v>52521276</v>
      </c>
      <c r="AB48" s="201">
        <v>395793806</v>
      </c>
      <c r="AC48" s="201">
        <v>42483235</v>
      </c>
      <c r="AD48" s="201">
        <v>537870611</v>
      </c>
      <c r="AE48" s="201">
        <v>51230582</v>
      </c>
      <c r="AF48" s="201">
        <v>610435064</v>
      </c>
      <c r="AG48" s="201">
        <v>50984633</v>
      </c>
      <c r="AH48" s="201">
        <v>703669937</v>
      </c>
      <c r="AI48" s="201">
        <v>25419431</v>
      </c>
      <c r="AJ48" s="201">
        <v>614453364</v>
      </c>
      <c r="AK48" s="201">
        <v>25694968</v>
      </c>
      <c r="AL48" s="201">
        <v>489339885</v>
      </c>
      <c r="AM48" s="201">
        <v>38891107</v>
      </c>
      <c r="AN48" s="201">
        <v>773323675</v>
      </c>
    </row>
    <row r="49" spans="1:40" x14ac:dyDescent="0.25">
      <c r="A49" s="215"/>
      <c r="B49" s="216"/>
      <c r="C49" s="201"/>
      <c r="D49" s="201"/>
      <c r="E49" s="201"/>
      <c r="F49" s="201"/>
      <c r="G49" s="201"/>
      <c r="H49" s="201"/>
      <c r="I49" s="201"/>
      <c r="J49" s="201"/>
      <c r="K49" s="201"/>
      <c r="L49" s="201"/>
      <c r="M49" s="201"/>
      <c r="N49" s="201"/>
      <c r="O49" s="201"/>
      <c r="P49" s="201"/>
      <c r="Q49" s="201"/>
      <c r="R49" s="201"/>
      <c r="U49" s="201"/>
      <c r="V49" s="201"/>
      <c r="W49" s="201"/>
      <c r="X49" s="201"/>
      <c r="Y49" s="201"/>
      <c r="Z49" s="201"/>
      <c r="AA49" s="201"/>
      <c r="AB49" s="201"/>
      <c r="AC49" s="201"/>
      <c r="AD49" s="201"/>
      <c r="AE49" s="201"/>
      <c r="AF49" s="201"/>
      <c r="AG49" s="201"/>
      <c r="AH49" s="201"/>
      <c r="AI49" s="201"/>
      <c r="AJ49" s="201"/>
      <c r="AK49" s="201"/>
      <c r="AL49" s="201"/>
      <c r="AM49" s="201"/>
      <c r="AN49" s="201"/>
    </row>
    <row r="50" spans="1:40" x14ac:dyDescent="0.25">
      <c r="A50" s="323" t="s">
        <v>407</v>
      </c>
      <c r="B50" s="324" t="s">
        <v>166</v>
      </c>
      <c r="C50" s="325">
        <v>257</v>
      </c>
      <c r="D50" s="325">
        <v>1029</v>
      </c>
      <c r="E50" s="325">
        <v>1638</v>
      </c>
      <c r="F50" s="325">
        <v>8450</v>
      </c>
      <c r="G50" s="325">
        <v>401</v>
      </c>
      <c r="H50" s="325">
        <v>2006</v>
      </c>
      <c r="I50" s="325">
        <v>124</v>
      </c>
      <c r="J50" s="325">
        <v>682</v>
      </c>
      <c r="K50" s="325">
        <v>0</v>
      </c>
      <c r="L50" s="325">
        <v>0</v>
      </c>
      <c r="M50" s="325">
        <v>0</v>
      </c>
      <c r="N50" s="325">
        <v>0</v>
      </c>
      <c r="O50" s="325">
        <v>22</v>
      </c>
      <c r="P50" s="325">
        <v>160</v>
      </c>
      <c r="Q50" s="325">
        <v>169</v>
      </c>
      <c r="R50" s="325">
        <v>1300</v>
      </c>
      <c r="S50" s="325">
        <v>445</v>
      </c>
      <c r="T50" s="325">
        <v>5171</v>
      </c>
      <c r="U50" s="325">
        <v>0</v>
      </c>
      <c r="V50" s="325">
        <v>0</v>
      </c>
      <c r="W50" s="325">
        <v>9636</v>
      </c>
      <c r="X50" s="325">
        <v>77062</v>
      </c>
      <c r="Y50" s="325">
        <v>0</v>
      </c>
      <c r="Z50" s="325">
        <v>0</v>
      </c>
      <c r="AA50" s="325">
        <v>0</v>
      </c>
      <c r="AB50" s="325">
        <v>0</v>
      </c>
      <c r="AC50" s="325">
        <v>0</v>
      </c>
      <c r="AD50" s="325">
        <v>0</v>
      </c>
      <c r="AE50" s="325">
        <v>0</v>
      </c>
      <c r="AF50" s="325">
        <v>0</v>
      </c>
      <c r="AG50" s="325">
        <v>0</v>
      </c>
      <c r="AH50" s="325">
        <v>0</v>
      </c>
      <c r="AI50" s="325">
        <v>0</v>
      </c>
      <c r="AJ50" s="325">
        <v>0</v>
      </c>
      <c r="AK50" s="325">
        <v>0</v>
      </c>
      <c r="AL50" s="325">
        <v>0</v>
      </c>
      <c r="AM50" s="325">
        <v>0</v>
      </c>
      <c r="AN50" s="325">
        <v>0</v>
      </c>
    </row>
    <row r="51" spans="1:40" x14ac:dyDescent="0.25">
      <c r="A51" s="33"/>
      <c r="B51" s="33"/>
      <c r="C51" s="33"/>
      <c r="D51" s="33"/>
      <c r="E51" s="33"/>
      <c r="F51" s="33"/>
      <c r="G51" s="33"/>
      <c r="H51" s="33"/>
      <c r="I51" s="33"/>
      <c r="J51" s="33"/>
      <c r="K51" s="33"/>
      <c r="L51" s="33"/>
      <c r="M51" s="33"/>
      <c r="N51" s="33"/>
      <c r="O51" s="33"/>
      <c r="P51" s="33"/>
      <c r="Q51" s="33"/>
      <c r="R51" s="33"/>
      <c r="S51" s="325"/>
      <c r="T51" s="325"/>
      <c r="U51" s="33"/>
      <c r="V51" s="33"/>
      <c r="W51" s="33"/>
      <c r="X51" s="33"/>
      <c r="Y51" s="33"/>
      <c r="Z51" s="33"/>
      <c r="AA51" s="33"/>
      <c r="AB51" s="33"/>
      <c r="AC51" s="33"/>
      <c r="AD51" s="33"/>
      <c r="AE51" s="7"/>
      <c r="AF51" s="7"/>
      <c r="AG51" s="7"/>
      <c r="AH51" s="7"/>
      <c r="AI51" s="7"/>
      <c r="AJ51" s="7"/>
      <c r="AK51" s="7"/>
      <c r="AL51" s="7"/>
      <c r="AM51" s="7"/>
      <c r="AN51" s="7"/>
    </row>
    <row r="52" spans="1:40" x14ac:dyDescent="0.25">
      <c r="A52" s="330" t="s">
        <v>212</v>
      </c>
      <c r="C52" s="201"/>
      <c r="D52" s="201"/>
      <c r="E52" s="201"/>
      <c r="F52" s="201"/>
      <c r="G52" s="201"/>
      <c r="H52" s="201"/>
      <c r="I52" s="201"/>
      <c r="J52" s="201"/>
      <c r="K52" s="201"/>
      <c r="L52" s="201"/>
      <c r="M52" s="201"/>
      <c r="N52" s="201"/>
      <c r="O52" s="201"/>
      <c r="P52" s="201"/>
      <c r="Q52" s="201"/>
      <c r="R52" s="201"/>
      <c r="U52" s="201"/>
      <c r="V52" s="201"/>
      <c r="W52" s="201"/>
      <c r="X52" s="201"/>
      <c r="Y52" s="201"/>
      <c r="Z52" s="201"/>
      <c r="AA52" s="201"/>
      <c r="AB52" s="201"/>
      <c r="AC52" s="201"/>
      <c r="AD52" s="201"/>
      <c r="AE52" s="201"/>
      <c r="AF52" s="201"/>
      <c r="AG52" s="201"/>
      <c r="AH52" s="201"/>
      <c r="AI52" s="201"/>
      <c r="AJ52" s="201"/>
      <c r="AK52" s="201"/>
      <c r="AL52" s="201"/>
      <c r="AM52" s="201"/>
      <c r="AN52" s="201"/>
    </row>
    <row r="53" spans="1:40" x14ac:dyDescent="0.25">
      <c r="A53" s="339" t="s">
        <v>409</v>
      </c>
      <c r="B53" s="216" t="s">
        <v>166</v>
      </c>
      <c r="C53" s="201">
        <v>0</v>
      </c>
      <c r="D53" s="201">
        <v>0</v>
      </c>
      <c r="E53" s="201">
        <v>145</v>
      </c>
      <c r="F53" s="201">
        <v>45000</v>
      </c>
      <c r="G53" s="201">
        <v>585</v>
      </c>
      <c r="H53" s="201">
        <v>50000</v>
      </c>
      <c r="I53" s="201">
        <v>0</v>
      </c>
      <c r="J53" s="201">
        <v>0</v>
      </c>
      <c r="K53" s="201">
        <v>0</v>
      </c>
      <c r="L53" s="201">
        <v>0</v>
      </c>
      <c r="M53" s="201">
        <v>1239</v>
      </c>
      <c r="N53" s="201">
        <v>1789485</v>
      </c>
      <c r="O53" s="201">
        <v>249</v>
      </c>
      <c r="P53" s="201">
        <v>76706</v>
      </c>
      <c r="Q53" s="201">
        <v>5687</v>
      </c>
      <c r="R53" s="201">
        <v>1932444</v>
      </c>
      <c r="S53" s="201">
        <v>1486</v>
      </c>
      <c r="T53" s="201">
        <v>443200</v>
      </c>
      <c r="U53" s="201">
        <v>1762</v>
      </c>
      <c r="V53" s="201">
        <v>485121</v>
      </c>
      <c r="W53" s="201">
        <v>571</v>
      </c>
      <c r="X53" s="201">
        <v>171408</v>
      </c>
      <c r="Y53" s="201">
        <v>0</v>
      </c>
      <c r="Z53" s="201">
        <v>0</v>
      </c>
      <c r="AA53" s="201">
        <v>946</v>
      </c>
      <c r="AB53" s="201">
        <v>283695</v>
      </c>
      <c r="AC53" s="201">
        <v>958</v>
      </c>
      <c r="AD53" s="201">
        <v>287457</v>
      </c>
      <c r="AE53" s="201">
        <v>0</v>
      </c>
      <c r="AF53" s="201">
        <v>0</v>
      </c>
      <c r="AG53" s="201">
        <v>0</v>
      </c>
      <c r="AH53" s="201">
        <v>0</v>
      </c>
      <c r="AI53" s="201">
        <v>0</v>
      </c>
      <c r="AJ53" s="201">
        <v>0</v>
      </c>
      <c r="AK53" s="201">
        <v>0</v>
      </c>
      <c r="AL53" s="201">
        <v>0</v>
      </c>
      <c r="AM53" s="201">
        <v>0</v>
      </c>
      <c r="AN53" s="201">
        <v>0</v>
      </c>
    </row>
    <row r="54" spans="1:40" x14ac:dyDescent="0.25">
      <c r="A54" s="339" t="s">
        <v>410</v>
      </c>
      <c r="B54" s="216" t="s">
        <v>166</v>
      </c>
      <c r="C54" s="201">
        <v>0</v>
      </c>
      <c r="D54" s="201">
        <v>0</v>
      </c>
      <c r="E54" s="201">
        <v>0</v>
      </c>
      <c r="F54" s="201">
        <v>0</v>
      </c>
      <c r="G54" s="201">
        <v>0</v>
      </c>
      <c r="H54" s="201">
        <v>0</v>
      </c>
      <c r="I54" s="201">
        <v>0</v>
      </c>
      <c r="J54" s="201">
        <v>0</v>
      </c>
      <c r="K54" s="201">
        <v>0</v>
      </c>
      <c r="L54" s="201">
        <v>0</v>
      </c>
      <c r="M54" s="201">
        <v>0</v>
      </c>
      <c r="N54" s="201">
        <v>0</v>
      </c>
      <c r="O54" s="201">
        <v>0</v>
      </c>
      <c r="P54" s="201">
        <v>0</v>
      </c>
      <c r="Q54" s="201">
        <v>0</v>
      </c>
      <c r="R54" s="201">
        <v>0</v>
      </c>
      <c r="S54" s="201">
        <v>0</v>
      </c>
      <c r="T54" s="201">
        <v>0</v>
      </c>
      <c r="U54" s="201">
        <v>0</v>
      </c>
      <c r="V54" s="201">
        <v>0</v>
      </c>
      <c r="W54" s="201">
        <v>0</v>
      </c>
      <c r="X54" s="201">
        <v>0</v>
      </c>
      <c r="Y54" s="201">
        <v>40</v>
      </c>
      <c r="Z54" s="201">
        <v>12000</v>
      </c>
      <c r="AA54" s="201">
        <v>220</v>
      </c>
      <c r="AB54" s="201">
        <v>11000</v>
      </c>
      <c r="AC54" s="201">
        <v>391</v>
      </c>
      <c r="AD54" s="201">
        <v>80800</v>
      </c>
      <c r="AE54" s="201">
        <v>5177</v>
      </c>
      <c r="AF54" s="201">
        <v>950000</v>
      </c>
      <c r="AG54" s="201">
        <v>2990</v>
      </c>
      <c r="AH54" s="201">
        <v>621780</v>
      </c>
      <c r="AI54" s="201">
        <v>1448</v>
      </c>
      <c r="AJ54" s="201">
        <v>366995</v>
      </c>
      <c r="AK54" s="201">
        <v>802</v>
      </c>
      <c r="AL54" s="201">
        <v>176531</v>
      </c>
      <c r="AM54" s="201">
        <v>769</v>
      </c>
      <c r="AN54" s="201">
        <v>212485</v>
      </c>
    </row>
    <row r="55" spans="1:40" x14ac:dyDescent="0.25">
      <c r="A55" s="339" t="s">
        <v>411</v>
      </c>
      <c r="B55" s="216" t="s">
        <v>166</v>
      </c>
      <c r="C55" s="201">
        <v>0</v>
      </c>
      <c r="D55" s="201">
        <v>0</v>
      </c>
      <c r="E55" s="201">
        <v>0</v>
      </c>
      <c r="F55" s="201">
        <v>0</v>
      </c>
      <c r="G55" s="201">
        <v>0</v>
      </c>
      <c r="H55" s="201">
        <v>0</v>
      </c>
      <c r="I55" s="201">
        <v>0</v>
      </c>
      <c r="J55" s="201">
        <v>0</v>
      </c>
      <c r="K55" s="201">
        <v>0</v>
      </c>
      <c r="L55" s="201">
        <v>0</v>
      </c>
      <c r="M55" s="201">
        <v>0</v>
      </c>
      <c r="N55" s="201">
        <v>0</v>
      </c>
      <c r="O55" s="201">
        <v>0</v>
      </c>
      <c r="P55" s="201">
        <v>0</v>
      </c>
      <c r="Q55" s="201">
        <v>0</v>
      </c>
      <c r="R55" s="201">
        <v>0</v>
      </c>
      <c r="S55" s="201">
        <v>0</v>
      </c>
      <c r="T55" s="201">
        <v>0</v>
      </c>
      <c r="U55" s="201">
        <v>0</v>
      </c>
      <c r="V55" s="201">
        <v>0</v>
      </c>
      <c r="W55" s="201">
        <v>0</v>
      </c>
      <c r="X55" s="201">
        <v>0</v>
      </c>
      <c r="Y55" s="201">
        <v>25</v>
      </c>
      <c r="Z55" s="201">
        <v>9016</v>
      </c>
      <c r="AA55" s="201">
        <v>0</v>
      </c>
      <c r="AB55" s="201">
        <v>0</v>
      </c>
      <c r="AC55" s="201">
        <v>0</v>
      </c>
      <c r="AD55" s="201">
        <v>0</v>
      </c>
      <c r="AE55" s="201">
        <v>0</v>
      </c>
      <c r="AF55" s="201">
        <v>0</v>
      </c>
      <c r="AG55" s="201">
        <v>0</v>
      </c>
      <c r="AH55" s="201">
        <v>0</v>
      </c>
      <c r="AI55" s="201">
        <v>0</v>
      </c>
      <c r="AJ55" s="201">
        <v>0</v>
      </c>
      <c r="AK55" s="201">
        <v>0</v>
      </c>
      <c r="AL55" s="201">
        <v>0</v>
      </c>
      <c r="AM55" s="201">
        <v>0</v>
      </c>
      <c r="AN55" s="201">
        <v>0</v>
      </c>
    </row>
    <row r="56" spans="1:40" x14ac:dyDescent="0.25">
      <c r="A56" s="339" t="s">
        <v>412</v>
      </c>
      <c r="B56" s="216" t="s">
        <v>166</v>
      </c>
      <c r="C56" s="201">
        <v>0</v>
      </c>
      <c r="D56" s="201">
        <v>0</v>
      </c>
      <c r="E56" s="201">
        <v>0</v>
      </c>
      <c r="F56" s="201">
        <v>0</v>
      </c>
      <c r="G56" s="201">
        <v>0</v>
      </c>
      <c r="H56" s="201">
        <v>0</v>
      </c>
      <c r="I56" s="201">
        <v>0</v>
      </c>
      <c r="J56" s="201">
        <v>0</v>
      </c>
      <c r="K56" s="201">
        <v>0</v>
      </c>
      <c r="L56" s="201">
        <v>0</v>
      </c>
      <c r="M56" s="201">
        <v>0</v>
      </c>
      <c r="N56" s="201">
        <v>0</v>
      </c>
      <c r="O56" s="201">
        <v>0</v>
      </c>
      <c r="P56" s="201">
        <v>0</v>
      </c>
      <c r="Q56" s="201">
        <v>0</v>
      </c>
      <c r="R56" s="201">
        <v>0</v>
      </c>
      <c r="S56" s="201">
        <v>0</v>
      </c>
      <c r="T56" s="201">
        <v>0</v>
      </c>
      <c r="U56" s="201">
        <v>0</v>
      </c>
      <c r="V56" s="201">
        <v>0</v>
      </c>
      <c r="W56" s="201">
        <v>0</v>
      </c>
      <c r="X56" s="201">
        <v>0</v>
      </c>
      <c r="Y56" s="201">
        <v>0</v>
      </c>
      <c r="Z56" s="201">
        <v>0</v>
      </c>
      <c r="AA56" s="201">
        <v>0</v>
      </c>
      <c r="AB56" s="201">
        <v>0</v>
      </c>
      <c r="AC56" s="201">
        <v>0</v>
      </c>
      <c r="AD56" s="201">
        <v>0</v>
      </c>
      <c r="AE56" s="201">
        <v>0</v>
      </c>
      <c r="AF56" s="201">
        <v>0</v>
      </c>
      <c r="AG56" s="201">
        <v>0</v>
      </c>
      <c r="AH56" s="201">
        <v>0</v>
      </c>
      <c r="AI56" s="201">
        <v>0</v>
      </c>
      <c r="AJ56" s="201">
        <v>0</v>
      </c>
      <c r="AK56" s="201">
        <v>0</v>
      </c>
      <c r="AL56" s="201">
        <v>0</v>
      </c>
      <c r="AM56" s="201">
        <v>0</v>
      </c>
      <c r="AN56" s="201">
        <v>0</v>
      </c>
    </row>
    <row r="57" spans="1:40" x14ac:dyDescent="0.25">
      <c r="A57" s="339" t="s">
        <v>413</v>
      </c>
      <c r="B57" s="216" t="s">
        <v>166</v>
      </c>
      <c r="C57" s="201">
        <v>0</v>
      </c>
      <c r="D57" s="201">
        <v>0</v>
      </c>
      <c r="E57" s="201">
        <v>0</v>
      </c>
      <c r="F57" s="201">
        <v>0</v>
      </c>
      <c r="G57" s="201">
        <v>0</v>
      </c>
      <c r="H57" s="201">
        <v>0</v>
      </c>
      <c r="I57" s="201">
        <v>0</v>
      </c>
      <c r="J57" s="201">
        <v>0</v>
      </c>
      <c r="K57" s="201">
        <v>0</v>
      </c>
      <c r="L57" s="201">
        <v>0</v>
      </c>
      <c r="M57" s="201">
        <v>0</v>
      </c>
      <c r="N57" s="201">
        <v>0</v>
      </c>
      <c r="O57" s="201">
        <v>0</v>
      </c>
      <c r="P57" s="201">
        <v>0</v>
      </c>
      <c r="Q57" s="201">
        <v>0</v>
      </c>
      <c r="R57" s="201">
        <v>0</v>
      </c>
      <c r="S57" s="201">
        <v>0</v>
      </c>
      <c r="T57" s="201">
        <v>0</v>
      </c>
      <c r="U57" s="201">
        <v>0</v>
      </c>
      <c r="V57" s="201">
        <v>0</v>
      </c>
      <c r="W57" s="201">
        <v>0</v>
      </c>
      <c r="X57" s="201">
        <v>0</v>
      </c>
      <c r="Y57" s="201">
        <v>0</v>
      </c>
      <c r="Z57" s="201">
        <v>0</v>
      </c>
      <c r="AA57" s="201">
        <v>0</v>
      </c>
      <c r="AB57" s="201">
        <v>0</v>
      </c>
      <c r="AC57" s="201">
        <v>0</v>
      </c>
      <c r="AD57" s="201">
        <v>0</v>
      </c>
      <c r="AE57" s="201">
        <v>984</v>
      </c>
      <c r="AF57" s="201">
        <v>594880</v>
      </c>
      <c r="AG57" s="201">
        <v>0</v>
      </c>
      <c r="AH57" s="201">
        <v>0</v>
      </c>
      <c r="AI57" s="201">
        <v>131.33000000000001</v>
      </c>
      <c r="AJ57" s="201">
        <v>48640</v>
      </c>
      <c r="AK57" s="201">
        <v>267</v>
      </c>
      <c r="AL57" s="201">
        <v>94530</v>
      </c>
      <c r="AM57" s="201">
        <v>619</v>
      </c>
      <c r="AN57" s="201">
        <v>216509</v>
      </c>
    </row>
    <row r="58" spans="1:40" x14ac:dyDescent="0.25">
      <c r="A58" s="339" t="s">
        <v>291</v>
      </c>
      <c r="B58" s="216" t="s">
        <v>166</v>
      </c>
      <c r="C58" s="201">
        <v>0</v>
      </c>
      <c r="D58" s="201">
        <v>0</v>
      </c>
      <c r="E58" s="201">
        <v>0</v>
      </c>
      <c r="F58" s="201">
        <v>0</v>
      </c>
      <c r="G58" s="201">
        <v>0</v>
      </c>
      <c r="H58" s="201">
        <v>0</v>
      </c>
      <c r="I58" s="201">
        <v>0</v>
      </c>
      <c r="J58" s="201">
        <v>0</v>
      </c>
      <c r="K58" s="201">
        <v>0</v>
      </c>
      <c r="L58" s="201">
        <v>0</v>
      </c>
      <c r="M58" s="201">
        <v>0</v>
      </c>
      <c r="N58" s="201">
        <v>0</v>
      </c>
      <c r="O58" s="201">
        <v>0</v>
      </c>
      <c r="P58" s="201">
        <v>0</v>
      </c>
      <c r="Q58" s="201">
        <v>0</v>
      </c>
      <c r="R58" s="201">
        <v>0</v>
      </c>
      <c r="S58" s="201">
        <v>0</v>
      </c>
      <c r="T58" s="201">
        <v>0</v>
      </c>
      <c r="U58" s="201">
        <v>0</v>
      </c>
      <c r="V58" s="201">
        <v>0</v>
      </c>
      <c r="W58" s="201">
        <v>0</v>
      </c>
      <c r="X58" s="201">
        <v>0</v>
      </c>
      <c r="Y58" s="201">
        <v>0</v>
      </c>
      <c r="Z58" s="201">
        <v>0</v>
      </c>
      <c r="AA58" s="201">
        <v>0</v>
      </c>
      <c r="AB58" s="201">
        <v>0</v>
      </c>
      <c r="AC58" s="201">
        <v>0</v>
      </c>
      <c r="AD58" s="201">
        <v>0</v>
      </c>
      <c r="AE58" s="201">
        <v>0</v>
      </c>
      <c r="AF58" s="201">
        <v>0</v>
      </c>
      <c r="AG58" s="201">
        <v>0</v>
      </c>
      <c r="AH58" s="201">
        <v>0</v>
      </c>
      <c r="AI58" s="201">
        <v>0</v>
      </c>
      <c r="AJ58" s="201">
        <v>0</v>
      </c>
      <c r="AK58" s="201">
        <v>435</v>
      </c>
      <c r="AL58" s="201">
        <v>226690</v>
      </c>
      <c r="AM58" s="201">
        <v>100</v>
      </c>
      <c r="AN58" s="201">
        <v>45000</v>
      </c>
    </row>
    <row r="59" spans="1:40" x14ac:dyDescent="0.25">
      <c r="A59" s="339" t="s">
        <v>414</v>
      </c>
      <c r="B59" s="216" t="s">
        <v>166</v>
      </c>
      <c r="C59" s="201">
        <v>2644</v>
      </c>
      <c r="D59" s="201">
        <v>118980</v>
      </c>
      <c r="E59" s="201">
        <v>2233</v>
      </c>
      <c r="F59" s="201">
        <v>100481</v>
      </c>
      <c r="G59" s="201">
        <v>1861</v>
      </c>
      <c r="H59" s="201">
        <v>83755</v>
      </c>
      <c r="I59" s="201">
        <v>294</v>
      </c>
      <c r="J59" s="201">
        <v>13210</v>
      </c>
      <c r="K59" s="201">
        <v>1088</v>
      </c>
      <c r="L59" s="201">
        <v>48977</v>
      </c>
      <c r="M59" s="201">
        <v>994</v>
      </c>
      <c r="N59" s="201">
        <v>43341</v>
      </c>
      <c r="O59" s="201">
        <v>430</v>
      </c>
      <c r="P59" s="201">
        <v>19302</v>
      </c>
      <c r="Q59" s="201">
        <v>295</v>
      </c>
      <c r="R59" s="201">
        <v>13258</v>
      </c>
      <c r="S59" s="201">
        <v>1002</v>
      </c>
      <c r="T59" s="201">
        <v>45047</v>
      </c>
      <c r="U59" s="201">
        <v>995</v>
      </c>
      <c r="V59" s="201">
        <v>44753</v>
      </c>
      <c r="W59" s="201">
        <v>0</v>
      </c>
      <c r="X59" s="201">
        <v>0</v>
      </c>
      <c r="Y59" s="201">
        <v>0</v>
      </c>
      <c r="Z59" s="201">
        <v>0</v>
      </c>
      <c r="AA59" s="201">
        <v>0</v>
      </c>
      <c r="AB59" s="201">
        <v>0</v>
      </c>
      <c r="AC59" s="201">
        <v>0</v>
      </c>
      <c r="AD59" s="201">
        <v>0</v>
      </c>
      <c r="AE59" s="201">
        <v>0</v>
      </c>
      <c r="AF59" s="201">
        <v>0</v>
      </c>
      <c r="AG59" s="201">
        <v>0</v>
      </c>
      <c r="AH59" s="201">
        <v>0</v>
      </c>
      <c r="AI59" s="201">
        <v>0</v>
      </c>
      <c r="AJ59" s="201">
        <v>0</v>
      </c>
      <c r="AK59" s="201">
        <v>0</v>
      </c>
      <c r="AL59" s="201">
        <v>0</v>
      </c>
      <c r="AM59" s="201">
        <v>0</v>
      </c>
      <c r="AN59" s="201">
        <v>0</v>
      </c>
    </row>
    <row r="60" spans="1:40" x14ac:dyDescent="0.25">
      <c r="A60" s="339" t="s">
        <v>415</v>
      </c>
      <c r="B60" s="216" t="s">
        <v>166</v>
      </c>
      <c r="C60" s="201">
        <v>0</v>
      </c>
      <c r="D60" s="201">
        <v>0</v>
      </c>
      <c r="E60" s="201">
        <v>0</v>
      </c>
      <c r="F60" s="201">
        <v>0</v>
      </c>
      <c r="G60" s="201">
        <v>0</v>
      </c>
      <c r="H60" s="201">
        <v>0</v>
      </c>
      <c r="I60" s="201">
        <v>0</v>
      </c>
      <c r="J60" s="201">
        <v>0</v>
      </c>
      <c r="K60" s="201">
        <v>0</v>
      </c>
      <c r="L60" s="201">
        <v>0</v>
      </c>
      <c r="M60" s="201">
        <v>59</v>
      </c>
      <c r="N60" s="201">
        <v>2360</v>
      </c>
      <c r="O60" s="201">
        <v>0</v>
      </c>
      <c r="P60" s="201">
        <v>0</v>
      </c>
      <c r="Q60" s="201">
        <v>0</v>
      </c>
      <c r="R60" s="201">
        <v>0</v>
      </c>
      <c r="S60" s="201">
        <v>0</v>
      </c>
      <c r="T60" s="201">
        <v>0</v>
      </c>
      <c r="U60" s="201">
        <v>0</v>
      </c>
      <c r="V60" s="201">
        <v>0</v>
      </c>
      <c r="W60" s="201">
        <v>0</v>
      </c>
      <c r="X60" s="201">
        <v>0</v>
      </c>
      <c r="Y60" s="201">
        <v>0</v>
      </c>
      <c r="Z60" s="201">
        <v>0</v>
      </c>
      <c r="AA60" s="201">
        <v>0</v>
      </c>
      <c r="AB60" s="201">
        <v>0</v>
      </c>
      <c r="AC60" s="201">
        <v>0</v>
      </c>
      <c r="AD60" s="201">
        <v>0</v>
      </c>
      <c r="AE60" s="201">
        <v>0</v>
      </c>
      <c r="AF60" s="201">
        <v>0</v>
      </c>
      <c r="AG60" s="201">
        <v>0</v>
      </c>
      <c r="AH60" s="201">
        <v>0</v>
      </c>
      <c r="AI60" s="201">
        <v>0</v>
      </c>
      <c r="AJ60" s="201">
        <v>0</v>
      </c>
      <c r="AK60" s="201">
        <v>0</v>
      </c>
      <c r="AL60" s="201">
        <v>0</v>
      </c>
      <c r="AM60" s="201">
        <v>0</v>
      </c>
      <c r="AN60" s="201">
        <v>0</v>
      </c>
    </row>
    <row r="61" spans="1:40" x14ac:dyDescent="0.25">
      <c r="A61" s="340" t="s">
        <v>417</v>
      </c>
      <c r="C61" s="201"/>
      <c r="D61" s="201">
        <f>SUM(D53:D60)</f>
        <v>118980</v>
      </c>
      <c r="E61" s="201"/>
      <c r="F61" s="201">
        <f>SUM(F53:F60)</f>
        <v>145481</v>
      </c>
      <c r="G61" s="201"/>
      <c r="H61" s="201">
        <f>SUM(H53:H60)</f>
        <v>133755</v>
      </c>
      <c r="I61" s="201"/>
      <c r="J61" s="201">
        <f>SUM(J53:J60)</f>
        <v>13210</v>
      </c>
      <c r="K61" s="201"/>
      <c r="L61" s="201">
        <v>48977</v>
      </c>
      <c r="M61" s="201"/>
      <c r="N61" s="201">
        <f>SUM(N53:N60)</f>
        <v>1835186</v>
      </c>
      <c r="O61" s="201"/>
      <c r="P61" s="201">
        <f>SUM(P53:P59)</f>
        <v>96008</v>
      </c>
      <c r="Q61" s="201"/>
      <c r="R61" s="201">
        <f>SUM(R53:R59)</f>
        <v>1945702</v>
      </c>
      <c r="T61" s="201">
        <f>SUM(T53:T59)</f>
        <v>488247</v>
      </c>
      <c r="U61" s="201"/>
      <c r="V61" s="201">
        <v>529874</v>
      </c>
      <c r="W61" s="201"/>
      <c r="X61" s="201">
        <v>171408</v>
      </c>
      <c r="Y61" s="201"/>
      <c r="Z61" s="201">
        <v>21016</v>
      </c>
      <c r="AA61" s="201"/>
      <c r="AB61" s="201">
        <v>294695</v>
      </c>
      <c r="AC61" s="201"/>
      <c r="AD61" s="201">
        <f>SUM(AD53:AD57)</f>
        <v>368257</v>
      </c>
      <c r="AE61" s="227"/>
      <c r="AF61" s="201">
        <v>1544880</v>
      </c>
      <c r="AG61" s="201"/>
      <c r="AH61" s="201">
        <v>621780</v>
      </c>
      <c r="AI61" s="201"/>
      <c r="AJ61" s="201">
        <f>SUM(AJ53:AJ60)</f>
        <v>415635</v>
      </c>
      <c r="AK61" s="201"/>
      <c r="AL61" s="201">
        <f>SUM(AL53:AL60)</f>
        <v>497751</v>
      </c>
      <c r="AM61" s="201"/>
      <c r="AN61" s="201">
        <f>SUM(AN53:AN60)</f>
        <v>473994</v>
      </c>
    </row>
    <row r="62" spans="1:40" x14ac:dyDescent="0.25">
      <c r="A62" s="218"/>
      <c r="C62" s="201"/>
      <c r="D62" s="201"/>
      <c r="E62" s="201"/>
      <c r="F62" s="201"/>
      <c r="G62" s="201"/>
      <c r="H62" s="201"/>
      <c r="I62" s="201"/>
      <c r="J62" s="201"/>
      <c r="K62" s="201"/>
      <c r="L62" s="201"/>
      <c r="M62" s="201"/>
      <c r="N62" s="201"/>
      <c r="O62" s="201"/>
      <c r="P62" s="201"/>
      <c r="Q62" s="201"/>
      <c r="R62" s="201"/>
      <c r="U62" s="201"/>
      <c r="V62" s="201"/>
      <c r="W62" s="201"/>
      <c r="X62" s="201"/>
      <c r="Y62" s="201"/>
      <c r="Z62" s="201"/>
      <c r="AA62" s="201"/>
      <c r="AB62" s="201"/>
      <c r="AC62" s="201"/>
      <c r="AD62" s="201"/>
      <c r="AE62" s="227"/>
      <c r="AF62" s="227"/>
      <c r="AG62" s="201"/>
      <c r="AH62" s="201"/>
      <c r="AI62" s="201"/>
      <c r="AJ62" s="201"/>
      <c r="AK62" s="201"/>
      <c r="AL62" s="201"/>
      <c r="AM62" s="201"/>
      <c r="AN62" s="201"/>
    </row>
    <row r="63" spans="1:40" x14ac:dyDescent="0.25">
      <c r="A63" s="331" t="s">
        <v>213</v>
      </c>
      <c r="B63" s="332"/>
      <c r="C63" s="333"/>
      <c r="D63" s="333"/>
      <c r="E63" s="333"/>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row>
    <row r="64" spans="1:40" x14ac:dyDescent="0.25">
      <c r="A64" s="335" t="s">
        <v>418</v>
      </c>
      <c r="B64" s="336" t="s">
        <v>214</v>
      </c>
      <c r="C64" s="333">
        <v>0</v>
      </c>
      <c r="D64" s="333">
        <v>0</v>
      </c>
      <c r="E64" s="333">
        <v>0</v>
      </c>
      <c r="F64" s="333">
        <v>0</v>
      </c>
      <c r="G64" s="333">
        <v>0</v>
      </c>
      <c r="H64" s="333">
        <v>0</v>
      </c>
      <c r="I64" s="333">
        <v>0</v>
      </c>
      <c r="J64" s="333">
        <v>0</v>
      </c>
      <c r="K64" s="333">
        <v>0</v>
      </c>
      <c r="L64" s="333">
        <v>0</v>
      </c>
      <c r="M64" s="333">
        <v>0</v>
      </c>
      <c r="N64" s="333">
        <v>0</v>
      </c>
      <c r="O64" s="333">
        <v>0</v>
      </c>
      <c r="P64" s="333">
        <v>0</v>
      </c>
      <c r="Q64" s="333">
        <v>0</v>
      </c>
      <c r="R64" s="333">
        <v>0</v>
      </c>
      <c r="S64" s="333">
        <v>28384</v>
      </c>
      <c r="T64" s="333">
        <v>22012</v>
      </c>
      <c r="U64" s="333">
        <v>23236</v>
      </c>
      <c r="V64" s="333">
        <v>16741</v>
      </c>
      <c r="W64" s="333">
        <v>17380</v>
      </c>
      <c r="X64" s="333">
        <v>14812</v>
      </c>
      <c r="Y64" s="333">
        <v>0</v>
      </c>
      <c r="Z64" s="333">
        <v>0</v>
      </c>
      <c r="AA64" s="333">
        <v>5149</v>
      </c>
      <c r="AB64" s="333">
        <v>3089</v>
      </c>
      <c r="AC64" s="333">
        <v>0</v>
      </c>
      <c r="AD64" s="333">
        <v>0</v>
      </c>
      <c r="AE64" s="333">
        <v>0</v>
      </c>
      <c r="AF64" s="333">
        <v>0</v>
      </c>
      <c r="AG64" s="333">
        <v>7186</v>
      </c>
      <c r="AH64" s="333">
        <v>4312</v>
      </c>
      <c r="AI64" s="333">
        <v>0</v>
      </c>
      <c r="AJ64" s="333">
        <v>0</v>
      </c>
      <c r="AK64" s="333" t="s">
        <v>172</v>
      </c>
      <c r="AL64" s="333" t="s">
        <v>172</v>
      </c>
      <c r="AM64" s="333" t="s">
        <v>172</v>
      </c>
      <c r="AN64" s="333" t="s">
        <v>172</v>
      </c>
    </row>
    <row r="65" spans="1:40" x14ac:dyDescent="0.25">
      <c r="A65" s="335" t="s">
        <v>419</v>
      </c>
      <c r="B65" s="336" t="s">
        <v>214</v>
      </c>
      <c r="C65" s="333">
        <v>59586</v>
      </c>
      <c r="D65" s="333">
        <v>90368</v>
      </c>
      <c r="E65" s="333">
        <v>8988</v>
      </c>
      <c r="F65" s="333">
        <v>50716</v>
      </c>
      <c r="G65" s="333">
        <v>51000</v>
      </c>
      <c r="H65" s="333">
        <v>195500</v>
      </c>
      <c r="I65" s="333">
        <v>51000</v>
      </c>
      <c r="J65" s="333">
        <v>195500</v>
      </c>
      <c r="K65" s="333">
        <v>41064</v>
      </c>
      <c r="L65" s="333">
        <v>198426</v>
      </c>
      <c r="M65" s="333">
        <v>14594</v>
      </c>
      <c r="N65" s="333">
        <v>67958</v>
      </c>
      <c r="O65" s="333">
        <v>24617</v>
      </c>
      <c r="P65" s="333">
        <v>131426</v>
      </c>
      <c r="Q65" s="333">
        <v>17659</v>
      </c>
      <c r="R65" s="333">
        <v>127910</v>
      </c>
      <c r="S65" s="333">
        <v>25352</v>
      </c>
      <c r="T65" s="333">
        <v>308045</v>
      </c>
      <c r="U65" s="333">
        <v>0</v>
      </c>
      <c r="V65" s="333">
        <v>0</v>
      </c>
      <c r="W65" s="333">
        <v>0</v>
      </c>
      <c r="X65" s="333">
        <v>0</v>
      </c>
      <c r="Y65" s="333">
        <v>0</v>
      </c>
      <c r="Z65" s="333">
        <v>0</v>
      </c>
      <c r="AA65" s="333">
        <v>0</v>
      </c>
      <c r="AB65" s="333">
        <v>0</v>
      </c>
      <c r="AC65" s="333">
        <v>0</v>
      </c>
      <c r="AD65" s="333">
        <v>0</v>
      </c>
      <c r="AE65" s="333">
        <v>0</v>
      </c>
      <c r="AF65" s="333">
        <v>0</v>
      </c>
      <c r="AG65" s="333">
        <v>0</v>
      </c>
      <c r="AH65" s="333">
        <v>0</v>
      </c>
      <c r="AI65" s="333">
        <v>0</v>
      </c>
      <c r="AJ65" s="333">
        <v>0</v>
      </c>
      <c r="AK65" s="333" t="s">
        <v>172</v>
      </c>
      <c r="AL65" s="333" t="s">
        <v>172</v>
      </c>
      <c r="AM65" s="333" t="s">
        <v>172</v>
      </c>
      <c r="AN65" s="333" t="s">
        <v>172</v>
      </c>
    </row>
    <row r="66" spans="1:40" x14ac:dyDescent="0.25">
      <c r="A66" s="335" t="s">
        <v>420</v>
      </c>
      <c r="B66" s="336" t="s">
        <v>214</v>
      </c>
      <c r="C66" s="333">
        <v>0</v>
      </c>
      <c r="D66" s="333">
        <v>0</v>
      </c>
      <c r="E66" s="333">
        <v>0</v>
      </c>
      <c r="F66" s="333">
        <v>0</v>
      </c>
      <c r="G66" s="333">
        <v>0</v>
      </c>
      <c r="H66" s="333">
        <v>0</v>
      </c>
      <c r="I66" s="333">
        <v>0</v>
      </c>
      <c r="J66" s="333">
        <v>0</v>
      </c>
      <c r="K66" s="333">
        <v>0</v>
      </c>
      <c r="L66" s="333">
        <v>0</v>
      </c>
      <c r="M66" s="333">
        <v>0</v>
      </c>
      <c r="N66" s="333">
        <v>0</v>
      </c>
      <c r="O66" s="333">
        <v>0</v>
      </c>
      <c r="P66" s="333">
        <v>0</v>
      </c>
      <c r="Q66" s="333">
        <v>0</v>
      </c>
      <c r="R66" s="333">
        <v>0</v>
      </c>
      <c r="S66" s="333">
        <v>13000</v>
      </c>
      <c r="T66" s="333">
        <v>9117</v>
      </c>
      <c r="U66" s="333">
        <v>23775</v>
      </c>
      <c r="V66" s="333">
        <v>19020</v>
      </c>
      <c r="W66" s="333">
        <v>0</v>
      </c>
      <c r="X66" s="333">
        <v>0</v>
      </c>
      <c r="Y66" s="333">
        <v>2053</v>
      </c>
      <c r="Z66" s="333">
        <v>20020</v>
      </c>
      <c r="AA66" s="333">
        <v>41360</v>
      </c>
      <c r="AB66" s="333">
        <v>20680</v>
      </c>
      <c r="AC66" s="333">
        <v>8053</v>
      </c>
      <c r="AD66" s="333">
        <v>4027</v>
      </c>
      <c r="AE66" s="333">
        <v>0</v>
      </c>
      <c r="AF66" s="333">
        <v>0</v>
      </c>
      <c r="AG66" s="333">
        <v>0</v>
      </c>
      <c r="AH66" s="333">
        <v>0</v>
      </c>
      <c r="AI66" s="333">
        <v>4344</v>
      </c>
      <c r="AJ66" s="333">
        <v>2172</v>
      </c>
      <c r="AK66" s="333" t="s">
        <v>172</v>
      </c>
      <c r="AL66" s="333" t="s">
        <v>172</v>
      </c>
      <c r="AM66" s="333" t="s">
        <v>172</v>
      </c>
      <c r="AN66" s="333" t="s">
        <v>172</v>
      </c>
    </row>
    <row r="67" spans="1:40" x14ac:dyDescent="0.25">
      <c r="A67" s="335" t="s">
        <v>421</v>
      </c>
      <c r="B67" s="336" t="s">
        <v>214</v>
      </c>
      <c r="C67" s="333">
        <v>0</v>
      </c>
      <c r="D67" s="333">
        <v>0</v>
      </c>
      <c r="E67" s="333">
        <v>0</v>
      </c>
      <c r="F67" s="333">
        <v>0</v>
      </c>
      <c r="G67" s="333">
        <v>0</v>
      </c>
      <c r="H67" s="333">
        <v>0</v>
      </c>
      <c r="I67" s="333">
        <v>0</v>
      </c>
      <c r="J67" s="333">
        <v>0</v>
      </c>
      <c r="K67" s="333">
        <v>0</v>
      </c>
      <c r="L67" s="333">
        <v>0</v>
      </c>
      <c r="M67" s="333">
        <v>0</v>
      </c>
      <c r="N67" s="333">
        <v>0</v>
      </c>
      <c r="O67" s="333">
        <v>0</v>
      </c>
      <c r="P67" s="333">
        <v>0</v>
      </c>
      <c r="Q67" s="333">
        <v>18555</v>
      </c>
      <c r="R67" s="333">
        <v>342249</v>
      </c>
      <c r="S67" s="333">
        <v>27773</v>
      </c>
      <c r="T67" s="333">
        <v>1450587</v>
      </c>
      <c r="U67" s="333">
        <v>178540</v>
      </c>
      <c r="V67" s="333">
        <v>1197961</v>
      </c>
      <c r="W67" s="333">
        <v>236990</v>
      </c>
      <c r="X67" s="333">
        <v>1395607</v>
      </c>
      <c r="Y67" s="333">
        <v>39220</v>
      </c>
      <c r="Z67" s="333">
        <v>47136</v>
      </c>
      <c r="AA67" s="333">
        <v>37000</v>
      </c>
      <c r="AB67" s="333">
        <v>12500</v>
      </c>
      <c r="AC67" s="333">
        <v>21536</v>
      </c>
      <c r="AD67" s="333">
        <v>8936</v>
      </c>
      <c r="AE67" s="333">
        <v>0</v>
      </c>
      <c r="AF67" s="333">
        <v>0</v>
      </c>
      <c r="AG67" s="333">
        <v>178.35</v>
      </c>
      <c r="AH67" s="333">
        <v>4369</v>
      </c>
      <c r="AI67" s="333">
        <v>16171</v>
      </c>
      <c r="AJ67" s="333">
        <v>36315</v>
      </c>
      <c r="AK67" s="333" t="s">
        <v>172</v>
      </c>
      <c r="AL67" s="333" t="s">
        <v>172</v>
      </c>
      <c r="AM67" s="333" t="s">
        <v>172</v>
      </c>
      <c r="AN67" s="333" t="s">
        <v>172</v>
      </c>
    </row>
    <row r="68" spans="1:40" x14ac:dyDescent="0.25">
      <c r="A68" s="335" t="s">
        <v>423</v>
      </c>
      <c r="B68" s="336" t="s">
        <v>214</v>
      </c>
      <c r="C68" s="333">
        <v>0</v>
      </c>
      <c r="D68" s="333">
        <v>0</v>
      </c>
      <c r="E68" s="333">
        <v>0.22500000000000001</v>
      </c>
      <c r="F68" s="333">
        <v>1685</v>
      </c>
      <c r="G68" s="333">
        <f>200/1000</f>
        <v>0.2</v>
      </c>
      <c r="H68" s="333">
        <v>1784</v>
      </c>
      <c r="I68" s="333">
        <v>0</v>
      </c>
      <c r="J68" s="333">
        <v>0</v>
      </c>
      <c r="K68" s="333">
        <f>1930/1000</f>
        <v>1.93</v>
      </c>
      <c r="L68" s="333">
        <v>2200</v>
      </c>
      <c r="M68" s="333">
        <v>550</v>
      </c>
      <c r="N68" s="333">
        <v>2020</v>
      </c>
      <c r="O68" s="333">
        <v>0</v>
      </c>
      <c r="P68" s="333">
        <v>0</v>
      </c>
      <c r="Q68" s="333">
        <v>0</v>
      </c>
      <c r="R68" s="333">
        <v>0</v>
      </c>
      <c r="S68" s="333">
        <v>0</v>
      </c>
      <c r="T68" s="333">
        <v>0</v>
      </c>
      <c r="U68" s="333">
        <v>0</v>
      </c>
      <c r="V68" s="333">
        <v>0</v>
      </c>
      <c r="W68" s="333">
        <v>0</v>
      </c>
      <c r="X68" s="333">
        <v>0</v>
      </c>
      <c r="Y68" s="333">
        <v>0</v>
      </c>
      <c r="Z68" s="333">
        <v>0</v>
      </c>
      <c r="AA68" s="333">
        <v>0</v>
      </c>
      <c r="AB68" s="333">
        <v>0</v>
      </c>
      <c r="AC68" s="333">
        <v>0</v>
      </c>
      <c r="AD68" s="333">
        <v>0</v>
      </c>
      <c r="AE68" s="333">
        <v>0</v>
      </c>
      <c r="AF68" s="333">
        <v>0</v>
      </c>
      <c r="AG68" s="333">
        <v>4</v>
      </c>
      <c r="AH68" s="333">
        <v>10420</v>
      </c>
      <c r="AI68" s="333">
        <v>11.5</v>
      </c>
      <c r="AJ68" s="333">
        <v>20000</v>
      </c>
      <c r="AK68" s="333" t="s">
        <v>172</v>
      </c>
      <c r="AL68" s="333" t="s">
        <v>172</v>
      </c>
      <c r="AM68" s="333" t="s">
        <v>172</v>
      </c>
      <c r="AN68" s="333" t="s">
        <v>172</v>
      </c>
    </row>
    <row r="69" spans="1:40" x14ac:dyDescent="0.25">
      <c r="A69" s="335" t="s">
        <v>411</v>
      </c>
      <c r="B69" s="336" t="s">
        <v>214</v>
      </c>
      <c r="C69" s="333">
        <v>0</v>
      </c>
      <c r="D69" s="333">
        <v>0</v>
      </c>
      <c r="E69" s="333">
        <v>0</v>
      </c>
      <c r="F69" s="333">
        <v>0</v>
      </c>
      <c r="G69" s="333">
        <v>0</v>
      </c>
      <c r="H69" s="333">
        <v>0</v>
      </c>
      <c r="I69" s="333">
        <v>0</v>
      </c>
      <c r="J69" s="333">
        <v>0</v>
      </c>
      <c r="K69" s="333">
        <v>0</v>
      </c>
      <c r="L69" s="333">
        <v>0</v>
      </c>
      <c r="M69" s="333">
        <v>0</v>
      </c>
      <c r="N69" s="333">
        <v>0</v>
      </c>
      <c r="O69" s="333">
        <v>0</v>
      </c>
      <c r="P69" s="333">
        <v>0</v>
      </c>
      <c r="Q69" s="333">
        <v>8844</v>
      </c>
      <c r="R69" s="333">
        <v>7499</v>
      </c>
      <c r="S69" s="333">
        <v>70819</v>
      </c>
      <c r="T69" s="333">
        <v>45116</v>
      </c>
      <c r="U69" s="333">
        <v>0</v>
      </c>
      <c r="V69" s="333">
        <v>0</v>
      </c>
      <c r="W69" s="333">
        <v>0</v>
      </c>
      <c r="X69" s="333">
        <v>0</v>
      </c>
      <c r="Y69" s="333">
        <v>0</v>
      </c>
      <c r="Z69" s="333">
        <v>0</v>
      </c>
      <c r="AA69" s="333">
        <v>38796</v>
      </c>
      <c r="AB69" s="333">
        <v>23798</v>
      </c>
      <c r="AC69" s="333">
        <v>0</v>
      </c>
      <c r="AD69" s="333">
        <v>0</v>
      </c>
      <c r="AE69" s="333">
        <v>0</v>
      </c>
      <c r="AF69" s="333">
        <v>0</v>
      </c>
      <c r="AG69" s="333">
        <v>20748</v>
      </c>
      <c r="AH69" s="333">
        <v>16045</v>
      </c>
      <c r="AI69" s="333">
        <v>14430</v>
      </c>
      <c r="AJ69" s="333">
        <v>8658</v>
      </c>
      <c r="AK69" s="333" t="s">
        <v>172</v>
      </c>
      <c r="AL69" s="333" t="s">
        <v>172</v>
      </c>
      <c r="AM69" s="333" t="s">
        <v>172</v>
      </c>
      <c r="AN69" s="333" t="s">
        <v>172</v>
      </c>
    </row>
    <row r="70" spans="1:40" x14ac:dyDescent="0.25">
      <c r="A70" s="335" t="s">
        <v>426</v>
      </c>
      <c r="B70" s="336" t="s">
        <v>214</v>
      </c>
      <c r="C70" s="333">
        <v>0</v>
      </c>
      <c r="D70" s="333">
        <v>0</v>
      </c>
      <c r="E70" s="333">
        <v>0</v>
      </c>
      <c r="F70" s="333">
        <v>0</v>
      </c>
      <c r="G70" s="333">
        <v>0</v>
      </c>
      <c r="H70" s="333">
        <v>0</v>
      </c>
      <c r="I70" s="333">
        <v>0</v>
      </c>
      <c r="J70" s="333">
        <v>0</v>
      </c>
      <c r="K70" s="333">
        <v>0</v>
      </c>
      <c r="L70" s="333">
        <v>0</v>
      </c>
      <c r="M70" s="333">
        <v>0</v>
      </c>
      <c r="N70" s="333">
        <v>0</v>
      </c>
      <c r="O70" s="333">
        <v>0</v>
      </c>
      <c r="P70" s="333">
        <v>0</v>
      </c>
      <c r="Q70" s="333">
        <v>0</v>
      </c>
      <c r="R70" s="333">
        <v>0</v>
      </c>
      <c r="S70" s="333">
        <v>88</v>
      </c>
      <c r="T70" s="333">
        <v>17138</v>
      </c>
      <c r="U70" s="333">
        <v>285</v>
      </c>
      <c r="V70" s="333">
        <v>977</v>
      </c>
      <c r="W70" s="333">
        <v>5561</v>
      </c>
      <c r="X70" s="333">
        <v>19639</v>
      </c>
      <c r="Y70" s="333">
        <v>0</v>
      </c>
      <c r="Z70" s="333">
        <v>0</v>
      </c>
      <c r="AA70" s="333">
        <v>0</v>
      </c>
      <c r="AB70" s="333">
        <v>0</v>
      </c>
      <c r="AC70" s="333">
        <v>0</v>
      </c>
      <c r="AD70" s="333">
        <v>0</v>
      </c>
      <c r="AE70" s="333">
        <v>0</v>
      </c>
      <c r="AF70" s="333">
        <v>0</v>
      </c>
      <c r="AG70" s="333">
        <v>0</v>
      </c>
      <c r="AH70" s="333">
        <v>0</v>
      </c>
      <c r="AI70" s="333">
        <v>0</v>
      </c>
      <c r="AJ70" s="333">
        <v>0</v>
      </c>
      <c r="AK70" s="333" t="s">
        <v>172</v>
      </c>
      <c r="AL70" s="333" t="s">
        <v>172</v>
      </c>
      <c r="AM70" s="333" t="s">
        <v>172</v>
      </c>
      <c r="AN70" s="333" t="s">
        <v>172</v>
      </c>
    </row>
    <row r="71" spans="1:40" x14ac:dyDescent="0.25">
      <c r="A71" s="335" t="s">
        <v>427</v>
      </c>
      <c r="B71" s="336" t="s">
        <v>214</v>
      </c>
      <c r="C71" s="333">
        <v>0</v>
      </c>
      <c r="D71" s="333">
        <v>0</v>
      </c>
      <c r="E71" s="333">
        <v>21</v>
      </c>
      <c r="F71" s="333">
        <v>14</v>
      </c>
      <c r="G71" s="333">
        <v>0</v>
      </c>
      <c r="H71" s="333">
        <v>0</v>
      </c>
      <c r="I71" s="333">
        <v>0</v>
      </c>
      <c r="J71" s="333">
        <v>0</v>
      </c>
      <c r="K71" s="333">
        <v>0</v>
      </c>
      <c r="L71" s="333">
        <v>0</v>
      </c>
      <c r="M71" s="333">
        <v>0</v>
      </c>
      <c r="N71" s="333">
        <v>0</v>
      </c>
      <c r="O71" s="333">
        <v>0</v>
      </c>
      <c r="P71" s="333">
        <v>0</v>
      </c>
      <c r="Q71" s="333">
        <v>0</v>
      </c>
      <c r="R71" s="333">
        <v>0</v>
      </c>
      <c r="S71" s="333">
        <v>0</v>
      </c>
      <c r="T71" s="333">
        <v>0</v>
      </c>
      <c r="U71" s="333">
        <v>0</v>
      </c>
      <c r="V71" s="333">
        <v>0</v>
      </c>
      <c r="W71" s="333">
        <v>0</v>
      </c>
      <c r="X71" s="333">
        <v>0</v>
      </c>
      <c r="Y71" s="333">
        <v>0</v>
      </c>
      <c r="Z71" s="333">
        <v>0</v>
      </c>
      <c r="AA71" s="333">
        <v>0</v>
      </c>
      <c r="AB71" s="333">
        <v>0</v>
      </c>
      <c r="AC71" s="333">
        <v>0</v>
      </c>
      <c r="AD71" s="333">
        <v>0</v>
      </c>
      <c r="AE71" s="333">
        <v>0</v>
      </c>
      <c r="AF71" s="333">
        <v>0</v>
      </c>
      <c r="AG71" s="333">
        <v>0</v>
      </c>
      <c r="AH71" s="333">
        <v>0</v>
      </c>
      <c r="AI71" s="333">
        <v>0</v>
      </c>
      <c r="AJ71" s="333">
        <v>0</v>
      </c>
      <c r="AK71" s="333" t="s">
        <v>172</v>
      </c>
      <c r="AL71" s="333" t="s">
        <v>172</v>
      </c>
      <c r="AM71" s="333" t="s">
        <v>172</v>
      </c>
      <c r="AN71" s="333" t="s">
        <v>172</v>
      </c>
    </row>
    <row r="72" spans="1:40" x14ac:dyDescent="0.25">
      <c r="A72" s="335" t="s">
        <v>431</v>
      </c>
      <c r="B72" s="336" t="s">
        <v>214</v>
      </c>
      <c r="C72" s="333">
        <v>0</v>
      </c>
      <c r="D72" s="333">
        <v>0</v>
      </c>
      <c r="E72" s="333">
        <v>0</v>
      </c>
      <c r="F72" s="333">
        <v>0</v>
      </c>
      <c r="G72" s="333">
        <v>0</v>
      </c>
      <c r="H72" s="333">
        <v>0</v>
      </c>
      <c r="I72" s="333">
        <v>0</v>
      </c>
      <c r="J72" s="333">
        <v>0</v>
      </c>
      <c r="K72" s="333">
        <v>0</v>
      </c>
      <c r="L72" s="333">
        <v>0</v>
      </c>
      <c r="M72" s="333">
        <v>0</v>
      </c>
      <c r="N72" s="333">
        <v>0</v>
      </c>
      <c r="O72" s="333">
        <v>0</v>
      </c>
      <c r="P72" s="333">
        <v>0</v>
      </c>
      <c r="Q72" s="333">
        <v>0</v>
      </c>
      <c r="R72" s="333">
        <v>0</v>
      </c>
      <c r="S72" s="333">
        <v>0</v>
      </c>
      <c r="T72" s="333">
        <v>0</v>
      </c>
      <c r="U72" s="333">
        <v>0</v>
      </c>
      <c r="V72" s="333">
        <v>0</v>
      </c>
      <c r="W72" s="333">
        <v>0</v>
      </c>
      <c r="X72" s="333">
        <v>0</v>
      </c>
      <c r="Y72" s="333">
        <v>0</v>
      </c>
      <c r="Z72" s="333">
        <v>0</v>
      </c>
      <c r="AA72" s="333">
        <v>0</v>
      </c>
      <c r="AB72" s="333">
        <v>0</v>
      </c>
      <c r="AC72" s="333">
        <v>0</v>
      </c>
      <c r="AD72" s="333">
        <v>0</v>
      </c>
      <c r="AE72" s="333">
        <v>0</v>
      </c>
      <c r="AF72" s="333">
        <v>0</v>
      </c>
      <c r="AG72" s="333">
        <v>0</v>
      </c>
      <c r="AH72" s="333">
        <v>0</v>
      </c>
      <c r="AI72" s="333">
        <v>0</v>
      </c>
      <c r="AJ72" s="333">
        <v>0</v>
      </c>
      <c r="AK72" s="333" t="s">
        <v>172</v>
      </c>
      <c r="AL72" s="333" t="s">
        <v>172</v>
      </c>
      <c r="AM72" s="333" t="s">
        <v>172</v>
      </c>
      <c r="AN72" s="333" t="s">
        <v>172</v>
      </c>
    </row>
    <row r="73" spans="1:40" x14ac:dyDescent="0.25">
      <c r="A73" s="335" t="s">
        <v>432</v>
      </c>
      <c r="B73" s="336" t="s">
        <v>166</v>
      </c>
      <c r="C73" s="333">
        <v>0</v>
      </c>
      <c r="D73" s="333">
        <v>0</v>
      </c>
      <c r="E73" s="333">
        <v>54</v>
      </c>
      <c r="F73" s="333">
        <v>50214</v>
      </c>
      <c r="G73" s="333">
        <v>0</v>
      </c>
      <c r="H73" s="333">
        <v>0</v>
      </c>
      <c r="I73" s="333">
        <v>0</v>
      </c>
      <c r="J73" s="333">
        <v>0</v>
      </c>
      <c r="K73" s="333">
        <v>0</v>
      </c>
      <c r="L73" s="333">
        <v>0</v>
      </c>
      <c r="M73" s="333">
        <v>0</v>
      </c>
      <c r="N73" s="333">
        <v>0</v>
      </c>
      <c r="O73" s="333">
        <v>0</v>
      </c>
      <c r="P73" s="333">
        <v>0</v>
      </c>
      <c r="Q73" s="333">
        <v>0</v>
      </c>
      <c r="R73" s="333">
        <v>0</v>
      </c>
      <c r="S73" s="333">
        <v>0</v>
      </c>
      <c r="T73" s="333">
        <v>0</v>
      </c>
      <c r="U73" s="333">
        <v>0</v>
      </c>
      <c r="V73" s="333">
        <v>0</v>
      </c>
      <c r="W73" s="333">
        <v>0</v>
      </c>
      <c r="X73" s="333">
        <v>0</v>
      </c>
      <c r="Y73" s="333">
        <v>0</v>
      </c>
      <c r="Z73" s="333">
        <v>0</v>
      </c>
      <c r="AA73" s="333">
        <v>0</v>
      </c>
      <c r="AB73" s="333">
        <v>0</v>
      </c>
      <c r="AC73" s="333">
        <v>0</v>
      </c>
      <c r="AD73" s="333">
        <v>0</v>
      </c>
      <c r="AE73" s="333">
        <v>0</v>
      </c>
      <c r="AF73" s="333">
        <v>0</v>
      </c>
      <c r="AG73" s="333">
        <v>0</v>
      </c>
      <c r="AH73" s="333">
        <v>0</v>
      </c>
      <c r="AI73" s="333">
        <v>0</v>
      </c>
      <c r="AJ73" s="333">
        <v>0</v>
      </c>
      <c r="AK73" s="333" t="s">
        <v>172</v>
      </c>
      <c r="AL73" s="333" t="s">
        <v>172</v>
      </c>
      <c r="AM73" s="333" t="s">
        <v>172</v>
      </c>
      <c r="AN73" s="333" t="s">
        <v>172</v>
      </c>
    </row>
    <row r="74" spans="1:40" x14ac:dyDescent="0.25">
      <c r="A74" s="335" t="s">
        <v>433</v>
      </c>
      <c r="B74" s="336" t="s">
        <v>214</v>
      </c>
      <c r="C74" s="333">
        <v>0</v>
      </c>
      <c r="D74" s="333">
        <v>0</v>
      </c>
      <c r="E74" s="333">
        <v>0</v>
      </c>
      <c r="F74" s="333">
        <v>0</v>
      </c>
      <c r="G74" s="333">
        <v>0</v>
      </c>
      <c r="H74" s="333">
        <v>0</v>
      </c>
      <c r="I74" s="333">
        <v>0</v>
      </c>
      <c r="J74" s="333">
        <v>0</v>
      </c>
      <c r="K74" s="333">
        <v>0</v>
      </c>
      <c r="L74" s="333">
        <v>0</v>
      </c>
      <c r="M74" s="333">
        <v>0</v>
      </c>
      <c r="N74" s="333">
        <v>0</v>
      </c>
      <c r="O74" s="333">
        <v>0</v>
      </c>
      <c r="P74" s="333">
        <v>0</v>
      </c>
      <c r="Q74" s="333">
        <v>0</v>
      </c>
      <c r="R74" s="333">
        <v>0</v>
      </c>
      <c r="S74" s="333">
        <v>1960</v>
      </c>
      <c r="T74" s="333">
        <v>7415</v>
      </c>
      <c r="U74" s="333">
        <v>0</v>
      </c>
      <c r="V74" s="333">
        <v>0</v>
      </c>
      <c r="W74" s="333">
        <v>0</v>
      </c>
      <c r="X74" s="333">
        <v>0</v>
      </c>
      <c r="Y74" s="333">
        <v>0</v>
      </c>
      <c r="Z74" s="333">
        <v>0</v>
      </c>
      <c r="AA74" s="333">
        <v>0</v>
      </c>
      <c r="AB74" s="333">
        <v>0</v>
      </c>
      <c r="AC74" s="333">
        <v>0</v>
      </c>
      <c r="AD74" s="333">
        <v>0</v>
      </c>
      <c r="AE74" s="333">
        <v>0</v>
      </c>
      <c r="AF74" s="333">
        <v>0</v>
      </c>
      <c r="AG74" s="333">
        <v>0</v>
      </c>
      <c r="AH74" s="333">
        <v>0</v>
      </c>
      <c r="AI74" s="333">
        <v>0</v>
      </c>
      <c r="AJ74" s="333">
        <v>0</v>
      </c>
      <c r="AK74" s="333" t="s">
        <v>172</v>
      </c>
      <c r="AL74" s="333" t="s">
        <v>172</v>
      </c>
      <c r="AM74" s="333" t="s">
        <v>172</v>
      </c>
      <c r="AN74" s="333" t="s">
        <v>172</v>
      </c>
    </row>
    <row r="75" spans="1:40" x14ac:dyDescent="0.25">
      <c r="A75" s="335" t="s">
        <v>434</v>
      </c>
      <c r="B75" s="336" t="s">
        <v>214</v>
      </c>
      <c r="C75" s="333">
        <v>0</v>
      </c>
      <c r="D75" s="333">
        <v>0</v>
      </c>
      <c r="E75" s="333">
        <v>0</v>
      </c>
      <c r="F75" s="333">
        <v>0</v>
      </c>
      <c r="G75" s="333">
        <v>0</v>
      </c>
      <c r="H75" s="333">
        <v>0</v>
      </c>
      <c r="I75" s="333">
        <v>0</v>
      </c>
      <c r="J75" s="333">
        <v>0</v>
      </c>
      <c r="K75" s="333">
        <v>0</v>
      </c>
      <c r="L75" s="333">
        <v>0</v>
      </c>
      <c r="M75" s="333">
        <v>0</v>
      </c>
      <c r="N75" s="333">
        <v>0</v>
      </c>
      <c r="O75" s="333">
        <v>0</v>
      </c>
      <c r="P75" s="333">
        <v>0</v>
      </c>
      <c r="Q75" s="333">
        <v>0</v>
      </c>
      <c r="R75" s="333">
        <v>0</v>
      </c>
      <c r="S75" s="333">
        <v>1863</v>
      </c>
      <c r="T75" s="333">
        <v>7550</v>
      </c>
      <c r="U75" s="333">
        <v>0</v>
      </c>
      <c r="V75" s="333">
        <v>0</v>
      </c>
      <c r="W75" s="333">
        <v>441</v>
      </c>
      <c r="X75" s="333">
        <v>3996</v>
      </c>
      <c r="Y75" s="333">
        <v>25700</v>
      </c>
      <c r="Z75" s="333">
        <v>33314</v>
      </c>
      <c r="AA75" s="333">
        <v>28730</v>
      </c>
      <c r="AB75" s="333">
        <v>17238</v>
      </c>
      <c r="AC75" s="333">
        <v>0</v>
      </c>
      <c r="AD75" s="333">
        <v>0</v>
      </c>
      <c r="AE75" s="333">
        <v>0</v>
      </c>
      <c r="AF75" s="333">
        <v>0</v>
      </c>
      <c r="AG75" s="333">
        <v>100.09</v>
      </c>
      <c r="AH75" s="333">
        <v>60054</v>
      </c>
      <c r="AI75" s="333">
        <v>111830</v>
      </c>
      <c r="AJ75" s="333">
        <v>67098</v>
      </c>
      <c r="AK75" s="333" t="s">
        <v>172</v>
      </c>
      <c r="AL75" s="333" t="s">
        <v>172</v>
      </c>
      <c r="AM75" s="333" t="s">
        <v>172</v>
      </c>
      <c r="AN75" s="333" t="s">
        <v>172</v>
      </c>
    </row>
    <row r="76" spans="1:40" x14ac:dyDescent="0.25">
      <c r="A76" s="335" t="s">
        <v>435</v>
      </c>
      <c r="B76" s="336" t="s">
        <v>214</v>
      </c>
      <c r="C76" s="333">
        <v>0</v>
      </c>
      <c r="D76" s="333">
        <v>0</v>
      </c>
      <c r="E76" s="333">
        <v>0</v>
      </c>
      <c r="F76" s="333">
        <v>0</v>
      </c>
      <c r="G76" s="333">
        <v>0</v>
      </c>
      <c r="H76" s="333">
        <v>0</v>
      </c>
      <c r="I76" s="333">
        <v>0</v>
      </c>
      <c r="J76" s="333">
        <v>0</v>
      </c>
      <c r="K76" s="333">
        <v>1260</v>
      </c>
      <c r="L76" s="333">
        <v>12600</v>
      </c>
      <c r="M76" s="333">
        <v>0</v>
      </c>
      <c r="N76" s="333">
        <v>0</v>
      </c>
      <c r="O76" s="333">
        <v>0</v>
      </c>
      <c r="P76" s="333">
        <v>0</v>
      </c>
      <c r="Q76" s="333">
        <v>0</v>
      </c>
      <c r="R76" s="333">
        <v>0</v>
      </c>
      <c r="S76" s="333">
        <v>0</v>
      </c>
      <c r="T76" s="333">
        <v>0</v>
      </c>
      <c r="U76" s="333">
        <v>0</v>
      </c>
      <c r="V76" s="333">
        <v>0</v>
      </c>
      <c r="W76" s="333">
        <v>0</v>
      </c>
      <c r="X76" s="333">
        <v>0</v>
      </c>
      <c r="Y76" s="333">
        <v>0</v>
      </c>
      <c r="Z76" s="333">
        <v>0</v>
      </c>
      <c r="AA76" s="333">
        <v>0</v>
      </c>
      <c r="AB76" s="333">
        <v>0</v>
      </c>
      <c r="AC76" s="333">
        <v>0</v>
      </c>
      <c r="AD76" s="333">
        <v>0</v>
      </c>
      <c r="AE76" s="333">
        <v>0</v>
      </c>
      <c r="AF76" s="333">
        <v>0</v>
      </c>
      <c r="AG76" s="333">
        <v>0</v>
      </c>
      <c r="AH76" s="333">
        <v>0</v>
      </c>
      <c r="AI76" s="333">
        <v>0</v>
      </c>
      <c r="AJ76" s="333">
        <v>0</v>
      </c>
      <c r="AK76" s="333" t="s">
        <v>172</v>
      </c>
      <c r="AL76" s="333" t="s">
        <v>172</v>
      </c>
      <c r="AM76" s="333" t="s">
        <v>172</v>
      </c>
      <c r="AN76" s="333" t="s">
        <v>172</v>
      </c>
    </row>
    <row r="77" spans="1:40" x14ac:dyDescent="0.25">
      <c r="A77" s="337" t="s">
        <v>436</v>
      </c>
      <c r="B77" s="332"/>
      <c r="C77" s="333"/>
      <c r="D77" s="333">
        <f>SUM(D64:D76)</f>
        <v>90368</v>
      </c>
      <c r="E77" s="333"/>
      <c r="F77" s="333">
        <f>SUM(F64:F76)</f>
        <v>102629</v>
      </c>
      <c r="G77" s="333"/>
      <c r="H77" s="333">
        <f>SUM(H64:H76)</f>
        <v>197284</v>
      </c>
      <c r="I77" s="333"/>
      <c r="J77" s="333">
        <f>SUM(J64:J76)</f>
        <v>195500</v>
      </c>
      <c r="K77" s="333"/>
      <c r="L77" s="333">
        <f>SUM(L64:L76)</f>
        <v>213226</v>
      </c>
      <c r="M77" s="333"/>
      <c r="N77" s="333">
        <f>SUM(N64:N76)</f>
        <v>69978</v>
      </c>
      <c r="O77" s="333"/>
      <c r="P77" s="333">
        <f>SUM(P65:P65)</f>
        <v>131426</v>
      </c>
      <c r="Q77" s="333"/>
      <c r="R77" s="333">
        <v>477658</v>
      </c>
      <c r="S77" s="333"/>
      <c r="T77" s="333">
        <v>1866980</v>
      </c>
      <c r="U77" s="333"/>
      <c r="V77" s="333">
        <v>1234699</v>
      </c>
      <c r="W77" s="333"/>
      <c r="X77" s="333">
        <v>1434054</v>
      </c>
      <c r="Y77" s="333"/>
      <c r="Z77" s="333">
        <v>100470</v>
      </c>
      <c r="AA77" s="333"/>
      <c r="AB77" s="333">
        <f>SUM(AB64:AB75)</f>
        <v>77305</v>
      </c>
      <c r="AC77" s="334"/>
      <c r="AD77" s="333">
        <v>12963</v>
      </c>
      <c r="AE77" s="333"/>
      <c r="AF77" s="333"/>
      <c r="AG77" s="333"/>
      <c r="AH77" s="333">
        <v>95200</v>
      </c>
      <c r="AI77" s="333"/>
      <c r="AJ77" s="333">
        <v>134243</v>
      </c>
      <c r="AK77" s="333">
        <v>435280</v>
      </c>
      <c r="AL77" s="333">
        <v>403929</v>
      </c>
      <c r="AM77" s="333">
        <v>180298</v>
      </c>
      <c r="AN77" s="333">
        <v>227714</v>
      </c>
    </row>
    <row r="78" spans="1:40" x14ac:dyDescent="0.25">
      <c r="A78" s="338"/>
      <c r="B78" s="33"/>
      <c r="C78" s="325"/>
      <c r="D78" s="325"/>
      <c r="E78" s="325"/>
      <c r="F78" s="325"/>
      <c r="G78" s="325"/>
      <c r="H78" s="325"/>
      <c r="I78" s="325"/>
      <c r="J78" s="325"/>
      <c r="K78" s="325"/>
      <c r="L78" s="325"/>
      <c r="M78" s="325"/>
      <c r="N78" s="325"/>
      <c r="O78" s="325"/>
      <c r="P78" s="325"/>
      <c r="Q78" s="325"/>
      <c r="R78" s="325"/>
      <c r="S78" s="325"/>
      <c r="T78" s="325"/>
      <c r="U78" s="325"/>
      <c r="V78" s="325"/>
      <c r="W78" s="325"/>
      <c r="X78" s="325"/>
      <c r="Y78" s="325"/>
      <c r="Z78" s="325"/>
      <c r="AA78" s="325"/>
      <c r="AB78" s="325"/>
      <c r="AC78" s="320"/>
      <c r="AD78" s="325"/>
      <c r="AE78" s="325"/>
      <c r="AF78" s="325"/>
      <c r="AG78" s="325"/>
      <c r="AH78" s="325"/>
      <c r="AI78" s="325"/>
      <c r="AJ78" s="325"/>
      <c r="AK78" s="325"/>
      <c r="AL78" s="325"/>
      <c r="AM78" s="325"/>
      <c r="AN78" s="325"/>
    </row>
    <row r="79" spans="1:40" x14ac:dyDescent="0.25">
      <c r="A79" s="330" t="s">
        <v>215</v>
      </c>
      <c r="B79" s="216" t="s">
        <v>214</v>
      </c>
      <c r="C79" s="201">
        <v>37425</v>
      </c>
      <c r="D79" s="201">
        <v>508891876</v>
      </c>
      <c r="E79" s="201">
        <v>46287</v>
      </c>
      <c r="F79" s="201">
        <v>710655104</v>
      </c>
      <c r="G79" s="201">
        <v>64911</v>
      </c>
      <c r="H79" s="201">
        <v>1300079190</v>
      </c>
      <c r="I79" s="201">
        <v>90546</v>
      </c>
      <c r="J79" s="201">
        <v>1843770410</v>
      </c>
      <c r="K79" s="201">
        <v>130565</v>
      </c>
      <c r="L79" s="201">
        <v>2072691840</v>
      </c>
      <c r="M79" s="201">
        <v>161789</v>
      </c>
      <c r="N79" s="201">
        <v>2596453778</v>
      </c>
      <c r="O79" s="201">
        <v>181175</v>
      </c>
      <c r="P79" s="201">
        <v>2762816830</v>
      </c>
      <c r="Q79" s="201">
        <v>182042.864</v>
      </c>
      <c r="R79" s="201">
        <v>2689922065.1066504</v>
      </c>
      <c r="S79" s="201">
        <v>179800.1580467186</v>
      </c>
      <c r="T79" s="201">
        <v>2834190199.1441336</v>
      </c>
      <c r="U79" s="201">
        <v>193599</v>
      </c>
      <c r="V79" s="201">
        <v>3415060358</v>
      </c>
      <c r="W79" s="201">
        <v>187848</v>
      </c>
      <c r="X79" s="201">
        <v>3132866624</v>
      </c>
      <c r="Y79" s="201">
        <v>205889</v>
      </c>
      <c r="Z79" s="201">
        <v>3404646735</v>
      </c>
      <c r="AA79" s="201">
        <v>228021.62029211895</v>
      </c>
      <c r="AB79" s="201">
        <v>3409613840.042223</v>
      </c>
      <c r="AC79" s="201">
        <v>239456</v>
      </c>
      <c r="AD79" s="201">
        <v>3468954490</v>
      </c>
      <c r="AE79" s="201">
        <v>219258.32447076053</v>
      </c>
      <c r="AF79" s="201">
        <v>3219516923.8099003</v>
      </c>
      <c r="AG79" s="201">
        <v>204959.06826328571</v>
      </c>
      <c r="AH79" s="201">
        <v>2951257682.7412167</v>
      </c>
      <c r="AI79" s="201">
        <v>201205</v>
      </c>
      <c r="AJ79" s="201">
        <v>3245063559</v>
      </c>
      <c r="AK79" s="201">
        <v>184998</v>
      </c>
      <c r="AL79" s="201">
        <v>3279499524</v>
      </c>
      <c r="AM79" s="201">
        <v>187474</v>
      </c>
      <c r="AN79" s="201">
        <v>3445336712</v>
      </c>
    </row>
    <row r="80" spans="1:40" x14ac:dyDescent="0.25">
      <c r="A80" s="231"/>
      <c r="B80" s="216"/>
      <c r="C80" s="201"/>
      <c r="D80" s="201"/>
      <c r="E80" s="201"/>
      <c r="F80" s="201"/>
      <c r="G80" s="201"/>
      <c r="H80" s="201"/>
      <c r="I80" s="201"/>
      <c r="J80" s="201"/>
      <c r="K80" s="201"/>
      <c r="L80" s="201"/>
      <c r="M80" s="201"/>
      <c r="N80" s="201"/>
      <c r="O80" s="201"/>
      <c r="P80" s="201"/>
      <c r="Q80" s="201"/>
      <c r="R80" s="201"/>
      <c r="U80" s="201"/>
      <c r="V80" s="201"/>
      <c r="W80" s="201"/>
      <c r="X80" s="201"/>
      <c r="Y80" s="201"/>
      <c r="Z80" s="201"/>
      <c r="AA80" s="201"/>
      <c r="AB80" s="201"/>
      <c r="AC80" s="201"/>
      <c r="AD80" s="201"/>
      <c r="AE80" s="201"/>
      <c r="AF80" s="201"/>
      <c r="AG80" s="201"/>
      <c r="AH80" s="201"/>
      <c r="AI80" s="201"/>
      <c r="AJ80" s="201"/>
      <c r="AK80" s="201"/>
      <c r="AL80" s="201"/>
      <c r="AM80" s="201"/>
      <c r="AN80" s="201"/>
    </row>
    <row r="81" spans="1:40" x14ac:dyDescent="0.25">
      <c r="A81" s="323" t="s">
        <v>216</v>
      </c>
      <c r="B81" s="324" t="s">
        <v>166</v>
      </c>
      <c r="C81" s="325">
        <v>545151</v>
      </c>
      <c r="D81" s="325">
        <v>6169189</v>
      </c>
      <c r="E81" s="325">
        <v>348639</v>
      </c>
      <c r="F81" s="325">
        <v>3908872</v>
      </c>
      <c r="G81" s="325">
        <v>233404</v>
      </c>
      <c r="H81" s="325">
        <v>2673698</v>
      </c>
      <c r="I81" s="325">
        <v>99162</v>
      </c>
      <c r="J81" s="325">
        <v>947660</v>
      </c>
      <c r="K81" s="325">
        <v>165967</v>
      </c>
      <c r="L81" s="325">
        <v>1326387</v>
      </c>
      <c r="M81" s="325">
        <v>154809</v>
      </c>
      <c r="N81" s="325">
        <v>995281</v>
      </c>
      <c r="O81" s="325">
        <v>82520</v>
      </c>
      <c r="P81" s="325">
        <v>612778</v>
      </c>
      <c r="Q81" s="325">
        <v>101822</v>
      </c>
      <c r="R81" s="325">
        <v>1041012</v>
      </c>
      <c r="S81" s="325">
        <v>124486</v>
      </c>
      <c r="T81" s="325">
        <v>1100095</v>
      </c>
      <c r="U81" s="325">
        <v>195158</v>
      </c>
      <c r="V81" s="325">
        <v>2071423</v>
      </c>
      <c r="W81" s="325">
        <v>229617</v>
      </c>
      <c r="X81" s="325">
        <v>2658560</v>
      </c>
      <c r="Y81" s="325">
        <v>252910</v>
      </c>
      <c r="Z81" s="325">
        <v>2451768</v>
      </c>
      <c r="AA81" s="325">
        <v>251909</v>
      </c>
      <c r="AB81" s="325">
        <v>2642427</v>
      </c>
      <c r="AC81" s="325">
        <v>834946</v>
      </c>
      <c r="AD81" s="325">
        <v>14337774</v>
      </c>
      <c r="AE81" s="325">
        <v>1261538</v>
      </c>
      <c r="AF81" s="325">
        <v>21767354</v>
      </c>
      <c r="AG81" s="325">
        <v>1336915.93</v>
      </c>
      <c r="AH81" s="325">
        <v>23394311</v>
      </c>
      <c r="AI81" s="325">
        <v>947380</v>
      </c>
      <c r="AJ81" s="325">
        <v>18470170</v>
      </c>
      <c r="AK81" s="325">
        <v>1346341</v>
      </c>
      <c r="AL81" s="325">
        <v>25704569</v>
      </c>
      <c r="AM81" s="325">
        <v>1458625</v>
      </c>
      <c r="AN81" s="325">
        <v>24786306</v>
      </c>
    </row>
    <row r="82" spans="1:40" x14ac:dyDescent="0.25">
      <c r="A82" s="33"/>
      <c r="B82" s="33"/>
      <c r="C82" s="33"/>
      <c r="D82" s="33"/>
      <c r="E82" s="33"/>
      <c r="F82" s="33"/>
      <c r="G82" s="33"/>
      <c r="H82" s="33"/>
      <c r="I82" s="33"/>
      <c r="J82" s="33"/>
      <c r="K82" s="33"/>
      <c r="L82" s="33"/>
      <c r="M82" s="33"/>
      <c r="N82" s="33"/>
      <c r="O82" s="33"/>
      <c r="P82" s="33"/>
      <c r="Q82" s="33"/>
      <c r="R82" s="33"/>
      <c r="S82" s="325"/>
      <c r="T82" s="325"/>
      <c r="U82" s="33"/>
      <c r="V82" s="33"/>
      <c r="W82" s="33"/>
      <c r="X82" s="33"/>
      <c r="Y82" s="33"/>
      <c r="Z82" s="33"/>
      <c r="AA82" s="33"/>
      <c r="AB82" s="33"/>
      <c r="AC82" s="33"/>
      <c r="AD82" s="33"/>
      <c r="AE82" s="7"/>
      <c r="AF82" s="7"/>
      <c r="AG82" s="7"/>
      <c r="AH82" s="7"/>
      <c r="AI82" s="7"/>
      <c r="AJ82" s="7"/>
      <c r="AK82" s="7"/>
      <c r="AL82" s="7"/>
      <c r="AM82" s="7"/>
      <c r="AN82" s="7"/>
    </row>
    <row r="83" spans="1:40" x14ac:dyDescent="0.25">
      <c r="A83" s="330" t="s">
        <v>439</v>
      </c>
      <c r="C83" s="201"/>
      <c r="D83" s="201"/>
      <c r="E83" s="201"/>
      <c r="F83" s="201"/>
      <c r="G83" s="201"/>
      <c r="H83" s="201"/>
      <c r="I83" s="201"/>
      <c r="J83" s="201"/>
      <c r="K83" s="201"/>
      <c r="L83" s="201"/>
      <c r="M83" s="201"/>
      <c r="N83" s="201"/>
      <c r="O83" s="201"/>
      <c r="P83" s="201"/>
      <c r="Q83" s="201"/>
      <c r="R83" s="201"/>
      <c r="U83" s="201"/>
      <c r="V83" s="201"/>
      <c r="W83" s="201"/>
      <c r="X83" s="201"/>
      <c r="Y83" s="201"/>
      <c r="Z83" s="201"/>
      <c r="AA83" s="201"/>
      <c r="AB83" s="201"/>
      <c r="AC83" s="201"/>
      <c r="AD83" s="201"/>
      <c r="AE83" s="201"/>
      <c r="AF83" s="201"/>
      <c r="AG83" s="201"/>
      <c r="AH83" s="201"/>
      <c r="AI83" s="201"/>
      <c r="AJ83" s="201"/>
      <c r="AK83" s="201"/>
      <c r="AL83" s="201"/>
      <c r="AM83" s="201"/>
      <c r="AN83" s="201"/>
    </row>
    <row r="84" spans="1:40" x14ac:dyDescent="0.25">
      <c r="A84" s="339" t="s">
        <v>225</v>
      </c>
      <c r="B84" s="216" t="s">
        <v>166</v>
      </c>
      <c r="C84" s="201">
        <v>4269</v>
      </c>
      <c r="D84" s="201">
        <v>149459</v>
      </c>
      <c r="E84" s="201">
        <v>8166</v>
      </c>
      <c r="F84" s="201">
        <v>285810</v>
      </c>
      <c r="G84" s="201">
        <v>12122</v>
      </c>
      <c r="H84" s="201">
        <v>427334</v>
      </c>
      <c r="I84" s="201">
        <v>17890</v>
      </c>
      <c r="J84" s="201">
        <v>630044</v>
      </c>
      <c r="K84" s="201">
        <v>26069</v>
      </c>
      <c r="L84" s="201">
        <v>977265</v>
      </c>
      <c r="M84" s="201">
        <v>27768</v>
      </c>
      <c r="N84" s="201">
        <v>1152128</v>
      </c>
      <c r="O84" s="201">
        <v>22141</v>
      </c>
      <c r="P84" s="201">
        <v>2071178</v>
      </c>
      <c r="Q84" s="201">
        <v>35993</v>
      </c>
      <c r="R84" s="201">
        <v>3385985</v>
      </c>
      <c r="S84" s="201">
        <v>42517</v>
      </c>
      <c r="T84" s="201">
        <v>4038822</v>
      </c>
      <c r="U84" s="201">
        <v>55962</v>
      </c>
      <c r="V84" s="201">
        <v>5320446</v>
      </c>
      <c r="W84" s="201">
        <v>71070</v>
      </c>
      <c r="X84" s="201">
        <v>6752553</v>
      </c>
      <c r="Y84" s="201">
        <v>83655</v>
      </c>
      <c r="Z84" s="201">
        <v>7948288</v>
      </c>
      <c r="AA84" s="201">
        <v>98456</v>
      </c>
      <c r="AB84" s="201">
        <v>11323354</v>
      </c>
      <c r="AC84" s="201">
        <v>116037</v>
      </c>
      <c r="AD84" s="201">
        <v>13644227</v>
      </c>
      <c r="AE84" s="201">
        <v>88579.665000000008</v>
      </c>
      <c r="AF84" s="201">
        <v>11313352.26</v>
      </c>
      <c r="AG84" s="201">
        <v>103814.68</v>
      </c>
      <c r="AH84" s="201">
        <v>12471320</v>
      </c>
      <c r="AI84" s="201">
        <v>111637</v>
      </c>
      <c r="AJ84" s="201" t="s">
        <v>172</v>
      </c>
      <c r="AK84" s="201">
        <v>102276</v>
      </c>
      <c r="AL84" s="201" t="s">
        <v>172</v>
      </c>
      <c r="AM84" s="201">
        <v>110972</v>
      </c>
      <c r="AN84" s="201" t="s">
        <v>172</v>
      </c>
    </row>
    <row r="85" spans="1:40" x14ac:dyDescent="0.25">
      <c r="A85" s="339" t="s">
        <v>226</v>
      </c>
      <c r="B85" s="216" t="s">
        <v>166</v>
      </c>
      <c r="C85" s="201">
        <v>1187577</v>
      </c>
      <c r="D85" s="201"/>
      <c r="E85" s="201">
        <v>1050131</v>
      </c>
      <c r="F85" s="201"/>
      <c r="G85" s="201">
        <v>1038922</v>
      </c>
      <c r="H85" s="201">
        <v>57843880</v>
      </c>
      <c r="I85" s="201">
        <v>946494</v>
      </c>
      <c r="J85" s="201">
        <v>63934291</v>
      </c>
      <c r="K85" s="201">
        <v>874782</v>
      </c>
      <c r="L85" s="201">
        <v>67183462</v>
      </c>
      <c r="M85" s="201">
        <v>1071845</v>
      </c>
      <c r="N85" s="201">
        <v>89606326</v>
      </c>
      <c r="O85" s="201">
        <v>965930</v>
      </c>
      <c r="P85" s="201">
        <v>85482878</v>
      </c>
      <c r="Q85" s="201">
        <v>974801</v>
      </c>
      <c r="R85" s="201">
        <v>83153556</v>
      </c>
      <c r="S85" s="201">
        <v>990351</v>
      </c>
      <c r="T85" s="201">
        <v>81661030</v>
      </c>
      <c r="U85" s="201">
        <v>1069717</v>
      </c>
      <c r="V85" s="201">
        <v>92318841</v>
      </c>
      <c r="W85" s="201">
        <v>987018</v>
      </c>
      <c r="X85" s="201">
        <v>89648027</v>
      </c>
      <c r="Y85" s="201">
        <v>1101515</v>
      </c>
      <c r="Z85" s="201">
        <v>111179482</v>
      </c>
      <c r="AA85" s="201">
        <v>1100919</v>
      </c>
      <c r="AB85" s="201">
        <v>117284071</v>
      </c>
      <c r="AC85" s="201">
        <v>1313266</v>
      </c>
      <c r="AD85" s="201">
        <v>149137955</v>
      </c>
      <c r="AE85" s="201">
        <v>1319855.76</v>
      </c>
      <c r="AF85" s="201">
        <v>158587045.05000001</v>
      </c>
      <c r="AG85" s="201">
        <v>1161389</v>
      </c>
      <c r="AH85" s="201">
        <v>151655393</v>
      </c>
      <c r="AI85" s="201">
        <v>1088613</v>
      </c>
      <c r="AJ85" s="201">
        <v>168745136</v>
      </c>
      <c r="AK85" s="201">
        <v>801236</v>
      </c>
      <c r="AL85" s="201">
        <v>128753900</v>
      </c>
      <c r="AM85" s="201">
        <v>960367</v>
      </c>
      <c r="AN85" s="201">
        <v>136508821</v>
      </c>
    </row>
    <row r="86" spans="1:40" x14ac:dyDescent="0.25">
      <c r="A86" s="339" t="s">
        <v>440</v>
      </c>
      <c r="B86" s="216" t="s">
        <v>166</v>
      </c>
      <c r="C86" s="201">
        <v>140</v>
      </c>
      <c r="D86" s="201">
        <v>55385867</v>
      </c>
      <c r="E86" s="201">
        <v>0</v>
      </c>
      <c r="F86" s="201">
        <v>59817919</v>
      </c>
      <c r="G86" s="201">
        <v>53</v>
      </c>
      <c r="H86" s="201">
        <v>13250</v>
      </c>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1">
        <v>0</v>
      </c>
      <c r="Y86" s="201">
        <v>0</v>
      </c>
      <c r="Z86" s="201">
        <v>0</v>
      </c>
      <c r="AA86" s="201">
        <v>0</v>
      </c>
      <c r="AB86" s="201">
        <v>0</v>
      </c>
      <c r="AC86" s="201">
        <v>0</v>
      </c>
      <c r="AD86" s="201">
        <v>0</v>
      </c>
      <c r="AE86" s="201">
        <v>0</v>
      </c>
      <c r="AF86" s="201">
        <v>0</v>
      </c>
      <c r="AG86" s="201">
        <v>0</v>
      </c>
      <c r="AH86" s="201">
        <v>0</v>
      </c>
      <c r="AI86" s="201">
        <v>0</v>
      </c>
      <c r="AJ86" s="201">
        <v>0</v>
      </c>
      <c r="AK86" s="201">
        <v>0</v>
      </c>
      <c r="AL86" s="201">
        <v>0</v>
      </c>
      <c r="AM86" s="201">
        <v>0</v>
      </c>
      <c r="AN86" s="201">
        <v>0</v>
      </c>
    </row>
    <row r="87" spans="1:40" x14ac:dyDescent="0.25">
      <c r="A87" s="339" t="s">
        <v>441</v>
      </c>
      <c r="B87" s="216" t="s">
        <v>166</v>
      </c>
      <c r="C87" s="201">
        <v>69516</v>
      </c>
      <c r="D87" s="201"/>
      <c r="E87" s="201">
        <v>57818</v>
      </c>
      <c r="F87" s="201"/>
      <c r="G87" s="201">
        <v>61178</v>
      </c>
      <c r="H87" s="201">
        <v>22899652</v>
      </c>
      <c r="I87" s="201">
        <v>195504</v>
      </c>
      <c r="J87" s="201">
        <v>69996495</v>
      </c>
      <c r="K87" s="201">
        <v>227979</v>
      </c>
      <c r="L87" s="201">
        <v>95474088</v>
      </c>
      <c r="M87" s="201">
        <v>284109.11</v>
      </c>
      <c r="N87" s="201">
        <v>131107248</v>
      </c>
      <c r="O87" s="201">
        <v>263408</v>
      </c>
      <c r="P87" s="201">
        <v>131710093</v>
      </c>
      <c r="Q87" s="201">
        <v>305118</v>
      </c>
      <c r="R87" s="201">
        <v>153117864</v>
      </c>
      <c r="S87" s="201">
        <v>361421</v>
      </c>
      <c r="T87" s="201">
        <v>168546726</v>
      </c>
      <c r="U87" s="201">
        <v>332994</v>
      </c>
      <c r="V87" s="201">
        <v>153940432</v>
      </c>
      <c r="W87" s="201">
        <v>396275</v>
      </c>
      <c r="X87" s="201">
        <v>184625545</v>
      </c>
      <c r="Y87" s="201">
        <v>408521</v>
      </c>
      <c r="Z87" s="201">
        <v>199569466</v>
      </c>
      <c r="AA87" s="201">
        <v>413457</v>
      </c>
      <c r="AB87" s="201">
        <v>205199238</v>
      </c>
      <c r="AC87" s="201">
        <v>467258</v>
      </c>
      <c r="AD87" s="201">
        <v>241631970</v>
      </c>
      <c r="AE87" s="201">
        <v>475539</v>
      </c>
      <c r="AF87" s="201">
        <v>275230270.17250901</v>
      </c>
      <c r="AG87" s="201">
        <v>552505</v>
      </c>
      <c r="AH87" s="201">
        <v>324646687.80963999</v>
      </c>
      <c r="AI87" s="201">
        <v>643274</v>
      </c>
      <c r="AJ87" s="201">
        <v>409192213.61184621</v>
      </c>
      <c r="AK87" s="201">
        <v>585913</v>
      </c>
      <c r="AL87" s="201">
        <v>380208228</v>
      </c>
      <c r="AM87" s="201">
        <v>597273.93939393945</v>
      </c>
      <c r="AN87" s="201">
        <v>353782300</v>
      </c>
    </row>
    <row r="88" spans="1:40" x14ac:dyDescent="0.25">
      <c r="A88" s="339" t="s">
        <v>442</v>
      </c>
      <c r="B88" s="216" t="s">
        <v>166</v>
      </c>
      <c r="C88" s="201">
        <v>39</v>
      </c>
      <c r="D88" s="201">
        <v>3618</v>
      </c>
      <c r="E88" s="201">
        <v>249</v>
      </c>
      <c r="F88" s="201">
        <v>29817</v>
      </c>
      <c r="G88" s="201">
        <v>955</v>
      </c>
      <c r="H88" s="201">
        <v>153220</v>
      </c>
      <c r="I88" s="201">
        <v>826</v>
      </c>
      <c r="J88" s="201">
        <v>114799</v>
      </c>
      <c r="K88" s="201">
        <v>0</v>
      </c>
      <c r="L88" s="201">
        <v>0</v>
      </c>
      <c r="M88" s="201">
        <v>0</v>
      </c>
      <c r="N88" s="201">
        <v>0</v>
      </c>
      <c r="O88" s="201">
        <v>0</v>
      </c>
      <c r="P88" s="201">
        <v>0</v>
      </c>
      <c r="Q88" s="201">
        <v>0</v>
      </c>
      <c r="R88" s="201">
        <v>0</v>
      </c>
      <c r="S88" s="201">
        <v>0</v>
      </c>
      <c r="T88" s="201">
        <v>0</v>
      </c>
      <c r="U88" s="201">
        <v>0</v>
      </c>
      <c r="V88" s="201">
        <v>0</v>
      </c>
      <c r="W88" s="201">
        <v>0</v>
      </c>
      <c r="X88" s="201">
        <v>0</v>
      </c>
      <c r="Y88" s="201">
        <v>0</v>
      </c>
      <c r="Z88" s="201">
        <v>0</v>
      </c>
      <c r="AA88" s="201">
        <v>0</v>
      </c>
      <c r="AB88" s="201">
        <v>0</v>
      </c>
      <c r="AC88" s="201">
        <v>0</v>
      </c>
      <c r="AD88" s="201">
        <v>0</v>
      </c>
      <c r="AE88" s="201">
        <v>0</v>
      </c>
      <c r="AF88" s="201">
        <v>0</v>
      </c>
      <c r="AG88" s="201">
        <v>0</v>
      </c>
      <c r="AH88" s="201">
        <v>0</v>
      </c>
      <c r="AI88" s="201">
        <v>0</v>
      </c>
      <c r="AJ88" s="201">
        <v>0</v>
      </c>
      <c r="AK88" s="201">
        <v>0</v>
      </c>
      <c r="AL88" s="201">
        <v>0</v>
      </c>
      <c r="AM88" s="201">
        <v>0</v>
      </c>
      <c r="AN88" s="201">
        <v>0</v>
      </c>
    </row>
    <row r="89" spans="1:40" x14ac:dyDescent="0.25">
      <c r="A89" s="339" t="s">
        <v>227</v>
      </c>
      <c r="B89" s="216" t="s">
        <v>166</v>
      </c>
      <c r="C89" s="201">
        <v>19571</v>
      </c>
      <c r="D89" s="201">
        <v>4583699</v>
      </c>
      <c r="E89" s="201">
        <v>19002</v>
      </c>
      <c r="F89" s="201">
        <v>6219583</v>
      </c>
      <c r="G89" s="201">
        <v>12606</v>
      </c>
      <c r="H89" s="201">
        <v>5140988</v>
      </c>
      <c r="I89" s="201">
        <v>10882</v>
      </c>
      <c r="J89" s="201">
        <v>4581114</v>
      </c>
      <c r="K89" s="201">
        <v>18297</v>
      </c>
      <c r="L89" s="201">
        <v>7781578</v>
      </c>
      <c r="M89" s="201">
        <v>15023</v>
      </c>
      <c r="N89" s="201">
        <v>7902766</v>
      </c>
      <c r="O89" s="201">
        <v>23836</v>
      </c>
      <c r="P89" s="201">
        <v>13259826</v>
      </c>
      <c r="Q89" s="201">
        <v>11782</v>
      </c>
      <c r="R89" s="201">
        <v>6517864</v>
      </c>
      <c r="S89" s="201">
        <v>11215</v>
      </c>
      <c r="T89" s="201">
        <v>4446491</v>
      </c>
      <c r="U89" s="201">
        <v>17438</v>
      </c>
      <c r="V89" s="201">
        <v>6934515</v>
      </c>
      <c r="W89" s="201">
        <v>19243</v>
      </c>
      <c r="X89" s="201">
        <v>7730200</v>
      </c>
      <c r="Y89" s="201">
        <v>21776</v>
      </c>
      <c r="Z89" s="201">
        <v>10556319</v>
      </c>
      <c r="AA89" s="201">
        <v>30723</v>
      </c>
      <c r="AB89" s="201">
        <v>15187711</v>
      </c>
      <c r="AC89" s="201">
        <v>28346</v>
      </c>
      <c r="AD89" s="201">
        <v>10986255</v>
      </c>
      <c r="AE89" s="201">
        <v>17512.75</v>
      </c>
      <c r="AF89" s="201">
        <v>8130864.9000000004</v>
      </c>
      <c r="AG89" s="201">
        <v>39064</v>
      </c>
      <c r="AH89" s="201">
        <v>16378713</v>
      </c>
      <c r="AI89" s="201">
        <v>39814</v>
      </c>
      <c r="AJ89" s="201">
        <v>18052535</v>
      </c>
      <c r="AK89" s="201">
        <v>39768</v>
      </c>
      <c r="AL89" s="201">
        <v>19442862</v>
      </c>
      <c r="AM89" s="201">
        <v>38060</v>
      </c>
      <c r="AN89" s="201">
        <v>15935474</v>
      </c>
    </row>
    <row r="90" spans="1:40" x14ac:dyDescent="0.25">
      <c r="A90" s="339" t="s">
        <v>443</v>
      </c>
      <c r="B90" s="216" t="s">
        <v>166</v>
      </c>
      <c r="C90" s="201"/>
      <c r="D90" s="201"/>
      <c r="E90" s="201"/>
      <c r="F90" s="201"/>
      <c r="G90" s="201"/>
      <c r="H90" s="201"/>
      <c r="I90" s="201"/>
      <c r="J90" s="201"/>
      <c r="K90" s="201"/>
      <c r="L90" s="201"/>
      <c r="M90" s="201"/>
      <c r="N90" s="201"/>
      <c r="O90" s="201"/>
      <c r="P90" s="201"/>
      <c r="Q90" s="201"/>
      <c r="R90" s="201"/>
      <c r="U90" s="201"/>
      <c r="V90" s="201"/>
      <c r="W90" s="201"/>
      <c r="X90" s="201"/>
      <c r="Y90" s="201"/>
      <c r="Z90" s="201"/>
      <c r="AA90" s="201"/>
      <c r="AB90" s="201"/>
      <c r="AC90" s="201"/>
      <c r="AD90" s="201"/>
      <c r="AE90" s="201"/>
      <c r="AF90" s="201"/>
      <c r="AG90" s="201"/>
      <c r="AH90" s="201"/>
      <c r="AI90" s="201"/>
      <c r="AJ90" s="201"/>
      <c r="AK90" s="201"/>
      <c r="AL90" s="201"/>
      <c r="AM90" s="201"/>
      <c r="AN90" s="201"/>
    </row>
    <row r="91" spans="1:40" x14ac:dyDescent="0.25">
      <c r="A91" s="339" t="s">
        <v>444</v>
      </c>
      <c r="B91" s="216" t="s">
        <v>166</v>
      </c>
      <c r="C91" s="201">
        <v>16590</v>
      </c>
      <c r="D91" s="201">
        <v>7512887</v>
      </c>
      <c r="E91" s="201">
        <v>17962</v>
      </c>
      <c r="F91" s="201">
        <v>10384934</v>
      </c>
      <c r="G91" s="201">
        <v>12407</v>
      </c>
      <c r="H91" s="201">
        <v>8417755</v>
      </c>
      <c r="I91" s="201">
        <v>9705</v>
      </c>
      <c r="J91" s="201">
        <v>6960550</v>
      </c>
      <c r="K91" s="201">
        <v>10133</v>
      </c>
      <c r="L91" s="201">
        <v>7445827</v>
      </c>
      <c r="M91" s="201">
        <v>13358</v>
      </c>
      <c r="N91" s="201">
        <v>9731111</v>
      </c>
      <c r="O91" s="201">
        <v>6869</v>
      </c>
      <c r="P91" s="201">
        <v>5113867</v>
      </c>
      <c r="Q91" s="201">
        <v>7372</v>
      </c>
      <c r="R91" s="201">
        <v>2131269</v>
      </c>
      <c r="S91" s="201">
        <v>6211</v>
      </c>
      <c r="T91" s="201">
        <v>1813910</v>
      </c>
      <c r="U91" s="201">
        <v>5848</v>
      </c>
      <c r="V91" s="201">
        <v>1667044</v>
      </c>
      <c r="W91" s="201">
        <v>300</v>
      </c>
      <c r="X91" s="201">
        <v>82525</v>
      </c>
      <c r="Y91" s="201">
        <v>0</v>
      </c>
      <c r="Z91" s="201">
        <v>0</v>
      </c>
      <c r="AA91" s="201">
        <v>0</v>
      </c>
      <c r="AB91" s="201">
        <v>0</v>
      </c>
      <c r="AC91" s="201">
        <v>0</v>
      </c>
      <c r="AD91" s="201">
        <v>0</v>
      </c>
      <c r="AE91" s="201">
        <v>0</v>
      </c>
      <c r="AF91" s="201">
        <v>0</v>
      </c>
      <c r="AG91" s="201">
        <v>0</v>
      </c>
      <c r="AH91" s="201">
        <v>0</v>
      </c>
      <c r="AI91" s="201">
        <v>0</v>
      </c>
      <c r="AJ91" s="201">
        <v>0</v>
      </c>
      <c r="AK91" s="201">
        <v>0</v>
      </c>
      <c r="AL91" s="201">
        <v>0</v>
      </c>
      <c r="AM91" s="201">
        <v>0</v>
      </c>
      <c r="AN91" s="201">
        <v>0</v>
      </c>
    </row>
    <row r="92" spans="1:40" x14ac:dyDescent="0.25">
      <c r="A92" s="339" t="s">
        <v>228</v>
      </c>
      <c r="B92" s="216" t="s">
        <v>166</v>
      </c>
      <c r="C92" s="201">
        <v>73484</v>
      </c>
      <c r="D92" s="201">
        <v>25457848</v>
      </c>
      <c r="E92" s="201">
        <v>71794</v>
      </c>
      <c r="F92" s="201">
        <v>30751960</v>
      </c>
      <c r="G92" s="201">
        <v>82462</v>
      </c>
      <c r="H92" s="201">
        <v>46089968</v>
      </c>
      <c r="I92" s="201">
        <v>85078</v>
      </c>
      <c r="J92" s="201">
        <v>51168571</v>
      </c>
      <c r="K92" s="201">
        <v>100484</v>
      </c>
      <c r="L92" s="201">
        <v>62491492</v>
      </c>
      <c r="M92" s="201">
        <v>82232</v>
      </c>
      <c r="N92" s="201">
        <v>58541710</v>
      </c>
      <c r="O92" s="201">
        <v>65446</v>
      </c>
      <c r="P92" s="201">
        <v>49598010</v>
      </c>
      <c r="Q92" s="201">
        <v>47466</v>
      </c>
      <c r="R92" s="201">
        <v>26878559</v>
      </c>
      <c r="S92" s="201">
        <v>75928</v>
      </c>
      <c r="T92" s="201">
        <v>42135260</v>
      </c>
      <c r="U92" s="201">
        <v>68931</v>
      </c>
      <c r="V92" s="201">
        <v>35757509</v>
      </c>
      <c r="W92" s="201">
        <v>107782</v>
      </c>
      <c r="X92" s="201">
        <v>56131247</v>
      </c>
      <c r="Y92" s="201">
        <v>119140</v>
      </c>
      <c r="Z92" s="201">
        <v>75058683</v>
      </c>
      <c r="AA92" s="201">
        <v>110962</v>
      </c>
      <c r="AB92" s="201">
        <v>77743262</v>
      </c>
      <c r="AC92" s="201">
        <v>104134</v>
      </c>
      <c r="AD92" s="201">
        <v>78581122</v>
      </c>
      <c r="AE92" s="201">
        <v>119708.715</v>
      </c>
      <c r="AF92" s="201">
        <v>90971055.629999995</v>
      </c>
      <c r="AG92" s="201">
        <v>98493</v>
      </c>
      <c r="AH92" s="201">
        <v>72778349</v>
      </c>
      <c r="AI92" s="201">
        <v>127212.62</v>
      </c>
      <c r="AJ92" s="201">
        <v>110036230</v>
      </c>
      <c r="AK92" s="201">
        <v>122610</v>
      </c>
      <c r="AL92" s="201">
        <v>106743027</v>
      </c>
      <c r="AM92" s="201">
        <v>113569</v>
      </c>
      <c r="AN92" s="201">
        <v>82530715</v>
      </c>
    </row>
    <row r="93" spans="1:40" x14ac:dyDescent="0.25">
      <c r="A93" s="339" t="s">
        <v>445</v>
      </c>
      <c r="B93" s="216" t="s">
        <v>166</v>
      </c>
      <c r="C93" s="201">
        <v>0</v>
      </c>
      <c r="D93" s="201">
        <v>0</v>
      </c>
      <c r="E93" s="201">
        <v>0</v>
      </c>
      <c r="F93" s="201">
        <v>0</v>
      </c>
      <c r="G93" s="201">
        <v>0</v>
      </c>
      <c r="H93" s="201">
        <v>0</v>
      </c>
      <c r="I93" s="201">
        <v>0</v>
      </c>
      <c r="J93" s="201">
        <v>0</v>
      </c>
      <c r="K93" s="201">
        <v>0</v>
      </c>
      <c r="L93" s="201">
        <v>0</v>
      </c>
      <c r="M93" s="201">
        <v>0</v>
      </c>
      <c r="N93" s="201">
        <v>0</v>
      </c>
      <c r="O93" s="201">
        <v>0</v>
      </c>
      <c r="P93" s="201">
        <v>0</v>
      </c>
      <c r="Q93" s="201">
        <v>0</v>
      </c>
      <c r="R93" s="201">
        <v>0</v>
      </c>
      <c r="S93" s="201">
        <v>0</v>
      </c>
      <c r="T93" s="201">
        <v>0</v>
      </c>
      <c r="U93" s="201">
        <v>0</v>
      </c>
      <c r="V93" s="201">
        <v>0</v>
      </c>
      <c r="W93" s="201">
        <v>0</v>
      </c>
      <c r="X93" s="201">
        <v>0</v>
      </c>
      <c r="Y93" s="201">
        <v>0</v>
      </c>
      <c r="Z93" s="201">
        <v>0</v>
      </c>
      <c r="AA93" s="201">
        <v>0</v>
      </c>
      <c r="AB93" s="201">
        <v>0</v>
      </c>
      <c r="AC93" s="201">
        <v>0</v>
      </c>
      <c r="AD93" s="201">
        <v>0</v>
      </c>
      <c r="AE93" s="201">
        <v>0</v>
      </c>
      <c r="AF93" s="201">
        <v>0</v>
      </c>
      <c r="AG93" s="201">
        <v>0</v>
      </c>
      <c r="AH93" s="201">
        <v>0</v>
      </c>
      <c r="AI93" s="201">
        <v>191.5</v>
      </c>
      <c r="AJ93" s="201">
        <v>37407</v>
      </c>
      <c r="AK93" s="201">
        <v>2129</v>
      </c>
      <c r="AL93" s="201">
        <v>332509</v>
      </c>
      <c r="AM93" s="201">
        <v>1613</v>
      </c>
      <c r="AN93" s="201">
        <v>242988</v>
      </c>
    </row>
    <row r="94" spans="1:40" x14ac:dyDescent="0.25">
      <c r="A94" s="339" t="s">
        <v>446</v>
      </c>
      <c r="B94" s="216" t="s">
        <v>166</v>
      </c>
      <c r="C94" s="201">
        <v>42</v>
      </c>
      <c r="D94" s="201">
        <v>397547</v>
      </c>
      <c r="E94" s="201">
        <v>25</v>
      </c>
      <c r="F94" s="201">
        <v>345693</v>
      </c>
      <c r="G94" s="201">
        <v>43</v>
      </c>
      <c r="H94" s="201">
        <v>328846</v>
      </c>
      <c r="I94" s="201">
        <v>0</v>
      </c>
      <c r="J94" s="201">
        <v>0</v>
      </c>
      <c r="K94" s="201">
        <v>20</v>
      </c>
      <c r="L94" s="201">
        <v>105840</v>
      </c>
      <c r="M94" s="201">
        <v>0</v>
      </c>
      <c r="N94" s="201">
        <v>0</v>
      </c>
      <c r="O94" s="201">
        <v>0</v>
      </c>
      <c r="P94" s="201">
        <v>0</v>
      </c>
      <c r="Q94" s="201">
        <v>0</v>
      </c>
      <c r="R94" s="201">
        <v>0</v>
      </c>
      <c r="S94" s="201">
        <v>0</v>
      </c>
      <c r="T94" s="201">
        <v>0</v>
      </c>
      <c r="U94" s="201">
        <v>0</v>
      </c>
      <c r="V94" s="201">
        <v>0</v>
      </c>
      <c r="W94" s="201">
        <v>0</v>
      </c>
      <c r="X94" s="201">
        <v>0</v>
      </c>
      <c r="Y94" s="201">
        <v>0</v>
      </c>
      <c r="Z94" s="201">
        <v>0</v>
      </c>
      <c r="AA94" s="201">
        <v>0</v>
      </c>
      <c r="AB94" s="201">
        <v>0</v>
      </c>
      <c r="AC94" s="201">
        <v>0</v>
      </c>
      <c r="AD94" s="201">
        <v>0</v>
      </c>
      <c r="AE94" s="201">
        <v>0</v>
      </c>
      <c r="AF94" s="201">
        <v>0</v>
      </c>
      <c r="AG94" s="201">
        <v>0</v>
      </c>
      <c r="AH94" s="201">
        <v>0</v>
      </c>
      <c r="AI94" s="201">
        <v>0</v>
      </c>
      <c r="AJ94" s="201">
        <v>0</v>
      </c>
      <c r="AK94" s="201">
        <v>0</v>
      </c>
      <c r="AL94" s="201">
        <v>0</v>
      </c>
      <c r="AM94" s="201">
        <v>0</v>
      </c>
      <c r="AN94" s="201">
        <v>0</v>
      </c>
    </row>
    <row r="95" spans="1:40" x14ac:dyDescent="0.25">
      <c r="A95" s="339" t="s">
        <v>177</v>
      </c>
      <c r="B95" s="216" t="s">
        <v>166</v>
      </c>
      <c r="C95" s="201">
        <v>362339</v>
      </c>
      <c r="D95" s="201">
        <v>41279076</v>
      </c>
      <c r="E95" s="201">
        <v>249030</v>
      </c>
      <c r="F95" s="201">
        <v>48356864</v>
      </c>
      <c r="G95" s="201">
        <v>310576</v>
      </c>
      <c r="H95" s="201">
        <v>56297397</v>
      </c>
      <c r="I95" s="201">
        <v>366053</v>
      </c>
      <c r="J95" s="201">
        <v>97148148</v>
      </c>
      <c r="K95" s="201">
        <v>340140</v>
      </c>
      <c r="L95" s="201">
        <v>151609319</v>
      </c>
      <c r="M95" s="201">
        <v>300256</v>
      </c>
      <c r="N95" s="201">
        <v>175190729</v>
      </c>
      <c r="O95" s="201">
        <v>208424</v>
      </c>
      <c r="P95" s="201">
        <v>100801777</v>
      </c>
      <c r="Q95" s="201">
        <v>226930</v>
      </c>
      <c r="R95" s="201">
        <v>61114152</v>
      </c>
      <c r="S95" s="201">
        <v>302463</v>
      </c>
      <c r="T95" s="201">
        <v>49191977</v>
      </c>
      <c r="U95" s="201">
        <v>349134</v>
      </c>
      <c r="V95" s="201">
        <v>63098512</v>
      </c>
      <c r="W95" s="201">
        <v>477052</v>
      </c>
      <c r="X95" s="201">
        <v>129771749</v>
      </c>
      <c r="Y95" s="201">
        <v>410025</v>
      </c>
      <c r="Z95" s="201">
        <v>181210326</v>
      </c>
      <c r="AA95" s="201">
        <v>324087</v>
      </c>
      <c r="AB95" s="201">
        <v>177986602</v>
      </c>
      <c r="AC95" s="201">
        <v>321381</v>
      </c>
      <c r="AD95" s="201">
        <v>169129893</v>
      </c>
      <c r="AE95" s="201">
        <v>284532.83</v>
      </c>
      <c r="AF95" s="201">
        <v>136065790.06999999</v>
      </c>
      <c r="AG95" s="201">
        <v>348109</v>
      </c>
      <c r="AH95" s="201">
        <v>153271253</v>
      </c>
      <c r="AI95" s="201">
        <v>343080</v>
      </c>
      <c r="AJ95" s="201">
        <v>198837333</v>
      </c>
      <c r="AK95" s="201">
        <v>317770</v>
      </c>
      <c r="AL95" s="201">
        <v>218836980</v>
      </c>
      <c r="AM95" s="201">
        <v>411150</v>
      </c>
      <c r="AN95" s="201">
        <v>255814591</v>
      </c>
    </row>
    <row r="96" spans="1:40" x14ac:dyDescent="0.25">
      <c r="A96" s="339" t="s">
        <v>291</v>
      </c>
      <c r="B96" s="216"/>
      <c r="C96" s="201"/>
      <c r="D96" s="201"/>
      <c r="E96" s="201"/>
      <c r="F96" s="201"/>
      <c r="G96" s="201"/>
      <c r="H96" s="201"/>
      <c r="I96" s="201"/>
      <c r="J96" s="201"/>
      <c r="K96" s="201"/>
      <c r="L96" s="201"/>
      <c r="M96" s="201"/>
      <c r="N96" s="201"/>
      <c r="O96" s="201"/>
      <c r="P96" s="201"/>
      <c r="Q96" s="201"/>
      <c r="R96" s="201"/>
      <c r="U96" s="201"/>
      <c r="V96" s="201"/>
      <c r="W96" s="201"/>
      <c r="X96" s="201"/>
      <c r="Y96" s="201"/>
      <c r="Z96" s="201"/>
      <c r="AA96" s="201"/>
      <c r="AB96" s="201"/>
      <c r="AC96" s="201"/>
      <c r="AD96" s="201"/>
      <c r="AE96" s="201"/>
      <c r="AF96" s="201"/>
      <c r="AG96" s="201"/>
      <c r="AH96" s="201"/>
      <c r="AI96" s="201"/>
      <c r="AJ96" s="201"/>
      <c r="AK96" s="201"/>
      <c r="AL96" s="201"/>
      <c r="AM96" s="201"/>
      <c r="AN96" s="201"/>
    </row>
    <row r="97" spans="1:40" x14ac:dyDescent="0.25">
      <c r="A97" s="340" t="s">
        <v>230</v>
      </c>
      <c r="C97" s="201"/>
      <c r="D97" s="201">
        <f>SUM(D84:D95)</f>
        <v>134770001</v>
      </c>
      <c r="E97" s="201"/>
      <c r="F97" s="201">
        <f>SUM(F84:F95)</f>
        <v>156192580</v>
      </c>
      <c r="G97" s="201"/>
      <c r="H97" s="201">
        <f>SUM(H86:H95)</f>
        <v>139341076</v>
      </c>
      <c r="I97" s="201"/>
      <c r="J97" s="201">
        <f>SUM(J84:J95)</f>
        <v>294534012</v>
      </c>
      <c r="K97" s="201"/>
      <c r="L97" s="201">
        <v>393068871</v>
      </c>
      <c r="M97" s="201"/>
      <c r="N97" s="201">
        <v>473232018</v>
      </c>
      <c r="O97" s="201"/>
      <c r="P97" s="201">
        <f>SUM(P84:P95)</f>
        <v>388037629</v>
      </c>
      <c r="Q97" s="201"/>
      <c r="R97" s="201">
        <v>336299249</v>
      </c>
      <c r="T97" s="201">
        <v>351834216</v>
      </c>
      <c r="U97" s="201"/>
      <c r="V97" s="201">
        <v>359037299</v>
      </c>
      <c r="W97" s="201"/>
      <c r="X97" s="201">
        <v>474741846</v>
      </c>
      <c r="Y97" s="201"/>
      <c r="Z97" s="201">
        <v>585522564</v>
      </c>
      <c r="AA97" s="201"/>
      <c r="AB97" s="201">
        <v>604724238</v>
      </c>
      <c r="AC97" s="201"/>
      <c r="AD97" s="201">
        <v>663111422</v>
      </c>
      <c r="AE97" s="227"/>
      <c r="AF97" s="201">
        <v>680298378.08250904</v>
      </c>
      <c r="AG97" s="201"/>
      <c r="AH97" s="201">
        <v>731201715.80963993</v>
      </c>
      <c r="AI97" s="201"/>
      <c r="AJ97" s="201">
        <f>SUM(AJ85:AJ95)</f>
        <v>904900854.61184621</v>
      </c>
      <c r="AK97" s="201"/>
      <c r="AL97" s="201">
        <f>SUM(AL85:AL95)</f>
        <v>854317506</v>
      </c>
      <c r="AM97" s="201"/>
      <c r="AN97" s="201">
        <f>SUM(AN85:AN95)</f>
        <v>844814889</v>
      </c>
    </row>
    <row r="99" spans="1:40" x14ac:dyDescent="0.25">
      <c r="A99" s="331" t="s">
        <v>447</v>
      </c>
      <c r="B99" s="332"/>
      <c r="C99" s="333"/>
      <c r="D99" s="333"/>
      <c r="E99" s="333"/>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333"/>
      <c r="AI99" s="333"/>
      <c r="AJ99" s="333"/>
      <c r="AK99" s="333"/>
      <c r="AL99" s="333"/>
      <c r="AM99" s="333"/>
      <c r="AN99" s="333"/>
    </row>
    <row r="100" spans="1:40" x14ac:dyDescent="0.25">
      <c r="A100" s="335" t="s">
        <v>448</v>
      </c>
      <c r="B100" s="336" t="s">
        <v>166</v>
      </c>
      <c r="C100" s="333">
        <v>4779</v>
      </c>
      <c r="D100" s="333">
        <v>32017</v>
      </c>
      <c r="E100" s="333">
        <v>10104</v>
      </c>
      <c r="F100" s="333">
        <v>118452</v>
      </c>
      <c r="G100" s="333">
        <v>4405</v>
      </c>
      <c r="H100" s="333">
        <v>68814</v>
      </c>
      <c r="I100" s="333">
        <v>9602</v>
      </c>
      <c r="J100" s="333">
        <v>387558</v>
      </c>
      <c r="K100" s="333">
        <v>18358</v>
      </c>
      <c r="L100" s="333">
        <v>739627</v>
      </c>
      <c r="M100" s="333">
        <v>9692</v>
      </c>
      <c r="N100" s="333">
        <v>437909</v>
      </c>
      <c r="O100" s="333">
        <v>34315</v>
      </c>
      <c r="P100" s="333">
        <v>1346129</v>
      </c>
      <c r="Q100" s="333">
        <v>22793</v>
      </c>
      <c r="R100" s="333">
        <v>1057900</v>
      </c>
      <c r="S100" s="333">
        <v>22311</v>
      </c>
      <c r="T100" s="333">
        <v>858398</v>
      </c>
      <c r="U100" s="333">
        <v>22167</v>
      </c>
      <c r="V100" s="333">
        <v>864560</v>
      </c>
      <c r="W100" s="333">
        <v>52515</v>
      </c>
      <c r="X100" s="333">
        <v>1933436</v>
      </c>
      <c r="Y100" s="333">
        <v>61445</v>
      </c>
      <c r="Z100" s="333">
        <v>2265550</v>
      </c>
      <c r="AA100" s="333">
        <v>63066</v>
      </c>
      <c r="AB100" s="333">
        <v>2725219</v>
      </c>
      <c r="AC100" s="333">
        <v>35742</v>
      </c>
      <c r="AD100" s="333">
        <v>1513545</v>
      </c>
      <c r="AE100" s="333">
        <v>23694</v>
      </c>
      <c r="AF100" s="333">
        <v>907504</v>
      </c>
      <c r="AG100" s="333">
        <v>42997.66</v>
      </c>
      <c r="AH100" s="333">
        <v>1649003</v>
      </c>
      <c r="AI100" s="333">
        <v>56245</v>
      </c>
      <c r="AJ100" s="333">
        <v>2520890</v>
      </c>
      <c r="AK100" s="333">
        <v>36027</v>
      </c>
      <c r="AL100" s="333">
        <v>1685053</v>
      </c>
      <c r="AM100" s="333">
        <v>43144</v>
      </c>
      <c r="AN100" s="333">
        <v>2169260</v>
      </c>
    </row>
    <row r="101" spans="1:40" x14ac:dyDescent="0.25">
      <c r="A101" s="335" t="s">
        <v>449</v>
      </c>
      <c r="B101" s="336" t="s">
        <v>166</v>
      </c>
      <c r="C101" s="333">
        <v>0</v>
      </c>
      <c r="D101" s="333">
        <v>0</v>
      </c>
      <c r="E101" s="333">
        <v>0</v>
      </c>
      <c r="F101" s="333">
        <v>0</v>
      </c>
      <c r="G101" s="333">
        <v>0</v>
      </c>
      <c r="H101" s="333">
        <v>0</v>
      </c>
      <c r="I101" s="333">
        <v>0</v>
      </c>
      <c r="J101" s="333">
        <v>0</v>
      </c>
      <c r="K101" s="333">
        <v>3513</v>
      </c>
      <c r="L101" s="333">
        <v>916814</v>
      </c>
      <c r="M101" s="333">
        <v>0</v>
      </c>
      <c r="N101" s="333">
        <v>0</v>
      </c>
      <c r="O101" s="333">
        <v>2280</v>
      </c>
      <c r="P101" s="333">
        <v>113597</v>
      </c>
      <c r="Q101" s="333">
        <v>164</v>
      </c>
      <c r="R101" s="333">
        <v>6483</v>
      </c>
      <c r="S101" s="333">
        <v>0</v>
      </c>
      <c r="T101" s="333">
        <v>0</v>
      </c>
      <c r="U101" s="333">
        <v>0</v>
      </c>
      <c r="V101" s="333">
        <v>0</v>
      </c>
      <c r="W101" s="333">
        <v>0</v>
      </c>
      <c r="X101" s="333">
        <v>0</v>
      </c>
      <c r="Y101" s="333">
        <v>0</v>
      </c>
      <c r="Z101" s="333">
        <v>0</v>
      </c>
      <c r="AA101" s="333">
        <v>0</v>
      </c>
      <c r="AB101" s="333">
        <v>0</v>
      </c>
      <c r="AC101" s="333">
        <v>0</v>
      </c>
      <c r="AD101" s="333">
        <v>0</v>
      </c>
      <c r="AE101" s="333">
        <v>0</v>
      </c>
      <c r="AF101" s="333">
        <v>0</v>
      </c>
      <c r="AG101" s="333">
        <v>0</v>
      </c>
      <c r="AH101" s="333">
        <v>0</v>
      </c>
      <c r="AI101" s="333">
        <v>0</v>
      </c>
      <c r="AJ101" s="333">
        <v>0</v>
      </c>
      <c r="AK101" s="333">
        <v>0</v>
      </c>
      <c r="AL101" s="333">
        <v>0</v>
      </c>
      <c r="AM101" s="333">
        <v>0</v>
      </c>
      <c r="AN101" s="333">
        <v>0</v>
      </c>
    </row>
    <row r="102" spans="1:40" x14ac:dyDescent="0.25">
      <c r="A102" s="328" t="s">
        <v>450</v>
      </c>
      <c r="B102" s="324"/>
      <c r="C102" s="325"/>
      <c r="D102" s="325">
        <f>SUM(D100:D101)</f>
        <v>32017</v>
      </c>
      <c r="E102" s="325"/>
      <c r="F102" s="325">
        <f>SUM(F100:F101)</f>
        <v>118452</v>
      </c>
      <c r="G102" s="325"/>
      <c r="H102" s="325">
        <f>SUM(H100:H101)</f>
        <v>68814</v>
      </c>
      <c r="I102" s="325"/>
      <c r="J102" s="325">
        <f>SUM(J100:J101)</f>
        <v>387558</v>
      </c>
      <c r="K102" s="325"/>
      <c r="L102" s="325">
        <v>1656441</v>
      </c>
      <c r="M102" s="325"/>
      <c r="N102" s="325">
        <v>437909</v>
      </c>
      <c r="O102" s="325"/>
      <c r="P102" s="325">
        <f>SUM(P100:P101)</f>
        <v>1459726</v>
      </c>
      <c r="Q102" s="325"/>
      <c r="R102" s="325">
        <v>1064383</v>
      </c>
      <c r="S102" s="325"/>
      <c r="T102" s="325">
        <f>SUM(T100:T101)</f>
        <v>858398</v>
      </c>
      <c r="U102" s="325"/>
      <c r="V102" s="325">
        <f>SUM(V100:V101)</f>
        <v>864560</v>
      </c>
      <c r="W102" s="325"/>
      <c r="X102" s="325">
        <f>SUM(X100:X101)</f>
        <v>1933436</v>
      </c>
      <c r="Y102" s="325"/>
      <c r="Z102" s="325">
        <f>SUM(Z100:Z101)</f>
        <v>2265550</v>
      </c>
      <c r="AA102" s="325"/>
      <c r="AB102" s="325">
        <f>SUM(AB100:AB101)</f>
        <v>2725219</v>
      </c>
      <c r="AC102" s="325"/>
      <c r="AD102" s="325">
        <f>SUM(AD100:AD101)</f>
        <v>1513545</v>
      </c>
      <c r="AE102" s="325"/>
      <c r="AF102" s="325">
        <f>SUM(AF100:AF101)</f>
        <v>907504</v>
      </c>
      <c r="AG102" s="325"/>
      <c r="AH102" s="325">
        <f>SUM(AH100:AH101)</f>
        <v>1649003</v>
      </c>
      <c r="AI102" s="325"/>
      <c r="AJ102" s="325">
        <f>SUM(AJ100:AJ101)</f>
        <v>2520890</v>
      </c>
      <c r="AK102" s="325"/>
      <c r="AL102" s="325">
        <f>SUM(AL100:AL101)</f>
        <v>1685053</v>
      </c>
      <c r="AM102" s="325"/>
      <c r="AN102" s="325">
        <f>SUM(AN100:AN101)</f>
        <v>2169260</v>
      </c>
    </row>
    <row r="103" spans="1:40" x14ac:dyDescent="0.25">
      <c r="A103" s="342"/>
      <c r="B103" s="324"/>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c r="AA103" s="325"/>
      <c r="AB103" s="325"/>
      <c r="AC103" s="325"/>
      <c r="AD103" s="325"/>
      <c r="AE103" s="325"/>
      <c r="AF103" s="325"/>
      <c r="AG103" s="325"/>
      <c r="AH103" s="325"/>
      <c r="AI103" s="325"/>
      <c r="AJ103" s="325"/>
      <c r="AK103" s="325"/>
      <c r="AL103" s="325"/>
      <c r="AM103" s="325"/>
      <c r="AN103" s="325"/>
    </row>
    <row r="104" spans="1:40" x14ac:dyDescent="0.25">
      <c r="A104" s="330" t="s">
        <v>217</v>
      </c>
      <c r="C104" s="201"/>
      <c r="D104" s="201"/>
      <c r="E104" s="201"/>
      <c r="F104" s="201"/>
      <c r="G104" s="201"/>
      <c r="H104" s="201"/>
      <c r="I104" s="201"/>
      <c r="J104" s="201"/>
      <c r="K104" s="201"/>
      <c r="L104" s="201"/>
      <c r="M104" s="201"/>
      <c r="N104" s="201"/>
      <c r="O104" s="201"/>
      <c r="P104" s="201"/>
      <c r="Q104" s="201"/>
      <c r="R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row>
    <row r="105" spans="1:40" x14ac:dyDescent="0.25">
      <c r="A105" s="339" t="s">
        <v>451</v>
      </c>
      <c r="B105" s="216" t="s">
        <v>166</v>
      </c>
      <c r="C105" s="201">
        <v>5751054</v>
      </c>
      <c r="D105" s="201">
        <v>92668925</v>
      </c>
      <c r="E105" s="201">
        <v>6650394</v>
      </c>
      <c r="F105" s="201">
        <v>115988759</v>
      </c>
      <c r="G105" s="201">
        <v>5902633</v>
      </c>
      <c r="H105" s="201">
        <v>113339893</v>
      </c>
      <c r="I105" s="201">
        <v>5447458</v>
      </c>
      <c r="J105" s="201">
        <v>101593363</v>
      </c>
      <c r="K105" s="201">
        <v>4914588</v>
      </c>
      <c r="L105" s="201">
        <v>78446430</v>
      </c>
      <c r="M105" s="201">
        <v>5255037</v>
      </c>
      <c r="N105" s="201">
        <v>103517251</v>
      </c>
      <c r="O105" s="201">
        <v>4368036</v>
      </c>
      <c r="P105" s="201">
        <v>113955037</v>
      </c>
      <c r="Q105" s="201">
        <v>5797570</v>
      </c>
      <c r="R105" s="201">
        <v>157663947</v>
      </c>
      <c r="S105" s="201">
        <v>5037380</v>
      </c>
      <c r="T105" s="201">
        <v>144446749</v>
      </c>
      <c r="U105" s="201">
        <v>6049806</v>
      </c>
      <c r="V105" s="201">
        <v>156792953</v>
      </c>
      <c r="W105" s="201">
        <v>6628986</v>
      </c>
      <c r="X105" s="201">
        <v>152208376</v>
      </c>
      <c r="Y105" s="201">
        <v>6328119</v>
      </c>
      <c r="Z105" s="201">
        <v>149565656</v>
      </c>
      <c r="AA105" s="201">
        <v>5938893</v>
      </c>
      <c r="AB105" s="201">
        <v>139776550</v>
      </c>
      <c r="AC105" s="201">
        <v>7738897</v>
      </c>
      <c r="AD105" s="201">
        <v>206647943</v>
      </c>
      <c r="AE105" s="201">
        <v>7144618</v>
      </c>
      <c r="AF105" s="201">
        <v>207872396</v>
      </c>
      <c r="AG105" s="201">
        <v>6037470</v>
      </c>
      <c r="AH105" s="201">
        <v>154209360</v>
      </c>
      <c r="AI105" s="201">
        <v>6646444</v>
      </c>
      <c r="AJ105" s="201">
        <v>207408487</v>
      </c>
      <c r="AK105" s="201">
        <v>6660230</v>
      </c>
      <c r="AL105" s="201">
        <v>214483003</v>
      </c>
      <c r="AM105" s="201">
        <v>7739409</v>
      </c>
      <c r="AN105" s="201">
        <v>200420603</v>
      </c>
    </row>
    <row r="106" spans="1:40" x14ac:dyDescent="0.25">
      <c r="A106" s="339" t="s">
        <v>452</v>
      </c>
      <c r="B106" s="216" t="s">
        <v>166</v>
      </c>
      <c r="C106" s="201">
        <v>83524061</v>
      </c>
      <c r="D106" s="201">
        <v>1737428851</v>
      </c>
      <c r="E106" s="201">
        <v>78863020</v>
      </c>
      <c r="F106" s="201">
        <v>1849678084</v>
      </c>
      <c r="G106" s="201">
        <v>71995023</v>
      </c>
      <c r="H106" s="201">
        <v>1562495836</v>
      </c>
      <c r="I106" s="201">
        <v>89189441</v>
      </c>
      <c r="J106" s="201">
        <v>1754075785</v>
      </c>
      <c r="K106" s="201">
        <v>95502782</v>
      </c>
      <c r="L106" s="201">
        <v>1712003160</v>
      </c>
      <c r="M106" s="201">
        <v>101017156</v>
      </c>
      <c r="N106" s="201">
        <v>2142510771</v>
      </c>
      <c r="O106" s="201">
        <v>103304766</v>
      </c>
      <c r="P106" s="201">
        <v>2534731534</v>
      </c>
      <c r="Q106" s="201">
        <v>105845490</v>
      </c>
      <c r="R106" s="201">
        <v>2795606350</v>
      </c>
      <c r="S106" s="201">
        <v>106692763</v>
      </c>
      <c r="T106" s="201">
        <v>2846693812</v>
      </c>
      <c r="U106" s="201">
        <v>113640430</v>
      </c>
      <c r="V106" s="201">
        <v>2708362762</v>
      </c>
      <c r="W106" s="201">
        <v>126498792</v>
      </c>
      <c r="X106" s="201">
        <v>2642098607</v>
      </c>
      <c r="Y106" s="201">
        <v>126571650</v>
      </c>
      <c r="Z106" s="201">
        <v>2774492764</v>
      </c>
      <c r="AA106" s="201">
        <v>135349473</v>
      </c>
      <c r="AB106" s="201">
        <v>3019871477</v>
      </c>
      <c r="AC106" s="201">
        <v>142003028</v>
      </c>
      <c r="AD106" s="201">
        <v>3724124135</v>
      </c>
      <c r="AE106" s="201">
        <v>133882496</v>
      </c>
      <c r="AF106" s="201">
        <v>3690655347</v>
      </c>
      <c r="AG106" s="201">
        <v>145120868</v>
      </c>
      <c r="AH106" s="201">
        <v>3567914626</v>
      </c>
      <c r="AI106" s="201">
        <v>155123446</v>
      </c>
      <c r="AJ106" s="201">
        <v>4705296377</v>
      </c>
      <c r="AK106" s="201">
        <v>157973734</v>
      </c>
      <c r="AL106" s="201">
        <v>4993130854</v>
      </c>
      <c r="AM106" s="201">
        <v>180778095</v>
      </c>
      <c r="AN106" s="201">
        <v>5004850990</v>
      </c>
    </row>
    <row r="107" spans="1:40" x14ac:dyDescent="0.25">
      <c r="A107" s="339" t="s">
        <v>453</v>
      </c>
      <c r="B107" s="216" t="s">
        <v>166</v>
      </c>
      <c r="C107" s="201">
        <v>21433</v>
      </c>
      <c r="D107" s="201">
        <v>422109</v>
      </c>
      <c r="E107" s="201">
        <v>0</v>
      </c>
      <c r="F107" s="201">
        <v>0</v>
      </c>
      <c r="G107" s="201">
        <v>128659</v>
      </c>
      <c r="H107" s="201">
        <v>2975568</v>
      </c>
      <c r="I107" s="201">
        <v>540803</v>
      </c>
      <c r="J107" s="201">
        <v>11502886</v>
      </c>
      <c r="K107" s="201">
        <v>0</v>
      </c>
      <c r="L107" s="201">
        <v>0</v>
      </c>
      <c r="M107" s="201">
        <v>0</v>
      </c>
      <c r="N107" s="201">
        <v>0</v>
      </c>
      <c r="O107" s="201">
        <v>0</v>
      </c>
      <c r="P107" s="201">
        <v>0</v>
      </c>
      <c r="Q107" s="201">
        <v>0</v>
      </c>
      <c r="R107" s="201">
        <v>0</v>
      </c>
      <c r="S107" s="201">
        <v>0</v>
      </c>
      <c r="T107" s="201">
        <v>0</v>
      </c>
      <c r="U107" s="201">
        <v>0</v>
      </c>
      <c r="V107" s="201">
        <v>0</v>
      </c>
      <c r="W107" s="201">
        <v>0</v>
      </c>
      <c r="X107" s="201">
        <v>0</v>
      </c>
      <c r="Y107" s="201">
        <v>0</v>
      </c>
      <c r="Z107" s="201">
        <v>0</v>
      </c>
      <c r="AA107" s="201">
        <v>0</v>
      </c>
      <c r="AB107" s="201">
        <v>0</v>
      </c>
      <c r="AC107" s="201">
        <v>0</v>
      </c>
      <c r="AD107" s="201">
        <v>0</v>
      </c>
      <c r="AE107" s="201">
        <v>0</v>
      </c>
      <c r="AF107" s="201">
        <v>0</v>
      </c>
      <c r="AG107" s="201">
        <v>0</v>
      </c>
      <c r="AH107" s="201">
        <v>0</v>
      </c>
      <c r="AI107" s="201">
        <v>0</v>
      </c>
      <c r="AJ107" s="201">
        <v>0</v>
      </c>
      <c r="AK107" s="201">
        <v>0</v>
      </c>
      <c r="AL107" s="201">
        <v>0</v>
      </c>
      <c r="AM107" s="201">
        <v>0</v>
      </c>
      <c r="AN107" s="201">
        <v>0</v>
      </c>
    </row>
    <row r="108" spans="1:40" x14ac:dyDescent="0.25">
      <c r="A108" s="340" t="s">
        <v>455</v>
      </c>
      <c r="C108" s="201">
        <f t="shared" ref="C108:J108" si="36">SUM(C105:C107)</f>
        <v>89296548</v>
      </c>
      <c r="D108" s="201">
        <f t="shared" si="36"/>
        <v>1830519885</v>
      </c>
      <c r="E108" s="201">
        <f t="shared" si="36"/>
        <v>85513414</v>
      </c>
      <c r="F108" s="201">
        <f t="shared" si="36"/>
        <v>1965666843</v>
      </c>
      <c r="G108" s="201">
        <f t="shared" si="36"/>
        <v>78026315</v>
      </c>
      <c r="H108" s="201">
        <f t="shared" si="36"/>
        <v>1678811297</v>
      </c>
      <c r="I108" s="201">
        <f t="shared" si="36"/>
        <v>95177702</v>
      </c>
      <c r="J108" s="201">
        <f t="shared" si="36"/>
        <v>1867172034</v>
      </c>
      <c r="K108" s="201">
        <v>100417370</v>
      </c>
      <c r="L108" s="201">
        <v>1790449590</v>
      </c>
      <c r="M108" s="201">
        <v>106272193</v>
      </c>
      <c r="N108" s="201">
        <v>2246028022</v>
      </c>
      <c r="O108" s="201">
        <f>O106+O105</f>
        <v>107672802</v>
      </c>
      <c r="P108" s="201">
        <f>SUM(P105:P106)</f>
        <v>2648686571</v>
      </c>
      <c r="Q108" s="201">
        <v>111643060</v>
      </c>
      <c r="R108" s="201">
        <v>2953270297</v>
      </c>
      <c r="S108" s="201">
        <v>111730143</v>
      </c>
      <c r="T108" s="201">
        <v>2991140561</v>
      </c>
      <c r="U108" s="201">
        <v>119690236</v>
      </c>
      <c r="V108" s="201">
        <v>2865155715</v>
      </c>
      <c r="W108" s="201">
        <v>133127777.61</v>
      </c>
      <c r="X108" s="201">
        <v>2794306983</v>
      </c>
      <c r="Y108" s="201">
        <v>132899769</v>
      </c>
      <c r="Z108" s="201">
        <v>2924058420</v>
      </c>
      <c r="AA108" s="201">
        <v>141288366</v>
      </c>
      <c r="AB108" s="201">
        <v>3159648027</v>
      </c>
      <c r="AC108" s="201">
        <v>149741925</v>
      </c>
      <c r="AD108" s="201">
        <v>3930772078</v>
      </c>
      <c r="AE108" s="201">
        <v>141027114</v>
      </c>
      <c r="AF108" s="201">
        <v>3898527743</v>
      </c>
      <c r="AG108" s="201">
        <v>151158338</v>
      </c>
      <c r="AH108" s="201">
        <v>3722123986</v>
      </c>
      <c r="AI108" s="201">
        <v>161769890</v>
      </c>
      <c r="AJ108" s="201">
        <f>SUM(AJ105:AJ107)</f>
        <v>4912704864</v>
      </c>
      <c r="AK108" s="201">
        <f>SUM(AK105:AK107)</f>
        <v>164633964</v>
      </c>
      <c r="AL108" s="201">
        <f>SUM(AL105:AL107)</f>
        <v>5207613857</v>
      </c>
      <c r="AM108" s="201">
        <f>SUM(AM105:AM107)</f>
        <v>188517504</v>
      </c>
      <c r="AN108" s="201">
        <f>SUM(AN105:AN107)</f>
        <v>5205271593</v>
      </c>
    </row>
    <row r="109" spans="1:40" x14ac:dyDescent="0.25">
      <c r="A109" s="218"/>
      <c r="C109" s="201"/>
      <c r="D109" s="201"/>
      <c r="E109" s="201"/>
      <c r="F109" s="201"/>
      <c r="G109" s="201"/>
      <c r="H109" s="201"/>
      <c r="I109" s="201"/>
      <c r="J109" s="201"/>
      <c r="K109" s="201"/>
      <c r="L109" s="201"/>
      <c r="M109" s="201"/>
      <c r="N109" s="201"/>
      <c r="O109" s="201"/>
      <c r="P109" s="201"/>
      <c r="Q109" s="201"/>
      <c r="R109" s="201"/>
      <c r="U109" s="201"/>
      <c r="V109" s="201"/>
      <c r="W109" s="201"/>
      <c r="X109" s="201"/>
      <c r="Y109" s="201"/>
      <c r="Z109" s="201"/>
      <c r="AA109" s="201"/>
      <c r="AB109" s="201"/>
      <c r="AC109" s="201"/>
      <c r="AD109" s="201"/>
      <c r="AE109" s="227"/>
      <c r="AF109" s="227"/>
      <c r="AG109" s="201"/>
      <c r="AH109" s="201"/>
      <c r="AI109" s="201"/>
      <c r="AJ109" s="201"/>
      <c r="AK109" s="201"/>
      <c r="AL109" s="201"/>
      <c r="AM109" s="201"/>
      <c r="AN109" s="201"/>
    </row>
    <row r="110" spans="1:40" x14ac:dyDescent="0.25">
      <c r="A110" s="331" t="s">
        <v>218</v>
      </c>
      <c r="B110" s="332"/>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c r="AH110" s="333"/>
      <c r="AI110" s="333"/>
      <c r="AJ110" s="333"/>
      <c r="AK110" s="333"/>
      <c r="AL110" s="333"/>
      <c r="AM110" s="333"/>
      <c r="AN110" s="333"/>
    </row>
    <row r="111" spans="1:40" x14ac:dyDescent="0.25">
      <c r="A111" s="335" t="s">
        <v>535</v>
      </c>
      <c r="B111" s="336" t="s">
        <v>166</v>
      </c>
      <c r="C111" s="333">
        <v>300</v>
      </c>
      <c r="D111" s="333">
        <v>2100</v>
      </c>
      <c r="E111" s="333">
        <v>330</v>
      </c>
      <c r="F111" s="333">
        <v>2310</v>
      </c>
      <c r="G111" s="333">
        <v>243</v>
      </c>
      <c r="H111" s="333">
        <v>3162</v>
      </c>
      <c r="I111" s="333">
        <v>130</v>
      </c>
      <c r="J111" s="333">
        <v>2060</v>
      </c>
      <c r="K111" s="333">
        <v>360</v>
      </c>
      <c r="L111" s="333">
        <v>7200</v>
      </c>
      <c r="M111" s="333">
        <v>333</v>
      </c>
      <c r="N111" s="333">
        <v>6660</v>
      </c>
      <c r="O111" s="333">
        <v>0</v>
      </c>
      <c r="P111" s="333">
        <v>0</v>
      </c>
      <c r="Q111" s="333">
        <v>280</v>
      </c>
      <c r="R111" s="333">
        <v>1120</v>
      </c>
      <c r="S111" s="333">
        <v>0</v>
      </c>
      <c r="T111" s="333">
        <v>0</v>
      </c>
      <c r="U111" s="333">
        <v>2500</v>
      </c>
      <c r="V111" s="333">
        <v>25000</v>
      </c>
      <c r="W111" s="333">
        <v>3950</v>
      </c>
      <c r="X111" s="333">
        <v>39500</v>
      </c>
      <c r="Y111" s="333">
        <v>7342</v>
      </c>
      <c r="Z111" s="333">
        <v>62040</v>
      </c>
      <c r="AA111" s="333">
        <v>4387</v>
      </c>
      <c r="AB111" s="333">
        <v>126045</v>
      </c>
      <c r="AC111" s="333">
        <v>3624</v>
      </c>
      <c r="AD111" s="333">
        <v>86372</v>
      </c>
      <c r="AE111" s="333">
        <v>3086</v>
      </c>
      <c r="AF111" s="333">
        <v>67892</v>
      </c>
      <c r="AG111" s="333">
        <v>2932</v>
      </c>
      <c r="AH111" s="333">
        <v>64504</v>
      </c>
      <c r="AI111" s="333">
        <v>9103</v>
      </c>
      <c r="AJ111" s="333">
        <v>146074</v>
      </c>
      <c r="AK111" s="333">
        <v>17080</v>
      </c>
      <c r="AL111" s="333">
        <v>315846</v>
      </c>
      <c r="AM111" s="333">
        <v>8870</v>
      </c>
      <c r="AN111" s="333">
        <v>89697</v>
      </c>
    </row>
    <row r="112" spans="1:40" x14ac:dyDescent="0.25">
      <c r="A112" s="335" t="s">
        <v>536</v>
      </c>
      <c r="B112" s="336" t="s">
        <v>166</v>
      </c>
      <c r="C112" s="333">
        <v>209618</v>
      </c>
      <c r="D112" s="333">
        <v>1187327</v>
      </c>
      <c r="E112" s="333">
        <v>206289</v>
      </c>
      <c r="F112" s="333">
        <v>1088735</v>
      </c>
      <c r="G112" s="333">
        <v>194895</v>
      </c>
      <c r="H112" s="333">
        <v>1251642</v>
      </c>
      <c r="I112" s="333">
        <v>1433143</v>
      </c>
      <c r="J112" s="333">
        <v>6560914</v>
      </c>
      <c r="K112" s="333">
        <v>1739324</v>
      </c>
      <c r="L112" s="333">
        <v>8325470</v>
      </c>
      <c r="M112" s="333">
        <v>1698820</v>
      </c>
      <c r="N112" s="333">
        <v>7868870</v>
      </c>
      <c r="O112" s="333">
        <v>1738427</v>
      </c>
      <c r="P112" s="333">
        <v>9853611</v>
      </c>
      <c r="Q112" s="333">
        <v>2053239</v>
      </c>
      <c r="R112" s="333">
        <v>12143544</v>
      </c>
      <c r="S112" s="333">
        <v>2103555</v>
      </c>
      <c r="T112" s="333">
        <v>13587083</v>
      </c>
      <c r="U112" s="333">
        <v>2147271</v>
      </c>
      <c r="V112" s="333">
        <v>14764597</v>
      </c>
      <c r="W112" s="333">
        <v>2195221</v>
      </c>
      <c r="X112" s="333">
        <v>14653307</v>
      </c>
      <c r="Y112" s="333">
        <v>2612334</v>
      </c>
      <c r="Z112" s="333">
        <v>17508415</v>
      </c>
      <c r="AA112" s="333">
        <v>2353431</v>
      </c>
      <c r="AB112" s="333">
        <v>15744780</v>
      </c>
      <c r="AC112" s="333">
        <v>2579643</v>
      </c>
      <c r="AD112" s="333">
        <v>11791428</v>
      </c>
      <c r="AE112" s="333">
        <v>3046105</v>
      </c>
      <c r="AF112" s="333">
        <v>13867322</v>
      </c>
      <c r="AG112" s="333">
        <v>3007559.02</v>
      </c>
      <c r="AH112" s="333">
        <v>14523824.26</v>
      </c>
      <c r="AI112" s="333">
        <v>3825671</v>
      </c>
      <c r="AJ112" s="333">
        <v>15740387</v>
      </c>
      <c r="AK112" s="333">
        <v>3195825</v>
      </c>
      <c r="AL112" s="333">
        <v>15079931</v>
      </c>
      <c r="AM112" s="333">
        <v>4884233</v>
      </c>
      <c r="AN112" s="333">
        <v>19421112</v>
      </c>
    </row>
    <row r="113" spans="1:40" x14ac:dyDescent="0.25">
      <c r="A113" s="337" t="s">
        <v>458</v>
      </c>
      <c r="B113" s="332"/>
      <c r="C113" s="333"/>
      <c r="D113" s="333">
        <f>SUM(D111:D112)</f>
        <v>1189427</v>
      </c>
      <c r="E113" s="333"/>
      <c r="F113" s="333">
        <f>SUM(F111:F112)</f>
        <v>1091045</v>
      </c>
      <c r="G113" s="333"/>
      <c r="H113" s="333">
        <f>SUM(H111:H112)</f>
        <v>1254804</v>
      </c>
      <c r="I113" s="333"/>
      <c r="J113" s="333">
        <f>SUM(J111:J112)</f>
        <v>6562974</v>
      </c>
      <c r="K113" s="333"/>
      <c r="L113" s="333">
        <v>8332670</v>
      </c>
      <c r="M113" s="333"/>
      <c r="N113" s="333">
        <v>7875530</v>
      </c>
      <c r="O113" s="333"/>
      <c r="P113" s="333">
        <f>SUM(P111:P112)</f>
        <v>9853611</v>
      </c>
      <c r="Q113" s="333"/>
      <c r="R113" s="333">
        <v>12144664</v>
      </c>
      <c r="S113" s="333"/>
      <c r="T113" s="333">
        <v>13587083</v>
      </c>
      <c r="U113" s="333"/>
      <c r="V113" s="333">
        <v>14789597</v>
      </c>
      <c r="W113" s="333"/>
      <c r="X113" s="333">
        <v>14692807</v>
      </c>
      <c r="Y113" s="333"/>
      <c r="Z113" s="333">
        <v>17570455</v>
      </c>
      <c r="AA113" s="333"/>
      <c r="AB113" s="333">
        <v>15870825</v>
      </c>
      <c r="AC113" s="333"/>
      <c r="AD113" s="333">
        <v>11877800</v>
      </c>
      <c r="AE113" s="334"/>
      <c r="AF113" s="333">
        <v>13935214</v>
      </c>
      <c r="AG113" s="333"/>
      <c r="AH113" s="333">
        <v>14588328.26</v>
      </c>
      <c r="AI113" s="333"/>
      <c r="AJ113" s="333">
        <f>SUM(AJ111:AJ112)</f>
        <v>15886461</v>
      </c>
      <c r="AK113" s="333"/>
      <c r="AL113" s="333">
        <f>SUM(AL111:AL112)</f>
        <v>15395777</v>
      </c>
      <c r="AM113" s="333"/>
      <c r="AN113" s="333">
        <f>SUM(AN111:AN112)</f>
        <v>19510809</v>
      </c>
    </row>
    <row r="114" spans="1:40" x14ac:dyDescent="0.25">
      <c r="A114" s="33"/>
      <c r="B114" s="33"/>
      <c r="C114" s="33"/>
      <c r="D114" s="33"/>
      <c r="E114" s="33"/>
      <c r="F114" s="33"/>
      <c r="G114" s="33"/>
      <c r="H114" s="33"/>
      <c r="I114" s="33"/>
      <c r="J114" s="33"/>
      <c r="K114" s="33"/>
      <c r="L114" s="33"/>
      <c r="M114" s="33"/>
      <c r="N114" s="33"/>
      <c r="O114" s="33"/>
      <c r="P114" s="33"/>
      <c r="Q114" s="33"/>
      <c r="R114" s="33"/>
      <c r="S114" s="325"/>
      <c r="T114" s="325"/>
      <c r="U114" s="33"/>
      <c r="V114" s="33"/>
      <c r="W114" s="33"/>
      <c r="X114" s="33"/>
      <c r="Y114" s="33"/>
      <c r="Z114" s="33"/>
      <c r="AA114" s="33"/>
      <c r="AB114" s="33"/>
      <c r="AC114" s="33"/>
      <c r="AD114" s="33"/>
      <c r="AE114" s="7"/>
      <c r="AF114" s="7"/>
      <c r="AG114" s="7"/>
      <c r="AH114" s="7"/>
      <c r="AI114" s="7"/>
      <c r="AJ114" s="7"/>
      <c r="AK114" s="7"/>
      <c r="AL114" s="7"/>
      <c r="AM114" s="7"/>
      <c r="AN114" s="7"/>
    </row>
    <row r="115" spans="1:40" x14ac:dyDescent="0.25">
      <c r="A115" s="330" t="s">
        <v>459</v>
      </c>
      <c r="B115" s="216" t="s">
        <v>166</v>
      </c>
      <c r="C115" s="201">
        <v>16729</v>
      </c>
      <c r="D115" s="201">
        <v>215936</v>
      </c>
      <c r="E115" s="201">
        <v>0</v>
      </c>
      <c r="F115" s="201">
        <v>0</v>
      </c>
      <c r="G115" s="201">
        <v>0</v>
      </c>
      <c r="H115" s="201">
        <v>0</v>
      </c>
      <c r="I115" s="201">
        <v>0</v>
      </c>
      <c r="J115" s="201">
        <v>0</v>
      </c>
      <c r="K115" s="201">
        <v>0</v>
      </c>
      <c r="L115" s="201">
        <v>0</v>
      </c>
      <c r="M115" s="201">
        <v>0</v>
      </c>
      <c r="N115" s="201">
        <v>0</v>
      </c>
      <c r="O115" s="201">
        <v>0</v>
      </c>
      <c r="P115" s="201">
        <v>0</v>
      </c>
      <c r="Q115" s="201">
        <v>0</v>
      </c>
      <c r="R115" s="201">
        <v>0</v>
      </c>
      <c r="S115" s="201">
        <v>0</v>
      </c>
      <c r="T115" s="201">
        <v>0</v>
      </c>
      <c r="U115" s="201">
        <v>0</v>
      </c>
      <c r="V115" s="201">
        <v>0</v>
      </c>
      <c r="W115" s="201">
        <v>0</v>
      </c>
      <c r="X115" s="201">
        <v>0</v>
      </c>
      <c r="Y115" s="201">
        <v>0</v>
      </c>
      <c r="Z115" s="201">
        <v>0</v>
      </c>
      <c r="AA115" s="201">
        <v>0</v>
      </c>
      <c r="AB115" s="201">
        <v>0</v>
      </c>
      <c r="AC115" s="201">
        <v>0</v>
      </c>
      <c r="AD115" s="201">
        <v>0</v>
      </c>
      <c r="AE115" s="201">
        <v>0</v>
      </c>
      <c r="AF115" s="201">
        <v>0</v>
      </c>
      <c r="AG115" s="201">
        <v>0</v>
      </c>
      <c r="AH115" s="201">
        <v>0</v>
      </c>
      <c r="AI115" s="201">
        <v>0</v>
      </c>
      <c r="AJ115" s="201">
        <v>0</v>
      </c>
      <c r="AK115" s="201">
        <v>0</v>
      </c>
      <c r="AL115" s="201">
        <v>0</v>
      </c>
      <c r="AM115" s="201">
        <v>0</v>
      </c>
      <c r="AN115" s="201">
        <v>0</v>
      </c>
    </row>
    <row r="116" spans="1:40" x14ac:dyDescent="0.25">
      <c r="A116" s="231"/>
      <c r="C116" s="201"/>
      <c r="D116" s="201"/>
      <c r="E116" s="201"/>
      <c r="F116" s="201"/>
      <c r="G116" s="201"/>
      <c r="H116" s="201"/>
      <c r="I116" s="201"/>
      <c r="J116" s="201"/>
      <c r="K116" s="201"/>
      <c r="L116" s="201"/>
      <c r="M116" s="201"/>
      <c r="N116" s="201"/>
      <c r="O116" s="201"/>
      <c r="P116" s="201"/>
      <c r="Q116" s="201"/>
      <c r="R116" s="201"/>
      <c r="U116" s="201"/>
      <c r="V116" s="201"/>
      <c r="W116" s="201"/>
      <c r="X116" s="201"/>
      <c r="Y116" s="201"/>
      <c r="Z116" s="201"/>
      <c r="AA116" s="201"/>
      <c r="AB116" s="201"/>
      <c r="AC116" s="201"/>
      <c r="AD116" s="201"/>
      <c r="AE116" s="201"/>
      <c r="AF116" s="201"/>
      <c r="AG116" s="201"/>
      <c r="AH116" s="201"/>
      <c r="AI116" s="201"/>
      <c r="AJ116" s="201"/>
      <c r="AK116" s="201"/>
      <c r="AL116" s="201"/>
      <c r="AM116" s="201"/>
      <c r="AN116" s="201"/>
    </row>
    <row r="117" spans="1:40" x14ac:dyDescent="0.25">
      <c r="A117" s="323" t="s">
        <v>460</v>
      </c>
      <c r="B117" s="324" t="s">
        <v>166</v>
      </c>
      <c r="C117" s="325">
        <v>0</v>
      </c>
      <c r="D117" s="325">
        <v>0</v>
      </c>
      <c r="E117" s="325">
        <v>0</v>
      </c>
      <c r="F117" s="325">
        <v>0</v>
      </c>
      <c r="G117" s="325">
        <v>0</v>
      </c>
      <c r="H117" s="325">
        <v>0</v>
      </c>
      <c r="I117" s="325">
        <v>0</v>
      </c>
      <c r="J117" s="325">
        <v>0</v>
      </c>
      <c r="K117" s="325">
        <v>0</v>
      </c>
      <c r="L117" s="325">
        <v>0</v>
      </c>
      <c r="M117" s="325">
        <v>273000</v>
      </c>
      <c r="N117" s="325">
        <v>1200000</v>
      </c>
      <c r="O117" s="325">
        <v>160322</v>
      </c>
      <c r="P117" s="325">
        <v>25585813</v>
      </c>
      <c r="Q117" s="325">
        <v>395303</v>
      </c>
      <c r="R117" s="325">
        <v>71855982</v>
      </c>
      <c r="S117" s="325">
        <v>251532</v>
      </c>
      <c r="T117" s="325">
        <v>46887348</v>
      </c>
      <c r="U117" s="325">
        <v>315786</v>
      </c>
      <c r="V117" s="325">
        <v>42010988</v>
      </c>
      <c r="W117" s="325">
        <v>71912</v>
      </c>
      <c r="X117" s="325">
        <v>8842461</v>
      </c>
      <c r="Y117" s="325">
        <v>347038</v>
      </c>
      <c r="Z117" s="325">
        <v>41335413</v>
      </c>
      <c r="AA117" s="325">
        <v>324113</v>
      </c>
      <c r="AB117" s="325">
        <v>37619254</v>
      </c>
      <c r="AC117" s="325">
        <v>86297</v>
      </c>
      <c r="AD117" s="325">
        <v>9394938</v>
      </c>
      <c r="AE117" s="325">
        <v>27414.14</v>
      </c>
      <c r="AF117" s="325">
        <v>3415875.39</v>
      </c>
      <c r="AG117" s="325">
        <v>212382</v>
      </c>
      <c r="AH117" s="325">
        <v>25684859</v>
      </c>
      <c r="AI117" s="325">
        <v>401358</v>
      </c>
      <c r="AJ117" s="325">
        <v>58501917</v>
      </c>
      <c r="AK117" s="325">
        <v>474267</v>
      </c>
      <c r="AL117" s="325">
        <v>68616729</v>
      </c>
      <c r="AM117" s="325">
        <v>619651</v>
      </c>
      <c r="AN117" s="325">
        <v>75377357</v>
      </c>
    </row>
    <row r="118" spans="1:40" x14ac:dyDescent="0.25">
      <c r="A118" s="341"/>
      <c r="B118" s="324"/>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c r="AA118" s="325"/>
      <c r="AB118" s="325"/>
      <c r="AC118" s="325"/>
      <c r="AD118" s="325"/>
      <c r="AE118" s="325"/>
      <c r="AF118" s="325"/>
      <c r="AG118" s="325"/>
      <c r="AH118" s="325"/>
      <c r="AI118" s="325"/>
      <c r="AJ118" s="325"/>
      <c r="AK118" s="325"/>
      <c r="AL118" s="325"/>
      <c r="AM118" s="325"/>
      <c r="AN118" s="325"/>
    </row>
    <row r="119" spans="1:40" x14ac:dyDescent="0.25">
      <c r="A119" s="330" t="s">
        <v>462</v>
      </c>
      <c r="B119" s="216"/>
      <c r="C119" s="201"/>
      <c r="D119" s="201"/>
      <c r="E119" s="201"/>
      <c r="F119" s="201"/>
      <c r="G119" s="201"/>
      <c r="H119" s="201"/>
      <c r="I119" s="201"/>
      <c r="J119" s="201"/>
      <c r="K119" s="201"/>
      <c r="L119" s="201"/>
      <c r="M119" s="201"/>
      <c r="N119" s="201"/>
      <c r="O119" s="201"/>
      <c r="P119" s="201"/>
      <c r="Q119" s="201"/>
      <c r="R119" s="201"/>
      <c r="U119" s="201"/>
      <c r="V119" s="201"/>
      <c r="W119" s="201"/>
      <c r="X119" s="201"/>
      <c r="Y119" s="201"/>
      <c r="Z119" s="201"/>
      <c r="AA119" s="201"/>
      <c r="AB119" s="201"/>
      <c r="AC119" s="201"/>
      <c r="AD119" s="201"/>
      <c r="AE119" s="201"/>
      <c r="AF119" s="201"/>
      <c r="AG119" s="201"/>
      <c r="AH119" s="201"/>
      <c r="AI119" s="201"/>
      <c r="AJ119" s="201"/>
      <c r="AK119" s="201"/>
      <c r="AL119" s="201"/>
      <c r="AM119" s="201"/>
      <c r="AN119" s="201"/>
    </row>
    <row r="120" spans="1:40" x14ac:dyDescent="0.25">
      <c r="A120" s="339" t="s">
        <v>463</v>
      </c>
      <c r="B120" s="216" t="s">
        <v>166</v>
      </c>
      <c r="C120" s="201">
        <v>449</v>
      </c>
      <c r="D120" s="201">
        <v>5937452</v>
      </c>
      <c r="E120" s="201">
        <v>515</v>
      </c>
      <c r="F120" s="201">
        <v>9230525</v>
      </c>
      <c r="G120" s="201">
        <v>463</v>
      </c>
      <c r="H120" s="201">
        <v>4012332</v>
      </c>
      <c r="I120" s="201">
        <v>325</v>
      </c>
      <c r="J120" s="201">
        <v>3521185</v>
      </c>
      <c r="K120" s="201">
        <v>266</v>
      </c>
      <c r="L120" s="201">
        <v>3681889</v>
      </c>
      <c r="M120" s="201">
        <v>268</v>
      </c>
      <c r="N120" s="201">
        <v>4600916</v>
      </c>
      <c r="O120" s="201">
        <v>222</v>
      </c>
      <c r="P120" s="201">
        <v>3697617</v>
      </c>
      <c r="Q120" s="201">
        <v>633.995</v>
      </c>
      <c r="R120" s="201">
        <v>28808544</v>
      </c>
      <c r="S120" s="201">
        <v>287.41000000000003</v>
      </c>
      <c r="T120" s="201">
        <v>12109563</v>
      </c>
      <c r="U120" s="201">
        <v>370</v>
      </c>
      <c r="V120" s="201">
        <v>19954659</v>
      </c>
      <c r="W120" s="201">
        <v>786</v>
      </c>
      <c r="X120" s="201">
        <v>48072829</v>
      </c>
      <c r="Y120" s="201">
        <v>870</v>
      </c>
      <c r="Z120" s="201">
        <v>66688908</v>
      </c>
      <c r="AA120" s="201">
        <v>878.00099999999998</v>
      </c>
      <c r="AB120" s="201">
        <v>50853771</v>
      </c>
      <c r="AC120" s="201">
        <v>1499</v>
      </c>
      <c r="AD120" s="201">
        <v>81778705</v>
      </c>
      <c r="AE120" s="201">
        <v>1092.2338400000001</v>
      </c>
      <c r="AF120" s="201">
        <v>55266893.764114715</v>
      </c>
      <c r="AG120" s="201">
        <v>994.42200000000003</v>
      </c>
      <c r="AH120" s="201">
        <v>49064798</v>
      </c>
      <c r="AI120" s="201">
        <v>1947</v>
      </c>
      <c r="AJ120" s="201">
        <v>94627283</v>
      </c>
      <c r="AK120" s="201">
        <v>1898</v>
      </c>
      <c r="AL120" s="201">
        <v>56866445</v>
      </c>
      <c r="AM120" s="201">
        <v>2035</v>
      </c>
      <c r="AN120" s="201">
        <v>54471438</v>
      </c>
    </row>
    <row r="121" spans="1:40" x14ac:dyDescent="0.25">
      <c r="A121" s="339" t="s">
        <v>464</v>
      </c>
      <c r="B121" s="216" t="s">
        <v>166</v>
      </c>
      <c r="C121" s="201">
        <v>0</v>
      </c>
      <c r="D121" s="201">
        <v>0</v>
      </c>
      <c r="E121" s="201">
        <v>0</v>
      </c>
      <c r="F121" s="201">
        <v>0</v>
      </c>
      <c r="G121" s="201">
        <v>0</v>
      </c>
      <c r="H121" s="201">
        <v>0</v>
      </c>
      <c r="I121" s="201">
        <v>0</v>
      </c>
      <c r="J121" s="201">
        <v>0</v>
      </c>
      <c r="K121" s="201">
        <v>0</v>
      </c>
      <c r="L121" s="201">
        <v>0</v>
      </c>
      <c r="M121" s="201">
        <v>0</v>
      </c>
      <c r="N121" s="201">
        <v>0</v>
      </c>
      <c r="O121" s="201">
        <v>0</v>
      </c>
      <c r="P121" s="201">
        <v>0</v>
      </c>
      <c r="Q121" s="201">
        <v>0</v>
      </c>
      <c r="R121" s="201">
        <v>0</v>
      </c>
      <c r="S121" s="201">
        <v>0</v>
      </c>
      <c r="T121" s="201">
        <v>0</v>
      </c>
      <c r="U121" s="201">
        <v>0</v>
      </c>
      <c r="V121" s="201">
        <v>0</v>
      </c>
      <c r="W121" s="201">
        <v>0</v>
      </c>
      <c r="X121" s="201">
        <v>0</v>
      </c>
      <c r="Y121" s="201">
        <v>0</v>
      </c>
      <c r="Z121" s="201">
        <v>0</v>
      </c>
      <c r="AA121" s="201">
        <v>0</v>
      </c>
      <c r="AB121" s="201">
        <v>0</v>
      </c>
      <c r="AC121" s="201">
        <v>0</v>
      </c>
      <c r="AD121" s="201">
        <v>0</v>
      </c>
      <c r="AE121" s="201">
        <v>0</v>
      </c>
      <c r="AF121" s="201">
        <v>0</v>
      </c>
      <c r="AG121" s="201">
        <v>340.32</v>
      </c>
      <c r="AH121" s="201">
        <v>14101071</v>
      </c>
      <c r="AI121" s="201">
        <v>1321.72</v>
      </c>
      <c r="AJ121" s="201">
        <v>54656716</v>
      </c>
      <c r="AK121" s="201">
        <v>1985</v>
      </c>
      <c r="AL121" s="201">
        <v>54828789</v>
      </c>
      <c r="AM121" s="201">
        <v>2390</v>
      </c>
      <c r="AN121" s="201">
        <v>55784670</v>
      </c>
    </row>
    <row r="122" spans="1:40" x14ac:dyDescent="0.25">
      <c r="A122" s="339" t="s">
        <v>465</v>
      </c>
      <c r="B122" s="216" t="s">
        <v>166</v>
      </c>
      <c r="C122" s="201">
        <v>0</v>
      </c>
      <c r="D122" s="201">
        <v>0</v>
      </c>
      <c r="E122" s="201">
        <v>0</v>
      </c>
      <c r="F122" s="201">
        <v>0</v>
      </c>
      <c r="G122" s="201">
        <v>0</v>
      </c>
      <c r="H122" s="201">
        <v>0</v>
      </c>
      <c r="I122" s="201">
        <v>0</v>
      </c>
      <c r="J122" s="201">
        <v>0</v>
      </c>
      <c r="K122" s="201">
        <v>0</v>
      </c>
      <c r="L122" s="201">
        <v>0</v>
      </c>
      <c r="M122" s="201">
        <v>0</v>
      </c>
      <c r="N122" s="201">
        <v>0</v>
      </c>
      <c r="O122" s="201">
        <v>0</v>
      </c>
      <c r="P122" s="201">
        <v>0</v>
      </c>
      <c r="Q122" s="201">
        <v>0</v>
      </c>
      <c r="R122" s="201">
        <v>0</v>
      </c>
      <c r="S122" s="201">
        <v>0</v>
      </c>
      <c r="T122" s="201">
        <v>0</v>
      </c>
      <c r="U122" s="201">
        <v>0</v>
      </c>
      <c r="V122" s="201">
        <v>0</v>
      </c>
      <c r="W122" s="201">
        <v>0</v>
      </c>
      <c r="X122" s="201">
        <v>0</v>
      </c>
      <c r="Y122" s="201">
        <v>0</v>
      </c>
      <c r="Z122" s="201">
        <v>0</v>
      </c>
      <c r="AA122" s="201">
        <v>0</v>
      </c>
      <c r="AB122" s="201">
        <v>0</v>
      </c>
      <c r="AC122" s="201">
        <v>0</v>
      </c>
      <c r="AD122" s="201">
        <v>0</v>
      </c>
      <c r="AE122" s="201">
        <v>0</v>
      </c>
      <c r="AF122" s="201">
        <v>0</v>
      </c>
      <c r="AG122" s="201">
        <v>732</v>
      </c>
      <c r="AH122" s="201">
        <v>23090295</v>
      </c>
      <c r="AI122" s="201">
        <v>920.85</v>
      </c>
      <c r="AJ122" s="201">
        <v>25096601</v>
      </c>
      <c r="AK122" s="201">
        <v>549</v>
      </c>
      <c r="AL122" s="201">
        <v>15668639</v>
      </c>
      <c r="AM122" s="201">
        <v>495.15</v>
      </c>
      <c r="AN122" s="201">
        <v>13926085</v>
      </c>
    </row>
    <row r="123" spans="1:40" x14ac:dyDescent="0.25">
      <c r="A123" s="340" t="s">
        <v>466</v>
      </c>
      <c r="B123" s="216"/>
      <c r="C123" s="201">
        <f t="shared" ref="C123:J123" si="37">SUM(C120:C122)</f>
        <v>449</v>
      </c>
      <c r="D123" s="201">
        <f t="shared" si="37"/>
        <v>5937452</v>
      </c>
      <c r="E123" s="201">
        <f t="shared" si="37"/>
        <v>515</v>
      </c>
      <c r="F123" s="201">
        <f t="shared" si="37"/>
        <v>9230525</v>
      </c>
      <c r="G123" s="201">
        <f t="shared" si="37"/>
        <v>463</v>
      </c>
      <c r="H123" s="201">
        <f t="shared" si="37"/>
        <v>4012332</v>
      </c>
      <c r="I123" s="201">
        <f t="shared" si="37"/>
        <v>325</v>
      </c>
      <c r="J123" s="201">
        <f t="shared" si="37"/>
        <v>3521185</v>
      </c>
      <c r="K123" s="201">
        <v>266</v>
      </c>
      <c r="L123" s="201">
        <v>3681889</v>
      </c>
      <c r="M123" s="201">
        <v>268</v>
      </c>
      <c r="N123" s="201">
        <v>4600916</v>
      </c>
      <c r="O123" s="201">
        <v>222</v>
      </c>
      <c r="P123" s="201">
        <v>3697617</v>
      </c>
      <c r="Q123" s="201">
        <v>633.995</v>
      </c>
      <c r="R123" s="201">
        <v>28808544</v>
      </c>
      <c r="S123" s="201">
        <v>287.41000000000003</v>
      </c>
      <c r="T123" s="201">
        <v>12109563</v>
      </c>
      <c r="U123" s="201">
        <v>370</v>
      </c>
      <c r="V123" s="201">
        <v>19954659</v>
      </c>
      <c r="W123" s="201">
        <v>786</v>
      </c>
      <c r="X123" s="201">
        <v>48072829</v>
      </c>
      <c r="Y123" s="201">
        <v>870</v>
      </c>
      <c r="Z123" s="201">
        <v>66688908</v>
      </c>
      <c r="AA123" s="201">
        <v>878.00099999999998</v>
      </c>
      <c r="AB123" s="201">
        <v>50853771</v>
      </c>
      <c r="AC123" s="201">
        <v>1499</v>
      </c>
      <c r="AD123" s="201">
        <v>81778705</v>
      </c>
      <c r="AE123" s="201">
        <v>1092.2338400000001</v>
      </c>
      <c r="AF123" s="201">
        <v>55266893.764114715</v>
      </c>
      <c r="AG123" s="201"/>
      <c r="AH123" s="201">
        <v>86256164</v>
      </c>
      <c r="AI123" s="201"/>
      <c r="AJ123" s="201">
        <f>SUM(AJ120:AJ122)</f>
        <v>174380600</v>
      </c>
      <c r="AK123" s="201"/>
      <c r="AL123" s="201">
        <f>SUM(AL120:AL122)</f>
        <v>127363873</v>
      </c>
      <c r="AM123" s="201"/>
      <c r="AN123" s="201">
        <f>SUM(AN120:AN122)</f>
        <v>124182193</v>
      </c>
    </row>
    <row r="124" spans="1:40" x14ac:dyDescent="0.25">
      <c r="A124" s="339" t="s">
        <v>467</v>
      </c>
      <c r="B124" s="216" t="s">
        <v>166</v>
      </c>
      <c r="C124" s="201">
        <v>486491</v>
      </c>
      <c r="D124" s="201">
        <v>363306720</v>
      </c>
      <c r="E124" s="201">
        <v>455155</v>
      </c>
      <c r="F124" s="201">
        <v>313472129</v>
      </c>
      <c r="G124" s="201">
        <v>406321</v>
      </c>
      <c r="H124" s="201">
        <v>264726489</v>
      </c>
      <c r="I124" s="201">
        <v>388964</v>
      </c>
      <c r="J124" s="201">
        <v>391749276</v>
      </c>
      <c r="K124" s="201">
        <v>353850</v>
      </c>
      <c r="L124" s="201">
        <v>633839033</v>
      </c>
      <c r="M124" s="201">
        <v>446453</v>
      </c>
      <c r="N124" s="201">
        <v>565370341</v>
      </c>
      <c r="O124" s="201">
        <v>510320</v>
      </c>
      <c r="P124" s="201">
        <v>591302981</v>
      </c>
      <c r="Q124" s="201">
        <v>475305</v>
      </c>
      <c r="R124" s="201">
        <v>485907939</v>
      </c>
      <c r="S124" s="201">
        <f>521030</f>
        <v>521030</v>
      </c>
      <c r="T124" s="201">
        <f>470435536</f>
        <v>470435536</v>
      </c>
      <c r="U124" s="201">
        <v>563025</v>
      </c>
      <c r="V124" s="201">
        <v>458620550</v>
      </c>
      <c r="W124" s="201">
        <v>729442</v>
      </c>
      <c r="X124" s="201">
        <v>897118281</v>
      </c>
      <c r="Y124" s="201">
        <v>761919</v>
      </c>
      <c r="Z124" s="201">
        <v>1097301395</v>
      </c>
      <c r="AA124" s="201">
        <v>776490</v>
      </c>
      <c r="AB124" s="201">
        <v>1051111897</v>
      </c>
      <c r="AC124" s="201">
        <v>942470</v>
      </c>
      <c r="AD124" s="201">
        <v>1146639375</v>
      </c>
      <c r="AE124" s="201">
        <v>835160.1</v>
      </c>
      <c r="AF124" s="201">
        <v>872398146.45216513</v>
      </c>
      <c r="AG124" s="201">
        <v>871262</v>
      </c>
      <c r="AH124" s="201">
        <v>1613510211</v>
      </c>
      <c r="AI124" s="201">
        <v>899618.48</v>
      </c>
      <c r="AJ124" s="201">
        <v>1857503896</v>
      </c>
      <c r="AK124" s="201">
        <v>1110357</v>
      </c>
      <c r="AL124" s="201">
        <v>1619104901</v>
      </c>
      <c r="AM124" s="201">
        <v>1355882</v>
      </c>
      <c r="AN124" s="201">
        <v>1997056701</v>
      </c>
    </row>
    <row r="125" spans="1:40" x14ac:dyDescent="0.25">
      <c r="A125" s="339" t="s">
        <v>537</v>
      </c>
      <c r="B125" s="216" t="s">
        <v>166</v>
      </c>
      <c r="C125" s="201">
        <v>0</v>
      </c>
      <c r="D125" s="201">
        <v>0</v>
      </c>
      <c r="E125" s="201">
        <v>0</v>
      </c>
      <c r="F125" s="201">
        <v>0</v>
      </c>
      <c r="G125" s="201">
        <v>0</v>
      </c>
      <c r="H125" s="201">
        <v>0</v>
      </c>
      <c r="I125" s="201">
        <v>0</v>
      </c>
      <c r="J125" s="201">
        <v>0</v>
      </c>
      <c r="K125" s="201">
        <v>0</v>
      </c>
      <c r="L125" s="201">
        <v>0</v>
      </c>
      <c r="M125" s="201">
        <v>0</v>
      </c>
      <c r="N125" s="201">
        <v>0</v>
      </c>
      <c r="O125" s="201">
        <v>0</v>
      </c>
      <c r="P125" s="201">
        <v>0</v>
      </c>
      <c r="Q125" s="201">
        <v>0</v>
      </c>
      <c r="R125" s="201">
        <v>0</v>
      </c>
      <c r="S125" s="201">
        <v>0</v>
      </c>
      <c r="T125" s="201">
        <v>0</v>
      </c>
      <c r="U125" s="201">
        <v>0</v>
      </c>
      <c r="V125" s="201">
        <v>0</v>
      </c>
      <c r="W125" s="201">
        <v>0</v>
      </c>
      <c r="X125" s="201">
        <v>0</v>
      </c>
      <c r="Y125" s="201">
        <v>0</v>
      </c>
      <c r="Z125" s="201">
        <v>0</v>
      </c>
      <c r="AA125" s="201">
        <v>0</v>
      </c>
      <c r="AB125" s="201">
        <v>0</v>
      </c>
      <c r="AC125" s="201">
        <v>0</v>
      </c>
      <c r="AD125" s="201">
        <v>0</v>
      </c>
      <c r="AE125" s="201">
        <v>519</v>
      </c>
      <c r="AF125" s="201">
        <v>4220297</v>
      </c>
      <c r="AG125" s="201">
        <v>14199.976000000001</v>
      </c>
      <c r="AH125" s="201">
        <v>192774850</v>
      </c>
      <c r="AI125" s="201">
        <v>27969.37</v>
      </c>
      <c r="AJ125" s="201">
        <v>381234256</v>
      </c>
      <c r="AK125" s="201">
        <v>35522</v>
      </c>
      <c r="AL125" s="201">
        <v>382964497</v>
      </c>
      <c r="AM125" s="201">
        <v>37915</v>
      </c>
      <c r="AN125" s="201">
        <v>485414557</v>
      </c>
    </row>
    <row r="126" spans="1:40" x14ac:dyDescent="0.25">
      <c r="A126" s="339" t="s">
        <v>469</v>
      </c>
      <c r="B126" s="216" t="s">
        <v>166</v>
      </c>
      <c r="C126" s="201">
        <v>0</v>
      </c>
      <c r="D126" s="201">
        <v>0</v>
      </c>
      <c r="E126" s="201">
        <v>45937</v>
      </c>
      <c r="F126" s="201">
        <v>8490324</v>
      </c>
      <c r="G126" s="201">
        <v>59257</v>
      </c>
      <c r="H126" s="201">
        <v>10065723</v>
      </c>
      <c r="I126" s="201">
        <v>0</v>
      </c>
      <c r="J126" s="201">
        <v>0</v>
      </c>
      <c r="K126" s="201">
        <v>0</v>
      </c>
      <c r="L126" s="201">
        <v>0</v>
      </c>
      <c r="M126" s="201">
        <v>37084</v>
      </c>
      <c r="N126" s="201">
        <v>20598342</v>
      </c>
      <c r="O126" s="201">
        <v>8666</v>
      </c>
      <c r="P126" s="201">
        <v>4575271</v>
      </c>
      <c r="Q126" s="201">
        <v>5210</v>
      </c>
      <c r="R126" s="201">
        <v>3135393</v>
      </c>
      <c r="S126" s="201">
        <v>0</v>
      </c>
      <c r="T126" s="201">
        <v>0</v>
      </c>
      <c r="U126" s="201">
        <v>0</v>
      </c>
      <c r="V126" s="201">
        <v>0</v>
      </c>
      <c r="W126" s="201">
        <v>0</v>
      </c>
      <c r="X126" s="201">
        <v>0</v>
      </c>
      <c r="Y126" s="201">
        <v>0</v>
      </c>
      <c r="Z126" s="201">
        <v>0</v>
      </c>
      <c r="AA126" s="201">
        <v>0</v>
      </c>
      <c r="AB126" s="201">
        <v>0</v>
      </c>
      <c r="AC126" s="201">
        <v>0</v>
      </c>
      <c r="AD126" s="201">
        <v>0</v>
      </c>
      <c r="AE126" s="201">
        <v>0</v>
      </c>
      <c r="AF126" s="201">
        <v>0</v>
      </c>
      <c r="AG126" s="201">
        <v>0</v>
      </c>
      <c r="AH126" s="201">
        <v>0</v>
      </c>
      <c r="AI126" s="201">
        <v>0</v>
      </c>
      <c r="AJ126" s="201">
        <v>0</v>
      </c>
      <c r="AK126" s="201">
        <v>0</v>
      </c>
      <c r="AL126" s="201">
        <v>0</v>
      </c>
      <c r="AM126" s="201">
        <v>0</v>
      </c>
      <c r="AN126" s="201">
        <v>0</v>
      </c>
    </row>
    <row r="127" spans="1:40" x14ac:dyDescent="0.25">
      <c r="A127" s="339" t="s">
        <v>470</v>
      </c>
      <c r="B127" s="216" t="s">
        <v>214</v>
      </c>
      <c r="C127" s="201">
        <v>461</v>
      </c>
      <c r="D127" s="201">
        <v>2491786</v>
      </c>
      <c r="E127" s="201">
        <v>421</v>
      </c>
      <c r="F127" s="201">
        <v>2050352</v>
      </c>
      <c r="G127" s="201">
        <v>490</v>
      </c>
      <c r="H127" s="201">
        <v>3218062</v>
      </c>
      <c r="I127" s="201">
        <v>454</v>
      </c>
      <c r="J127" s="201">
        <v>2842171</v>
      </c>
      <c r="K127" s="201">
        <v>280</v>
      </c>
      <c r="L127" s="201">
        <v>1622806</v>
      </c>
      <c r="M127" s="201">
        <v>431</v>
      </c>
      <c r="N127" s="201">
        <v>1631497</v>
      </c>
      <c r="O127" s="201">
        <v>350</v>
      </c>
      <c r="P127" s="201">
        <v>1229183</v>
      </c>
      <c r="Q127" s="201">
        <v>554.50900000000001</v>
      </c>
      <c r="R127" s="201">
        <v>1386855</v>
      </c>
      <c r="S127" s="201">
        <v>422.01299999999998</v>
      </c>
      <c r="T127" s="201">
        <v>1626008</v>
      </c>
      <c r="U127" s="201">
        <v>373</v>
      </c>
      <c r="V127" s="201">
        <v>2576698</v>
      </c>
      <c r="W127" s="201">
        <v>514</v>
      </c>
      <c r="X127" s="201">
        <v>3100988</v>
      </c>
      <c r="Y127" s="201">
        <v>558</v>
      </c>
      <c r="Z127" s="201">
        <v>2703172</v>
      </c>
      <c r="AA127" s="201">
        <v>433.21499999999997</v>
      </c>
      <c r="AB127" s="201">
        <v>2238476</v>
      </c>
      <c r="AC127" s="201">
        <v>668</v>
      </c>
      <c r="AD127" s="201">
        <v>6785327</v>
      </c>
      <c r="AE127" s="201">
        <v>791.89519984889159</v>
      </c>
      <c r="AF127" s="201">
        <v>9233229.6406634524</v>
      </c>
      <c r="AG127" s="201">
        <v>790.93299999999999</v>
      </c>
      <c r="AH127" s="201">
        <v>17154394</v>
      </c>
      <c r="AI127" s="201">
        <v>862.87700000000007</v>
      </c>
      <c r="AJ127" s="201">
        <v>39173885</v>
      </c>
      <c r="AK127" s="201">
        <v>828</v>
      </c>
      <c r="AL127" s="201">
        <v>20072174</v>
      </c>
      <c r="AM127" s="201">
        <v>517</v>
      </c>
      <c r="AN127" s="201">
        <v>7468326</v>
      </c>
    </row>
    <row r="128" spans="1:40" x14ac:dyDescent="0.25">
      <c r="A128" s="339" t="s">
        <v>471</v>
      </c>
      <c r="B128" s="216" t="s">
        <v>214</v>
      </c>
      <c r="C128" s="201">
        <v>81</v>
      </c>
      <c r="D128" s="201">
        <v>1225011</v>
      </c>
      <c r="E128" s="201">
        <v>94</v>
      </c>
      <c r="F128" s="201">
        <v>1498493</v>
      </c>
      <c r="G128" s="201">
        <v>105</v>
      </c>
      <c r="H128" s="201">
        <v>2645121</v>
      </c>
      <c r="I128" s="201">
        <v>82</v>
      </c>
      <c r="J128" s="201">
        <v>1936029</v>
      </c>
      <c r="K128" s="201">
        <v>70</v>
      </c>
      <c r="L128" s="201">
        <v>1504088</v>
      </c>
      <c r="M128" s="201">
        <v>66</v>
      </c>
      <c r="N128" s="201">
        <v>1049022</v>
      </c>
      <c r="O128" s="201">
        <v>89</v>
      </c>
      <c r="P128" s="201">
        <v>1268587</v>
      </c>
      <c r="Q128" s="201">
        <v>125.637</v>
      </c>
      <c r="R128" s="201">
        <v>1646045</v>
      </c>
      <c r="S128" s="201">
        <v>112.181</v>
      </c>
      <c r="T128" s="201">
        <v>1246898</v>
      </c>
      <c r="U128" s="201">
        <v>64</v>
      </c>
      <c r="V128" s="201">
        <v>987882</v>
      </c>
      <c r="W128" s="201">
        <v>121</v>
      </c>
      <c r="X128" s="201">
        <v>1412150</v>
      </c>
      <c r="Y128" s="201">
        <v>87</v>
      </c>
      <c r="Z128" s="201">
        <v>1995309</v>
      </c>
      <c r="AA128" s="201">
        <v>254.56</v>
      </c>
      <c r="AB128" s="201">
        <v>1582314</v>
      </c>
      <c r="AC128" s="201">
        <v>212</v>
      </c>
      <c r="AD128" s="201">
        <v>3105879</v>
      </c>
      <c r="AE128" s="201">
        <v>101.83586977349816</v>
      </c>
      <c r="AF128" s="201">
        <v>1838766.5099171938</v>
      </c>
      <c r="AG128" s="201">
        <v>115.55800000000001</v>
      </c>
      <c r="AH128" s="201">
        <v>2581065</v>
      </c>
      <c r="AI128" s="201">
        <v>188.16800000000001</v>
      </c>
      <c r="AJ128" s="201">
        <v>6062098</v>
      </c>
      <c r="AK128" s="201">
        <v>144</v>
      </c>
      <c r="AL128" s="201">
        <v>3949956</v>
      </c>
      <c r="AM128" s="201">
        <v>152</v>
      </c>
      <c r="AN128" s="201">
        <v>4337857</v>
      </c>
    </row>
    <row r="129" spans="1:40" x14ac:dyDescent="0.25">
      <c r="A129" s="340" t="s">
        <v>473</v>
      </c>
      <c r="C129" s="201"/>
      <c r="D129" s="201">
        <f>SUM(D123:D128)</f>
        <v>372960969</v>
      </c>
      <c r="E129" s="201"/>
      <c r="F129" s="201">
        <f>SUM(F123:F128)</f>
        <v>334741823</v>
      </c>
      <c r="G129" s="201"/>
      <c r="H129" s="201">
        <f>SUM(H123:H128)</f>
        <v>284667727</v>
      </c>
      <c r="I129" s="201"/>
      <c r="J129" s="201">
        <f>SUM(J123:J128)</f>
        <v>400048661</v>
      </c>
      <c r="K129" s="201"/>
      <c r="L129" s="201">
        <f>SUM(L123:L128)</f>
        <v>640647816</v>
      </c>
      <c r="M129" s="201"/>
      <c r="N129" s="201">
        <f>SUM(N123:N128)</f>
        <v>593250118</v>
      </c>
      <c r="O129" s="201"/>
      <c r="P129" s="201">
        <f>SUM(P123:P128)</f>
        <v>602073639</v>
      </c>
      <c r="Q129" s="201"/>
      <c r="R129" s="201">
        <f>521349718-464942</f>
        <v>520884776</v>
      </c>
      <c r="T129" s="201">
        <f>487155241-1737236</f>
        <v>485418005</v>
      </c>
      <c r="U129" s="201"/>
      <c r="V129" s="201">
        <v>482139789</v>
      </c>
      <c r="W129" s="201"/>
      <c r="X129" s="201">
        <v>949704248</v>
      </c>
      <c r="Y129" s="201"/>
      <c r="Z129" s="201">
        <v>1168688784</v>
      </c>
      <c r="AA129" s="201"/>
      <c r="AB129" s="201">
        <v>1105786458</v>
      </c>
      <c r="AC129" s="201"/>
      <c r="AD129" s="201">
        <v>1238309287</v>
      </c>
      <c r="AE129" s="227"/>
      <c r="AF129" s="201">
        <v>942957333.36686051</v>
      </c>
      <c r="AG129" s="201"/>
      <c r="AH129" s="201">
        <v>1912276684</v>
      </c>
      <c r="AI129" s="201"/>
      <c r="AJ129" s="201">
        <f>SUM(AJ123:AJ128)</f>
        <v>2458354735</v>
      </c>
      <c r="AK129" s="201"/>
      <c r="AL129" s="201">
        <f>SUM(AL123:AL128)</f>
        <v>2153455401</v>
      </c>
      <c r="AM129" s="201"/>
      <c r="AN129" s="201">
        <f>SUM(AN123:AN128)</f>
        <v>2618459634</v>
      </c>
    </row>
    <row r="131" spans="1:40" x14ac:dyDescent="0.25">
      <c r="A131" s="323" t="s">
        <v>474</v>
      </c>
      <c r="B131" s="324" t="s">
        <v>166</v>
      </c>
      <c r="C131" s="325">
        <v>0</v>
      </c>
      <c r="D131" s="325">
        <v>0</v>
      </c>
      <c r="E131" s="325">
        <v>10238</v>
      </c>
      <c r="F131" s="325">
        <v>441894</v>
      </c>
      <c r="G131" s="325">
        <v>1641</v>
      </c>
      <c r="H131" s="325">
        <v>51669</v>
      </c>
      <c r="I131" s="325">
        <v>879</v>
      </c>
      <c r="J131" s="325">
        <v>52794</v>
      </c>
      <c r="K131" s="325">
        <v>1338</v>
      </c>
      <c r="L131" s="325">
        <v>78504</v>
      </c>
      <c r="M131" s="325">
        <v>1111</v>
      </c>
      <c r="N131" s="325">
        <v>68546</v>
      </c>
      <c r="O131" s="325">
        <v>376</v>
      </c>
      <c r="P131" s="325">
        <v>28000</v>
      </c>
      <c r="Q131" s="325">
        <v>762</v>
      </c>
      <c r="R131" s="325">
        <v>56685</v>
      </c>
      <c r="S131" s="325">
        <v>1134</v>
      </c>
      <c r="T131" s="325">
        <v>84432</v>
      </c>
      <c r="U131" s="325">
        <v>813</v>
      </c>
      <c r="V131" s="325">
        <v>60380</v>
      </c>
      <c r="W131" s="325">
        <v>960</v>
      </c>
      <c r="X131" s="325">
        <v>66992</v>
      </c>
      <c r="Y131" s="325">
        <v>547</v>
      </c>
      <c r="Z131" s="325">
        <v>40748</v>
      </c>
      <c r="AA131" s="325">
        <v>0</v>
      </c>
      <c r="AB131" s="325">
        <v>0</v>
      </c>
      <c r="AC131" s="325">
        <v>0</v>
      </c>
      <c r="AD131" s="325">
        <v>0</v>
      </c>
      <c r="AE131" s="325">
        <v>0</v>
      </c>
      <c r="AF131" s="325">
        <v>0</v>
      </c>
      <c r="AG131" s="325">
        <v>0</v>
      </c>
      <c r="AH131" s="325">
        <v>0</v>
      </c>
      <c r="AI131" s="325">
        <v>0</v>
      </c>
      <c r="AJ131" s="325">
        <v>0</v>
      </c>
      <c r="AK131" s="325">
        <v>0</v>
      </c>
      <c r="AL131" s="325">
        <v>0</v>
      </c>
      <c r="AM131" s="325">
        <v>0</v>
      </c>
      <c r="AN131" s="325">
        <v>0</v>
      </c>
    </row>
    <row r="132" spans="1:40" x14ac:dyDescent="0.25">
      <c r="A132" s="338" t="s">
        <v>238</v>
      </c>
      <c r="B132" s="33"/>
      <c r="C132" s="325"/>
      <c r="D132" s="325"/>
      <c r="E132" s="325"/>
      <c r="F132" s="325"/>
      <c r="G132" s="325"/>
      <c r="H132" s="325"/>
      <c r="I132" s="325"/>
      <c r="J132" s="325"/>
      <c r="K132" s="325"/>
      <c r="L132" s="325"/>
      <c r="M132" s="325"/>
      <c r="N132" s="325"/>
      <c r="O132" s="325"/>
      <c r="P132" s="325"/>
      <c r="Q132" s="325"/>
      <c r="R132" s="325"/>
      <c r="S132" s="325"/>
      <c r="T132" s="325"/>
      <c r="U132" s="325"/>
      <c r="V132" s="325"/>
      <c r="W132" s="325"/>
      <c r="X132" s="325"/>
      <c r="Y132" s="325"/>
      <c r="Z132" s="325"/>
      <c r="AA132" s="325"/>
      <c r="AB132" s="325"/>
      <c r="AC132" s="325"/>
      <c r="AD132" s="325"/>
      <c r="AE132" s="325"/>
      <c r="AF132" s="325"/>
      <c r="AG132" s="325"/>
      <c r="AH132" s="325"/>
      <c r="AI132" s="325"/>
      <c r="AJ132" s="325"/>
      <c r="AK132" s="325"/>
      <c r="AL132" s="325"/>
      <c r="AM132" s="325"/>
      <c r="AN132" s="325"/>
    </row>
    <row r="133" spans="1:40" x14ac:dyDescent="0.25">
      <c r="A133" s="330" t="s">
        <v>232</v>
      </c>
      <c r="C133" s="201"/>
      <c r="D133" s="201"/>
      <c r="E133" s="201"/>
      <c r="F133" s="201"/>
      <c r="G133" s="201"/>
      <c r="H133" s="201"/>
      <c r="I133" s="201"/>
      <c r="J133" s="201"/>
      <c r="K133" s="201"/>
      <c r="L133" s="201"/>
      <c r="M133" s="201"/>
      <c r="N133" s="201"/>
      <c r="O133" s="201"/>
      <c r="P133" s="201"/>
      <c r="Q133" s="201"/>
      <c r="R133" s="201"/>
      <c r="U133" s="201"/>
      <c r="V133" s="201"/>
      <c r="W133" s="201"/>
      <c r="X133" s="201"/>
      <c r="Y133" s="201"/>
      <c r="Z133" s="201"/>
      <c r="AA133" s="201"/>
      <c r="AB133" s="201"/>
      <c r="AC133" s="201"/>
      <c r="AD133" s="201"/>
      <c r="AE133" s="201"/>
      <c r="AF133" s="201"/>
      <c r="AG133" s="201"/>
      <c r="AH133" s="201"/>
      <c r="AI133" s="201"/>
      <c r="AJ133" s="201"/>
      <c r="AK133" s="201"/>
      <c r="AL133" s="201"/>
      <c r="AM133" s="201"/>
      <c r="AN133" s="201"/>
    </row>
    <row r="134" spans="1:40" x14ac:dyDescent="0.25">
      <c r="A134" s="339" t="s">
        <v>193</v>
      </c>
      <c r="B134" s="216" t="s">
        <v>233</v>
      </c>
      <c r="C134" s="201">
        <f>94861/0.733</f>
        <v>129414.73396998637</v>
      </c>
      <c r="D134" s="201" t="s">
        <v>534</v>
      </c>
      <c r="E134" s="201">
        <v>381287</v>
      </c>
      <c r="F134" s="201" t="s">
        <v>538</v>
      </c>
      <c r="G134" s="201">
        <v>512434</v>
      </c>
      <c r="H134" s="201">
        <v>76464584</v>
      </c>
      <c r="I134" s="201">
        <v>1140514</v>
      </c>
      <c r="J134" s="201">
        <v>169911500</v>
      </c>
      <c r="K134" s="201">
        <v>1154116</v>
      </c>
      <c r="L134" s="201">
        <v>141799395</v>
      </c>
      <c r="M134" s="201">
        <v>1601163</v>
      </c>
      <c r="N134" s="201">
        <v>235653383</v>
      </c>
      <c r="O134" s="201">
        <v>1867892</v>
      </c>
      <c r="P134" s="201">
        <v>370948987</v>
      </c>
      <c r="Q134" s="201">
        <v>1996708</v>
      </c>
      <c r="R134" s="201">
        <v>338981745</v>
      </c>
      <c r="S134" s="201">
        <v>1995401</v>
      </c>
      <c r="T134" s="201">
        <v>363038053</v>
      </c>
      <c r="U134" s="201">
        <v>2350031</v>
      </c>
      <c r="V134" s="201">
        <v>348711923</v>
      </c>
      <c r="W134" s="201">
        <v>2634932</v>
      </c>
      <c r="X134" s="201">
        <v>398338386</v>
      </c>
      <c r="Y134" s="201">
        <v>4648827</v>
      </c>
      <c r="Z134" s="201">
        <v>685743146</v>
      </c>
      <c r="AA134" s="201">
        <v>5734946</v>
      </c>
      <c r="AB134" s="201">
        <v>943153536</v>
      </c>
      <c r="AC134" s="201">
        <v>6758554</v>
      </c>
      <c r="AD134" s="201">
        <v>1065843094</v>
      </c>
      <c r="AE134" s="201">
        <v>5554129</v>
      </c>
      <c r="AF134" s="201">
        <v>743906225.27999997</v>
      </c>
      <c r="AG134" s="201">
        <v>6347648</v>
      </c>
      <c r="AH134" s="201">
        <v>1583938449</v>
      </c>
      <c r="AI134" s="201">
        <v>5809460</v>
      </c>
      <c r="AJ134" s="201">
        <v>1984526940</v>
      </c>
      <c r="AK134" s="201">
        <v>6326003</v>
      </c>
      <c r="AL134" s="201">
        <v>1680033506</v>
      </c>
      <c r="AM134" s="201">
        <v>6934156</v>
      </c>
      <c r="AN134" s="201">
        <v>2046370293</v>
      </c>
    </row>
    <row r="135" spans="1:40" x14ac:dyDescent="0.25">
      <c r="A135" s="339" t="s">
        <v>196</v>
      </c>
      <c r="B135" s="216" t="s">
        <v>233</v>
      </c>
      <c r="C135" s="201">
        <v>1216456</v>
      </c>
      <c r="D135" s="201">
        <v>284790518</v>
      </c>
      <c r="E135" s="201">
        <v>1430180</v>
      </c>
      <c r="F135" s="201">
        <v>311924009</v>
      </c>
      <c r="G135" s="201">
        <v>1574655</v>
      </c>
      <c r="H135" s="201">
        <v>262843620</v>
      </c>
      <c r="I135" s="201">
        <v>1932597</v>
      </c>
      <c r="J135" s="201">
        <v>304355749</v>
      </c>
      <c r="K135" s="201">
        <v>2198943</v>
      </c>
      <c r="L135" s="201">
        <v>269860578</v>
      </c>
      <c r="M135" s="201">
        <v>3962739</v>
      </c>
      <c r="N135" s="201">
        <v>601471936</v>
      </c>
      <c r="O135" s="201">
        <v>5136529</v>
      </c>
      <c r="P135" s="201">
        <v>1054061459</v>
      </c>
      <c r="Q135" s="201">
        <v>5432496</v>
      </c>
      <c r="R135" s="201">
        <v>941287650</v>
      </c>
      <c r="S135" s="201">
        <v>4538080</v>
      </c>
      <c r="T135" s="201">
        <v>855690950</v>
      </c>
      <c r="U135" s="201">
        <v>5327567</v>
      </c>
      <c r="V135" s="201">
        <v>815332844</v>
      </c>
      <c r="W135" s="201">
        <v>9901184</v>
      </c>
      <c r="X135" s="201">
        <v>1559650770</v>
      </c>
      <c r="Y135" s="201">
        <v>9646943</v>
      </c>
      <c r="Z135" s="201">
        <v>1535670541</v>
      </c>
      <c r="AA135" s="201">
        <v>10465951</v>
      </c>
      <c r="AB135" s="201">
        <v>1915933489</v>
      </c>
      <c r="AC135" s="201">
        <v>9852490</v>
      </c>
      <c r="AD135" s="201">
        <v>1567158552</v>
      </c>
      <c r="AE135" s="201">
        <v>9162535.7458721325</v>
      </c>
      <c r="AF135" s="201">
        <v>1189643507.9398711</v>
      </c>
      <c r="AG135" s="201">
        <v>12054819</v>
      </c>
      <c r="AH135" s="201">
        <v>3144766638</v>
      </c>
      <c r="AI135" s="201">
        <v>13957274</v>
      </c>
      <c r="AJ135" s="201">
        <v>4792052082.1799994</v>
      </c>
      <c r="AK135" s="201">
        <v>15087852</v>
      </c>
      <c r="AL135" s="201">
        <v>4198780711</v>
      </c>
      <c r="AM135" s="201">
        <v>14004299</v>
      </c>
      <c r="AN135" s="201">
        <v>4258124798</v>
      </c>
    </row>
    <row r="136" spans="1:40" x14ac:dyDescent="0.25">
      <c r="A136" s="339" t="s">
        <v>189</v>
      </c>
      <c r="B136" s="216" t="s">
        <v>166</v>
      </c>
      <c r="C136" s="201">
        <v>0</v>
      </c>
      <c r="D136" s="201">
        <v>0</v>
      </c>
      <c r="E136" s="201">
        <v>0</v>
      </c>
      <c r="F136" s="201">
        <v>0</v>
      </c>
      <c r="G136" s="201">
        <v>0</v>
      </c>
      <c r="H136" s="201">
        <v>0</v>
      </c>
      <c r="I136" s="201">
        <v>0</v>
      </c>
      <c r="J136" s="201">
        <v>0</v>
      </c>
      <c r="K136" s="201">
        <v>0</v>
      </c>
      <c r="L136" s="201">
        <v>0</v>
      </c>
      <c r="M136" s="201">
        <v>2003220.7692307692</v>
      </c>
      <c r="N136" s="201">
        <v>336091222</v>
      </c>
      <c r="O136" s="201">
        <v>3556359.2115384615</v>
      </c>
      <c r="P136" s="201">
        <v>836400762</v>
      </c>
      <c r="Q136" s="201">
        <v>4225019.230769231</v>
      </c>
      <c r="R136" s="201">
        <v>846334383</v>
      </c>
      <c r="S136" s="201">
        <v>4893574.192307692</v>
      </c>
      <c r="T136" s="201">
        <v>1025056102</v>
      </c>
      <c r="U136" s="201">
        <v>5699265.75</v>
      </c>
      <c r="V136" s="201">
        <v>1015679244</v>
      </c>
      <c r="W136" s="201">
        <v>6848223.557692308</v>
      </c>
      <c r="X136" s="201">
        <v>1262512586</v>
      </c>
      <c r="Y136" s="201">
        <v>7303621.384615385</v>
      </c>
      <c r="Z136" s="201">
        <v>1350915501</v>
      </c>
      <c r="AA136" s="201">
        <v>7124972.653846154</v>
      </c>
      <c r="AB136" s="201">
        <v>1528770813</v>
      </c>
      <c r="AC136" s="201">
        <v>7298921.730769231</v>
      </c>
      <c r="AD136" s="201">
        <v>1591935107</v>
      </c>
      <c r="AE136" s="201">
        <v>7536486.865384615</v>
      </c>
      <c r="AF136" s="201">
        <v>1434419363</v>
      </c>
      <c r="AG136" s="201">
        <v>7569482.692307692</v>
      </c>
      <c r="AH136" s="201">
        <v>1971060425</v>
      </c>
      <c r="AI136" s="201">
        <v>8260389.230769231</v>
      </c>
      <c r="AJ136" s="201">
        <v>2695528134</v>
      </c>
      <c r="AK136" s="201">
        <v>7424657.653846154</v>
      </c>
      <c r="AL136" s="201">
        <v>2970606165</v>
      </c>
      <c r="AM136" s="201">
        <v>7765873.730769231</v>
      </c>
      <c r="AN136" s="201">
        <v>3130828043</v>
      </c>
    </row>
    <row r="137" spans="1:40" x14ac:dyDescent="0.25">
      <c r="A137" s="339" t="s">
        <v>475</v>
      </c>
      <c r="B137" s="216" t="s">
        <v>166</v>
      </c>
      <c r="C137" s="201">
        <v>0</v>
      </c>
      <c r="D137" s="201">
        <v>0</v>
      </c>
      <c r="E137" s="201">
        <v>0</v>
      </c>
      <c r="F137" s="201">
        <v>0</v>
      </c>
      <c r="G137" s="201">
        <v>0</v>
      </c>
      <c r="H137" s="201">
        <v>0</v>
      </c>
      <c r="I137" s="201">
        <v>0</v>
      </c>
      <c r="J137" s="201">
        <v>0</v>
      </c>
      <c r="K137" s="201">
        <v>0</v>
      </c>
      <c r="L137" s="201">
        <v>0</v>
      </c>
      <c r="M137" s="201">
        <v>0</v>
      </c>
      <c r="N137" s="201">
        <v>0</v>
      </c>
      <c r="O137" s="201">
        <v>0</v>
      </c>
      <c r="P137" s="201">
        <v>0</v>
      </c>
      <c r="Q137" s="201">
        <v>0</v>
      </c>
      <c r="R137" s="201">
        <v>0</v>
      </c>
      <c r="S137" s="201">
        <v>0</v>
      </c>
      <c r="T137" s="201">
        <v>0</v>
      </c>
      <c r="U137" s="201">
        <v>0</v>
      </c>
      <c r="V137" s="201">
        <v>0</v>
      </c>
      <c r="W137" s="201">
        <v>0</v>
      </c>
      <c r="X137" s="201">
        <v>0</v>
      </c>
      <c r="Y137" s="201">
        <v>100241</v>
      </c>
      <c r="Z137" s="201">
        <v>22708772</v>
      </c>
      <c r="AA137" s="201">
        <v>209685</v>
      </c>
      <c r="AB137" s="201">
        <v>59668659</v>
      </c>
      <c r="AC137" s="201">
        <v>376089</v>
      </c>
      <c r="AD137" s="201">
        <v>90469095</v>
      </c>
      <c r="AE137" s="201">
        <v>388694</v>
      </c>
      <c r="AF137" s="201">
        <v>90621537</v>
      </c>
      <c r="AG137" s="201">
        <v>443576</v>
      </c>
      <c r="AH137" s="201">
        <v>190900705</v>
      </c>
      <c r="AI137" s="201">
        <v>428900</v>
      </c>
      <c r="AJ137" s="201">
        <v>221968789.00000003</v>
      </c>
      <c r="AK137" s="201">
        <v>482203</v>
      </c>
      <c r="AL137" s="201">
        <v>193711852</v>
      </c>
      <c r="AM137" s="201">
        <v>460467</v>
      </c>
      <c r="AN137" s="201">
        <v>221468636</v>
      </c>
    </row>
    <row r="138" spans="1:40" x14ac:dyDescent="0.25">
      <c r="A138" s="339" t="s">
        <v>476</v>
      </c>
      <c r="B138" s="216" t="s">
        <v>166</v>
      </c>
      <c r="C138" s="201">
        <v>0</v>
      </c>
      <c r="D138" s="201">
        <v>0</v>
      </c>
      <c r="E138" s="201">
        <v>0</v>
      </c>
      <c r="F138" s="201">
        <v>0</v>
      </c>
      <c r="G138" s="201">
        <v>0</v>
      </c>
      <c r="H138" s="201">
        <v>0</v>
      </c>
      <c r="I138" s="201">
        <v>0</v>
      </c>
      <c r="J138" s="201">
        <v>0</v>
      </c>
      <c r="K138" s="201">
        <v>0</v>
      </c>
      <c r="L138" s="201">
        <v>0</v>
      </c>
      <c r="M138" s="201">
        <v>0</v>
      </c>
      <c r="N138" s="201">
        <v>0</v>
      </c>
      <c r="O138" s="201">
        <v>0</v>
      </c>
      <c r="P138" s="201">
        <v>0</v>
      </c>
      <c r="Q138" s="201">
        <v>0</v>
      </c>
      <c r="R138" s="201">
        <v>0</v>
      </c>
      <c r="S138" s="201">
        <v>0</v>
      </c>
      <c r="T138" s="201">
        <v>0</v>
      </c>
      <c r="U138" s="201">
        <v>0</v>
      </c>
      <c r="V138" s="201">
        <v>0</v>
      </c>
      <c r="W138" s="201">
        <v>0</v>
      </c>
      <c r="X138" s="201">
        <v>0</v>
      </c>
      <c r="Y138" s="201">
        <v>87016</v>
      </c>
      <c r="Z138" s="201">
        <v>19732974</v>
      </c>
      <c r="AA138" s="201">
        <v>185737</v>
      </c>
      <c r="AB138" s="201">
        <v>55658974</v>
      </c>
      <c r="AC138" s="201">
        <v>263259</v>
      </c>
      <c r="AD138" s="201">
        <v>61264851</v>
      </c>
      <c r="AE138" s="201">
        <v>259207</v>
      </c>
      <c r="AF138" s="201">
        <v>57626638.760000005</v>
      </c>
      <c r="AG138" s="201">
        <v>334573</v>
      </c>
      <c r="AH138" s="201">
        <v>145937645</v>
      </c>
      <c r="AI138" s="201">
        <v>367672</v>
      </c>
      <c r="AJ138" s="201">
        <v>187540575</v>
      </c>
      <c r="AK138" s="201">
        <v>374319</v>
      </c>
      <c r="AL138" s="201">
        <v>167866073</v>
      </c>
      <c r="AM138" s="201">
        <v>346596</v>
      </c>
      <c r="AN138" s="201">
        <v>172394567</v>
      </c>
    </row>
    <row r="139" spans="1:40" ht="17.25" x14ac:dyDescent="0.25">
      <c r="A139" s="339" t="s">
        <v>477</v>
      </c>
      <c r="B139" s="259" t="s">
        <v>478</v>
      </c>
      <c r="C139" s="223">
        <v>1759631</v>
      </c>
      <c r="D139" s="223">
        <v>165844011</v>
      </c>
      <c r="E139" s="223">
        <v>2756065</v>
      </c>
      <c r="F139" s="223">
        <v>291608694</v>
      </c>
      <c r="G139" s="223">
        <v>3199165</v>
      </c>
      <c r="H139" s="223">
        <v>277989304</v>
      </c>
      <c r="I139" s="201">
        <v>3629175</v>
      </c>
      <c r="J139" s="201">
        <v>320504994</v>
      </c>
      <c r="K139" s="201">
        <v>3642292</v>
      </c>
      <c r="L139" s="201">
        <v>284641291</v>
      </c>
      <c r="M139" s="201">
        <v>3847731</v>
      </c>
      <c r="N139" s="201">
        <v>256846939</v>
      </c>
      <c r="O139" s="201">
        <v>3613720</v>
      </c>
      <c r="P139" s="201">
        <v>379228944</v>
      </c>
      <c r="Q139" s="201">
        <v>3768848</v>
      </c>
      <c r="R139" s="201">
        <v>349257426</v>
      </c>
      <c r="S139" s="201">
        <v>3960289</v>
      </c>
      <c r="T139" s="201">
        <v>407019305</v>
      </c>
      <c r="U139" s="201">
        <v>4456991</v>
      </c>
      <c r="V139" s="201">
        <v>413371442</v>
      </c>
      <c r="W139" s="201">
        <v>5366201</v>
      </c>
      <c r="X139" s="201">
        <v>445714284</v>
      </c>
      <c r="Y139" s="201">
        <v>6309564</v>
      </c>
      <c r="Z139" s="201">
        <v>454763779</v>
      </c>
      <c r="AA139" s="201">
        <v>6892911</v>
      </c>
      <c r="AB139" s="201">
        <v>534648055</v>
      </c>
      <c r="AC139" s="201">
        <v>6881954</v>
      </c>
      <c r="AD139" s="201">
        <v>557469068</v>
      </c>
      <c r="AE139" s="201">
        <v>6439698.5700000003</v>
      </c>
      <c r="AF139" s="201">
        <v>549830768.50999999</v>
      </c>
      <c r="AG139" s="201">
        <v>6546243.8900000006</v>
      </c>
      <c r="AH139" s="201">
        <v>578766829</v>
      </c>
      <c r="AI139" s="201">
        <v>7625011</v>
      </c>
      <c r="AJ139" s="201">
        <v>630363197.27295518</v>
      </c>
      <c r="AK139" s="201">
        <v>7533986</v>
      </c>
      <c r="AL139" s="201">
        <v>643277079</v>
      </c>
      <c r="AM139" s="201">
        <v>8120105</v>
      </c>
      <c r="AN139" s="201">
        <v>661920544</v>
      </c>
    </row>
    <row r="140" spans="1:40" x14ac:dyDescent="0.25">
      <c r="A140" s="340" t="s">
        <v>479</v>
      </c>
      <c r="C140" s="201"/>
      <c r="D140" s="201">
        <f>SUM(D134:D139)</f>
        <v>450634529</v>
      </c>
      <c r="E140" s="201"/>
      <c r="F140" s="201">
        <f>SUM(F134:F139)</f>
        <v>603532703</v>
      </c>
      <c r="G140" s="201"/>
      <c r="H140" s="201">
        <f>SUM(H134:H139)</f>
        <v>617297508</v>
      </c>
      <c r="I140" s="201"/>
      <c r="J140" s="201">
        <f>SUM(J134:J139)</f>
        <v>794772243</v>
      </c>
      <c r="K140" s="201"/>
      <c r="L140" s="201">
        <v>696301264</v>
      </c>
      <c r="M140" s="201"/>
      <c r="N140" s="201">
        <v>1530063480</v>
      </c>
      <c r="O140" s="201"/>
      <c r="P140" s="201">
        <f>SUM(P134:P139)</f>
        <v>2640640152</v>
      </c>
      <c r="Q140" s="201"/>
      <c r="R140" s="201">
        <v>2475861204</v>
      </c>
      <c r="T140" s="201">
        <v>2650804410</v>
      </c>
      <c r="U140" s="201"/>
      <c r="V140" s="201">
        <v>2593095453</v>
      </c>
      <c r="W140" s="201"/>
      <c r="X140" s="201">
        <v>3666216026</v>
      </c>
      <c r="Y140" s="201"/>
      <c r="Z140" s="201">
        <v>4069534713</v>
      </c>
      <c r="AA140" s="201"/>
      <c r="AB140" s="201">
        <v>5037833526</v>
      </c>
      <c r="AC140" s="201"/>
      <c r="AD140" s="201">
        <v>4934139769</v>
      </c>
      <c r="AE140" s="227"/>
      <c r="AF140" s="201">
        <v>4066048040.489871</v>
      </c>
      <c r="AG140" s="201"/>
      <c r="AH140" s="201">
        <v>7615370691</v>
      </c>
      <c r="AI140" s="201"/>
      <c r="AJ140" s="201">
        <f>SUM(AJ134:AJ139)</f>
        <v>10511979717.452955</v>
      </c>
      <c r="AK140" s="201"/>
      <c r="AL140" s="201">
        <f>SUM(AL134:AL139)</f>
        <v>9854275386</v>
      </c>
      <c r="AM140" s="201"/>
      <c r="AN140" s="201">
        <f>SUM(AN134:AN139)</f>
        <v>10491106881</v>
      </c>
    </row>
    <row r="141" spans="1:40" x14ac:dyDescent="0.25">
      <c r="A141" s="241"/>
      <c r="B141" s="216"/>
      <c r="C141" s="201"/>
      <c r="D141" s="201"/>
      <c r="E141" s="201"/>
      <c r="F141" s="201"/>
      <c r="G141" s="201"/>
      <c r="H141" s="201"/>
      <c r="I141" s="201"/>
      <c r="J141" s="201"/>
      <c r="K141" s="201"/>
      <c r="L141" s="201"/>
      <c r="M141" s="201"/>
      <c r="N141" s="201"/>
      <c r="O141" s="201"/>
      <c r="P141" s="201"/>
      <c r="Q141" s="201"/>
      <c r="R141" s="201"/>
      <c r="U141" s="201"/>
      <c r="V141" s="201"/>
      <c r="W141" s="201"/>
      <c r="X141" s="201"/>
      <c r="Y141" s="201"/>
      <c r="Z141" s="201"/>
      <c r="AA141" s="201"/>
      <c r="AB141" s="201"/>
      <c r="AC141" s="201"/>
      <c r="AD141" s="201"/>
      <c r="AE141" s="201"/>
      <c r="AF141" s="201"/>
      <c r="AG141" s="201"/>
      <c r="AH141" s="201"/>
      <c r="AI141" s="201"/>
      <c r="AJ141" s="201"/>
      <c r="AK141" s="201"/>
      <c r="AL141" s="201"/>
      <c r="AM141" s="201"/>
      <c r="AN141" s="201"/>
    </row>
    <row r="142" spans="1:40" x14ac:dyDescent="0.25">
      <c r="A142" s="323" t="s">
        <v>481</v>
      </c>
      <c r="B142" s="324"/>
      <c r="C142" s="325"/>
      <c r="D142" s="325"/>
      <c r="E142" s="325"/>
      <c r="F142" s="325"/>
      <c r="G142" s="325"/>
      <c r="H142" s="325"/>
      <c r="I142" s="325"/>
      <c r="J142" s="325"/>
      <c r="K142" s="325"/>
      <c r="L142" s="325"/>
      <c r="M142" s="325"/>
      <c r="N142" s="325"/>
      <c r="O142" s="325"/>
      <c r="P142" s="325"/>
      <c r="Q142" s="325"/>
      <c r="R142" s="325"/>
      <c r="S142" s="325"/>
      <c r="T142" s="325"/>
      <c r="U142" s="325"/>
      <c r="V142" s="325"/>
      <c r="W142" s="325"/>
      <c r="X142" s="325"/>
      <c r="Y142" s="325"/>
      <c r="Z142" s="325"/>
      <c r="AA142" s="325"/>
      <c r="AB142" s="325"/>
      <c r="AC142" s="325"/>
      <c r="AD142" s="325"/>
      <c r="AE142" s="325"/>
      <c r="AF142" s="325"/>
      <c r="AG142" s="325"/>
      <c r="AH142" s="325"/>
      <c r="AI142" s="325"/>
      <c r="AJ142" s="325"/>
      <c r="AK142" s="325"/>
      <c r="AL142" s="325"/>
      <c r="AM142" s="325"/>
      <c r="AN142" s="325"/>
    </row>
    <row r="143" spans="1:40" x14ac:dyDescent="0.25">
      <c r="A143" s="327" t="s">
        <v>482</v>
      </c>
      <c r="B143" s="324" t="s">
        <v>166</v>
      </c>
      <c r="C143" s="325">
        <v>0</v>
      </c>
      <c r="D143" s="325">
        <v>0</v>
      </c>
      <c r="E143" s="325">
        <v>0</v>
      </c>
      <c r="F143" s="325">
        <v>0</v>
      </c>
      <c r="G143" s="325">
        <v>0</v>
      </c>
      <c r="H143" s="325">
        <v>0</v>
      </c>
      <c r="I143" s="325">
        <v>0</v>
      </c>
      <c r="J143" s="325">
        <v>0</v>
      </c>
      <c r="K143" s="325">
        <v>0</v>
      </c>
      <c r="L143" s="325">
        <v>0</v>
      </c>
      <c r="M143" s="325">
        <v>0</v>
      </c>
      <c r="N143" s="325">
        <v>0</v>
      </c>
      <c r="O143" s="325">
        <v>0</v>
      </c>
      <c r="P143" s="325">
        <v>0</v>
      </c>
      <c r="Q143" s="325">
        <v>0</v>
      </c>
      <c r="R143" s="325">
        <v>0</v>
      </c>
      <c r="S143" s="325">
        <v>0</v>
      </c>
      <c r="T143" s="325">
        <v>0</v>
      </c>
      <c r="U143" s="325">
        <v>0</v>
      </c>
      <c r="V143" s="325">
        <v>0</v>
      </c>
      <c r="W143" s="325">
        <v>0</v>
      </c>
      <c r="X143" s="325">
        <v>0</v>
      </c>
      <c r="Y143" s="325">
        <v>0</v>
      </c>
      <c r="Z143" s="325">
        <v>0</v>
      </c>
      <c r="AA143" s="325">
        <v>0</v>
      </c>
      <c r="AB143" s="325">
        <v>0</v>
      </c>
      <c r="AC143" s="325">
        <v>0</v>
      </c>
      <c r="AD143" s="325">
        <v>0</v>
      </c>
      <c r="AE143" s="325">
        <v>0</v>
      </c>
      <c r="AF143" s="325">
        <v>0</v>
      </c>
      <c r="AG143" s="325">
        <v>0</v>
      </c>
      <c r="AH143" s="325">
        <v>0</v>
      </c>
      <c r="AI143" s="325">
        <v>0</v>
      </c>
      <c r="AJ143" s="325">
        <v>0</v>
      </c>
      <c r="AK143" s="325">
        <v>0</v>
      </c>
      <c r="AL143" s="325">
        <v>0</v>
      </c>
      <c r="AM143" s="325">
        <v>0</v>
      </c>
      <c r="AN143" s="325">
        <v>0</v>
      </c>
    </row>
    <row r="144" spans="1:40" x14ac:dyDescent="0.25">
      <c r="A144" s="327" t="s">
        <v>483</v>
      </c>
      <c r="B144" s="324" t="s">
        <v>166</v>
      </c>
      <c r="C144" s="325">
        <v>0</v>
      </c>
      <c r="D144" s="325">
        <v>0</v>
      </c>
      <c r="E144" s="325">
        <v>0</v>
      </c>
      <c r="F144" s="325">
        <v>0</v>
      </c>
      <c r="G144" s="325">
        <v>0</v>
      </c>
      <c r="H144" s="325">
        <v>0</v>
      </c>
      <c r="I144" s="325">
        <v>0</v>
      </c>
      <c r="J144" s="325">
        <v>0</v>
      </c>
      <c r="K144" s="325">
        <v>0</v>
      </c>
      <c r="L144" s="325">
        <v>0</v>
      </c>
      <c r="M144" s="325">
        <v>0</v>
      </c>
      <c r="N144" s="325">
        <v>0</v>
      </c>
      <c r="O144" s="325">
        <v>5757</v>
      </c>
      <c r="P144" s="325">
        <v>110531</v>
      </c>
      <c r="Q144" s="325">
        <v>0</v>
      </c>
      <c r="R144" s="325">
        <v>0</v>
      </c>
      <c r="S144" s="325">
        <v>0</v>
      </c>
      <c r="T144" s="325">
        <v>0</v>
      </c>
      <c r="U144" s="325">
        <v>0</v>
      </c>
      <c r="V144" s="325">
        <v>0</v>
      </c>
      <c r="W144" s="325">
        <v>0</v>
      </c>
      <c r="X144" s="325">
        <v>0</v>
      </c>
      <c r="Y144" s="325">
        <v>6000</v>
      </c>
      <c r="Z144" s="325">
        <v>164250</v>
      </c>
      <c r="AA144" s="325">
        <v>0</v>
      </c>
      <c r="AB144" s="325">
        <v>0</v>
      </c>
      <c r="AC144" s="325">
        <v>6910</v>
      </c>
      <c r="AD144" s="325">
        <v>1312900</v>
      </c>
      <c r="AE144" s="325">
        <v>331</v>
      </c>
      <c r="AF144" s="325">
        <v>62890</v>
      </c>
      <c r="AG144" s="325">
        <v>1000</v>
      </c>
      <c r="AH144" s="325">
        <v>670441</v>
      </c>
      <c r="AI144" s="325">
        <v>1065</v>
      </c>
      <c r="AJ144" s="325">
        <v>36218</v>
      </c>
      <c r="AK144" s="325">
        <v>2458</v>
      </c>
      <c r="AL144" s="325">
        <v>682817</v>
      </c>
      <c r="AM144" s="325">
        <v>1994</v>
      </c>
      <c r="AN144" s="325">
        <v>677653</v>
      </c>
    </row>
    <row r="145" spans="1:40" x14ac:dyDescent="0.25">
      <c r="A145" s="328" t="s">
        <v>484</v>
      </c>
      <c r="B145" s="324"/>
      <c r="C145" s="325"/>
      <c r="D145" s="325">
        <f>SUM(D143:D144)</f>
        <v>0</v>
      </c>
      <c r="E145" s="325"/>
      <c r="F145" s="325">
        <f>SUM(F143:F144)</f>
        <v>0</v>
      </c>
      <c r="G145" s="325"/>
      <c r="H145" s="325">
        <f>SUM(H143:H144)</f>
        <v>0</v>
      </c>
      <c r="I145" s="325"/>
      <c r="J145" s="325">
        <f>SUM(J143:J144)</f>
        <v>0</v>
      </c>
      <c r="K145" s="325"/>
      <c r="L145" s="325">
        <f>SUM(L143:L144)</f>
        <v>0</v>
      </c>
      <c r="M145" s="325"/>
      <c r="N145" s="325">
        <f>SUM(N143:N144)</f>
        <v>0</v>
      </c>
      <c r="O145" s="325"/>
      <c r="P145" s="325">
        <f>SUM(P143:P144)</f>
        <v>110531</v>
      </c>
      <c r="Q145" s="325"/>
      <c r="R145" s="325">
        <f>SUM(R143:R144)</f>
        <v>0</v>
      </c>
      <c r="S145" s="325"/>
      <c r="T145" s="325">
        <f>SUM(T143:T144)</f>
        <v>0</v>
      </c>
      <c r="U145" s="325"/>
      <c r="V145" s="325">
        <f>SUM(V143:V144)</f>
        <v>0</v>
      </c>
      <c r="W145" s="325"/>
      <c r="X145" s="325">
        <f>SUM(X143:X144)</f>
        <v>0</v>
      </c>
      <c r="Y145" s="325"/>
      <c r="Z145" s="325">
        <f>SUM(Z143:Z144)</f>
        <v>164250</v>
      </c>
      <c r="AA145" s="325"/>
      <c r="AB145" s="325">
        <f>SUM(AB143:AB144)</f>
        <v>0</v>
      </c>
      <c r="AC145" s="325"/>
      <c r="AD145" s="325">
        <f>SUM(AD143:AD144)</f>
        <v>1312900</v>
      </c>
      <c r="AE145" s="325"/>
      <c r="AF145" s="325">
        <f>SUM(AF143:AF144)</f>
        <v>62890</v>
      </c>
      <c r="AG145" s="325"/>
      <c r="AH145" s="325">
        <f>SUM(AH143:AH144)</f>
        <v>670441</v>
      </c>
      <c r="AI145" s="325"/>
      <c r="AJ145" s="325">
        <f>SUM(AJ143:AJ144)</f>
        <v>36218</v>
      </c>
      <c r="AK145" s="325"/>
      <c r="AL145" s="325">
        <f>SUM(AL143:AL144)</f>
        <v>682817</v>
      </c>
      <c r="AM145" s="325"/>
      <c r="AN145" s="325">
        <f>SUM(AN143:AN144)</f>
        <v>677653</v>
      </c>
    </row>
    <row r="146" spans="1:40" x14ac:dyDescent="0.25">
      <c r="A146" s="33"/>
      <c r="B146" s="33"/>
      <c r="C146" s="33"/>
      <c r="D146" s="33"/>
      <c r="E146" s="33"/>
      <c r="F146" s="33"/>
      <c r="G146" s="33"/>
      <c r="H146" s="33"/>
      <c r="I146" s="33"/>
      <c r="J146" s="33"/>
      <c r="K146" s="33"/>
      <c r="L146" s="33"/>
      <c r="M146" s="33"/>
      <c r="N146" s="33"/>
      <c r="O146" s="33"/>
      <c r="P146" s="33"/>
      <c r="Q146" s="33"/>
      <c r="R146" s="33"/>
      <c r="S146" s="325"/>
      <c r="T146" s="325"/>
      <c r="U146" s="33"/>
      <c r="V146" s="33"/>
      <c r="W146" s="33"/>
      <c r="X146" s="33"/>
      <c r="Y146" s="33"/>
      <c r="Z146" s="33"/>
      <c r="AA146" s="33"/>
      <c r="AB146" s="33"/>
      <c r="AC146" s="33"/>
      <c r="AD146" s="33"/>
      <c r="AE146" s="7"/>
      <c r="AF146" s="7"/>
      <c r="AG146" s="7"/>
      <c r="AH146" s="7"/>
      <c r="AI146" s="7"/>
      <c r="AJ146" s="7"/>
      <c r="AK146" s="7"/>
      <c r="AL146" s="7"/>
      <c r="AM146" s="7"/>
      <c r="AN146" s="7"/>
    </row>
    <row r="147" spans="1:40" x14ac:dyDescent="0.25">
      <c r="A147" s="330" t="s">
        <v>241</v>
      </c>
      <c r="B147" s="216" t="s">
        <v>166</v>
      </c>
      <c r="C147" s="201">
        <v>4822931</v>
      </c>
      <c r="D147" s="201">
        <v>88560999</v>
      </c>
      <c r="E147" s="201">
        <v>4814138</v>
      </c>
      <c r="F147" s="201">
        <v>95326825</v>
      </c>
      <c r="G147" s="201">
        <v>5051148</v>
      </c>
      <c r="H147" s="201">
        <v>107382344</v>
      </c>
      <c r="I147" s="201">
        <v>5533859</v>
      </c>
      <c r="J147" s="201">
        <v>107165215</v>
      </c>
      <c r="K147" s="201">
        <v>6023426</v>
      </c>
      <c r="L147" s="201">
        <v>106705667</v>
      </c>
      <c r="M147" s="201">
        <v>5924943</v>
      </c>
      <c r="N147" s="201">
        <v>124110422</v>
      </c>
      <c r="O147" s="201">
        <v>6413163</v>
      </c>
      <c r="P147" s="201">
        <v>136973045</v>
      </c>
      <c r="Q147" s="201">
        <v>6927198</v>
      </c>
      <c r="R147" s="201">
        <v>153141494</v>
      </c>
      <c r="S147" s="201">
        <v>6632911</v>
      </c>
      <c r="T147" s="201">
        <v>158377590</v>
      </c>
      <c r="U147" s="201">
        <v>6155387</v>
      </c>
      <c r="V147" s="201">
        <v>149179209</v>
      </c>
      <c r="W147" s="201">
        <v>7176351</v>
      </c>
      <c r="X147" s="201">
        <v>155144299</v>
      </c>
      <c r="Y147" s="201">
        <v>7451699</v>
      </c>
      <c r="Z147" s="201">
        <v>154217940</v>
      </c>
      <c r="AA147" s="201">
        <v>7546293.6160000004</v>
      </c>
      <c r="AB147" s="201">
        <v>153616036</v>
      </c>
      <c r="AC147" s="201">
        <v>8185664</v>
      </c>
      <c r="AD147" s="201">
        <v>188700479</v>
      </c>
      <c r="AE147" s="201">
        <v>8570782</v>
      </c>
      <c r="AF147" s="201">
        <v>199638214</v>
      </c>
      <c r="AG147" s="201">
        <v>8809769.0499999989</v>
      </c>
      <c r="AH147" s="201">
        <v>208578472</v>
      </c>
      <c r="AI147" s="201">
        <v>8303628</v>
      </c>
      <c r="AJ147" s="201">
        <v>233081734</v>
      </c>
      <c r="AK147" s="201">
        <v>8646154</v>
      </c>
      <c r="AL147" s="201">
        <v>251041857</v>
      </c>
      <c r="AM147" s="201">
        <v>9606930</v>
      </c>
      <c r="AN147" s="201">
        <v>227949656</v>
      </c>
    </row>
    <row r="148" spans="1:40" x14ac:dyDescent="0.25">
      <c r="A148" s="215"/>
      <c r="B148" s="216"/>
      <c r="C148" s="201"/>
      <c r="D148" s="201"/>
      <c r="E148" s="201"/>
      <c r="F148" s="201"/>
      <c r="G148" s="201"/>
      <c r="H148" s="201"/>
      <c r="I148" s="201"/>
      <c r="J148" s="201"/>
      <c r="K148" s="201"/>
      <c r="L148" s="201"/>
      <c r="M148" s="201"/>
      <c r="N148" s="201"/>
      <c r="O148" s="201"/>
      <c r="P148" s="201"/>
      <c r="Q148" s="201"/>
      <c r="R148" s="201"/>
      <c r="U148" s="201"/>
      <c r="V148" s="201"/>
      <c r="W148" s="201"/>
      <c r="X148" s="201"/>
      <c r="Y148" s="201"/>
      <c r="Z148" s="201"/>
      <c r="AA148" s="201"/>
      <c r="AB148" s="201"/>
      <c r="AC148" s="201"/>
      <c r="AD148" s="201"/>
      <c r="AE148" s="201"/>
      <c r="AF148" s="201"/>
      <c r="AG148" s="201"/>
      <c r="AH148" s="201"/>
      <c r="AI148" s="201"/>
      <c r="AJ148" s="201"/>
      <c r="AK148" s="201"/>
      <c r="AL148" s="201"/>
      <c r="AM148" s="201"/>
      <c r="AN148" s="201"/>
    </row>
    <row r="149" spans="1:40" x14ac:dyDescent="0.25">
      <c r="A149" s="323" t="s">
        <v>486</v>
      </c>
      <c r="B149" s="33"/>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c r="AA149" s="325"/>
      <c r="AB149" s="325"/>
      <c r="AC149" s="325"/>
      <c r="AD149" s="325"/>
      <c r="AE149" s="325"/>
      <c r="AF149" s="325"/>
      <c r="AG149" s="325"/>
      <c r="AH149" s="325"/>
      <c r="AI149" s="325"/>
      <c r="AJ149" s="325"/>
      <c r="AK149" s="325"/>
      <c r="AL149" s="325"/>
      <c r="AM149" s="325"/>
      <c r="AN149" s="325"/>
    </row>
    <row r="150" spans="1:40" x14ac:dyDescent="0.25">
      <c r="A150" s="327" t="s">
        <v>487</v>
      </c>
      <c r="B150" s="324" t="s">
        <v>166</v>
      </c>
      <c r="C150" s="325">
        <v>0</v>
      </c>
      <c r="D150" s="325">
        <v>0</v>
      </c>
      <c r="E150" s="325">
        <v>0</v>
      </c>
      <c r="F150" s="325">
        <v>0</v>
      </c>
      <c r="G150" s="325">
        <v>0</v>
      </c>
      <c r="H150" s="325">
        <v>0</v>
      </c>
      <c r="I150" s="325">
        <v>0</v>
      </c>
      <c r="J150" s="325">
        <v>0</v>
      </c>
      <c r="K150" s="325">
        <v>0</v>
      </c>
      <c r="L150" s="325">
        <v>0</v>
      </c>
      <c r="M150" s="325">
        <v>0</v>
      </c>
      <c r="N150" s="325">
        <v>0</v>
      </c>
      <c r="O150" s="325">
        <v>0</v>
      </c>
      <c r="P150" s="325">
        <v>0</v>
      </c>
      <c r="Q150" s="325">
        <v>0</v>
      </c>
      <c r="R150" s="325">
        <v>0</v>
      </c>
      <c r="S150" s="325">
        <v>0</v>
      </c>
      <c r="T150" s="325">
        <v>0</v>
      </c>
      <c r="U150" s="325">
        <v>0</v>
      </c>
      <c r="V150" s="325">
        <v>0</v>
      </c>
      <c r="W150" s="325">
        <v>0</v>
      </c>
      <c r="X150" s="325">
        <v>0</v>
      </c>
      <c r="Y150" s="325">
        <v>0</v>
      </c>
      <c r="Z150" s="325">
        <v>0</v>
      </c>
      <c r="AA150" s="325">
        <v>0</v>
      </c>
      <c r="AB150" s="325">
        <v>0</v>
      </c>
      <c r="AC150" s="325">
        <v>0</v>
      </c>
      <c r="AD150" s="325">
        <v>0</v>
      </c>
      <c r="AE150" s="325">
        <v>0</v>
      </c>
      <c r="AF150" s="325">
        <v>0</v>
      </c>
      <c r="AG150" s="325">
        <v>0</v>
      </c>
      <c r="AH150" s="325">
        <v>0</v>
      </c>
      <c r="AI150" s="325">
        <v>0</v>
      </c>
      <c r="AJ150" s="325">
        <v>0</v>
      </c>
      <c r="AK150" s="325">
        <v>0</v>
      </c>
      <c r="AL150" s="325">
        <v>0</v>
      </c>
      <c r="AM150" s="325">
        <v>0</v>
      </c>
      <c r="AN150" s="325">
        <v>0</v>
      </c>
    </row>
    <row r="151" spans="1:40" x14ac:dyDescent="0.25">
      <c r="A151" s="327" t="s">
        <v>488</v>
      </c>
      <c r="B151" s="324" t="s">
        <v>166</v>
      </c>
      <c r="C151" s="325">
        <v>0</v>
      </c>
      <c r="D151" s="325">
        <v>0</v>
      </c>
      <c r="E151" s="325">
        <v>0</v>
      </c>
      <c r="F151" s="325">
        <v>0</v>
      </c>
      <c r="G151" s="325">
        <v>0</v>
      </c>
      <c r="H151" s="325">
        <v>0</v>
      </c>
      <c r="I151" s="325">
        <v>0</v>
      </c>
      <c r="J151" s="325">
        <v>0</v>
      </c>
      <c r="K151" s="325">
        <v>0</v>
      </c>
      <c r="L151" s="325">
        <v>0</v>
      </c>
      <c r="M151" s="325">
        <v>32544</v>
      </c>
      <c r="N151" s="325">
        <v>325435</v>
      </c>
      <c r="O151" s="325">
        <v>80147</v>
      </c>
      <c r="P151" s="325">
        <v>822975</v>
      </c>
      <c r="Q151" s="325">
        <v>74171</v>
      </c>
      <c r="R151" s="325">
        <v>749846</v>
      </c>
      <c r="S151" s="325">
        <v>61263</v>
      </c>
      <c r="T151" s="325">
        <v>652157</v>
      </c>
      <c r="U151" s="325">
        <v>78235</v>
      </c>
      <c r="V151" s="325">
        <v>788096</v>
      </c>
      <c r="W151" s="325">
        <v>82046</v>
      </c>
      <c r="X151" s="325">
        <v>820477</v>
      </c>
      <c r="Y151" s="325">
        <v>81479</v>
      </c>
      <c r="Z151" s="325">
        <v>814785</v>
      </c>
      <c r="AA151" s="325">
        <v>74866</v>
      </c>
      <c r="AB151" s="325">
        <v>748664</v>
      </c>
      <c r="AC151" s="325">
        <v>92427</v>
      </c>
      <c r="AD151" s="325">
        <v>924266</v>
      </c>
      <c r="AE151" s="325">
        <v>90069</v>
      </c>
      <c r="AF151" s="325">
        <v>900692</v>
      </c>
      <c r="AG151" s="325">
        <v>97686.99</v>
      </c>
      <c r="AH151" s="325">
        <v>976872</v>
      </c>
      <c r="AI151" s="325">
        <v>92375</v>
      </c>
      <c r="AJ151" s="325">
        <v>923746</v>
      </c>
      <c r="AK151" s="325">
        <v>100021</v>
      </c>
      <c r="AL151" s="325">
        <v>1000212</v>
      </c>
      <c r="AM151" s="325">
        <v>93957</v>
      </c>
      <c r="AN151" s="325">
        <v>939568</v>
      </c>
    </row>
    <row r="152" spans="1:40" x14ac:dyDescent="0.25">
      <c r="A152" s="327" t="s">
        <v>489</v>
      </c>
      <c r="B152" s="324" t="s">
        <v>166</v>
      </c>
      <c r="C152" s="325">
        <v>404636</v>
      </c>
      <c r="D152" s="325">
        <v>1274898</v>
      </c>
      <c r="E152" s="325">
        <v>377009</v>
      </c>
      <c r="F152" s="325" t="s">
        <v>534</v>
      </c>
      <c r="G152" s="325">
        <v>371165</v>
      </c>
      <c r="H152" s="325">
        <v>2279997</v>
      </c>
      <c r="I152" s="325">
        <v>402995</v>
      </c>
      <c r="J152" s="325">
        <v>2985987</v>
      </c>
      <c r="K152" s="325">
        <v>364453</v>
      </c>
      <c r="L152" s="325">
        <v>3051841</v>
      </c>
      <c r="M152" s="325">
        <v>445874</v>
      </c>
      <c r="N152" s="325">
        <v>3662014</v>
      </c>
      <c r="O152" s="325">
        <v>781503</v>
      </c>
      <c r="P152" s="325">
        <v>6774328</v>
      </c>
      <c r="Q152" s="325">
        <v>580467</v>
      </c>
      <c r="R152" s="325">
        <v>5489268</v>
      </c>
      <c r="S152" s="325">
        <v>456896</v>
      </c>
      <c r="T152" s="325">
        <v>4332324</v>
      </c>
      <c r="U152" s="325">
        <v>490161</v>
      </c>
      <c r="V152" s="325">
        <v>4444654</v>
      </c>
      <c r="W152" s="325">
        <v>532439</v>
      </c>
      <c r="X152" s="325">
        <v>4658336</v>
      </c>
      <c r="Y152" s="325">
        <v>660373</v>
      </c>
      <c r="Z152" s="325">
        <v>6439983</v>
      </c>
      <c r="AA152" s="325">
        <v>625338</v>
      </c>
      <c r="AB152" s="325">
        <v>6306388</v>
      </c>
      <c r="AC152" s="325">
        <v>729084</v>
      </c>
      <c r="AD152" s="325">
        <v>6917165</v>
      </c>
      <c r="AE152" s="325">
        <v>519518</v>
      </c>
      <c r="AF152" s="325">
        <v>5489158</v>
      </c>
      <c r="AG152" s="325">
        <v>501907.86</v>
      </c>
      <c r="AH152" s="325">
        <v>6066213</v>
      </c>
      <c r="AI152" s="325">
        <v>464952</v>
      </c>
      <c r="AJ152" s="325">
        <v>5850341</v>
      </c>
      <c r="AK152" s="325">
        <v>553019</v>
      </c>
      <c r="AL152" s="325">
        <v>6355535</v>
      </c>
      <c r="AM152" s="325">
        <v>658555</v>
      </c>
      <c r="AN152" s="325">
        <v>7075787</v>
      </c>
    </row>
    <row r="153" spans="1:40" x14ac:dyDescent="0.25">
      <c r="A153" s="328" t="s">
        <v>490</v>
      </c>
      <c r="B153" s="33"/>
      <c r="C153" s="325"/>
      <c r="D153" s="325">
        <f>SUM(D151:D152)</f>
        <v>1274898</v>
      </c>
      <c r="E153" s="325"/>
      <c r="F153" s="325">
        <f>SUM(F151:F152)</f>
        <v>0</v>
      </c>
      <c r="G153" s="325"/>
      <c r="H153" s="325">
        <f>SUM(H151:H152)</f>
        <v>2279997</v>
      </c>
      <c r="I153" s="325"/>
      <c r="J153" s="325">
        <f>SUM(J151:J152)</f>
        <v>2985987</v>
      </c>
      <c r="K153" s="325"/>
      <c r="L153" s="325">
        <v>3051841</v>
      </c>
      <c r="M153" s="325"/>
      <c r="N153" s="325">
        <v>3987449</v>
      </c>
      <c r="O153" s="325"/>
      <c r="P153" s="325">
        <f>SUM(P151:P152)</f>
        <v>7597303</v>
      </c>
      <c r="Q153" s="325"/>
      <c r="R153" s="325">
        <v>6239114</v>
      </c>
      <c r="S153" s="325"/>
      <c r="T153" s="325">
        <v>4984481</v>
      </c>
      <c r="U153" s="325"/>
      <c r="V153" s="325">
        <v>5232750</v>
      </c>
      <c r="W153" s="325"/>
      <c r="X153" s="325">
        <v>5478813</v>
      </c>
      <c r="Y153" s="325"/>
      <c r="Z153" s="325">
        <v>7254768</v>
      </c>
      <c r="AA153" s="325"/>
      <c r="AB153" s="325">
        <v>7055052</v>
      </c>
      <c r="AC153" s="325"/>
      <c r="AD153" s="325">
        <v>7841431</v>
      </c>
      <c r="AE153" s="320"/>
      <c r="AF153" s="325">
        <v>6389850</v>
      </c>
      <c r="AG153" s="325"/>
      <c r="AH153" s="325">
        <v>7043085</v>
      </c>
      <c r="AI153" s="325"/>
      <c r="AJ153" s="325">
        <v>6774087</v>
      </c>
      <c r="AK153" s="325"/>
      <c r="AL153" s="325">
        <f>SUM(AL150:AL152)</f>
        <v>7355747</v>
      </c>
      <c r="AM153" s="325"/>
      <c r="AN153" s="325">
        <v>8015355</v>
      </c>
    </row>
    <row r="154" spans="1:40" x14ac:dyDescent="0.25">
      <c r="A154" s="338"/>
      <c r="B154" s="33"/>
      <c r="C154" s="325"/>
      <c r="D154" s="325"/>
      <c r="E154" s="325"/>
      <c r="F154" s="325"/>
      <c r="G154" s="325"/>
      <c r="H154" s="325"/>
      <c r="I154" s="325"/>
      <c r="J154" s="325"/>
      <c r="K154" s="325"/>
      <c r="L154" s="325"/>
      <c r="M154" s="325"/>
      <c r="N154" s="325"/>
      <c r="O154" s="325"/>
      <c r="P154" s="325"/>
      <c r="Q154" s="325"/>
      <c r="R154" s="325"/>
      <c r="S154" s="325"/>
      <c r="T154" s="325"/>
      <c r="U154" s="325"/>
      <c r="V154" s="325"/>
      <c r="W154" s="325"/>
      <c r="X154" s="325"/>
      <c r="Y154" s="325"/>
      <c r="Z154" s="325"/>
      <c r="AA154" s="325"/>
      <c r="AB154" s="325"/>
      <c r="AC154" s="325"/>
      <c r="AD154" s="325"/>
      <c r="AE154" s="325"/>
      <c r="AF154" s="325"/>
      <c r="AG154" s="325"/>
      <c r="AH154" s="325"/>
      <c r="AI154" s="325"/>
      <c r="AJ154" s="325"/>
      <c r="AK154" s="325"/>
      <c r="AL154" s="325"/>
      <c r="AM154" s="325"/>
      <c r="AN154" s="325"/>
    </row>
    <row r="155" spans="1:40" x14ac:dyDescent="0.25">
      <c r="A155" s="330" t="s">
        <v>243</v>
      </c>
      <c r="B155" s="216" t="s">
        <v>214</v>
      </c>
      <c r="C155" s="201">
        <v>44670</v>
      </c>
      <c r="D155" s="201">
        <v>12761245</v>
      </c>
      <c r="E155" s="201">
        <v>41135</v>
      </c>
      <c r="F155" s="201">
        <v>10705718</v>
      </c>
      <c r="G155" s="201">
        <v>11160</v>
      </c>
      <c r="H155" s="201">
        <v>1971953</v>
      </c>
      <c r="I155" s="201">
        <v>12673</v>
      </c>
      <c r="J155" s="201">
        <v>2295547</v>
      </c>
      <c r="K155" s="201">
        <v>30426</v>
      </c>
      <c r="L155" s="201">
        <v>4362975</v>
      </c>
      <c r="M155" s="201">
        <v>34566</v>
      </c>
      <c r="N155" s="201">
        <v>5621356</v>
      </c>
      <c r="O155" s="201">
        <v>36919</v>
      </c>
      <c r="P155" s="201">
        <v>5491093</v>
      </c>
      <c r="Q155" s="201">
        <v>42696.709217748939</v>
      </c>
      <c r="R155" s="201">
        <v>6540741</v>
      </c>
      <c r="S155" s="201">
        <v>81832.916377602101</v>
      </c>
      <c r="T155" s="201">
        <v>12371220.769820902</v>
      </c>
      <c r="U155" s="201">
        <v>75207</v>
      </c>
      <c r="V155" s="201">
        <v>15777870</v>
      </c>
      <c r="W155" s="201">
        <v>57912</v>
      </c>
      <c r="X155" s="201">
        <v>12231206</v>
      </c>
      <c r="Y155" s="201">
        <v>42621</v>
      </c>
      <c r="Z155" s="201">
        <v>9267484</v>
      </c>
      <c r="AA155" s="201">
        <v>52707.253585500177</v>
      </c>
      <c r="AB155" s="201">
        <v>9149570.5023943</v>
      </c>
      <c r="AC155" s="201">
        <v>56893</v>
      </c>
      <c r="AD155" s="201">
        <v>13346063</v>
      </c>
      <c r="AE155" s="201">
        <v>66410.110583904723</v>
      </c>
      <c r="AF155" s="201">
        <v>14588953.379567331</v>
      </c>
      <c r="AG155" s="201">
        <v>110116.97648420157</v>
      </c>
      <c r="AH155" s="201">
        <v>24985173.98</v>
      </c>
      <c r="AI155" s="201">
        <v>154252</v>
      </c>
      <c r="AJ155" s="201">
        <v>39921693</v>
      </c>
      <c r="AK155" s="201">
        <v>102527</v>
      </c>
      <c r="AL155" s="201">
        <v>24562825</v>
      </c>
      <c r="AM155" s="201">
        <v>82590.903496241823</v>
      </c>
      <c r="AN155" s="201">
        <v>20232606</v>
      </c>
    </row>
    <row r="156" spans="1:40" x14ac:dyDescent="0.25">
      <c r="A156" s="215"/>
      <c r="B156" s="216"/>
      <c r="C156" s="201"/>
      <c r="D156" s="201"/>
      <c r="E156" s="201"/>
      <c r="F156" s="201"/>
      <c r="G156" s="201"/>
      <c r="H156" s="201"/>
      <c r="I156" s="201"/>
      <c r="J156" s="201"/>
      <c r="K156" s="201"/>
      <c r="L156" s="201"/>
      <c r="M156" s="201"/>
      <c r="N156" s="201"/>
      <c r="O156" s="201"/>
      <c r="P156" s="201"/>
      <c r="Q156" s="201"/>
      <c r="R156" s="201"/>
      <c r="U156" s="201"/>
      <c r="V156" s="201"/>
      <c r="W156" s="201"/>
      <c r="X156" s="201"/>
      <c r="Y156" s="201"/>
      <c r="Z156" s="201"/>
      <c r="AA156" s="201"/>
      <c r="AB156" s="201"/>
      <c r="AC156" s="201"/>
      <c r="AD156" s="201"/>
      <c r="AE156" s="201"/>
      <c r="AF156" s="201"/>
      <c r="AG156" s="201"/>
      <c r="AH156" s="201"/>
      <c r="AI156" s="201"/>
      <c r="AJ156" s="201"/>
      <c r="AK156" s="201"/>
      <c r="AL156" s="201"/>
      <c r="AM156" s="201"/>
      <c r="AN156" s="201"/>
    </row>
    <row r="157" spans="1:40" x14ac:dyDescent="0.25">
      <c r="A157" s="323" t="s">
        <v>492</v>
      </c>
      <c r="B157" s="324" t="s">
        <v>166</v>
      </c>
      <c r="C157" s="325">
        <v>0</v>
      </c>
      <c r="D157" s="325">
        <v>0</v>
      </c>
      <c r="E157" s="325">
        <v>0</v>
      </c>
      <c r="F157" s="325">
        <v>0</v>
      </c>
      <c r="G157" s="325">
        <v>0</v>
      </c>
      <c r="H157" s="325">
        <v>0</v>
      </c>
      <c r="I157" s="325">
        <v>0</v>
      </c>
      <c r="J157" s="325">
        <v>0</v>
      </c>
      <c r="K157" s="325">
        <v>0</v>
      </c>
      <c r="L157" s="325">
        <v>0</v>
      </c>
      <c r="M157" s="325">
        <v>2280</v>
      </c>
      <c r="N157" s="325">
        <v>145354</v>
      </c>
      <c r="O157" s="325">
        <v>115</v>
      </c>
      <c r="P157" s="325">
        <v>9430</v>
      </c>
      <c r="Q157" s="325">
        <v>376</v>
      </c>
      <c r="R157" s="325">
        <v>26836</v>
      </c>
      <c r="S157" s="325">
        <v>200</v>
      </c>
      <c r="T157" s="325">
        <v>16400</v>
      </c>
      <c r="U157" s="325">
        <v>0</v>
      </c>
      <c r="V157" s="325">
        <v>0</v>
      </c>
      <c r="W157" s="325">
        <v>0</v>
      </c>
      <c r="X157" s="325">
        <v>0</v>
      </c>
      <c r="Y157" s="325">
        <v>0</v>
      </c>
      <c r="Z157" s="325">
        <v>0</v>
      </c>
      <c r="AA157" s="325">
        <v>0</v>
      </c>
      <c r="AB157" s="325">
        <v>0</v>
      </c>
      <c r="AC157" s="325">
        <v>1881</v>
      </c>
      <c r="AD157" s="325">
        <v>150480</v>
      </c>
      <c r="AE157" s="325">
        <v>8180.2730000000001</v>
      </c>
      <c r="AF157" s="325">
        <v>654374.84</v>
      </c>
      <c r="AG157" s="325">
        <v>9914.93</v>
      </c>
      <c r="AH157" s="325">
        <v>1909370</v>
      </c>
      <c r="AI157" s="325">
        <v>12660</v>
      </c>
      <c r="AJ157" s="325">
        <v>1714507</v>
      </c>
      <c r="AK157" s="325">
        <v>13141</v>
      </c>
      <c r="AL157" s="325">
        <v>1725027</v>
      </c>
      <c r="AM157" s="325">
        <v>12154</v>
      </c>
      <c r="AN157" s="325">
        <v>1739077</v>
      </c>
    </row>
    <row r="158" spans="1:40" x14ac:dyDescent="0.25">
      <c r="A158" s="338"/>
      <c r="B158" s="324"/>
      <c r="C158" s="325"/>
      <c r="D158" s="325"/>
      <c r="E158" s="325"/>
      <c r="F158" s="325"/>
      <c r="G158" s="325"/>
      <c r="H158" s="325"/>
      <c r="I158" s="325"/>
      <c r="J158" s="325"/>
      <c r="K158" s="325"/>
      <c r="L158" s="325"/>
      <c r="M158" s="325"/>
      <c r="N158" s="325"/>
      <c r="O158" s="325"/>
      <c r="P158" s="325"/>
      <c r="Q158" s="325"/>
      <c r="R158" s="325"/>
      <c r="S158" s="325"/>
      <c r="T158" s="325"/>
      <c r="U158" s="325"/>
      <c r="V158" s="325"/>
      <c r="W158" s="325"/>
      <c r="X158" s="325"/>
      <c r="Y158" s="325"/>
      <c r="Z158" s="325"/>
      <c r="AA158" s="325"/>
      <c r="AB158" s="325"/>
      <c r="AC158" s="325"/>
      <c r="AD158" s="325"/>
      <c r="AE158" s="325"/>
      <c r="AF158" s="325"/>
      <c r="AG158" s="325"/>
      <c r="AH158" s="325"/>
      <c r="AI158" s="325"/>
      <c r="AJ158" s="325"/>
      <c r="AK158" s="325"/>
      <c r="AL158" s="325"/>
      <c r="AM158" s="325"/>
      <c r="AN158" s="325"/>
    </row>
    <row r="159" spans="1:40" x14ac:dyDescent="0.25">
      <c r="A159" s="330" t="s">
        <v>493</v>
      </c>
      <c r="B159" s="216" t="s">
        <v>166</v>
      </c>
      <c r="C159" s="201">
        <v>182613</v>
      </c>
      <c r="D159" s="201">
        <v>0</v>
      </c>
      <c r="E159" s="201">
        <v>132262</v>
      </c>
      <c r="F159" s="201">
        <v>0</v>
      </c>
      <c r="G159" s="201">
        <v>179241</v>
      </c>
      <c r="H159" s="201">
        <f>G159*71</f>
        <v>12726111</v>
      </c>
      <c r="I159" s="201">
        <v>169612</v>
      </c>
      <c r="J159" s="201">
        <v>12695341</v>
      </c>
      <c r="K159" s="201">
        <v>195307</v>
      </c>
      <c r="L159" s="201">
        <v>14991613</v>
      </c>
      <c r="M159" s="201">
        <v>220263</v>
      </c>
      <c r="N159" s="201">
        <v>15223112</v>
      </c>
      <c r="O159" s="201">
        <v>161560</v>
      </c>
      <c r="P159" s="201">
        <v>11691732</v>
      </c>
      <c r="Q159" s="201">
        <v>168891</v>
      </c>
      <c r="R159" s="201">
        <v>11822370</v>
      </c>
      <c r="S159" s="201">
        <v>158789</v>
      </c>
      <c r="T159" s="201">
        <v>11525240</v>
      </c>
      <c r="U159" s="201">
        <v>141057</v>
      </c>
      <c r="V159" s="201">
        <v>10043030</v>
      </c>
      <c r="W159" s="201">
        <v>112724</v>
      </c>
      <c r="X159" s="201">
        <v>8517234</v>
      </c>
      <c r="Y159" s="201">
        <v>161412</v>
      </c>
      <c r="Z159" s="201">
        <v>13029931</v>
      </c>
      <c r="AA159" s="201">
        <v>177540</v>
      </c>
      <c r="AB159" s="201">
        <v>14077712</v>
      </c>
      <c r="AC159" s="201">
        <v>191297</v>
      </c>
      <c r="AD159" s="201">
        <v>15059872</v>
      </c>
      <c r="AE159" s="201">
        <v>182838</v>
      </c>
      <c r="AF159" s="201">
        <v>14665992</v>
      </c>
      <c r="AG159" s="201">
        <v>169135.2</v>
      </c>
      <c r="AH159" s="201">
        <v>13569779</v>
      </c>
      <c r="AI159" s="201">
        <v>164320</v>
      </c>
      <c r="AJ159" s="201">
        <v>13405119</v>
      </c>
      <c r="AK159" s="201">
        <v>152369</v>
      </c>
      <c r="AL159" s="201">
        <v>13721295</v>
      </c>
      <c r="AM159" s="201">
        <v>157364</v>
      </c>
      <c r="AN159" s="201">
        <v>14985371</v>
      </c>
    </row>
    <row r="160" spans="1:40" x14ac:dyDescent="0.25">
      <c r="A160" s="215"/>
      <c r="B160" s="216"/>
      <c r="C160" s="201"/>
      <c r="D160" s="201"/>
      <c r="E160" s="201"/>
      <c r="F160" s="201"/>
      <c r="G160" s="201"/>
      <c r="H160" s="201"/>
      <c r="I160" s="201"/>
      <c r="J160" s="201"/>
      <c r="K160" s="201"/>
      <c r="L160" s="201"/>
      <c r="M160" s="201"/>
      <c r="N160" s="201"/>
      <c r="O160" s="201"/>
      <c r="P160" s="201"/>
      <c r="Q160" s="201"/>
      <c r="R160" s="201"/>
      <c r="U160" s="201"/>
      <c r="V160" s="201"/>
      <c r="W160" s="201"/>
      <c r="X160" s="201"/>
      <c r="Y160" s="201"/>
      <c r="Z160" s="201"/>
      <c r="AA160" s="201"/>
      <c r="AB160" s="201"/>
      <c r="AC160" s="201"/>
      <c r="AD160" s="201"/>
      <c r="AE160" s="201"/>
      <c r="AF160" s="201"/>
      <c r="AG160" s="201"/>
      <c r="AH160" s="201"/>
      <c r="AI160" s="201"/>
      <c r="AJ160" s="201"/>
      <c r="AK160" s="201"/>
      <c r="AL160" s="201"/>
      <c r="AM160" s="201"/>
      <c r="AN160" s="201"/>
    </row>
    <row r="161" spans="1:40" x14ac:dyDescent="0.25">
      <c r="A161" s="323" t="s">
        <v>494</v>
      </c>
      <c r="B161" s="33"/>
      <c r="C161" s="325"/>
      <c r="D161" s="325"/>
      <c r="E161" s="325"/>
      <c r="F161" s="325"/>
      <c r="G161" s="325"/>
      <c r="H161" s="325"/>
      <c r="I161" s="325"/>
      <c r="J161" s="325"/>
      <c r="K161" s="325"/>
      <c r="L161" s="325"/>
      <c r="M161" s="325"/>
      <c r="N161" s="325"/>
      <c r="O161" s="325"/>
      <c r="P161" s="325"/>
      <c r="Q161" s="325"/>
      <c r="R161" s="325"/>
      <c r="S161" s="325"/>
      <c r="T161" s="325"/>
      <c r="U161" s="325"/>
      <c r="V161" s="325"/>
      <c r="W161" s="325"/>
      <c r="X161" s="325"/>
      <c r="Y161" s="325"/>
      <c r="Z161" s="325"/>
      <c r="AA161" s="325"/>
      <c r="AB161" s="325"/>
      <c r="AC161" s="325"/>
      <c r="AD161" s="325"/>
      <c r="AE161" s="325"/>
      <c r="AF161" s="325"/>
      <c r="AG161" s="325"/>
      <c r="AH161" s="325"/>
      <c r="AI161" s="325"/>
      <c r="AJ161" s="325"/>
      <c r="AK161" s="325"/>
      <c r="AL161" s="325"/>
      <c r="AM161" s="325"/>
      <c r="AN161" s="325"/>
    </row>
    <row r="162" spans="1:40" x14ac:dyDescent="0.25">
      <c r="A162" s="327" t="s">
        <v>220</v>
      </c>
      <c r="B162" s="324" t="s">
        <v>166</v>
      </c>
      <c r="C162" s="325">
        <v>8505</v>
      </c>
      <c r="D162" s="325">
        <v>1852772</v>
      </c>
      <c r="E162" s="325">
        <v>12690</v>
      </c>
      <c r="F162" s="325">
        <v>2967402</v>
      </c>
      <c r="G162" s="325">
        <v>8221</v>
      </c>
      <c r="H162" s="325">
        <v>1855601</v>
      </c>
      <c r="I162" s="325">
        <v>24471</v>
      </c>
      <c r="J162" s="325">
        <v>4397393</v>
      </c>
      <c r="K162" s="325">
        <v>32812</v>
      </c>
      <c r="L162" s="325">
        <v>5742022</v>
      </c>
      <c r="M162" s="325">
        <v>47428</v>
      </c>
      <c r="N162" s="325">
        <v>8305325</v>
      </c>
      <c r="O162" s="325">
        <v>40376</v>
      </c>
      <c r="P162" s="325">
        <v>7079333</v>
      </c>
      <c r="Q162" s="325">
        <v>42516</v>
      </c>
      <c r="R162" s="325">
        <v>8893387</v>
      </c>
      <c r="S162" s="325">
        <v>42550</v>
      </c>
      <c r="T162" s="325">
        <v>7341552</v>
      </c>
      <c r="U162" s="325">
        <v>47787</v>
      </c>
      <c r="V162" s="325">
        <v>10245802</v>
      </c>
      <c r="W162" s="325">
        <v>71875</v>
      </c>
      <c r="X162" s="325">
        <v>11561445</v>
      </c>
      <c r="Y162" s="325">
        <v>105324</v>
      </c>
      <c r="Z162" s="325">
        <v>13445325</v>
      </c>
      <c r="AA162" s="325">
        <v>113191</v>
      </c>
      <c r="AB162" s="325">
        <v>18628946</v>
      </c>
      <c r="AC162" s="325">
        <v>46566</v>
      </c>
      <c r="AD162" s="325">
        <v>8897759</v>
      </c>
      <c r="AE162" s="325">
        <v>48021</v>
      </c>
      <c r="AF162" s="325">
        <v>10886637</v>
      </c>
      <c r="AG162" s="325">
        <v>62116</v>
      </c>
      <c r="AH162" s="325">
        <v>14448602</v>
      </c>
      <c r="AI162" s="325">
        <v>68944</v>
      </c>
      <c r="AJ162" s="325" t="s">
        <v>172</v>
      </c>
      <c r="AK162" s="325">
        <v>90400</v>
      </c>
      <c r="AL162" s="325" t="s">
        <v>172</v>
      </c>
      <c r="AM162" s="325">
        <v>102573</v>
      </c>
      <c r="AN162" s="325" t="s">
        <v>172</v>
      </c>
    </row>
    <row r="163" spans="1:40" x14ac:dyDescent="0.25">
      <c r="A163" s="327" t="s">
        <v>496</v>
      </c>
      <c r="B163" s="324" t="s">
        <v>166</v>
      </c>
      <c r="C163" s="325">
        <v>69</v>
      </c>
      <c r="D163" s="325">
        <v>4219279</v>
      </c>
      <c r="E163" s="325">
        <v>143</v>
      </c>
      <c r="F163" s="325">
        <v>4853625</v>
      </c>
      <c r="G163" s="325">
        <v>108</v>
      </c>
      <c r="H163" s="325">
        <v>4224365</v>
      </c>
      <c r="I163" s="325">
        <v>133</v>
      </c>
      <c r="J163" s="325">
        <v>5676606</v>
      </c>
      <c r="K163" s="325">
        <v>548</v>
      </c>
      <c r="L163" s="325">
        <v>13352435</v>
      </c>
      <c r="M163" s="325">
        <v>439</v>
      </c>
      <c r="N163" s="325">
        <v>16169644</v>
      </c>
      <c r="O163" s="325">
        <v>702</v>
      </c>
      <c r="P163" s="325">
        <v>22767073</v>
      </c>
      <c r="Q163" s="325">
        <v>873</v>
      </c>
      <c r="R163" s="325">
        <v>25005667</v>
      </c>
      <c r="S163" s="325">
        <v>537</v>
      </c>
      <c r="T163" s="325">
        <v>19741076</v>
      </c>
      <c r="U163" s="325">
        <v>246</v>
      </c>
      <c r="V163" s="325">
        <v>14278830</v>
      </c>
      <c r="W163" s="325">
        <v>379</v>
      </c>
      <c r="X163" s="325">
        <v>31839882</v>
      </c>
      <c r="Y163" s="325">
        <v>447</v>
      </c>
      <c r="Z163" s="325">
        <v>33018287</v>
      </c>
      <c r="AA163" s="325">
        <v>410</v>
      </c>
      <c r="AB163" s="325">
        <v>34255688</v>
      </c>
      <c r="AC163" s="325">
        <v>371</v>
      </c>
      <c r="AD163" s="325">
        <v>41864039</v>
      </c>
      <c r="AE163" s="325">
        <v>415</v>
      </c>
      <c r="AF163" s="325">
        <v>65929047</v>
      </c>
      <c r="AG163" s="325">
        <v>513.95000000000005</v>
      </c>
      <c r="AH163" s="325">
        <v>78670971</v>
      </c>
      <c r="AI163" s="325">
        <v>737.55</v>
      </c>
      <c r="AJ163" s="325" t="s">
        <v>172</v>
      </c>
      <c r="AK163" s="325">
        <v>905</v>
      </c>
      <c r="AL163" s="325" t="s">
        <v>172</v>
      </c>
      <c r="AM163" s="325">
        <v>1006</v>
      </c>
      <c r="AN163" s="325" t="s">
        <v>172</v>
      </c>
    </row>
    <row r="164" spans="1:40" x14ac:dyDescent="0.25">
      <c r="A164" s="343" t="s">
        <v>246</v>
      </c>
      <c r="B164" s="324" t="s">
        <v>166</v>
      </c>
      <c r="C164" s="325">
        <v>569</v>
      </c>
      <c r="D164" s="325">
        <v>9442807</v>
      </c>
      <c r="E164" s="325">
        <v>679</v>
      </c>
      <c r="F164" s="325">
        <v>6371195</v>
      </c>
      <c r="G164" s="325">
        <v>731</v>
      </c>
      <c r="H164" s="325">
        <v>4882698</v>
      </c>
      <c r="I164" s="325">
        <v>434</v>
      </c>
      <c r="J164" s="325">
        <v>2855928</v>
      </c>
      <c r="K164" s="325">
        <v>365</v>
      </c>
      <c r="L164" s="325">
        <v>2253656</v>
      </c>
      <c r="M164" s="344">
        <v>237</v>
      </c>
      <c r="N164" s="344">
        <v>1298492</v>
      </c>
      <c r="O164" s="325">
        <v>262</v>
      </c>
      <c r="P164" s="325">
        <v>1229162</v>
      </c>
      <c r="Q164" s="325">
        <v>273</v>
      </c>
      <c r="R164" s="325">
        <v>1286279</v>
      </c>
      <c r="S164" s="325">
        <v>208.59633027522941</v>
      </c>
      <c r="T164" s="325">
        <v>1139902</v>
      </c>
      <c r="U164" s="325">
        <v>104</v>
      </c>
      <c r="V164" s="325">
        <v>790621</v>
      </c>
      <c r="W164" s="325">
        <v>457</v>
      </c>
      <c r="X164" s="325">
        <v>3109397</v>
      </c>
      <c r="Y164" s="325">
        <v>403</v>
      </c>
      <c r="Z164" s="325">
        <v>3227809</v>
      </c>
      <c r="AA164" s="325">
        <v>549</v>
      </c>
      <c r="AB164" s="325">
        <v>3576738</v>
      </c>
      <c r="AC164" s="325">
        <v>481</v>
      </c>
      <c r="AD164" s="325">
        <v>3622811</v>
      </c>
      <c r="AE164" s="325">
        <v>596</v>
      </c>
      <c r="AF164" s="325">
        <v>4999060</v>
      </c>
      <c r="AG164" s="325">
        <v>575.62</v>
      </c>
      <c r="AH164" s="325">
        <v>4756778</v>
      </c>
      <c r="AI164" s="325">
        <v>885</v>
      </c>
      <c r="AJ164" s="325">
        <v>7930963</v>
      </c>
      <c r="AK164" s="325">
        <v>874</v>
      </c>
      <c r="AL164" s="325">
        <v>6007866</v>
      </c>
      <c r="AM164" s="325">
        <v>762.7</v>
      </c>
      <c r="AN164" s="325">
        <v>4799655</v>
      </c>
    </row>
    <row r="165" spans="1:40" x14ac:dyDescent="0.25">
      <c r="A165" s="328" t="s">
        <v>498</v>
      </c>
      <c r="B165" s="33"/>
      <c r="C165" s="325"/>
      <c r="D165" s="325">
        <f>SUM(D162:D164)</f>
        <v>15514858</v>
      </c>
      <c r="E165" s="325"/>
      <c r="F165" s="325">
        <f>SUM(F162:F164)</f>
        <v>14192222</v>
      </c>
      <c r="G165" s="325"/>
      <c r="H165" s="325">
        <f>SUM(H162:H164)</f>
        <v>10962664</v>
      </c>
      <c r="I165" s="325"/>
      <c r="J165" s="325">
        <f>SUM(J162:J164)</f>
        <v>12929927</v>
      </c>
      <c r="K165" s="325"/>
      <c r="L165" s="325">
        <v>21348113</v>
      </c>
      <c r="M165" s="325"/>
      <c r="N165" s="325">
        <v>25773461</v>
      </c>
      <c r="O165" s="325"/>
      <c r="P165" s="325">
        <f>SUM(P162:P164)</f>
        <v>31075568</v>
      </c>
      <c r="Q165" s="325"/>
      <c r="R165" s="325">
        <v>35185333</v>
      </c>
      <c r="S165" s="325"/>
      <c r="T165" s="325">
        <v>28222530</v>
      </c>
      <c r="U165" s="325"/>
      <c r="V165" s="325">
        <v>25315253</v>
      </c>
      <c r="W165" s="325"/>
      <c r="X165" s="325">
        <v>46510724</v>
      </c>
      <c r="Y165" s="325"/>
      <c r="Z165" s="325">
        <v>49691421</v>
      </c>
      <c r="AA165" s="325"/>
      <c r="AB165" s="325">
        <v>56461372</v>
      </c>
      <c r="AC165" s="325"/>
      <c r="AD165" s="325">
        <v>54384609</v>
      </c>
      <c r="AE165" s="320"/>
      <c r="AF165" s="325">
        <v>81814744</v>
      </c>
      <c r="AG165" s="325"/>
      <c r="AH165" s="325">
        <v>97876351</v>
      </c>
      <c r="AI165" s="325"/>
      <c r="AJ165" s="325">
        <v>169908738</v>
      </c>
      <c r="AK165" s="325"/>
      <c r="AL165" s="325">
        <v>225840014</v>
      </c>
      <c r="AM165" s="325"/>
      <c r="AN165" s="325">
        <v>217287947</v>
      </c>
    </row>
    <row r="166" spans="1:40" x14ac:dyDescent="0.25">
      <c r="A166" s="329"/>
      <c r="B166" s="33"/>
      <c r="C166" s="325"/>
      <c r="D166" s="325"/>
      <c r="E166" s="325"/>
      <c r="F166" s="325"/>
      <c r="G166" s="325"/>
      <c r="H166" s="325"/>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c r="AE166" s="320"/>
      <c r="AF166" s="320"/>
      <c r="AG166" s="325"/>
      <c r="AH166" s="325"/>
      <c r="AI166" s="325"/>
      <c r="AJ166" s="325"/>
      <c r="AK166" s="325"/>
      <c r="AL166" s="325"/>
      <c r="AM166" s="325"/>
      <c r="AN166" s="325"/>
    </row>
    <row r="167" spans="1:40" x14ac:dyDescent="0.25">
      <c r="A167" s="330" t="s">
        <v>503</v>
      </c>
      <c r="B167" s="216" t="s">
        <v>166</v>
      </c>
      <c r="C167" s="201">
        <v>0</v>
      </c>
      <c r="D167" s="201">
        <v>0</v>
      </c>
      <c r="E167" s="201">
        <v>0</v>
      </c>
      <c r="F167" s="201">
        <v>0</v>
      </c>
      <c r="G167" s="201">
        <v>0</v>
      </c>
      <c r="H167" s="201">
        <v>0</v>
      </c>
      <c r="I167" s="201">
        <v>0</v>
      </c>
      <c r="J167" s="201">
        <v>0</v>
      </c>
      <c r="K167" s="201">
        <v>0</v>
      </c>
      <c r="L167" s="201">
        <v>0</v>
      </c>
      <c r="M167" s="201">
        <v>0</v>
      </c>
      <c r="N167" s="201">
        <v>0</v>
      </c>
      <c r="O167" s="201">
        <v>0</v>
      </c>
      <c r="P167" s="201">
        <v>0</v>
      </c>
      <c r="Q167" s="201">
        <v>0</v>
      </c>
      <c r="R167" s="201">
        <v>0</v>
      </c>
      <c r="S167" s="201">
        <v>0</v>
      </c>
      <c r="T167" s="201">
        <v>0</v>
      </c>
      <c r="U167" s="201">
        <v>0</v>
      </c>
      <c r="V167" s="201">
        <v>0</v>
      </c>
      <c r="W167" s="201">
        <v>0</v>
      </c>
      <c r="X167" s="201">
        <v>0</v>
      </c>
      <c r="Y167" s="201">
        <v>0</v>
      </c>
      <c r="Z167" s="201">
        <v>0</v>
      </c>
      <c r="AA167" s="201">
        <v>0</v>
      </c>
      <c r="AB167" s="201">
        <v>0</v>
      </c>
      <c r="AC167" s="201">
        <v>0</v>
      </c>
      <c r="AD167" s="201">
        <v>0</v>
      </c>
      <c r="AE167" s="201">
        <v>0</v>
      </c>
      <c r="AF167" s="201">
        <v>0</v>
      </c>
      <c r="AG167" s="201">
        <v>757</v>
      </c>
      <c r="AH167" s="201">
        <v>4981932</v>
      </c>
      <c r="AI167" s="201">
        <v>4034</v>
      </c>
      <c r="AJ167" s="201">
        <v>24695581</v>
      </c>
      <c r="AK167" s="201">
        <v>5190</v>
      </c>
      <c r="AL167" s="201">
        <v>27128981</v>
      </c>
      <c r="AM167" s="201">
        <v>3332</v>
      </c>
      <c r="AN167" s="201">
        <v>20416212</v>
      </c>
    </row>
    <row r="168" spans="1:40" x14ac:dyDescent="0.25">
      <c r="A168" s="215"/>
      <c r="B168" s="216"/>
      <c r="C168" s="201"/>
      <c r="D168" s="201"/>
      <c r="E168" s="201"/>
      <c r="F168" s="201"/>
      <c r="G168" s="201"/>
      <c r="H168" s="201"/>
      <c r="I168" s="201"/>
      <c r="J168" s="201"/>
      <c r="K168" s="201"/>
      <c r="L168" s="201"/>
      <c r="M168" s="201"/>
      <c r="N168" s="201"/>
      <c r="O168" s="201"/>
      <c r="P168" s="201"/>
      <c r="Q168" s="201"/>
      <c r="R168" s="201"/>
      <c r="U168" s="201"/>
      <c r="V168" s="201"/>
      <c r="W168" s="201"/>
      <c r="X168" s="201"/>
      <c r="Y168" s="201"/>
      <c r="Z168" s="201"/>
      <c r="AA168" s="201"/>
      <c r="AB168" s="201"/>
      <c r="AC168" s="201"/>
      <c r="AD168" s="201"/>
      <c r="AE168" s="201"/>
      <c r="AF168" s="201"/>
      <c r="AG168" s="201"/>
      <c r="AH168" s="201"/>
      <c r="AI168" s="201"/>
      <c r="AJ168" s="201"/>
      <c r="AK168" s="201"/>
      <c r="AL168" s="201"/>
      <c r="AM168" s="201"/>
      <c r="AN168" s="201"/>
    </row>
    <row r="169" spans="1:40" x14ac:dyDescent="0.25">
      <c r="A169" s="323" t="s">
        <v>504</v>
      </c>
      <c r="B169" s="324" t="s">
        <v>166</v>
      </c>
      <c r="C169" s="325">
        <v>471</v>
      </c>
      <c r="D169" s="325">
        <v>7740</v>
      </c>
      <c r="E169" s="325">
        <v>552</v>
      </c>
      <c r="F169" s="325">
        <v>9034</v>
      </c>
      <c r="G169" s="325">
        <v>819</v>
      </c>
      <c r="H169" s="325">
        <v>16388</v>
      </c>
      <c r="I169" s="325">
        <v>1679</v>
      </c>
      <c r="J169" s="325">
        <v>87072</v>
      </c>
      <c r="K169" s="325">
        <v>651</v>
      </c>
      <c r="L169" s="325">
        <v>114410</v>
      </c>
      <c r="M169" s="325">
        <v>105</v>
      </c>
      <c r="N169" s="325">
        <v>18528</v>
      </c>
      <c r="O169" s="325">
        <v>507</v>
      </c>
      <c r="P169" s="325">
        <v>90227</v>
      </c>
      <c r="Q169" s="325">
        <v>225</v>
      </c>
      <c r="R169" s="325">
        <v>39943</v>
      </c>
      <c r="S169" s="325">
        <v>199</v>
      </c>
      <c r="T169" s="325">
        <v>35293</v>
      </c>
      <c r="U169" s="325">
        <v>0</v>
      </c>
      <c r="V169" s="325">
        <v>0</v>
      </c>
      <c r="W169" s="325">
        <v>0</v>
      </c>
      <c r="X169" s="325">
        <v>0</v>
      </c>
      <c r="Y169" s="325">
        <v>0</v>
      </c>
      <c r="Z169" s="325">
        <v>0</v>
      </c>
      <c r="AA169" s="325">
        <v>0</v>
      </c>
      <c r="AB169" s="325">
        <v>0</v>
      </c>
      <c r="AC169" s="325">
        <v>0</v>
      </c>
      <c r="AD169" s="325">
        <v>0</v>
      </c>
      <c r="AE169" s="325">
        <v>0</v>
      </c>
      <c r="AF169" s="325">
        <v>0</v>
      </c>
      <c r="AG169" s="325">
        <v>0</v>
      </c>
      <c r="AH169" s="325">
        <v>0</v>
      </c>
      <c r="AI169" s="325">
        <v>0</v>
      </c>
      <c r="AJ169" s="325">
        <v>0</v>
      </c>
      <c r="AK169" s="325">
        <v>0</v>
      </c>
      <c r="AL169" s="325">
        <v>0</v>
      </c>
      <c r="AM169" s="325">
        <v>0</v>
      </c>
      <c r="AN169" s="325">
        <v>0</v>
      </c>
    </row>
    <row r="170" spans="1:40" x14ac:dyDescent="0.25">
      <c r="A170" s="341"/>
      <c r="B170" s="324"/>
      <c r="C170" s="325"/>
      <c r="D170" s="325"/>
      <c r="E170" s="325"/>
      <c r="F170" s="325"/>
      <c r="G170" s="325"/>
      <c r="H170" s="325"/>
      <c r="I170" s="325"/>
      <c r="J170" s="325"/>
      <c r="K170" s="325"/>
      <c r="L170" s="325"/>
      <c r="M170" s="325"/>
      <c r="N170" s="325"/>
      <c r="O170" s="325"/>
      <c r="P170" s="325"/>
      <c r="Q170" s="325"/>
      <c r="R170" s="325"/>
      <c r="S170" s="325"/>
      <c r="T170" s="325"/>
      <c r="U170" s="325"/>
      <c r="V170" s="325"/>
      <c r="W170" s="325"/>
      <c r="X170" s="325"/>
      <c r="Y170" s="325"/>
      <c r="Z170" s="325"/>
      <c r="AA170" s="325"/>
      <c r="AB170" s="325"/>
      <c r="AC170" s="325"/>
      <c r="AD170" s="325"/>
      <c r="AE170" s="325"/>
      <c r="AF170" s="325"/>
      <c r="AG170" s="325"/>
      <c r="AH170" s="325"/>
      <c r="AI170" s="325"/>
      <c r="AJ170" s="325"/>
      <c r="AK170" s="325"/>
      <c r="AL170" s="325"/>
      <c r="AM170" s="325"/>
      <c r="AN170" s="325"/>
    </row>
    <row r="171" spans="1:40" x14ac:dyDescent="0.25">
      <c r="A171" s="345" t="s">
        <v>250</v>
      </c>
      <c r="B171" s="346"/>
      <c r="C171" s="347"/>
      <c r="D171" s="348">
        <f>D173-D140</f>
        <v>4213067797</v>
      </c>
      <c r="E171" s="347"/>
      <c r="F171" s="348">
        <f>F173-F140</f>
        <v>4634330630</v>
      </c>
      <c r="G171" s="347"/>
      <c r="H171" s="348">
        <f>H173-H140</f>
        <v>5070360732</v>
      </c>
      <c r="I171" s="347"/>
      <c r="J171" s="348">
        <f>J173-J140</f>
        <v>6150864548</v>
      </c>
      <c r="K171" s="347"/>
      <c r="L171" s="348">
        <f>L173-L140</f>
        <v>7262509535</v>
      </c>
      <c r="M171" s="347"/>
      <c r="N171" s="348">
        <f>N173-N140</f>
        <v>9132862579</v>
      </c>
      <c r="O171" s="347"/>
      <c r="P171" s="348">
        <f>P173-P140</f>
        <v>9512293850</v>
      </c>
      <c r="Q171" s="347"/>
      <c r="R171" s="348">
        <f>R173-R140</f>
        <v>9532859042.1067009</v>
      </c>
      <c r="S171" s="347"/>
      <c r="T171" s="348">
        <f>T173-T140</f>
        <v>9679080839</v>
      </c>
      <c r="U171" s="347"/>
      <c r="V171" s="348">
        <f>V173-V140</f>
        <v>10030807405</v>
      </c>
      <c r="W171" s="347"/>
      <c r="X171" s="348">
        <f>X173-X140</f>
        <v>10248498232</v>
      </c>
      <c r="Y171" s="347"/>
      <c r="Z171" s="348">
        <f>Z173-Z140</f>
        <v>11266827221</v>
      </c>
      <c r="AA171" s="347"/>
      <c r="AB171" s="348">
        <f>AB173-AB140</f>
        <v>11357249647</v>
      </c>
      <c r="AC171" s="347"/>
      <c r="AD171" s="348">
        <f>AD173-AD140</f>
        <v>12847962124</v>
      </c>
      <c r="AE171" s="347"/>
      <c r="AF171" s="348">
        <f>AF173-AF140</f>
        <v>12589530232.25164</v>
      </c>
      <c r="AG171" s="347"/>
      <c r="AH171" s="348">
        <f>AH173-AH140</f>
        <v>13729606113.350857</v>
      </c>
      <c r="AI171" s="347"/>
      <c r="AJ171" s="348">
        <f>AJ173-AJ140</f>
        <v>17035099375.547045</v>
      </c>
      <c r="AK171" s="347"/>
      <c r="AL171" s="348">
        <f>AL173-AL140</f>
        <v>16841863380</v>
      </c>
      <c r="AM171" s="349"/>
      <c r="AN171" s="350">
        <f>AN173-AN140</f>
        <v>17366556221</v>
      </c>
    </row>
    <row r="172" spans="1:40" x14ac:dyDescent="0.25">
      <c r="A172" s="345"/>
      <c r="B172" s="346"/>
      <c r="C172" s="347"/>
      <c r="D172" s="348"/>
      <c r="E172" s="347"/>
      <c r="F172" s="348"/>
      <c r="G172" s="347"/>
      <c r="H172" s="348"/>
      <c r="I172" s="347"/>
      <c r="J172" s="348"/>
      <c r="K172" s="347"/>
      <c r="L172" s="348"/>
      <c r="M172" s="347"/>
      <c r="N172" s="348"/>
      <c r="O172" s="347"/>
      <c r="P172" s="348"/>
      <c r="Q172" s="347"/>
      <c r="R172" s="348"/>
      <c r="S172" s="347"/>
      <c r="T172" s="348"/>
      <c r="U172" s="347"/>
      <c r="V172" s="348"/>
      <c r="W172" s="347"/>
      <c r="X172" s="348"/>
      <c r="Y172" s="347"/>
      <c r="Z172" s="348"/>
      <c r="AA172" s="347"/>
      <c r="AB172" s="348"/>
      <c r="AC172" s="347"/>
      <c r="AD172" s="348"/>
      <c r="AE172" s="347"/>
      <c r="AF172" s="348"/>
      <c r="AG172" s="347"/>
      <c r="AH172" s="348"/>
      <c r="AI172" s="347"/>
      <c r="AJ172" s="348"/>
      <c r="AK172" s="347"/>
      <c r="AL172" s="348"/>
      <c r="AM172" s="349"/>
      <c r="AN172" s="350"/>
    </row>
    <row r="173" spans="1:40" x14ac:dyDescent="0.25">
      <c r="A173" s="345" t="s">
        <v>251</v>
      </c>
      <c r="B173" s="346"/>
      <c r="C173" s="347"/>
      <c r="D173" s="348">
        <v>4663702326</v>
      </c>
      <c r="E173" s="347"/>
      <c r="F173" s="348">
        <v>5237863333</v>
      </c>
      <c r="G173" s="347"/>
      <c r="H173" s="348">
        <v>5687658240</v>
      </c>
      <c r="I173" s="347"/>
      <c r="J173" s="348">
        <v>6945636791</v>
      </c>
      <c r="K173" s="347"/>
      <c r="L173" s="348">
        <v>7958810799</v>
      </c>
      <c r="M173" s="347"/>
      <c r="N173" s="348">
        <v>10662926059</v>
      </c>
      <c r="O173" s="347"/>
      <c r="P173" s="348">
        <f>P15+P23+P25+P36+P38+P46+P48+P50+P61+P77+P79+P81+P97+P102+P108+P113+P117+P129+P131+P140+P144+P147+P153+P155+P157+P159+P165+P169</f>
        <v>12152934002</v>
      </c>
      <c r="Q173" s="347"/>
      <c r="R173" s="348">
        <f>12009185188.1067-464942</f>
        <v>12008720246.106701</v>
      </c>
      <c r="S173" s="347"/>
      <c r="T173" s="348">
        <v>12329885249</v>
      </c>
      <c r="U173" s="347"/>
      <c r="V173" s="348">
        <v>12623902858</v>
      </c>
      <c r="W173" s="347"/>
      <c r="X173" s="348">
        <v>13914714258</v>
      </c>
      <c r="Y173" s="347"/>
      <c r="Z173" s="348">
        <v>15336361934</v>
      </c>
      <c r="AA173" s="347"/>
      <c r="AB173" s="348">
        <v>16395083173</v>
      </c>
      <c r="AC173" s="347"/>
      <c r="AD173" s="348">
        <v>17782101893</v>
      </c>
      <c r="AE173" s="347"/>
      <c r="AF173" s="348">
        <v>16655578272.74151</v>
      </c>
      <c r="AG173" s="347"/>
      <c r="AH173" s="348">
        <v>21344976804.350857</v>
      </c>
      <c r="AI173" s="347"/>
      <c r="AJ173" s="348">
        <v>27547079093</v>
      </c>
      <c r="AK173" s="347"/>
      <c r="AL173" s="348">
        <v>26696138766</v>
      </c>
      <c r="AM173" s="349"/>
      <c r="AN173" s="350">
        <v>27857663102</v>
      </c>
    </row>
    <row r="174" spans="1:40" x14ac:dyDescent="0.25">
      <c r="A174" s="345"/>
      <c r="B174" s="346"/>
      <c r="C174" s="347"/>
      <c r="D174" s="348"/>
      <c r="E174" s="347"/>
      <c r="F174" s="348"/>
      <c r="G174" s="347"/>
      <c r="H174" s="348"/>
      <c r="I174" s="347"/>
      <c r="J174" s="348"/>
      <c r="K174" s="347"/>
      <c r="L174" s="348"/>
      <c r="M174" s="347"/>
      <c r="N174" s="348"/>
      <c r="O174" s="347"/>
      <c r="P174" s="348"/>
      <c r="Q174" s="347"/>
      <c r="R174" s="348"/>
      <c r="S174" s="347"/>
      <c r="T174" s="348"/>
      <c r="U174" s="347"/>
      <c r="V174" s="348"/>
      <c r="W174" s="347"/>
      <c r="X174" s="348"/>
      <c r="Y174" s="347"/>
      <c r="Z174" s="348"/>
      <c r="AA174" s="347"/>
      <c r="AB174" s="348"/>
      <c r="AC174" s="347"/>
      <c r="AD174" s="348"/>
      <c r="AE174" s="347"/>
      <c r="AF174" s="348"/>
      <c r="AG174" s="347"/>
      <c r="AH174" s="348"/>
      <c r="AI174" s="347"/>
      <c r="AJ174" s="348"/>
      <c r="AK174" s="347"/>
      <c r="AL174" s="348"/>
      <c r="AM174" s="349"/>
      <c r="AN174" s="350"/>
    </row>
    <row r="175" spans="1:40" x14ac:dyDescent="0.25">
      <c r="A175"/>
      <c r="E175" s="201"/>
      <c r="F175" s="201"/>
      <c r="K175" s="216"/>
      <c r="O175" s="216"/>
      <c r="P175" s="216"/>
      <c r="Q175" s="216"/>
      <c r="R175" s="216"/>
      <c r="U175" s="216"/>
      <c r="V175" s="216"/>
      <c r="AA175" s="216"/>
      <c r="AB175" s="216"/>
      <c r="AC175" s="216"/>
      <c r="AD175" s="216"/>
      <c r="AF175" s="130"/>
      <c r="AH175" s="130"/>
      <c r="AJ175" s="130"/>
      <c r="AK175" s="130"/>
      <c r="AL175" s="202"/>
      <c r="AN175" s="130"/>
    </row>
    <row r="176" spans="1:40" x14ac:dyDescent="0.25">
      <c r="A176"/>
      <c r="E176" s="201"/>
      <c r="F176" s="201"/>
      <c r="K176" s="216"/>
      <c r="L176" s="216"/>
      <c r="M176" s="216"/>
      <c r="N176" s="216"/>
      <c r="O176" s="259"/>
      <c r="P176" s="259"/>
      <c r="Q176" s="216"/>
      <c r="R176" s="216"/>
      <c r="U176" s="259"/>
      <c r="V176" s="259"/>
      <c r="W176" s="216"/>
      <c r="X176" s="216"/>
      <c r="Y176" s="216"/>
      <c r="Z176" s="216"/>
      <c r="AC176" s="216"/>
      <c r="AD176" s="216"/>
      <c r="AJ176" s="130"/>
      <c r="AK176" s="130"/>
      <c r="AL176" s="202"/>
    </row>
  </sheetData>
  <mergeCells count="19">
    <mergeCell ref="AM9:AN9"/>
    <mergeCell ref="AA9:AB9"/>
    <mergeCell ref="AC9:AD9"/>
    <mergeCell ref="AE9:AF9"/>
    <mergeCell ref="AG9:AH9"/>
    <mergeCell ref="AI9:AJ9"/>
    <mergeCell ref="AK9:AL9"/>
    <mergeCell ref="Y9:Z9"/>
    <mergeCell ref="C9:D9"/>
    <mergeCell ref="E9:F9"/>
    <mergeCell ref="G9:H9"/>
    <mergeCell ref="I9:J9"/>
    <mergeCell ref="K9:L9"/>
    <mergeCell ref="M9:N9"/>
    <mergeCell ref="O9:P9"/>
    <mergeCell ref="Q9:R9"/>
    <mergeCell ref="S9:T9"/>
    <mergeCell ref="U9:V9"/>
    <mergeCell ref="W9:X9"/>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65F1F92071475276E05315230A0A9CBF" version="1.0.0">
  <systemFields>
    <field name="Objective-Id">
      <value order="0">A110427870</value>
    </field>
    <field name="Objective-Title">
      <value order="0">2025 Major Commodities Resource Data File</value>
    </field>
    <field name="Objective-Description">
      <value order="0"/>
    </field>
    <field name="Objective-CreationStamp">
      <value order="0">2026-05-14T06:24:36Z</value>
    </field>
    <field name="Objective-IsApproved">
      <value order="0">false</value>
    </field>
    <field name="Objective-IsPublished">
      <value order="0">true</value>
    </field>
    <field name="Objective-DatePublished">
      <value order="0">2026-05-25T07:50:03Z</value>
    </field>
    <field name="Objective-ModificationStamp">
      <value order="0">2026-05-25T07:50:03Z</value>
    </field>
    <field name="Objective-Owner">
      <value order="0">CHARLESWORTH, Mark</value>
    </field>
    <field name="Objective-Path">
      <value order="0">DEMIRS Global Folder:02 Corporate File Plan:DMPE - Department of Mines, Petroleum and Exploration:RER Files:Strategic Management:Planning:Statistical Digest of Mineral Production - 2023 onwards - Resource Strategy:Resources Data - Biannual Data Files</value>
    </field>
    <field name="Objective-Parent">
      <value order="0">Resources Data - Biannual Data Files</value>
    </field>
    <field name="Objective-State">
      <value order="0">Published</value>
    </field>
    <field name="Objective-VersionId">
      <value order="0">vA119898670</value>
    </field>
    <field name="Objective-Version">
      <value order="0">5.0</value>
    </field>
    <field name="Objective-VersionNumber">
      <value order="0">7</value>
    </field>
    <field name="Objective-VersionComment">
      <value order="0">A bunch of fixes. Ready to be sent for approvals and eventual publishing.</value>
    </field>
    <field name="Objective-FileNumber">
      <value order="0">DMS2324/2022</value>
    </field>
    <field name="Objective-Classification">
      <value order="0">OFFICIAL</value>
    </field>
    <field name="Objective-Caveats">
      <value order="0"/>
    </field>
  </systemFields>
  <catalogues>
    <catalogue name="Divisional Document Type Catalogue" type="type" ori="id:cA39">
      <field name="Objective-Divisional Document Types">
        <value order="0"/>
      </field>
      <field name="Objective-Warning">
        <value order="0"/>
      </field>
      <field name="Objective-Author">
        <value order="0"/>
      </field>
      <field name="Objective-Date of Document">
        <value order="0"/>
      </field>
      <field name="Objective-External Reference">
        <value order="0"/>
      </field>
      <field name="Objective-Internal Reference">
        <value order="0"/>
      </field>
      <field name="Objective-Archive Box">
        <value order="0"/>
      </field>
      <field name="Objective-Migrated Id">
        <value order="0"/>
      </field>
      <field name="Objective-Foreign Barcode">
        <value order="0"/>
      </field>
      <field name="Objective-PCI DSS Checked">
        <value order="0"/>
      </field>
      <field name="Objective-End User">
        <value order="0"/>
      </field>
      <field name="Objective-Additional File Numbers">
        <value order="0"/>
      </field>
      <field name="Objective-Record Number">
        <value order="0"/>
      </field>
      <field name="Objective-Graphic Content">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65F1F92071475276E05315230A0A9CB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Index</vt:lpstr>
      <vt:lpstr>Sources</vt:lpstr>
      <vt:lpstr>How To Use</vt:lpstr>
      <vt:lpstr>Commodity Prices Comparison</vt:lpstr>
      <vt:lpstr>Q&amp;V 2-years</vt:lpstr>
      <vt:lpstr>Commodity Prices</vt:lpstr>
      <vt:lpstr>Q&amp;V CY 1886 to 2003</vt:lpstr>
      <vt:lpstr>Q&amp;V CY 2004 to Now</vt:lpstr>
      <vt:lpstr>Q&amp;V FY 1984-85 to 2002-03</vt:lpstr>
      <vt:lpstr>Q&amp;V FY 2003-04 to Now</vt:lpstr>
      <vt:lpstr>WA vs Australia vs the World</vt:lpstr>
      <vt:lpstr>Alumina and Bauxite - Prices</vt:lpstr>
      <vt:lpstr>Alumina and Bauxite - Q&amp;V</vt:lpstr>
      <vt:lpstr>Alumina and Bauxite - Exports</vt:lpstr>
      <vt:lpstr>Alumina and Bauxite - WA vs Aus</vt:lpstr>
      <vt:lpstr>Copper-Lead-Zinc - Prices</vt:lpstr>
      <vt:lpstr>Copper-Lead-Zinc - Q&amp;V</vt:lpstr>
      <vt:lpstr>Copper-Lead-Zinc - Exports</vt:lpstr>
      <vt:lpstr>Copper-Lead-Zinc - WA vs Aus</vt:lpstr>
      <vt:lpstr>Gold - Prices</vt:lpstr>
      <vt:lpstr>Gold - Q&amp;V</vt:lpstr>
      <vt:lpstr>Gold - Exports</vt:lpstr>
      <vt:lpstr>Gold - WA vs Aus</vt:lpstr>
      <vt:lpstr>Iron Ore - Prices</vt:lpstr>
      <vt:lpstr>Iron Ore - Q&amp;V</vt:lpstr>
      <vt:lpstr>Iron Ore - Exports</vt:lpstr>
      <vt:lpstr>Iron Ore - WA vs Aus</vt:lpstr>
      <vt:lpstr>Lithium - Prices</vt:lpstr>
      <vt:lpstr>Lithium - Q&amp;V</vt:lpstr>
      <vt:lpstr>Lithium - Exports</vt:lpstr>
      <vt:lpstr>Mineral Sands - Prices</vt:lpstr>
      <vt:lpstr>Mineral Sands - Q&amp;V</vt:lpstr>
      <vt:lpstr>Mineral Sands - Exports</vt:lpstr>
      <vt:lpstr>Mineral Sands - WA vs Aus</vt:lpstr>
      <vt:lpstr>Nickel - Prices</vt:lpstr>
      <vt:lpstr>Nickel - Q&amp;V</vt:lpstr>
      <vt:lpstr>Nickel - Exports</vt:lpstr>
      <vt:lpstr>Nickel - WA vs Aus</vt:lpstr>
      <vt:lpstr>Other Minerals - Q&amp;V</vt:lpstr>
      <vt:lpstr>Petroleum - Oil - Prices</vt:lpstr>
      <vt:lpstr>Petroleum - LNG - Prices</vt:lpstr>
      <vt:lpstr>Petroleum - Dom. Gas - Prices</vt:lpstr>
      <vt:lpstr>Petroleum - Q&amp;V 1</vt:lpstr>
      <vt:lpstr>Petroleum - Q&amp;V 2</vt:lpstr>
      <vt:lpstr>Petroleum - Exports</vt:lpstr>
      <vt:lpstr>Petroleum - WA vs Aus 1</vt:lpstr>
      <vt:lpstr>Petroleum - WA vs Aus 2</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CHARLESWORTH, Mark</dc:creator>
  <cp:lastModifiedBy>HARMER, James</cp:lastModifiedBy>
  <cp:lastPrinted>2025-10-10T09:11:07Z</cp:lastPrinted>
  <dcterms:created xsi:type="dcterms:W3CDTF">2024-09-17T03:19:54Z</dcterms:created>
  <dcterms:modified xsi:type="dcterms:W3CDTF">2026-05-27T02:50:47Z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A110427870</vt:lpwstr>
  </property>
  <property fmtid="{D5CDD505-2E9C-101B-9397-08002B2CF9AE}" pid="4" name="Objective-Title">
    <vt:lpwstr>2025 Major Commodities Resource Data File</vt:lpwstr>
  </property>
  <property fmtid="{D5CDD505-2E9C-101B-9397-08002B2CF9AE}" pid="5" name="Objective-Description">
    <vt:lpwstr/>
  </property>
  <property fmtid="{D5CDD505-2E9C-101B-9397-08002B2CF9AE}" pid="6" name="Objective-CreationStamp">
    <vt:filetime>2026-05-14T06:24:36Z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2026-05-25T07:50:03Z</vt:filetime>
  </property>
  <property fmtid="{D5CDD505-2E9C-101B-9397-08002B2CF9AE}" pid="10" name="Objective-ModificationStamp">
    <vt:filetime>2026-05-25T07:50:03Z</vt:filetime>
  </property>
  <property fmtid="{D5CDD505-2E9C-101B-9397-08002B2CF9AE}" pid="11" name="Objective-Owner">
    <vt:lpwstr>CHARLESWORTH, Mark</vt:lpwstr>
  </property>
  <property fmtid="{D5CDD505-2E9C-101B-9397-08002B2CF9AE}" pid="12" name="Objective-Path">
    <vt:lpwstr>DEMIRS Global Folder:02 Corporate File Plan:DMPE - Department of Mines, Petroleum and Exploration:RER Files:Strategic Management:Planning:Statistical Digest of Mineral Production - 2023 onwards - Resource Strategy:Resources Data - Biannual Data Files</vt:lpwstr>
  </property>
  <property fmtid="{D5CDD505-2E9C-101B-9397-08002B2CF9AE}" pid="13" name="Objective-Parent">
    <vt:lpwstr>Resources Data - Biannual Data Files</vt:lpwstr>
  </property>
  <property fmtid="{D5CDD505-2E9C-101B-9397-08002B2CF9AE}" pid="14" name="Objective-State">
    <vt:lpwstr>Published</vt:lpwstr>
  </property>
  <property fmtid="{D5CDD505-2E9C-101B-9397-08002B2CF9AE}" pid="15" name="Objective-VersionId">
    <vt:lpwstr>vA119898670</vt:lpwstr>
  </property>
  <property fmtid="{D5CDD505-2E9C-101B-9397-08002B2CF9AE}" pid="16" name="Objective-Version">
    <vt:lpwstr>5.0</vt:lpwstr>
  </property>
  <property fmtid="{D5CDD505-2E9C-101B-9397-08002B2CF9AE}" pid="17" name="Objective-VersionNumber">
    <vt:r8>7</vt:r8>
  </property>
  <property fmtid="{D5CDD505-2E9C-101B-9397-08002B2CF9AE}" pid="18" name="Objective-VersionComment">
    <vt:lpwstr>A bunch of fixes. Ready to be sent for approvals and eventual publishing.</vt:lpwstr>
  </property>
  <property fmtid="{D5CDD505-2E9C-101B-9397-08002B2CF9AE}" pid="19" name="Objective-FileNumber">
    <vt:lpwstr>DMS2324/2022</vt:lpwstr>
  </property>
  <property fmtid="{D5CDD505-2E9C-101B-9397-08002B2CF9AE}" pid="20" name="Objective-Classification">
    <vt:lpwstr>OFFICIAL</vt:lpwstr>
  </property>
  <property fmtid="{D5CDD505-2E9C-101B-9397-08002B2CF9AE}" pid="21" name="Objective-Caveats">
    <vt:lpwstr/>
  </property>
  <property fmtid="{D5CDD505-2E9C-101B-9397-08002B2CF9AE}" pid="22" name="Objective-Divisional Document Types">
    <vt:lpwstr/>
  </property>
  <property fmtid="{D5CDD505-2E9C-101B-9397-08002B2CF9AE}" pid="23" name="Objective-Author">
    <vt:lpwstr/>
  </property>
  <property fmtid="{D5CDD505-2E9C-101B-9397-08002B2CF9AE}" pid="24" name="Objective-Date of Document">
    <vt:lpwstr/>
  </property>
  <property fmtid="{D5CDD505-2E9C-101B-9397-08002B2CF9AE}" pid="25" name="Objective-External Reference">
    <vt:lpwstr/>
  </property>
  <property fmtid="{D5CDD505-2E9C-101B-9397-08002B2CF9AE}" pid="26" name="Objective-Internal Reference">
    <vt:lpwstr/>
  </property>
  <property fmtid="{D5CDD505-2E9C-101B-9397-08002B2CF9AE}" pid="27" name="Objective-Archive Box">
    <vt:lpwstr/>
  </property>
  <property fmtid="{D5CDD505-2E9C-101B-9397-08002B2CF9AE}" pid="28" name="Objective-Migrated Id">
    <vt:lpwstr/>
  </property>
  <property fmtid="{D5CDD505-2E9C-101B-9397-08002B2CF9AE}" pid="29" name="Objective-Foreign Barcode">
    <vt:lpwstr/>
  </property>
  <property fmtid="{D5CDD505-2E9C-101B-9397-08002B2CF9AE}" pid="30" name="Objective-PCI DSS Checked">
    <vt:lpwstr/>
  </property>
  <property fmtid="{D5CDD505-2E9C-101B-9397-08002B2CF9AE}" pid="31" name="Objective-End User">
    <vt:lpwstr/>
  </property>
  <property fmtid="{D5CDD505-2E9C-101B-9397-08002B2CF9AE}" pid="32" name="Objective-Additional File Numbers">
    <vt:lpwstr/>
  </property>
  <property fmtid="{D5CDD505-2E9C-101B-9397-08002B2CF9AE}" pid="33" name="Objective-Record Number">
    <vt:lpwstr/>
  </property>
  <property fmtid="{D5CDD505-2E9C-101B-9397-08002B2CF9AE}" pid="34" name="Objective-Warning">
    <vt:lpwstr/>
  </property>
  <property fmtid="{D5CDD505-2E9C-101B-9397-08002B2CF9AE}" pid="35" name="Objective-Graphic Content">
    <vt:lpwstr/>
  </property>
</Properties>
</file>